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45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1" sheetId="7" r:id="rId7"/>
    <sheet name="df c2" sheetId="8" r:id="rId8"/>
    <sheet name="df c3" sheetId="9" r:id="rId9"/>
    <sheet name="df c4" sheetId="10" r:id="rId10"/>
    <sheet name="df c5" sheetId="11" r:id="rId11"/>
    <sheet name="df c6" sheetId="12" r:id="rId12"/>
    <sheet name="df c7" sheetId="13" r:id="rId13"/>
    <sheet name="df c9" sheetId="14" r:id="rId14"/>
    <sheet name="df b1" sheetId="15" r:id="rId15"/>
    <sheet name="df b2" sheetId="16" r:id="rId16"/>
    <sheet name="df b3" sheetId="17" r:id="rId17"/>
    <sheet name="df b4" sheetId="18" r:id="rId18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<sst xmlns="http://schemas.openxmlformats.org/spreadsheetml/2006/main" count="5147" uniqueCount="256">
  <si>
    <t>323B1</t>
  </si>
  <si>
    <t>PM</t>
  </si>
  <si>
    <t>gr/dscf</t>
  </si>
  <si>
    <t/>
  </si>
  <si>
    <t>CO (RA)</t>
  </si>
  <si>
    <t>ppmv</t>
  </si>
  <si>
    <t>HC (RA)</t>
  </si>
  <si>
    <t>HCl</t>
  </si>
  <si>
    <t>Cl2</t>
  </si>
  <si>
    <t>Antimony</t>
  </si>
  <si>
    <t>ug/dscm</t>
  </si>
  <si>
    <t>nd</t>
  </si>
  <si>
    <t>Arsenic</t>
  </si>
  <si>
    <t>Barium</t>
  </si>
  <si>
    <t>Beryllium</t>
  </si>
  <si>
    <t>Cadmium</t>
  </si>
  <si>
    <t>Chromium</t>
  </si>
  <si>
    <t>Copper</t>
  </si>
  <si>
    <t>Iron</t>
  </si>
  <si>
    <t>Lead</t>
  </si>
  <si>
    <t>Mercury</t>
  </si>
  <si>
    <t>Nickel</t>
  </si>
  <si>
    <t>Selenium</t>
  </si>
  <si>
    <t>Silver</t>
  </si>
  <si>
    <t>Thallium</t>
  </si>
  <si>
    <t>Zinc</t>
  </si>
  <si>
    <t>323B2</t>
  </si>
  <si>
    <t>323B3</t>
  </si>
  <si>
    <t>CO (MHRA)</t>
  </si>
  <si>
    <t>HC (MHRA)</t>
  </si>
  <si>
    <t>323B4</t>
  </si>
  <si>
    <t>323B5</t>
  </si>
  <si>
    <t>323C1</t>
  </si>
  <si>
    <t>Chromium (Hex)</t>
  </si>
  <si>
    <t>323C8</t>
  </si>
  <si>
    <t>323C9</t>
  </si>
  <si>
    <t>Metals</t>
  </si>
  <si>
    <t>Oxygen</t>
  </si>
  <si>
    <t>Halogens</t>
  </si>
  <si>
    <t>Dioxin &amp; Furan</t>
  </si>
  <si>
    <t>Particulate</t>
  </si>
  <si>
    <t>Aldehydes</t>
  </si>
  <si>
    <t>SVOC</t>
  </si>
  <si>
    <t>Cr Hex</t>
  </si>
  <si>
    <t>323C2</t>
  </si>
  <si>
    <t>323C3</t>
  </si>
  <si>
    <t>323C4</t>
  </si>
  <si>
    <t>323C5</t>
  </si>
  <si>
    <t>323C6</t>
  </si>
  <si>
    <t>323C7</t>
  </si>
  <si>
    <t>32310</t>
  </si>
  <si>
    <t>Chlorine</t>
  </si>
  <si>
    <t>Btu/lb</t>
  </si>
  <si>
    <t>Sampling Train</t>
  </si>
  <si>
    <t>R1</t>
  </si>
  <si>
    <t>R2</t>
  </si>
  <si>
    <t>R3</t>
  </si>
  <si>
    <t>R4</t>
  </si>
  <si>
    <t>R5</t>
  </si>
  <si>
    <t>R6</t>
  </si>
  <si>
    <t>R7</t>
  </si>
  <si>
    <t>Cond Avg</t>
  </si>
  <si>
    <t>Raw material</t>
  </si>
  <si>
    <t>Spiked metals</t>
  </si>
  <si>
    <t>Liquid haz waste</t>
  </si>
  <si>
    <t>Coal</t>
  </si>
  <si>
    <t>Total</t>
  </si>
  <si>
    <t>SVM</t>
  </si>
  <si>
    <t>LVM</t>
  </si>
  <si>
    <t>lb/hr</t>
  </si>
  <si>
    <t>I-TEF</t>
  </si>
  <si>
    <t>Wght Fact</t>
  </si>
  <si>
    <t xml:space="preserve"> TEQ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</si>
  <si>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</si>
  <si>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</si>
  <si>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</si>
  <si>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</si>
  <si>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</si>
  <si>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</si>
  <si>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</si>
  <si>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</si>
  <si>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</si>
  <si>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</si>
  <si>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</si>
  <si>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</si>
  <si>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</si>
  <si>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</si>
  <si>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</si>
  <si>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</si>
  <si>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</si>
  <si>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</si>
  <si>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</si>
  <si>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</si>
  <si>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</si>
  <si>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</si>
  <si>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</si>
  <si>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</si>
  <si>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</si>
  <si>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</si>
  <si>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</si>
  <si>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</si>
  <si>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</si>
  <si>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</si>
  <si>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</si>
  <si>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</si>
  <si>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</si>
  <si>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</si>
  <si>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</si>
  <si>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</si>
  <si>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TEQ</t>
  </si>
  <si>
    <t>HIGH CHLORINE, LOW ESP INLET TEMPERATURE</t>
  </si>
  <si>
    <t>?</t>
  </si>
  <si>
    <t>LOW APCD TEMP</t>
  </si>
  <si>
    <t>HIGH APCD TEMP</t>
  </si>
  <si>
    <t>HIGH CHLORINE, HIGH ESP INLET TEMPERATURE</t>
  </si>
  <si>
    <t>July 21-22, 1994</t>
  </si>
  <si>
    <t>June 27-28, 1994</t>
  </si>
  <si>
    <t>HW</t>
  </si>
  <si>
    <t>Spike</t>
  </si>
  <si>
    <t>Other</t>
  </si>
  <si>
    <t>Raw material mid kiln</t>
  </si>
  <si>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</si>
  <si>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</si>
  <si>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</si>
  <si>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</si>
  <si>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</si>
  <si>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</si>
  <si>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</si>
  <si>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</si>
  <si>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</si>
  <si>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</si>
  <si>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</si>
  <si>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</si>
  <si>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</si>
  <si>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</si>
  <si>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</si>
  <si>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</si>
  <si>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</si>
  <si>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</si>
  <si>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</si>
  <si>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</si>
  <si>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</si>
  <si>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</si>
  <si>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</si>
  <si>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323</t>
  </si>
  <si>
    <t>KSD007148034</t>
  </si>
  <si>
    <t>LAFARGE</t>
  </si>
  <si>
    <t>FREDONIA</t>
  </si>
  <si>
    <t>KS</t>
  </si>
  <si>
    <t>ESP</t>
  </si>
  <si>
    <t>COAL/COKE/NATURAL GAS</t>
  </si>
  <si>
    <t>None</t>
  </si>
  <si>
    <t>Kiln No. 2</t>
  </si>
  <si>
    <t>Combustor Type</t>
  </si>
  <si>
    <t>Combustor Class</t>
  </si>
  <si>
    <t>Wet, long</t>
  </si>
  <si>
    <t>CoC, MAX PROD,MAX HW FEED,MAX COMB TEMP,MAX ESP TEMP</t>
  </si>
  <si>
    <t>Lafarge Corp, Fredonia, Kansas, Certification of Compliance, Revised Operating Conditions, prepared by Radian, September 1994</t>
  </si>
  <si>
    <t>CoC, MAX RAW MIX FEED RATE AND ESP INLET TEMP, MIN ESP POWER</t>
  </si>
  <si>
    <t>Lafarge Corp Fredonia Plant Compliance Test, Certification Package, prepared by Radian, August 1992</t>
  </si>
  <si>
    <t>Pilot Combustion Minimization and Public Involvement Enhancement Program (PCMPIE) Test Report, prepared by Radian, June 1996</t>
  </si>
  <si>
    <t>Radian</t>
  </si>
  <si>
    <t>Lafarge Corporation, Fredonia, Kansas Plant, November 1995 Recertification of Compliance, prepared by Radian, November 1995</t>
  </si>
  <si>
    <t>CoC, OP COND AT MIN TEMP WHILE FEEDING AIR CONVEYED CANISTERS</t>
  </si>
  <si>
    <t>CoC, OPERATING CONDITIONS AT MINIMUM TEMPERATURE</t>
  </si>
  <si>
    <t>CoC, MAX OPERATING CONDITIONS</t>
  </si>
  <si>
    <t>PCDD/PCDF Emission Testing Report - Fredonia Kansas Cement Plant, report from Gary Elliott (Lafarge) to Frank Behan (OSW), sent January 5, 1995; Fredonia PCDD/PCDF Report, Hans Schrama, dated November 1994</t>
  </si>
  <si>
    <t>Lafarge</t>
  </si>
  <si>
    <t>Condition Description</t>
  </si>
  <si>
    <t>Report Name/Date</t>
  </si>
  <si>
    <t>Report Prepare</t>
  </si>
  <si>
    <t>Testing Firm</t>
  </si>
  <si>
    <t>Cond Descr</t>
  </si>
  <si>
    <t>ng/dscm</t>
  </si>
  <si>
    <t>Stack Gas Emissions</t>
  </si>
  <si>
    <t>78,000 ft2 plate area, 3 fields, SCA = 400</t>
  </si>
  <si>
    <t>Combustion Temperature</t>
  </si>
  <si>
    <t>F</t>
  </si>
  <si>
    <t>kVA</t>
  </si>
  <si>
    <t>ESP Temperature</t>
  </si>
  <si>
    <t>ESP Power</t>
  </si>
  <si>
    <t>Process Information 2</t>
  </si>
  <si>
    <t>Feedrate 2</t>
  </si>
  <si>
    <t>E1</t>
  </si>
  <si>
    <t>Total Chlorine</t>
  </si>
  <si>
    <t>y</t>
  </si>
  <si>
    <t>E2</t>
  </si>
  <si>
    <t>E3</t>
  </si>
  <si>
    <t>E4</t>
  </si>
  <si>
    <t xml:space="preserve">   Stack Gas Flowrate</t>
  </si>
  <si>
    <t>dscfm</t>
  </si>
  <si>
    <t xml:space="preserve">   O2</t>
  </si>
  <si>
    <t>%</t>
  </si>
  <si>
    <t xml:space="preserve">   Moisture</t>
  </si>
  <si>
    <t xml:space="preserve">   Temperature</t>
  </si>
  <si>
    <t>°F</t>
  </si>
  <si>
    <t>b1</t>
  </si>
  <si>
    <t>b2</t>
  </si>
  <si>
    <t>b3</t>
  </si>
  <si>
    <t>b4</t>
  </si>
  <si>
    <t>Testing Dates</t>
  </si>
  <si>
    <t>Cond Dates</t>
  </si>
  <si>
    <t>February 12-22, 1995</t>
  </si>
  <si>
    <t>February 23-25, 1995</t>
  </si>
  <si>
    <t>April 19-20, 1995</t>
  </si>
  <si>
    <t>September 19-23, 1995</t>
  </si>
  <si>
    <t>September 20-21, 1995</t>
  </si>
  <si>
    <t>Number of Sister Facilities</t>
  </si>
  <si>
    <t>APCS Detailed Acronym</t>
  </si>
  <si>
    <t>APCS General Class</t>
  </si>
  <si>
    <t>Coal, natural gas</t>
  </si>
  <si>
    <t>Liq, sludge</t>
  </si>
  <si>
    <t>source</t>
  </si>
  <si>
    <t>cond</t>
  </si>
  <si>
    <t>emiss 2</t>
  </si>
  <si>
    <t>feed 2</t>
  </si>
  <si>
    <t>process 2</t>
  </si>
  <si>
    <t>df c1</t>
  </si>
  <si>
    <t>df c2</t>
  </si>
  <si>
    <t>df c3</t>
  </si>
  <si>
    <t>df c4</t>
  </si>
  <si>
    <t>df c5</t>
  </si>
  <si>
    <t>df c6</t>
  </si>
  <si>
    <t>df c7</t>
  </si>
  <si>
    <t>df c9</t>
  </si>
  <si>
    <t>df b1</t>
  </si>
  <si>
    <t>df b2</t>
  </si>
  <si>
    <t>df b3</t>
  </si>
  <si>
    <t>df b4</t>
  </si>
  <si>
    <t>Cement Kiln (CK)</t>
  </si>
  <si>
    <t>Feedstream Number</t>
  </si>
  <si>
    <t>Feed Class</t>
  </si>
  <si>
    <t>Feedstream Description</t>
  </si>
  <si>
    <t>Feed Rate</t>
  </si>
  <si>
    <t>Heating Value</t>
  </si>
  <si>
    <t>Raw Material</t>
  </si>
  <si>
    <t>F1</t>
  </si>
  <si>
    <t>F2</t>
  </si>
  <si>
    <t>F3</t>
  </si>
  <si>
    <t>Liq HW</t>
  </si>
  <si>
    <t>F4</t>
  </si>
  <si>
    <t>F5</t>
  </si>
  <si>
    <t>F6</t>
  </si>
  <si>
    <t>F7</t>
  </si>
  <si>
    <t>Stack Gas Flowrate</t>
  </si>
  <si>
    <t>Feedrate MTEC Calculations</t>
  </si>
  <si>
    <t>Feed Class 2</t>
  </si>
  <si>
    <t>RM</t>
  </si>
  <si>
    <t>Air Conveyed Fuels</t>
  </si>
  <si>
    <t>Solid HW</t>
  </si>
  <si>
    <t xml:space="preserve"> </t>
  </si>
  <si>
    <t>Liq Waste</t>
  </si>
  <si>
    <t>Thermal Feedrate</t>
  </si>
  <si>
    <t>MMBtu/hr</t>
  </si>
  <si>
    <t>Est Total Firing Rate</t>
  </si>
  <si>
    <t>Baseline, coal only, LOW CHLORINE, HIGH ESP INLET TEMPERATURE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</si>
</sst>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000"/>
    <numFmt numFmtId="168" formatCode="mm/dd/yy"/>
    <numFmt numFmtId="169" formatCode="0.0000000"/>
    <numFmt numFmtId="170" formatCode="0.000000"/>
    <numFmt numFmtId="171" formatCode="mmmm\ d\,\ yyyy"/>
    <numFmt numFmtId="172" formatCode="0.00000000"/>
    <numFmt numFmtId="173" formatCode="0.0000E+00"/>
    <numFmt numFmtId="174" formatCode="0.000E+00"/>
    <numFmt numFmtId="175" formatCode="0.0E+00"/>
    <numFmt numFmtId="176" formatCode="0.0000000000"/>
    <numFmt numFmtId="177" formatCode="0.00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C1" sqref="C1"/>
    </sheetView>
  </sheetViews>
  <sheetFormatPr defaultColWidth="9.140625" defaultRowHeight="12.75"/>
  <sheetData>
    <row r="1" ht="12.75">
      <c r="A1" t="s">
        <v>212</v>
      </c>
    </row>
    <row r="2" ht="12.75">
      <c r="A2" t="s">
        <v>213</v>
      </c>
    </row>
    <row r="3" ht="12.75">
      <c r="A3" t="s">
        <v>214</v>
      </c>
    </row>
    <row r="4" ht="12.75">
      <c r="A4" t="s">
        <v>215</v>
      </c>
    </row>
    <row r="5" ht="12.75">
      <c r="A5" t="s">
        <v>216</v>
      </c>
    </row>
    <row r="6" ht="12.75">
      <c r="A6" t="s">
        <v>217</v>
      </c>
    </row>
    <row r="7" ht="12.75">
      <c r="A7" t="s">
        <v>218</v>
      </c>
    </row>
    <row r="8" ht="12.75">
      <c r="A8" t="s">
        <v>219</v>
      </c>
    </row>
    <row r="9" ht="12.75">
      <c r="A9" t="s">
        <v>220</v>
      </c>
    </row>
    <row r="10" ht="12.75">
      <c r="A10" t="s">
        <v>221</v>
      </c>
    </row>
    <row r="11" ht="12.75">
      <c r="A11" t="s">
        <v>222</v>
      </c>
    </row>
    <row r="12" ht="12.75">
      <c r="A12" t="s">
        <v>223</v>
      </c>
    </row>
    <row r="13" ht="12.75">
      <c r="A13" t="s">
        <v>224</v>
      </c>
    </row>
    <row r="14" ht="12.75">
      <c r="A14" t="s">
        <v>225</v>
      </c>
    </row>
    <row r="15" ht="12.75">
      <c r="A15" t="s">
        <v>226</v>
      </c>
    </row>
    <row r="16" ht="12.75">
      <c r="A16" t="s">
        <v>227</v>
      </c>
    </row>
    <row r="17" ht="12.75">
      <c r="A17" t="s">
        <v>228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7.7109375" style="0" customWidth="1"/>
    <col min="5" max="5" width="3.57421875" style="0" customWidth="1"/>
    <col min="6" max="8" width="9.140625" style="40" customWidth="1"/>
    <col min="9" max="9" width="4.57421875" style="0" customWidth="1"/>
    <col min="10" max="12" width="9.140625" style="40" customWidth="1"/>
  </cols>
  <sheetData>
    <row r="1" spans="3:12" ht="12.75">
      <c r="C1" s="7" t="s">
        <v>46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46</v>
      </c>
      <c r="B5" s="4">
        <v>1</v>
      </c>
      <c r="C5" s="4" t="s">
        <v>75</v>
      </c>
      <c r="D5" s="11">
        <v>1</v>
      </c>
      <c r="E5" s="2">
        <v>1</v>
      </c>
      <c r="F5" s="10">
        <v>0.0018747262973578262</v>
      </c>
      <c r="G5" s="14">
        <f>IF(F5=0,"",IF(E5=1,F5/2,F5))</f>
        <v>0.0009373631486789131</v>
      </c>
      <c r="H5" s="14">
        <f>IF(G5="","",G5*$D5)</f>
        <v>0.0009373631486789131</v>
      </c>
      <c r="I5" s="2">
        <v>1</v>
      </c>
      <c r="J5" s="10">
        <v>0.0018521214098189266</v>
      </c>
      <c r="K5" s="14">
        <f>IF(J5=0,"",IF(I5=1,J5/2,J5))</f>
        <v>0.0009260607049094633</v>
      </c>
      <c r="L5" s="14">
        <f>IF(K5="","",K5*$D5)</f>
        <v>0.0009260607049094633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46</v>
      </c>
      <c r="B6" s="4">
        <v>2</v>
      </c>
      <c r="C6" s="4" t="s">
        <v>76</v>
      </c>
      <c r="D6" s="11">
        <v>0</v>
      </c>
      <c r="E6" s="2"/>
      <c r="F6" s="10">
        <v>0.279334218306316</v>
      </c>
      <c r="G6" s="14">
        <f aca="true" t="shared" si="0" ref="G6:G37">IF(F6=0,"",IF(E6=1,F6/2,F6))</f>
        <v>0.279334218306316</v>
      </c>
      <c r="H6" s="14">
        <f aca="true" t="shared" si="1" ref="H6:H37">IF(G6="","",G6*$D6)</f>
        <v>0</v>
      </c>
      <c r="I6" s="2"/>
      <c r="J6" s="10">
        <v>0.405614588750345</v>
      </c>
      <c r="K6" s="14">
        <f aca="true" t="shared" si="2" ref="K6:K37">IF(J6=0,"",IF(I6=1,J6/2,J6))</f>
        <v>0.405614588750345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46</v>
      </c>
      <c r="B7" s="4">
        <v>3</v>
      </c>
      <c r="C7" s="4" t="s">
        <v>77</v>
      </c>
      <c r="D7" s="11">
        <v>0</v>
      </c>
      <c r="E7" s="2"/>
      <c r="F7" s="10">
        <v>0.2812089446036739</v>
      </c>
      <c r="G7" s="14">
        <f t="shared" si="0"/>
        <v>0.2812089446036739</v>
      </c>
      <c r="H7" s="14">
        <f t="shared" si="1"/>
        <v>0</v>
      </c>
      <c r="I7" s="2"/>
      <c r="J7" s="10">
        <v>0.40746671016016395</v>
      </c>
      <c r="K7" s="14">
        <f t="shared" si="2"/>
        <v>0.40746671016016395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46</v>
      </c>
      <c r="B8" s="4">
        <v>4</v>
      </c>
      <c r="C8" s="4" t="s">
        <v>78</v>
      </c>
      <c r="D8" s="11">
        <v>0.5</v>
      </c>
      <c r="E8" s="2"/>
      <c r="F8" s="10">
        <v>0.0074989051894313</v>
      </c>
      <c r="G8" s="14">
        <f t="shared" si="0"/>
        <v>0.0074989051894313</v>
      </c>
      <c r="H8" s="14">
        <f t="shared" si="1"/>
        <v>0.00374945259471565</v>
      </c>
      <c r="I8" s="2"/>
      <c r="J8" s="10">
        <v>0.009260607049094633</v>
      </c>
      <c r="K8" s="14">
        <f t="shared" si="2"/>
        <v>0.009260607049094633</v>
      </c>
      <c r="L8" s="14">
        <f t="shared" si="3"/>
        <v>0.004630303524547317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46</v>
      </c>
      <c r="B9" s="4">
        <v>5</v>
      </c>
      <c r="C9" s="4" t="s">
        <v>79</v>
      </c>
      <c r="D9" s="11">
        <v>0</v>
      </c>
      <c r="E9" s="2"/>
      <c r="F9" s="10">
        <v>0.4424354061764469</v>
      </c>
      <c r="G9" s="14">
        <f t="shared" si="0"/>
        <v>0.4424354061764469</v>
      </c>
      <c r="H9" s="14">
        <f t="shared" si="1"/>
        <v>0</v>
      </c>
      <c r="I9" s="2"/>
      <c r="J9" s="10">
        <v>0.527854601798394</v>
      </c>
      <c r="K9" s="14">
        <f t="shared" si="2"/>
        <v>0.527854601798394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46</v>
      </c>
      <c r="B10" s="4">
        <v>5</v>
      </c>
      <c r="C10" s="4" t="s">
        <v>80</v>
      </c>
      <c r="D10" s="11">
        <v>0</v>
      </c>
      <c r="E10" s="2"/>
      <c r="F10" s="10">
        <v>0.4499343113658782</v>
      </c>
      <c r="G10" s="14">
        <f t="shared" si="0"/>
        <v>0.4499343113658782</v>
      </c>
      <c r="H10" s="14">
        <f t="shared" si="1"/>
        <v>0</v>
      </c>
      <c r="I10" s="2"/>
      <c r="J10" s="10">
        <v>0.5371152088474886</v>
      </c>
      <c r="K10" s="14">
        <f t="shared" si="2"/>
        <v>0.5371152088474886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46</v>
      </c>
      <c r="B11" s="4">
        <v>7</v>
      </c>
      <c r="C11" s="4" t="s">
        <v>81</v>
      </c>
      <c r="D11" s="11">
        <v>0.1</v>
      </c>
      <c r="E11" s="2"/>
      <c r="F11" s="10">
        <v>0.009373631486789132</v>
      </c>
      <c r="G11" s="14">
        <f t="shared" si="0"/>
        <v>0.009373631486789132</v>
      </c>
      <c r="H11" s="14">
        <f t="shared" si="1"/>
        <v>0.0009373631486789132</v>
      </c>
      <c r="I11" s="2"/>
      <c r="J11" s="10">
        <v>0.0074084856392757</v>
      </c>
      <c r="K11" s="14">
        <f t="shared" si="2"/>
        <v>0.0074084856392757</v>
      </c>
      <c r="L11" s="14">
        <f t="shared" si="3"/>
        <v>0.0007408485639275701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46</v>
      </c>
      <c r="B12" s="4">
        <v>8</v>
      </c>
      <c r="C12" s="4" t="s">
        <v>82</v>
      </c>
      <c r="D12" s="11">
        <v>0.1</v>
      </c>
      <c r="E12" s="2"/>
      <c r="F12" s="10">
        <v>0.0018747262973578262</v>
      </c>
      <c r="G12" s="14">
        <f t="shared" si="0"/>
        <v>0.0018747262973578262</v>
      </c>
      <c r="H12" s="14">
        <f t="shared" si="1"/>
        <v>0.00018747262973578264</v>
      </c>
      <c r="I12" s="2"/>
      <c r="J12" s="10">
        <v>0.020373335508008194</v>
      </c>
      <c r="K12" s="14">
        <f t="shared" si="2"/>
        <v>0.020373335508008194</v>
      </c>
      <c r="L12" s="14">
        <f t="shared" si="3"/>
        <v>0.0020373335508008196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46</v>
      </c>
      <c r="B13" s="4">
        <v>9</v>
      </c>
      <c r="C13" s="4" t="s">
        <v>83</v>
      </c>
      <c r="D13" s="11">
        <v>0.1</v>
      </c>
      <c r="E13" s="2"/>
      <c r="F13" s="10">
        <v>0.0018747262973578262</v>
      </c>
      <c r="G13" s="14">
        <f t="shared" si="0"/>
        <v>0.0018747262973578262</v>
      </c>
      <c r="H13" s="14">
        <f t="shared" si="1"/>
        <v>0.00018747262973578264</v>
      </c>
      <c r="I13" s="2"/>
      <c r="J13" s="10">
        <v>0.016669092688370336</v>
      </c>
      <c r="K13" s="14">
        <f t="shared" si="2"/>
        <v>0.016669092688370336</v>
      </c>
      <c r="L13" s="14">
        <f t="shared" si="3"/>
        <v>0.0016669092688370336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46</v>
      </c>
      <c r="B14" s="4">
        <v>10</v>
      </c>
      <c r="C14" s="4" t="s">
        <v>84</v>
      </c>
      <c r="D14" s="11">
        <v>0</v>
      </c>
      <c r="E14" s="2"/>
      <c r="F14" s="10">
        <v>0.9429873275709865</v>
      </c>
      <c r="G14" s="14">
        <f t="shared" si="0"/>
        <v>0.9429873275709865</v>
      </c>
      <c r="H14" s="14">
        <f t="shared" si="1"/>
        <v>0</v>
      </c>
      <c r="I14" s="2"/>
      <c r="J14" s="10">
        <v>1.029779503859323</v>
      </c>
      <c r="K14" s="14">
        <f t="shared" si="2"/>
        <v>1.029779503859323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46</v>
      </c>
      <c r="B15" s="4">
        <v>11</v>
      </c>
      <c r="C15" s="4" t="s">
        <v>85</v>
      </c>
      <c r="D15" s="11">
        <v>0</v>
      </c>
      <c r="E15" s="2"/>
      <c r="F15" s="10">
        <v>0.9561104116524913</v>
      </c>
      <c r="G15" s="14">
        <f t="shared" si="0"/>
        <v>0.9561104116524913</v>
      </c>
      <c r="H15" s="14">
        <f t="shared" si="1"/>
        <v>0</v>
      </c>
      <c r="I15" s="2"/>
      <c r="J15" s="10">
        <v>1.0742304176949773</v>
      </c>
      <c r="K15" s="14">
        <f t="shared" si="2"/>
        <v>1.0742304176949773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46</v>
      </c>
      <c r="B16" s="4">
        <v>12</v>
      </c>
      <c r="C16" s="4" t="s">
        <v>86</v>
      </c>
      <c r="D16" s="11">
        <v>0.01</v>
      </c>
      <c r="E16" s="2"/>
      <c r="F16" s="10">
        <v>0.1649759141674887</v>
      </c>
      <c r="G16" s="14">
        <f t="shared" si="0"/>
        <v>0.1649759141674887</v>
      </c>
      <c r="H16" s="14">
        <f t="shared" si="1"/>
        <v>0.0016497591416748869</v>
      </c>
      <c r="I16" s="2"/>
      <c r="J16" s="10">
        <v>0.18521214098189265</v>
      </c>
      <c r="K16" s="14">
        <f t="shared" si="2"/>
        <v>0.18521214098189265</v>
      </c>
      <c r="L16" s="14">
        <f t="shared" si="3"/>
        <v>0.0018521214098189266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46</v>
      </c>
      <c r="B17" s="4">
        <v>13</v>
      </c>
      <c r="C17" s="4" t="s">
        <v>87</v>
      </c>
      <c r="D17" s="11">
        <v>0</v>
      </c>
      <c r="E17" s="2"/>
      <c r="F17" s="10">
        <v>0.22871660827765483</v>
      </c>
      <c r="G17" s="14">
        <f t="shared" si="0"/>
        <v>0.22871660827765483</v>
      </c>
      <c r="H17" s="14">
        <f t="shared" si="1"/>
        <v>0</v>
      </c>
      <c r="I17" s="2"/>
      <c r="J17" s="10">
        <v>0.25929699737465</v>
      </c>
      <c r="K17" s="14">
        <f t="shared" si="2"/>
        <v>0.25929699737465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46</v>
      </c>
      <c r="B18" s="4">
        <v>14</v>
      </c>
      <c r="C18" s="4" t="s">
        <v>88</v>
      </c>
      <c r="D18" s="11">
        <v>0</v>
      </c>
      <c r="E18" s="2"/>
      <c r="F18" s="10">
        <v>0.3936925224451435</v>
      </c>
      <c r="G18" s="14">
        <f t="shared" si="0"/>
        <v>0.3936925224451435</v>
      </c>
      <c r="H18" s="14">
        <f t="shared" si="1"/>
        <v>0</v>
      </c>
      <c r="I18" s="2"/>
      <c r="J18" s="10">
        <v>0.4445091383565424</v>
      </c>
      <c r="K18" s="14">
        <f t="shared" si="2"/>
        <v>0.4445091383565424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46</v>
      </c>
      <c r="B19" s="4">
        <v>15</v>
      </c>
      <c r="C19" s="4" t="s">
        <v>89</v>
      </c>
      <c r="D19" s="11">
        <v>0.001</v>
      </c>
      <c r="E19" s="2"/>
      <c r="F19" s="10">
        <v>0.08436268338110219</v>
      </c>
      <c r="G19" s="14">
        <f t="shared" si="0"/>
        <v>0.08436268338110219</v>
      </c>
      <c r="H19" s="14">
        <f t="shared" si="1"/>
        <v>8.436268338110218E-05</v>
      </c>
      <c r="I19" s="2"/>
      <c r="J19" s="10">
        <v>0.15002183419533305</v>
      </c>
      <c r="K19" s="14">
        <f t="shared" si="2"/>
        <v>0.15002183419533305</v>
      </c>
      <c r="L19" s="14">
        <f t="shared" si="3"/>
        <v>0.00015002183419533306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46</v>
      </c>
      <c r="B20" s="4">
        <v>16</v>
      </c>
      <c r="C20" s="4" t="s">
        <v>90</v>
      </c>
      <c r="D20" s="11">
        <v>0.1</v>
      </c>
      <c r="E20" s="2"/>
      <c r="F20" s="10">
        <v>0.10873412524675388</v>
      </c>
      <c r="G20" s="14">
        <f t="shared" si="0"/>
        <v>0.10873412524675388</v>
      </c>
      <c r="H20" s="14">
        <f t="shared" si="1"/>
        <v>0.010873412524675389</v>
      </c>
      <c r="I20" s="2"/>
      <c r="J20" s="10">
        <v>0.09260607049094632</v>
      </c>
      <c r="K20" s="14">
        <f t="shared" si="2"/>
        <v>0.09260607049094632</v>
      </c>
      <c r="L20" s="14">
        <f t="shared" si="3"/>
        <v>0.009260607049094633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46</v>
      </c>
      <c r="B21" s="4">
        <v>17</v>
      </c>
      <c r="C21" s="4" t="s">
        <v>91</v>
      </c>
      <c r="D21" s="11">
        <v>0</v>
      </c>
      <c r="E21" s="2"/>
      <c r="F21" s="10">
        <v>0.6786509196435332</v>
      </c>
      <c r="G21" s="14">
        <f t="shared" si="0"/>
        <v>0.6786509196435332</v>
      </c>
      <c r="H21" s="14">
        <f t="shared" si="1"/>
        <v>0</v>
      </c>
      <c r="I21" s="2"/>
      <c r="J21" s="10">
        <v>0.555636422945678</v>
      </c>
      <c r="K21" s="14">
        <f t="shared" si="2"/>
        <v>0.555636422945678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46</v>
      </c>
      <c r="B22" s="4">
        <v>18</v>
      </c>
      <c r="C22" s="4" t="s">
        <v>92</v>
      </c>
      <c r="D22" s="11">
        <v>0</v>
      </c>
      <c r="E22" s="2"/>
      <c r="F22" s="10">
        <v>0.787385044890287</v>
      </c>
      <c r="G22" s="14">
        <f t="shared" si="0"/>
        <v>0.787385044890287</v>
      </c>
      <c r="H22" s="14">
        <f t="shared" si="1"/>
        <v>0</v>
      </c>
      <c r="I22" s="2"/>
      <c r="J22" s="10">
        <v>0.6482424934366243</v>
      </c>
      <c r="K22" s="14">
        <f t="shared" si="2"/>
        <v>0.6482424934366243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46</v>
      </c>
      <c r="B23" s="4">
        <v>19</v>
      </c>
      <c r="C23" s="4" t="s">
        <v>93</v>
      </c>
      <c r="D23" s="11">
        <v>0.05</v>
      </c>
      <c r="E23" s="2">
        <v>2</v>
      </c>
      <c r="F23" s="10">
        <v>0.0074989051894313</v>
      </c>
      <c r="G23" s="14">
        <f t="shared" si="0"/>
        <v>0.0074989051894313</v>
      </c>
      <c r="H23" s="14">
        <f t="shared" si="1"/>
        <v>0.000374945259471565</v>
      </c>
      <c r="I23" s="2">
        <v>2</v>
      </c>
      <c r="J23" s="10">
        <v>0.0074084856392757</v>
      </c>
      <c r="K23" s="14">
        <f t="shared" si="2"/>
        <v>0.0074084856392757</v>
      </c>
      <c r="L23" s="14">
        <f t="shared" si="3"/>
        <v>0.00037042428196378506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46</v>
      </c>
      <c r="B24" s="4">
        <v>20</v>
      </c>
      <c r="C24" s="4" t="s">
        <v>94</v>
      </c>
      <c r="D24" s="11">
        <v>0.5</v>
      </c>
      <c r="E24" s="2"/>
      <c r="F24" s="10">
        <v>0.020621989270936</v>
      </c>
      <c r="G24" s="14">
        <f t="shared" si="0"/>
        <v>0.020621989270936</v>
      </c>
      <c r="H24" s="14">
        <f t="shared" si="1"/>
        <v>0.010310994635468</v>
      </c>
      <c r="I24" s="2">
        <v>2</v>
      </c>
      <c r="J24" s="10">
        <v>0.016669092688370336</v>
      </c>
      <c r="K24" s="14">
        <f t="shared" si="2"/>
        <v>0.016669092688370336</v>
      </c>
      <c r="L24" s="14">
        <f t="shared" si="3"/>
        <v>0.008334546344185168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46</v>
      </c>
      <c r="B25" s="4">
        <v>21</v>
      </c>
      <c r="C25" s="4" t="s">
        <v>95</v>
      </c>
      <c r="D25" s="11">
        <v>0</v>
      </c>
      <c r="E25" s="2"/>
      <c r="F25" s="10">
        <v>0.1499781037886261</v>
      </c>
      <c r="G25" s="14">
        <f t="shared" si="0"/>
        <v>0.1499781037886261</v>
      </c>
      <c r="H25" s="14">
        <f t="shared" si="1"/>
        <v>0</v>
      </c>
      <c r="I25" s="2"/>
      <c r="J25" s="10">
        <v>0.1055709203596788</v>
      </c>
      <c r="K25" s="14">
        <f t="shared" si="2"/>
        <v>0.1055709203596788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46</v>
      </c>
      <c r="B26" s="4">
        <v>22</v>
      </c>
      <c r="C26" s="4" t="s">
        <v>96</v>
      </c>
      <c r="D26" s="11">
        <v>0</v>
      </c>
      <c r="E26" s="2"/>
      <c r="F26" s="10">
        <v>0.1780989982489935</v>
      </c>
      <c r="G26" s="14">
        <f t="shared" si="0"/>
        <v>0.1780989982489935</v>
      </c>
      <c r="H26" s="14">
        <f t="shared" si="1"/>
        <v>0</v>
      </c>
      <c r="I26" s="2"/>
      <c r="J26" s="10">
        <v>0.12964849868732484</v>
      </c>
      <c r="K26" s="14">
        <f t="shared" si="2"/>
        <v>0.12964849868732484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46</v>
      </c>
      <c r="B27" s="4">
        <v>23</v>
      </c>
      <c r="C27" s="4" t="s">
        <v>97</v>
      </c>
      <c r="D27" s="11">
        <v>0.1</v>
      </c>
      <c r="E27" s="2"/>
      <c r="F27" s="10">
        <v>0.018747262973578264</v>
      </c>
      <c r="G27" s="14">
        <f t="shared" si="0"/>
        <v>0.018747262973578264</v>
      </c>
      <c r="H27" s="14">
        <f t="shared" si="1"/>
        <v>0.0018747262973578265</v>
      </c>
      <c r="I27" s="2">
        <v>2</v>
      </c>
      <c r="J27" s="10">
        <v>0.012964849868732488</v>
      </c>
      <c r="K27" s="14">
        <f t="shared" si="2"/>
        <v>0.012964849868732488</v>
      </c>
      <c r="L27" s="14">
        <f t="shared" si="3"/>
        <v>0.0012964849868732488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46</v>
      </c>
      <c r="B28" s="4">
        <v>24</v>
      </c>
      <c r="C28" s="4" t="s">
        <v>98</v>
      </c>
      <c r="D28" s="11">
        <v>0.1</v>
      </c>
      <c r="E28" s="2"/>
      <c r="F28" s="10">
        <v>0.0074989051894313</v>
      </c>
      <c r="G28" s="14">
        <f t="shared" si="0"/>
        <v>0.0074989051894313</v>
      </c>
      <c r="H28" s="14">
        <f t="shared" si="1"/>
        <v>0.00074989051894313</v>
      </c>
      <c r="I28" s="2"/>
      <c r="J28" s="10">
        <v>0.0074084856392757</v>
      </c>
      <c r="K28" s="14">
        <f t="shared" si="2"/>
        <v>0.0074084856392757</v>
      </c>
      <c r="L28" s="14">
        <f t="shared" si="3"/>
        <v>0.0007408485639275701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46</v>
      </c>
      <c r="B29" s="4">
        <v>25</v>
      </c>
      <c r="C29" s="4" t="s">
        <v>99</v>
      </c>
      <c r="D29" s="11">
        <v>0.1</v>
      </c>
      <c r="E29" s="2">
        <v>2</v>
      </c>
      <c r="F29" s="10">
        <v>0.0018747262973578262</v>
      </c>
      <c r="G29" s="14">
        <f t="shared" si="0"/>
        <v>0.0018747262973578262</v>
      </c>
      <c r="H29" s="14">
        <f t="shared" si="1"/>
        <v>0.00018747262973578264</v>
      </c>
      <c r="I29" s="2">
        <v>1</v>
      </c>
      <c r="J29" s="10">
        <v>0.0018521214098189266</v>
      </c>
      <c r="K29" s="14">
        <f t="shared" si="2"/>
        <v>0.0009260607049094633</v>
      </c>
      <c r="L29" s="14">
        <f t="shared" si="3"/>
        <v>9.260607049094633E-05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46</v>
      </c>
      <c r="B30" s="4">
        <v>26</v>
      </c>
      <c r="C30" s="4" t="s">
        <v>100</v>
      </c>
      <c r="D30" s="11">
        <v>0.1</v>
      </c>
      <c r="E30" s="2"/>
      <c r="F30" s="10">
        <v>0.013123084081504786</v>
      </c>
      <c r="G30" s="14">
        <f t="shared" si="0"/>
        <v>0.013123084081504786</v>
      </c>
      <c r="H30" s="14">
        <f t="shared" si="1"/>
        <v>0.0013123084081504786</v>
      </c>
      <c r="I30" s="2">
        <v>2</v>
      </c>
      <c r="J30" s="10">
        <v>0.0074084856392757</v>
      </c>
      <c r="K30" s="14">
        <f t="shared" si="2"/>
        <v>0.0074084856392757</v>
      </c>
      <c r="L30" s="14">
        <f t="shared" si="3"/>
        <v>0.0007408485639275701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46</v>
      </c>
      <c r="B31" s="4">
        <v>27</v>
      </c>
      <c r="C31" s="4" t="s">
        <v>101</v>
      </c>
      <c r="D31" s="11">
        <v>0</v>
      </c>
      <c r="E31" s="2"/>
      <c r="F31" s="10">
        <v>0.02437144186565175</v>
      </c>
      <c r="G31" s="14">
        <f t="shared" si="0"/>
        <v>0.02437144186565175</v>
      </c>
      <c r="H31" s="14">
        <f t="shared" si="1"/>
        <v>0</v>
      </c>
      <c r="I31" s="2"/>
      <c r="J31" s="10">
        <v>-0.00370424281963785</v>
      </c>
      <c r="K31" s="14">
        <f t="shared" si="2"/>
        <v>-0.00370424281963785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46</v>
      </c>
      <c r="B32" s="4">
        <v>28</v>
      </c>
      <c r="C32" s="4" t="s">
        <v>102</v>
      </c>
      <c r="D32" s="11">
        <v>0</v>
      </c>
      <c r="E32" s="2"/>
      <c r="F32" s="10">
        <v>0.065615420407524</v>
      </c>
      <c r="G32" s="14">
        <f t="shared" si="0"/>
        <v>0.065615420407524</v>
      </c>
      <c r="H32" s="14">
        <f t="shared" si="1"/>
        <v>0</v>
      </c>
      <c r="I32" s="2"/>
      <c r="J32" s="10">
        <v>0.025929699737465</v>
      </c>
      <c r="K32" s="14">
        <f t="shared" si="2"/>
        <v>0.025929699737465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46</v>
      </c>
      <c r="B33" s="4">
        <v>29</v>
      </c>
      <c r="C33" s="4" t="s">
        <v>103</v>
      </c>
      <c r="D33" s="11">
        <v>0.01</v>
      </c>
      <c r="E33" s="2"/>
      <c r="F33" s="10">
        <v>0.013123084081504786</v>
      </c>
      <c r="G33" s="14">
        <f t="shared" si="0"/>
        <v>0.013123084081504786</v>
      </c>
      <c r="H33" s="14">
        <f t="shared" si="1"/>
        <v>0.00013123084081504785</v>
      </c>
      <c r="I33" s="2"/>
      <c r="J33" s="10">
        <v>0.011112728458913559</v>
      </c>
      <c r="K33" s="14">
        <f t="shared" si="2"/>
        <v>0.011112728458913559</v>
      </c>
      <c r="L33" s="14">
        <f t="shared" si="3"/>
        <v>0.00011112728458913559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46</v>
      </c>
      <c r="B34" s="4">
        <v>30</v>
      </c>
      <c r="C34" s="4" t="s">
        <v>104</v>
      </c>
      <c r="D34" s="11">
        <v>0.01</v>
      </c>
      <c r="E34" s="2">
        <v>2</v>
      </c>
      <c r="F34" s="10">
        <v>0.0018747262973578262</v>
      </c>
      <c r="G34" s="14">
        <f t="shared" si="0"/>
        <v>0.0018747262973578262</v>
      </c>
      <c r="H34" s="14">
        <f t="shared" si="1"/>
        <v>1.8747262973578262E-05</v>
      </c>
      <c r="I34" s="2">
        <v>1</v>
      </c>
      <c r="J34" s="10">
        <v>0.003704242819637853</v>
      </c>
      <c r="K34" s="14">
        <f t="shared" si="2"/>
        <v>0.0018521214098189266</v>
      </c>
      <c r="L34" s="14">
        <f t="shared" si="3"/>
        <v>1.8521214098189265E-05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46</v>
      </c>
      <c r="B35" s="4">
        <v>31</v>
      </c>
      <c r="C35" s="4" t="s">
        <v>105</v>
      </c>
      <c r="D35" s="11">
        <v>0</v>
      </c>
      <c r="E35" s="2"/>
      <c r="F35" s="10">
        <v>0.0018747262973578226</v>
      </c>
      <c r="G35" s="14">
        <f t="shared" si="0"/>
        <v>0.0018747262973578226</v>
      </c>
      <c r="H35" s="14">
        <f t="shared" si="1"/>
        <v>0</v>
      </c>
      <c r="I35" s="2"/>
      <c r="J35" s="10">
        <v>0</v>
      </c>
      <c r="K35" s="14">
        <f t="shared" si="2"/>
      </c>
      <c r="L35" s="14">
        <f t="shared" si="3"/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46</v>
      </c>
      <c r="B36" s="4">
        <v>32</v>
      </c>
      <c r="C36" s="4" t="s">
        <v>106</v>
      </c>
      <c r="D36" s="11">
        <v>0</v>
      </c>
      <c r="E36" s="2"/>
      <c r="F36" s="10">
        <v>0.016872536676220434</v>
      </c>
      <c r="G36" s="14">
        <f t="shared" si="0"/>
        <v>0.016872536676220434</v>
      </c>
      <c r="H36" s="14">
        <f t="shared" si="1"/>
        <v>0</v>
      </c>
      <c r="I36" s="2"/>
      <c r="J36" s="10">
        <v>0.014816971278551413</v>
      </c>
      <c r="K36" s="14">
        <f t="shared" si="2"/>
        <v>0.014816971278551413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46</v>
      </c>
      <c r="B37" s="4">
        <v>33</v>
      </c>
      <c r="C37" s="4" t="s">
        <v>107</v>
      </c>
      <c r="D37" s="11">
        <v>0.001</v>
      </c>
      <c r="E37" s="2">
        <v>2</v>
      </c>
      <c r="F37" s="10">
        <v>0.0074989051894313</v>
      </c>
      <c r="G37" s="14">
        <f t="shared" si="0"/>
        <v>0.0074989051894313</v>
      </c>
      <c r="H37" s="14">
        <f t="shared" si="1"/>
        <v>7.4989051894313E-06</v>
      </c>
      <c r="I37" s="2">
        <v>2</v>
      </c>
      <c r="J37" s="10">
        <v>0.012964849868732488</v>
      </c>
      <c r="K37" s="14">
        <f t="shared" si="2"/>
        <v>0.012964849868732488</v>
      </c>
      <c r="L37" s="14">
        <f t="shared" si="3"/>
        <v>1.2964849868732487E-05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46</v>
      </c>
      <c r="B38" s="4">
        <v>34</v>
      </c>
      <c r="C38" s="4" t="s">
        <v>108</v>
      </c>
      <c r="D38" s="2"/>
      <c r="E38" s="2"/>
      <c r="F38" s="10">
        <v>3.2207797788607455</v>
      </c>
      <c r="G38" s="10">
        <f>G37+G36+G32+G26+G22+G19+G18+G15+G10+G7</f>
        <v>3.2207797788607455</v>
      </c>
      <c r="H38" s="10"/>
      <c r="I38" s="2"/>
      <c r="J38" s="10">
        <v>3.4449458222632</v>
      </c>
      <c r="K38" s="10">
        <f>K37+K36+K32+K26+K22+K19+K18+K15+K10+K7</f>
        <v>3.4449458222632034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46</v>
      </c>
      <c r="B39" s="4">
        <v>35</v>
      </c>
      <c r="C39" s="4" t="s">
        <v>109</v>
      </c>
      <c r="D39" s="2"/>
      <c r="E39" s="34">
        <f>(F39-H39)*2/F39*100</f>
        <v>5.4321255907439</v>
      </c>
      <c r="F39" s="10">
        <v>0.034511836408060215</v>
      </c>
      <c r="G39" s="10"/>
      <c r="H39" s="10">
        <f>SUM(H5:H37)</f>
        <v>0.03357447325938126</v>
      </c>
      <c r="I39" s="34">
        <f>(J39-L39)*2/J39*100</f>
        <v>6.097560975609544</v>
      </c>
      <c r="J39" s="10">
        <v>0.034019766055554</v>
      </c>
      <c r="K39" s="10"/>
      <c r="L39" s="10">
        <f>SUM(L5:L37)</f>
        <v>0.03298257806605544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8.28125" style="0" customWidth="1"/>
    <col min="5" max="5" width="5.00390625" style="0" customWidth="1"/>
    <col min="6" max="8" width="9.140625" style="40" customWidth="1"/>
    <col min="9" max="9" width="4.140625" style="0" customWidth="1"/>
    <col min="10" max="12" width="9.140625" style="40" customWidth="1"/>
  </cols>
  <sheetData>
    <row r="1" spans="3:12" ht="12.75">
      <c r="C1" s="7" t="s">
        <v>47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47</v>
      </c>
      <c r="B5" s="4">
        <v>1</v>
      </c>
      <c r="C5" s="4" t="s">
        <v>75</v>
      </c>
      <c r="D5" s="11">
        <v>1</v>
      </c>
      <c r="E5" s="2">
        <v>1</v>
      </c>
      <c r="F5" s="10">
        <v>0.0005578848630401316</v>
      </c>
      <c r="G5" s="14">
        <f>IF(F5=0,"",IF(E5=1,F5/2,F5))</f>
        <v>0.0002789424315200658</v>
      </c>
      <c r="H5" s="14">
        <f>IF(G5="","",G5*$D5)</f>
        <v>0.0002789424315200658</v>
      </c>
      <c r="I5" s="2">
        <v>1</v>
      </c>
      <c r="J5" s="10">
        <v>0.0018146086793812645</v>
      </c>
      <c r="K5" s="14">
        <f>IF(J5=0,"",IF(I5=1,J5/2,J5))</f>
        <v>0.0009073043396906322</v>
      </c>
      <c r="L5" s="14">
        <f>IF(K5="","",K5*$D5)</f>
        <v>0.0009073043396906322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47</v>
      </c>
      <c r="B6" s="4">
        <v>2</v>
      </c>
      <c r="C6" s="4" t="s">
        <v>76</v>
      </c>
      <c r="D6" s="11">
        <v>0</v>
      </c>
      <c r="E6" s="2"/>
      <c r="F6" s="10">
        <v>0.17610565509966825</v>
      </c>
      <c r="G6" s="14">
        <f aca="true" t="shared" si="0" ref="G6:G37">IF(F6=0,"",IF(E6=1,F6/2,F6))</f>
        <v>0.17610565509966825</v>
      </c>
      <c r="H6" s="14">
        <f aca="true" t="shared" si="1" ref="H6:H37">IF(G6="","",G6*$D6)</f>
        <v>0</v>
      </c>
      <c r="I6" s="2"/>
      <c r="J6" s="10">
        <v>0.397399300784497</v>
      </c>
      <c r="K6" s="14">
        <f aca="true" t="shared" si="2" ref="K6:K37">IF(J6=0,"",IF(I6=1,J6/2,J6))</f>
        <v>0.397399300784497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47</v>
      </c>
      <c r="B7" s="4">
        <v>3</v>
      </c>
      <c r="C7" s="4" t="s">
        <v>77</v>
      </c>
      <c r="D7" s="11">
        <v>0</v>
      </c>
      <c r="E7" s="2"/>
      <c r="F7" s="10">
        <v>0.17666353996270837</v>
      </c>
      <c r="G7" s="14">
        <f t="shared" si="0"/>
        <v>0.17666353996270837</v>
      </c>
      <c r="H7" s="14">
        <f t="shared" si="1"/>
        <v>0</v>
      </c>
      <c r="I7" s="2"/>
      <c r="J7" s="10">
        <v>0.3992139094638782</v>
      </c>
      <c r="K7" s="14">
        <f t="shared" si="2"/>
        <v>0.3992139094638782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47</v>
      </c>
      <c r="B8" s="4">
        <v>4</v>
      </c>
      <c r="C8" s="4" t="s">
        <v>78</v>
      </c>
      <c r="D8" s="11">
        <v>0.5</v>
      </c>
      <c r="E8" s="2">
        <v>2</v>
      </c>
      <c r="F8" s="10">
        <v>0.007438464840535088</v>
      </c>
      <c r="G8" s="14">
        <f t="shared" si="0"/>
        <v>0.007438464840535088</v>
      </c>
      <c r="H8" s="14">
        <f t="shared" si="1"/>
        <v>0.003719232420267544</v>
      </c>
      <c r="I8" s="2">
        <v>2</v>
      </c>
      <c r="J8" s="10">
        <v>0.014516869435050116</v>
      </c>
      <c r="K8" s="14">
        <f t="shared" si="2"/>
        <v>0.014516869435050116</v>
      </c>
      <c r="L8" s="14">
        <f t="shared" si="3"/>
        <v>0.007258434717525058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47</v>
      </c>
      <c r="B9" s="4">
        <v>5</v>
      </c>
      <c r="C9" s="4" t="s">
        <v>79</v>
      </c>
      <c r="D9" s="11">
        <v>0</v>
      </c>
      <c r="E9" s="2"/>
      <c r="F9" s="10">
        <v>0.03161347557227412</v>
      </c>
      <c r="G9" s="14">
        <f t="shared" si="0"/>
        <v>0.03161347557227412</v>
      </c>
      <c r="H9" s="14">
        <f t="shared" si="1"/>
        <v>0</v>
      </c>
      <c r="I9" s="2"/>
      <c r="J9" s="10">
        <v>0.5843039947607672</v>
      </c>
      <c r="K9" s="14">
        <f t="shared" si="2"/>
        <v>0.5843039947607672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47</v>
      </c>
      <c r="B10" s="4">
        <v>5</v>
      </c>
      <c r="C10" s="4" t="s">
        <v>80</v>
      </c>
      <c r="D10" s="11">
        <v>0</v>
      </c>
      <c r="E10" s="2"/>
      <c r="F10" s="10">
        <v>0.03905194041280921</v>
      </c>
      <c r="G10" s="14">
        <f t="shared" si="0"/>
        <v>0.03905194041280921</v>
      </c>
      <c r="H10" s="14">
        <f t="shared" si="1"/>
        <v>0</v>
      </c>
      <c r="I10" s="2"/>
      <c r="J10" s="10">
        <v>0.5988208641958174</v>
      </c>
      <c r="K10" s="14">
        <f t="shared" si="2"/>
        <v>0.5988208641958174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47</v>
      </c>
      <c r="B11" s="4">
        <v>7</v>
      </c>
      <c r="C11" s="4" t="s">
        <v>81</v>
      </c>
      <c r="D11" s="11">
        <v>0.1</v>
      </c>
      <c r="E11" s="2"/>
      <c r="F11" s="10">
        <v>0.007438464840535088</v>
      </c>
      <c r="G11" s="14">
        <f t="shared" si="0"/>
        <v>0.007438464840535088</v>
      </c>
      <c r="H11" s="14">
        <f t="shared" si="1"/>
        <v>0.0007438464840535089</v>
      </c>
      <c r="I11" s="2"/>
      <c r="J11" s="10">
        <v>0.010887652076287588</v>
      </c>
      <c r="K11" s="14">
        <f t="shared" si="2"/>
        <v>0.010887652076287588</v>
      </c>
      <c r="L11" s="14">
        <f t="shared" si="3"/>
        <v>0.0010887652076287588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47</v>
      </c>
      <c r="B12" s="4">
        <v>8</v>
      </c>
      <c r="C12" s="4" t="s">
        <v>82</v>
      </c>
      <c r="D12" s="11">
        <v>0.1</v>
      </c>
      <c r="E12" s="2"/>
      <c r="F12" s="10">
        <v>0.018596162101337722</v>
      </c>
      <c r="G12" s="14">
        <f t="shared" si="0"/>
        <v>0.018596162101337722</v>
      </c>
      <c r="H12" s="14">
        <f t="shared" si="1"/>
        <v>0.0018596162101337723</v>
      </c>
      <c r="I12" s="2"/>
      <c r="J12" s="10">
        <v>0.027219130190719</v>
      </c>
      <c r="K12" s="14">
        <f t="shared" si="2"/>
        <v>0.027219130190719</v>
      </c>
      <c r="L12" s="14">
        <f t="shared" si="3"/>
        <v>0.0027219130190719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47</v>
      </c>
      <c r="B13" s="4">
        <v>9</v>
      </c>
      <c r="C13" s="4" t="s">
        <v>83</v>
      </c>
      <c r="D13" s="11">
        <v>0.1</v>
      </c>
      <c r="E13" s="2"/>
      <c r="F13" s="10">
        <v>0.016736545891204</v>
      </c>
      <c r="G13" s="14">
        <f t="shared" si="0"/>
        <v>0.016736545891204</v>
      </c>
      <c r="H13" s="14">
        <f t="shared" si="1"/>
        <v>0.0016736545891204001</v>
      </c>
      <c r="I13" s="2"/>
      <c r="J13" s="10">
        <v>0.021775304152575177</v>
      </c>
      <c r="K13" s="14">
        <f t="shared" si="2"/>
        <v>0.021775304152575177</v>
      </c>
      <c r="L13" s="14">
        <f t="shared" si="3"/>
        <v>0.0021775304152575176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47</v>
      </c>
      <c r="B14" s="4">
        <v>10</v>
      </c>
      <c r="C14" s="4" t="s">
        <v>84</v>
      </c>
      <c r="D14" s="11">
        <v>0</v>
      </c>
      <c r="E14" s="2"/>
      <c r="F14" s="10">
        <v>0.8498446080311337</v>
      </c>
      <c r="G14" s="14">
        <f t="shared" si="0"/>
        <v>0.8498446080311337</v>
      </c>
      <c r="H14" s="14">
        <f t="shared" si="1"/>
        <v>0</v>
      </c>
      <c r="I14" s="2"/>
      <c r="J14" s="10">
        <v>1.627703985405</v>
      </c>
      <c r="K14" s="14">
        <f t="shared" si="2"/>
        <v>1.627703985405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47</v>
      </c>
      <c r="B15" s="4">
        <v>11</v>
      </c>
      <c r="C15" s="4" t="s">
        <v>85</v>
      </c>
      <c r="D15" s="11">
        <v>0</v>
      </c>
      <c r="E15" s="2"/>
      <c r="F15" s="10">
        <v>0.89261578086421</v>
      </c>
      <c r="G15" s="14">
        <f t="shared" si="0"/>
        <v>0.89261578086421</v>
      </c>
      <c r="H15" s="14">
        <f t="shared" si="1"/>
        <v>0</v>
      </c>
      <c r="I15" s="2"/>
      <c r="J15" s="10">
        <v>1.6875860718245763</v>
      </c>
      <c r="K15" s="14">
        <f t="shared" si="2"/>
        <v>1.6875860718245763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47</v>
      </c>
      <c r="B16" s="4">
        <v>12</v>
      </c>
      <c r="C16" s="4" t="s">
        <v>86</v>
      </c>
      <c r="D16" s="11">
        <v>0.01</v>
      </c>
      <c r="E16" s="2"/>
      <c r="F16" s="10">
        <v>0.18038277238297587</v>
      </c>
      <c r="G16" s="14">
        <f t="shared" si="0"/>
        <v>0.18038277238297587</v>
      </c>
      <c r="H16" s="14">
        <f t="shared" si="1"/>
        <v>0.0018038277238297588</v>
      </c>
      <c r="I16" s="2"/>
      <c r="J16" s="10">
        <v>0.27219130190719</v>
      </c>
      <c r="K16" s="14">
        <f t="shared" si="2"/>
        <v>0.27219130190719</v>
      </c>
      <c r="L16" s="14">
        <f t="shared" si="3"/>
        <v>0.0027219130190718997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47</v>
      </c>
      <c r="B17" s="4">
        <v>13</v>
      </c>
      <c r="C17" s="4" t="s">
        <v>87</v>
      </c>
      <c r="D17" s="11">
        <v>0</v>
      </c>
      <c r="E17" s="2"/>
      <c r="F17" s="10">
        <v>0.24732895594779172</v>
      </c>
      <c r="G17" s="14">
        <f t="shared" si="0"/>
        <v>0.24732895594779172</v>
      </c>
      <c r="H17" s="14">
        <f t="shared" si="1"/>
        <v>0</v>
      </c>
      <c r="I17" s="2"/>
      <c r="J17" s="10">
        <v>0.362921735876253</v>
      </c>
      <c r="K17" s="14">
        <f t="shared" si="2"/>
        <v>0.362921735876253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47</v>
      </c>
      <c r="B18" s="4">
        <v>14</v>
      </c>
      <c r="C18" s="4" t="s">
        <v>88</v>
      </c>
      <c r="D18" s="11">
        <v>0</v>
      </c>
      <c r="E18" s="2"/>
      <c r="F18" s="10">
        <v>0.4277117283307676</v>
      </c>
      <c r="G18" s="14">
        <f t="shared" si="0"/>
        <v>0.4277117283307676</v>
      </c>
      <c r="H18" s="14">
        <f t="shared" si="1"/>
        <v>0</v>
      </c>
      <c r="I18" s="2"/>
      <c r="J18" s="10">
        <v>0.6351130377834426</v>
      </c>
      <c r="K18" s="14">
        <f t="shared" si="2"/>
        <v>0.6351130377834426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47</v>
      </c>
      <c r="B19" s="4">
        <v>15</v>
      </c>
      <c r="C19" s="4" t="s">
        <v>89</v>
      </c>
      <c r="D19" s="11">
        <v>0.001</v>
      </c>
      <c r="E19" s="2"/>
      <c r="F19" s="10">
        <v>0.09112119429655481</v>
      </c>
      <c r="G19" s="14">
        <f t="shared" si="0"/>
        <v>0.09112119429655481</v>
      </c>
      <c r="H19" s="14">
        <f t="shared" si="1"/>
        <v>9.112119429655481E-05</v>
      </c>
      <c r="I19" s="2"/>
      <c r="J19" s="10">
        <v>0.0979888686865883</v>
      </c>
      <c r="K19" s="14">
        <f t="shared" si="2"/>
        <v>0.0979888686865883</v>
      </c>
      <c r="L19" s="14">
        <f t="shared" si="3"/>
        <v>9.79888686865883E-05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47</v>
      </c>
      <c r="B20" s="4">
        <v>16</v>
      </c>
      <c r="C20" s="4" t="s">
        <v>90</v>
      </c>
      <c r="D20" s="11">
        <v>0.1</v>
      </c>
      <c r="E20" s="2"/>
      <c r="F20" s="10">
        <v>0.08740196187628728</v>
      </c>
      <c r="G20" s="14">
        <f t="shared" si="0"/>
        <v>0.08740196187628728</v>
      </c>
      <c r="H20" s="14">
        <f t="shared" si="1"/>
        <v>0.008740196187628729</v>
      </c>
      <c r="I20" s="2"/>
      <c r="J20" s="10">
        <v>0.1125057381216384</v>
      </c>
      <c r="K20" s="14">
        <f t="shared" si="2"/>
        <v>0.1125057381216384</v>
      </c>
      <c r="L20" s="14">
        <f t="shared" si="3"/>
        <v>0.011250573812163841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47</v>
      </c>
      <c r="B21" s="4">
        <v>17</v>
      </c>
      <c r="C21" s="4" t="s">
        <v>91</v>
      </c>
      <c r="D21" s="11">
        <v>0</v>
      </c>
      <c r="E21" s="2"/>
      <c r="F21" s="10">
        <v>0.489079063265182</v>
      </c>
      <c r="G21" s="14">
        <f t="shared" si="0"/>
        <v>0.489079063265182</v>
      </c>
      <c r="H21" s="14">
        <f t="shared" si="1"/>
        <v>0</v>
      </c>
      <c r="I21" s="2"/>
      <c r="J21" s="10">
        <v>0.6496299072184928</v>
      </c>
      <c r="K21" s="14">
        <f t="shared" si="2"/>
        <v>0.6496299072184928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47</v>
      </c>
      <c r="B22" s="4">
        <v>18</v>
      </c>
      <c r="C22" s="4" t="s">
        <v>92</v>
      </c>
      <c r="D22" s="11">
        <v>0</v>
      </c>
      <c r="E22" s="2"/>
      <c r="F22" s="10">
        <v>0.57648102514147</v>
      </c>
      <c r="G22" s="14">
        <f t="shared" si="0"/>
        <v>0.57648102514147</v>
      </c>
      <c r="H22" s="14">
        <f t="shared" si="1"/>
        <v>0</v>
      </c>
      <c r="I22" s="2"/>
      <c r="J22" s="10">
        <v>0.7621356453401312</v>
      </c>
      <c r="K22" s="14">
        <f t="shared" si="2"/>
        <v>0.7621356453401312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47</v>
      </c>
      <c r="B23" s="4">
        <v>19</v>
      </c>
      <c r="C23" s="4" t="s">
        <v>93</v>
      </c>
      <c r="D23" s="11">
        <v>0.05</v>
      </c>
      <c r="E23" s="2">
        <v>2</v>
      </c>
      <c r="F23" s="10">
        <v>0.005578848630401316</v>
      </c>
      <c r="G23" s="14">
        <f t="shared" si="0"/>
        <v>0.005578848630401316</v>
      </c>
      <c r="H23" s="14">
        <f t="shared" si="1"/>
        <v>0.00027894243152006584</v>
      </c>
      <c r="I23" s="2">
        <v>2</v>
      </c>
      <c r="J23" s="10">
        <v>0.009073043396906325</v>
      </c>
      <c r="K23" s="14">
        <f t="shared" si="2"/>
        <v>0.009073043396906325</v>
      </c>
      <c r="L23" s="14">
        <f t="shared" si="3"/>
        <v>0.0004536521698453163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47</v>
      </c>
      <c r="B24" s="4">
        <v>20</v>
      </c>
      <c r="C24" s="4" t="s">
        <v>94</v>
      </c>
      <c r="D24" s="11">
        <v>0.5</v>
      </c>
      <c r="E24" s="2">
        <v>2</v>
      </c>
      <c r="F24" s="10">
        <v>0.014876929681070176</v>
      </c>
      <c r="G24" s="14">
        <f t="shared" si="0"/>
        <v>0.014876929681070176</v>
      </c>
      <c r="H24" s="14">
        <f t="shared" si="1"/>
        <v>0.007438464840535088</v>
      </c>
      <c r="I24" s="2"/>
      <c r="J24" s="10">
        <v>0.021775304152575177</v>
      </c>
      <c r="K24" s="14">
        <f t="shared" si="2"/>
        <v>0.021775304152575177</v>
      </c>
      <c r="L24" s="14">
        <f t="shared" si="3"/>
        <v>0.010887652076287588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47</v>
      </c>
      <c r="B25" s="4">
        <v>21</v>
      </c>
      <c r="C25" s="4" t="s">
        <v>95</v>
      </c>
      <c r="D25" s="11">
        <v>0</v>
      </c>
      <c r="E25" s="2"/>
      <c r="F25" s="10">
        <v>0.07252503219521714</v>
      </c>
      <c r="G25" s="14">
        <f t="shared" si="0"/>
        <v>0.07252503219521714</v>
      </c>
      <c r="H25" s="14">
        <f t="shared" si="1"/>
        <v>0</v>
      </c>
      <c r="I25" s="2"/>
      <c r="J25" s="10">
        <v>0.150612520388645</v>
      </c>
      <c r="K25" s="14">
        <f t="shared" si="2"/>
        <v>0.150612520388645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47</v>
      </c>
      <c r="B26" s="4">
        <v>22</v>
      </c>
      <c r="C26" s="4" t="s">
        <v>96</v>
      </c>
      <c r="D26" s="11">
        <v>0</v>
      </c>
      <c r="E26" s="2"/>
      <c r="F26" s="10">
        <v>0.09298081050668862</v>
      </c>
      <c r="G26" s="14">
        <f t="shared" si="0"/>
        <v>0.09298081050668862</v>
      </c>
      <c r="H26" s="14">
        <f t="shared" si="1"/>
        <v>0</v>
      </c>
      <c r="I26" s="2"/>
      <c r="J26" s="10">
        <v>0.1814608679381265</v>
      </c>
      <c r="K26" s="14">
        <f t="shared" si="2"/>
        <v>0.1814608679381265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47</v>
      </c>
      <c r="B27" s="4">
        <v>23</v>
      </c>
      <c r="C27" s="4" t="s">
        <v>97</v>
      </c>
      <c r="D27" s="11">
        <v>0.1</v>
      </c>
      <c r="E27" s="2"/>
      <c r="F27" s="10">
        <v>0.014876929681070176</v>
      </c>
      <c r="G27" s="14">
        <f t="shared" si="0"/>
        <v>0.014876929681070176</v>
      </c>
      <c r="H27" s="14">
        <f t="shared" si="1"/>
        <v>0.0014876929681070178</v>
      </c>
      <c r="I27" s="2"/>
      <c r="J27" s="10">
        <v>0.01633147811443138</v>
      </c>
      <c r="K27" s="14">
        <f t="shared" si="2"/>
        <v>0.01633147811443138</v>
      </c>
      <c r="L27" s="14">
        <f t="shared" si="3"/>
        <v>0.001633147811443138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47</v>
      </c>
      <c r="B28" s="4">
        <v>24</v>
      </c>
      <c r="C28" s="4" t="s">
        <v>98</v>
      </c>
      <c r="D28" s="11">
        <v>0.1</v>
      </c>
      <c r="E28" s="2"/>
      <c r="F28" s="10">
        <v>0.005578848630401316</v>
      </c>
      <c r="G28" s="14">
        <f t="shared" si="0"/>
        <v>0.005578848630401316</v>
      </c>
      <c r="H28" s="14">
        <f t="shared" si="1"/>
        <v>0.0005578848630401317</v>
      </c>
      <c r="I28" s="2"/>
      <c r="J28" s="10">
        <v>0.007258434717525058</v>
      </c>
      <c r="K28" s="14">
        <f t="shared" si="2"/>
        <v>0.007258434717525058</v>
      </c>
      <c r="L28" s="14">
        <f t="shared" si="3"/>
        <v>0.0007258434717525059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47</v>
      </c>
      <c r="B29" s="4">
        <v>25</v>
      </c>
      <c r="C29" s="4" t="s">
        <v>99</v>
      </c>
      <c r="D29" s="11">
        <v>0.1</v>
      </c>
      <c r="E29" s="2">
        <v>2</v>
      </c>
      <c r="F29" s="10">
        <v>0.0007438464840535088</v>
      </c>
      <c r="G29" s="14">
        <f t="shared" si="0"/>
        <v>0.0007438464840535088</v>
      </c>
      <c r="H29" s="14">
        <f t="shared" si="1"/>
        <v>7.438464840535088E-05</v>
      </c>
      <c r="I29" s="2">
        <v>1</v>
      </c>
      <c r="J29" s="10">
        <v>0.0018146086793812645</v>
      </c>
      <c r="K29" s="14">
        <f t="shared" si="2"/>
        <v>0.0009073043396906322</v>
      </c>
      <c r="L29" s="14">
        <f t="shared" si="3"/>
        <v>9.073043396906323E-05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47</v>
      </c>
      <c r="B30" s="4">
        <v>26</v>
      </c>
      <c r="C30" s="4" t="s">
        <v>100</v>
      </c>
      <c r="D30" s="11">
        <v>0.1</v>
      </c>
      <c r="E30" s="2"/>
      <c r="F30" s="10">
        <v>0.013017313470936405</v>
      </c>
      <c r="G30" s="14">
        <f t="shared" si="0"/>
        <v>0.013017313470936405</v>
      </c>
      <c r="H30" s="14">
        <f t="shared" si="1"/>
        <v>0.0013017313470936407</v>
      </c>
      <c r="I30" s="2">
        <v>2</v>
      </c>
      <c r="J30" s="10">
        <v>0.010887652076287588</v>
      </c>
      <c r="K30" s="14">
        <f t="shared" si="2"/>
        <v>0.010887652076287588</v>
      </c>
      <c r="L30" s="14">
        <f t="shared" si="3"/>
        <v>0.0010887652076287588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47</v>
      </c>
      <c r="B31" s="4">
        <v>27</v>
      </c>
      <c r="C31" s="4" t="s">
        <v>101</v>
      </c>
      <c r="D31" s="11">
        <v>0</v>
      </c>
      <c r="E31" s="2"/>
      <c r="F31" s="10">
        <v>0.0048350021463478</v>
      </c>
      <c r="G31" s="14">
        <f t="shared" si="0"/>
        <v>0.0048350021463478</v>
      </c>
      <c r="H31" s="14">
        <f t="shared" si="1"/>
        <v>0</v>
      </c>
      <c r="I31" s="2"/>
      <c r="J31" s="10">
        <v>-0.007258434717525061</v>
      </c>
      <c r="K31" s="14">
        <f t="shared" si="2"/>
        <v>-0.007258434717525061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47</v>
      </c>
      <c r="B32" s="4">
        <v>28</v>
      </c>
      <c r="C32" s="4" t="s">
        <v>102</v>
      </c>
      <c r="D32" s="11">
        <v>0</v>
      </c>
      <c r="E32" s="2"/>
      <c r="F32" s="10">
        <v>0.03905194041280921</v>
      </c>
      <c r="G32" s="14">
        <f t="shared" si="0"/>
        <v>0.03905194041280921</v>
      </c>
      <c r="H32" s="14">
        <f t="shared" si="1"/>
        <v>0</v>
      </c>
      <c r="I32" s="2"/>
      <c r="J32" s="10">
        <v>0.02903373887010023</v>
      </c>
      <c r="K32" s="14">
        <f t="shared" si="2"/>
        <v>0.02903373887010023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47</v>
      </c>
      <c r="B33" s="4">
        <v>29</v>
      </c>
      <c r="C33" s="4" t="s">
        <v>103</v>
      </c>
      <c r="D33" s="11">
        <v>0.01</v>
      </c>
      <c r="E33" s="2"/>
      <c r="F33" s="10">
        <v>0.009298081050668861</v>
      </c>
      <c r="G33" s="14">
        <f t="shared" si="0"/>
        <v>0.009298081050668861</v>
      </c>
      <c r="H33" s="14">
        <f t="shared" si="1"/>
        <v>9.298081050668861E-05</v>
      </c>
      <c r="I33" s="2"/>
      <c r="J33" s="10">
        <v>0.010887652076287588</v>
      </c>
      <c r="K33" s="14">
        <f t="shared" si="2"/>
        <v>0.010887652076287588</v>
      </c>
      <c r="L33" s="14">
        <f t="shared" si="3"/>
        <v>0.00010887652076287589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47</v>
      </c>
      <c r="B34" s="4">
        <v>30</v>
      </c>
      <c r="C34" s="4" t="s">
        <v>104</v>
      </c>
      <c r="D34" s="11">
        <v>0.01</v>
      </c>
      <c r="E34" s="2">
        <v>1</v>
      </c>
      <c r="F34" s="10">
        <v>0.001859616210133772</v>
      </c>
      <c r="G34" s="14">
        <f t="shared" si="0"/>
        <v>0.000929808105066886</v>
      </c>
      <c r="H34" s="14">
        <f t="shared" si="1"/>
        <v>9.29808105066886E-06</v>
      </c>
      <c r="I34" s="2"/>
      <c r="J34" s="10">
        <v>0.0018146086793812645</v>
      </c>
      <c r="K34" s="14">
        <f t="shared" si="2"/>
        <v>0.0018146086793812645</v>
      </c>
      <c r="L34" s="14">
        <f t="shared" si="3"/>
        <v>1.8146086793812645E-05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47</v>
      </c>
      <c r="B35" s="4">
        <v>31</v>
      </c>
      <c r="C35" s="4" t="s">
        <v>105</v>
      </c>
      <c r="D35" s="11">
        <v>0</v>
      </c>
      <c r="E35" s="2"/>
      <c r="F35" s="10">
        <v>0.005578848630401312</v>
      </c>
      <c r="G35" s="14">
        <f t="shared" si="0"/>
        <v>0.005578848630401312</v>
      </c>
      <c r="H35" s="14">
        <f t="shared" si="1"/>
        <v>0</v>
      </c>
      <c r="I35" s="2"/>
      <c r="J35" s="10">
        <v>0.007258434717525054</v>
      </c>
      <c r="K35" s="14">
        <f t="shared" si="2"/>
        <v>0.007258434717525054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47</v>
      </c>
      <c r="B36" s="4">
        <v>32</v>
      </c>
      <c r="C36" s="4" t="s">
        <v>106</v>
      </c>
      <c r="D36" s="11">
        <v>0</v>
      </c>
      <c r="E36" s="2"/>
      <c r="F36" s="10">
        <v>0.016736545891204</v>
      </c>
      <c r="G36" s="14">
        <f t="shared" si="0"/>
        <v>0.016736545891204</v>
      </c>
      <c r="H36" s="14">
        <f t="shared" si="1"/>
        <v>0</v>
      </c>
      <c r="I36" s="2"/>
      <c r="J36" s="10">
        <v>0.019960695473194</v>
      </c>
      <c r="K36" s="14">
        <f t="shared" si="2"/>
        <v>0.019960695473194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47</v>
      </c>
      <c r="B37" s="4">
        <v>33</v>
      </c>
      <c r="C37" s="4" t="s">
        <v>107</v>
      </c>
      <c r="D37" s="11">
        <v>0.001</v>
      </c>
      <c r="E37" s="2">
        <v>2</v>
      </c>
      <c r="F37" s="10">
        <v>0.003719232420267544</v>
      </c>
      <c r="G37" s="14">
        <f t="shared" si="0"/>
        <v>0.003719232420267544</v>
      </c>
      <c r="H37" s="14">
        <f t="shared" si="1"/>
        <v>3.719232420267544E-06</v>
      </c>
      <c r="I37" s="2">
        <v>2</v>
      </c>
      <c r="J37" s="10">
        <v>0.009073043396906325</v>
      </c>
      <c r="K37" s="14">
        <f t="shared" si="2"/>
        <v>0.009073043396906325</v>
      </c>
      <c r="L37" s="14">
        <f t="shared" si="3"/>
        <v>9.073043396906326E-06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47</v>
      </c>
      <c r="B38" s="4">
        <v>34</v>
      </c>
      <c r="C38" s="4" t="s">
        <v>108</v>
      </c>
      <c r="D38" s="2"/>
      <c r="E38" s="2"/>
      <c r="F38" s="10">
        <v>2.35613373823949</v>
      </c>
      <c r="G38" s="10">
        <f>G37+G36+G32+G26+G22+G19+G18+G15+G10+G7</f>
        <v>2.3561337382394894</v>
      </c>
      <c r="H38" s="10"/>
      <c r="I38" s="2"/>
      <c r="J38" s="10">
        <v>4.420386742972761</v>
      </c>
      <c r="K38" s="10">
        <f>K37+K36+K32+K26+K22+K19+K18+K15+K10+K7</f>
        <v>4.42038674297276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47</v>
      </c>
      <c r="B39" s="4">
        <v>35</v>
      </c>
      <c r="C39" s="4" t="s">
        <v>109</v>
      </c>
      <c r="D39" s="2"/>
      <c r="E39" s="34">
        <f>(F39-H39)*2/F39*100</f>
        <v>1.8935923278969795</v>
      </c>
      <c r="F39" s="10">
        <v>0.0304437769761</v>
      </c>
      <c r="G39" s="10"/>
      <c r="H39" s="10">
        <f>SUM(H5:H37)</f>
        <v>0.030155536463529253</v>
      </c>
      <c r="I39" s="34">
        <f>(J39-L39)*2/J39*100</f>
        <v>4.512080068911758</v>
      </c>
      <c r="J39" s="10">
        <v>0.044238344994635866</v>
      </c>
      <c r="K39" s="10"/>
      <c r="L39" s="10">
        <f>SUM(L5:L37)</f>
        <v>0.04324031022097617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7.28125" style="0" customWidth="1"/>
    <col min="5" max="5" width="4.8515625" style="0" customWidth="1"/>
    <col min="6" max="8" width="9.140625" style="40" customWidth="1"/>
    <col min="9" max="9" width="4.28125" style="0" customWidth="1"/>
    <col min="10" max="12" width="9.140625" style="40" customWidth="1"/>
  </cols>
  <sheetData>
    <row r="1" spans="3:12" ht="12.75">
      <c r="C1" s="7" t="s">
        <v>48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48</v>
      </c>
      <c r="B5" s="4">
        <v>1</v>
      </c>
      <c r="C5" s="4" t="s">
        <v>75</v>
      </c>
      <c r="D5" s="11">
        <v>1</v>
      </c>
      <c r="E5" s="2"/>
      <c r="F5" s="10">
        <v>0.004904438329124352</v>
      </c>
      <c r="G5" s="14">
        <f>IF(F5=0,"",IF(E5=1,F5/2,F5))</f>
        <v>0.004904438329124352</v>
      </c>
      <c r="H5" s="14">
        <f>IF(G5="","",G5*$D5)</f>
        <v>0.004904438329124352</v>
      </c>
      <c r="I5" s="2"/>
      <c r="J5" s="10">
        <v>0.0023105057978641238</v>
      </c>
      <c r="K5" s="14">
        <f>IF(J5=0,"",IF(I5=1,J5/2,J5))</f>
        <v>0.0023105057978641238</v>
      </c>
      <c r="L5" s="14">
        <f>IF(K5="","",K5*$D5)</f>
        <v>0.0023105057978641238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48</v>
      </c>
      <c r="B6" s="4">
        <v>2</v>
      </c>
      <c r="C6" s="4" t="s">
        <v>76</v>
      </c>
      <c r="D6" s="11">
        <v>0</v>
      </c>
      <c r="E6" s="2"/>
      <c r="F6" s="10">
        <v>0.43649501129206736</v>
      </c>
      <c r="G6" s="14">
        <f aca="true" t="shared" si="0" ref="G6:G37">IF(F6=0,"",IF(E6=1,F6/2,F6))</f>
        <v>0.43649501129206736</v>
      </c>
      <c r="H6" s="14">
        <f aca="true" t="shared" si="1" ref="H6:H37">IF(G6="","",G6*$D6)</f>
        <v>0</v>
      </c>
      <c r="I6" s="2"/>
      <c r="J6" s="10">
        <v>0.40844608048909126</v>
      </c>
      <c r="K6" s="14">
        <f aca="true" t="shared" si="2" ref="K6:K37">IF(J6=0,"",IF(I6=1,J6/2,J6))</f>
        <v>0.40844608048909126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48</v>
      </c>
      <c r="B7" s="4">
        <v>3</v>
      </c>
      <c r="C7" s="4" t="s">
        <v>77</v>
      </c>
      <c r="D7" s="11">
        <v>0</v>
      </c>
      <c r="E7" s="2"/>
      <c r="F7" s="10">
        <v>0.4413994496211917</v>
      </c>
      <c r="G7" s="14">
        <f t="shared" si="0"/>
        <v>0.4413994496211917</v>
      </c>
      <c r="H7" s="14">
        <f t="shared" si="1"/>
        <v>0</v>
      </c>
      <c r="I7" s="2"/>
      <c r="J7" s="10">
        <v>0.4107565862869554</v>
      </c>
      <c r="K7" s="14">
        <f t="shared" si="2"/>
        <v>0.4107565862869554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48</v>
      </c>
      <c r="B8" s="4">
        <v>4</v>
      </c>
      <c r="C8" s="4" t="s">
        <v>78</v>
      </c>
      <c r="D8" s="11">
        <v>0.5</v>
      </c>
      <c r="E8" s="2"/>
      <c r="F8" s="10">
        <v>0.0098088766582487</v>
      </c>
      <c r="G8" s="14">
        <f t="shared" si="0"/>
        <v>0.0098088766582487</v>
      </c>
      <c r="H8" s="14">
        <f t="shared" si="1"/>
        <v>0.00490443832912435</v>
      </c>
      <c r="I8" s="2"/>
      <c r="J8" s="10">
        <v>0.010268914657173885</v>
      </c>
      <c r="K8" s="14">
        <f t="shared" si="2"/>
        <v>0.010268914657173885</v>
      </c>
      <c r="L8" s="14">
        <f t="shared" si="3"/>
        <v>0.005134457328586943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48</v>
      </c>
      <c r="B9" s="4">
        <v>5</v>
      </c>
      <c r="C9" s="4" t="s">
        <v>79</v>
      </c>
      <c r="D9" s="11">
        <v>0</v>
      </c>
      <c r="E9" s="2"/>
      <c r="F9" s="10">
        <v>0.4561127646085648</v>
      </c>
      <c r="G9" s="14">
        <f t="shared" si="0"/>
        <v>0.4561127646085648</v>
      </c>
      <c r="H9" s="14">
        <f t="shared" si="1"/>
        <v>0</v>
      </c>
      <c r="I9" s="2"/>
      <c r="J9" s="10">
        <v>0.37481538498684674</v>
      </c>
      <c r="K9" s="14">
        <f t="shared" si="2"/>
        <v>0.37481538498684674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48</v>
      </c>
      <c r="B10" s="4">
        <v>5</v>
      </c>
      <c r="C10" s="4" t="s">
        <v>80</v>
      </c>
      <c r="D10" s="11">
        <v>0</v>
      </c>
      <c r="E10" s="2"/>
      <c r="F10" s="10">
        <v>0.4659216412668135</v>
      </c>
      <c r="G10" s="14">
        <f t="shared" si="0"/>
        <v>0.4659216412668135</v>
      </c>
      <c r="H10" s="14">
        <f t="shared" si="1"/>
        <v>0</v>
      </c>
      <c r="I10" s="2"/>
      <c r="J10" s="10">
        <v>0.38508429964402</v>
      </c>
      <c r="K10" s="14">
        <f t="shared" si="2"/>
        <v>0.38508429964402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48</v>
      </c>
      <c r="B11" s="4">
        <v>7</v>
      </c>
      <c r="C11" s="4" t="s">
        <v>81</v>
      </c>
      <c r="D11" s="11">
        <v>0.1</v>
      </c>
      <c r="E11" s="2"/>
      <c r="F11" s="10">
        <v>0.02452219164562176</v>
      </c>
      <c r="G11" s="14">
        <f t="shared" si="0"/>
        <v>0.02452219164562176</v>
      </c>
      <c r="H11" s="14">
        <f t="shared" si="1"/>
        <v>0.0024522191645621762</v>
      </c>
      <c r="I11" s="2"/>
      <c r="J11" s="10">
        <v>0.0179706006500543</v>
      </c>
      <c r="K11" s="14">
        <f t="shared" si="2"/>
        <v>0.0179706006500543</v>
      </c>
      <c r="L11" s="14">
        <f t="shared" si="3"/>
        <v>0.00179706006500543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48</v>
      </c>
      <c r="B12" s="4">
        <v>8</v>
      </c>
      <c r="C12" s="4" t="s">
        <v>82</v>
      </c>
      <c r="D12" s="11">
        <v>0.1</v>
      </c>
      <c r="E12" s="2"/>
      <c r="F12" s="10">
        <v>0.046592164126681344</v>
      </c>
      <c r="G12" s="14">
        <f t="shared" si="0"/>
        <v>0.046592164126681344</v>
      </c>
      <c r="H12" s="14">
        <f t="shared" si="1"/>
        <v>0.004659216412668135</v>
      </c>
      <c r="I12" s="2"/>
      <c r="J12" s="10">
        <v>0.038508429964402</v>
      </c>
      <c r="K12" s="14">
        <f t="shared" si="2"/>
        <v>0.038508429964402</v>
      </c>
      <c r="L12" s="14">
        <f t="shared" si="3"/>
        <v>0.0038508429964402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48</v>
      </c>
      <c r="B13" s="4">
        <v>9</v>
      </c>
      <c r="C13" s="4" t="s">
        <v>83</v>
      </c>
      <c r="D13" s="11">
        <v>0.1</v>
      </c>
      <c r="E13" s="2"/>
      <c r="F13" s="10">
        <v>0.05394882162036787</v>
      </c>
      <c r="G13" s="14">
        <f t="shared" si="0"/>
        <v>0.05394882162036787</v>
      </c>
      <c r="H13" s="14">
        <f t="shared" si="1"/>
        <v>0.005394882162036787</v>
      </c>
      <c r="I13" s="2"/>
      <c r="J13" s="10">
        <v>0.04107565862869554</v>
      </c>
      <c r="K13" s="14">
        <f t="shared" si="2"/>
        <v>0.04107565862869554</v>
      </c>
      <c r="L13" s="14">
        <f t="shared" si="3"/>
        <v>0.004107565862869554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48</v>
      </c>
      <c r="B14" s="4">
        <v>10</v>
      </c>
      <c r="C14" s="4" t="s">
        <v>84</v>
      </c>
      <c r="D14" s="11">
        <v>0</v>
      </c>
      <c r="E14" s="2"/>
      <c r="F14" s="10">
        <v>1.7631455793202</v>
      </c>
      <c r="G14" s="14">
        <f t="shared" si="0"/>
        <v>1.7631455793202</v>
      </c>
      <c r="H14" s="14">
        <f t="shared" si="1"/>
        <v>0</v>
      </c>
      <c r="I14" s="2"/>
      <c r="J14" s="10">
        <v>1.3657656494041264</v>
      </c>
      <c r="K14" s="14">
        <f t="shared" si="2"/>
        <v>1.3657656494041264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48</v>
      </c>
      <c r="B15" s="4">
        <v>11</v>
      </c>
      <c r="C15" s="4" t="s">
        <v>85</v>
      </c>
      <c r="D15" s="11">
        <v>0</v>
      </c>
      <c r="E15" s="2"/>
      <c r="F15" s="10">
        <v>1.8882087567128758</v>
      </c>
      <c r="G15" s="14">
        <f t="shared" si="0"/>
        <v>1.8882087567128758</v>
      </c>
      <c r="H15" s="14">
        <f t="shared" si="1"/>
        <v>0</v>
      </c>
      <c r="I15" s="2"/>
      <c r="J15" s="10">
        <v>1.4633203386472784</v>
      </c>
      <c r="K15" s="14">
        <f t="shared" si="2"/>
        <v>1.4633203386472784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48</v>
      </c>
      <c r="B16" s="4">
        <v>12</v>
      </c>
      <c r="C16" s="4" t="s">
        <v>86</v>
      </c>
      <c r="D16" s="11">
        <v>0.01</v>
      </c>
      <c r="E16" s="2"/>
      <c r="F16" s="10">
        <v>0.36783287468432646</v>
      </c>
      <c r="G16" s="14">
        <f t="shared" si="0"/>
        <v>0.36783287468432646</v>
      </c>
      <c r="H16" s="14">
        <f t="shared" si="1"/>
        <v>0.0036783287468432646</v>
      </c>
      <c r="I16" s="2"/>
      <c r="J16" s="10">
        <v>0.30806743971521655</v>
      </c>
      <c r="K16" s="14">
        <f t="shared" si="2"/>
        <v>0.30806743971521655</v>
      </c>
      <c r="L16" s="14">
        <f t="shared" si="3"/>
        <v>0.0030806743971521656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48</v>
      </c>
      <c r="B17" s="4">
        <v>13</v>
      </c>
      <c r="C17" s="4" t="s">
        <v>87</v>
      </c>
      <c r="D17" s="11">
        <v>0</v>
      </c>
      <c r="E17" s="2"/>
      <c r="F17" s="10">
        <v>0.46592164126681346</v>
      </c>
      <c r="G17" s="14">
        <f t="shared" si="0"/>
        <v>0.46592164126681346</v>
      </c>
      <c r="H17" s="14">
        <f t="shared" si="1"/>
        <v>0</v>
      </c>
      <c r="I17" s="2"/>
      <c r="J17" s="10">
        <v>0.4107565862869553</v>
      </c>
      <c r="K17" s="14">
        <f t="shared" si="2"/>
        <v>0.4107565862869553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48</v>
      </c>
      <c r="B18" s="4">
        <v>14</v>
      </c>
      <c r="C18" s="4" t="s">
        <v>88</v>
      </c>
      <c r="D18" s="11">
        <v>0</v>
      </c>
      <c r="E18" s="2"/>
      <c r="F18" s="10">
        <v>0.83375451595114</v>
      </c>
      <c r="G18" s="14">
        <f t="shared" si="0"/>
        <v>0.83375451595114</v>
      </c>
      <c r="H18" s="14">
        <f t="shared" si="1"/>
        <v>0</v>
      </c>
      <c r="I18" s="2"/>
      <c r="J18" s="10">
        <v>0.7188240260021719</v>
      </c>
      <c r="K18" s="14">
        <f t="shared" si="2"/>
        <v>0.7188240260021719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48</v>
      </c>
      <c r="B19" s="4">
        <v>15</v>
      </c>
      <c r="C19" s="4" t="s">
        <v>89</v>
      </c>
      <c r="D19" s="11">
        <v>0.001</v>
      </c>
      <c r="E19" s="2"/>
      <c r="F19" s="10">
        <v>0.22315194397515806</v>
      </c>
      <c r="G19" s="14">
        <f t="shared" si="0"/>
        <v>0.22315194397515806</v>
      </c>
      <c r="H19" s="14">
        <f t="shared" si="1"/>
        <v>0.00022315194397515807</v>
      </c>
      <c r="I19" s="2"/>
      <c r="J19" s="10">
        <v>0.16943709184337</v>
      </c>
      <c r="K19" s="14">
        <f t="shared" si="2"/>
        <v>0.16943709184337</v>
      </c>
      <c r="L19" s="14">
        <f t="shared" si="3"/>
        <v>0.00016943709184337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48</v>
      </c>
      <c r="B20" s="4">
        <v>16</v>
      </c>
      <c r="C20" s="4" t="s">
        <v>90</v>
      </c>
      <c r="D20" s="11">
        <v>0.1</v>
      </c>
      <c r="E20" s="2"/>
      <c r="F20" s="10">
        <v>0.4904438329124352</v>
      </c>
      <c r="G20" s="14">
        <f t="shared" si="0"/>
        <v>0.4904438329124352</v>
      </c>
      <c r="H20" s="14">
        <f t="shared" si="1"/>
        <v>0.049044383291243526</v>
      </c>
      <c r="I20" s="2"/>
      <c r="J20" s="10">
        <v>0.4107565862869554</v>
      </c>
      <c r="K20" s="14">
        <f t="shared" si="2"/>
        <v>0.4107565862869554</v>
      </c>
      <c r="L20" s="14">
        <f t="shared" si="3"/>
        <v>0.04107565862869554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48</v>
      </c>
      <c r="B21" s="4">
        <v>17</v>
      </c>
      <c r="C21" s="4" t="s">
        <v>91</v>
      </c>
      <c r="D21" s="11">
        <v>0</v>
      </c>
      <c r="E21" s="2"/>
      <c r="F21" s="10">
        <v>2.4767413562078</v>
      </c>
      <c r="G21" s="14">
        <f t="shared" si="0"/>
        <v>2.4767413562078</v>
      </c>
      <c r="H21" s="14">
        <f t="shared" si="1"/>
        <v>0</v>
      </c>
      <c r="I21" s="2"/>
      <c r="J21" s="10">
        <v>2.156472078006516</v>
      </c>
      <c r="K21" s="14">
        <f t="shared" si="2"/>
        <v>2.156472078006516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48</v>
      </c>
      <c r="B22" s="4">
        <v>18</v>
      </c>
      <c r="C22" s="4" t="s">
        <v>92</v>
      </c>
      <c r="D22" s="11">
        <v>0</v>
      </c>
      <c r="E22" s="2"/>
      <c r="F22" s="10">
        <v>2.9671851891202334</v>
      </c>
      <c r="G22" s="14">
        <f t="shared" si="0"/>
        <v>2.9671851891202334</v>
      </c>
      <c r="H22" s="14">
        <f t="shared" si="1"/>
        <v>0</v>
      </c>
      <c r="I22" s="2"/>
      <c r="J22" s="10">
        <v>2.5672286642934714</v>
      </c>
      <c r="K22" s="14">
        <f t="shared" si="2"/>
        <v>2.5672286642934714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48</v>
      </c>
      <c r="B23" s="4">
        <v>19</v>
      </c>
      <c r="C23" s="4" t="s">
        <v>93</v>
      </c>
      <c r="D23" s="11">
        <v>0.05</v>
      </c>
      <c r="E23" s="2">
        <v>1</v>
      </c>
      <c r="F23" s="10">
        <v>0.051496602455805694</v>
      </c>
      <c r="G23" s="14">
        <f t="shared" si="0"/>
        <v>0.025748301227902847</v>
      </c>
      <c r="H23" s="14">
        <f t="shared" si="1"/>
        <v>0.0012874150613951425</v>
      </c>
      <c r="I23" s="2">
        <v>1</v>
      </c>
      <c r="J23" s="10">
        <v>0.0359412013001086</v>
      </c>
      <c r="K23" s="14">
        <f t="shared" si="2"/>
        <v>0.0179706006500543</v>
      </c>
      <c r="L23" s="14">
        <f t="shared" si="3"/>
        <v>0.000898530032502715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48</v>
      </c>
      <c r="B24" s="4">
        <v>20</v>
      </c>
      <c r="C24" s="4" t="s">
        <v>94</v>
      </c>
      <c r="D24" s="11">
        <v>0.5</v>
      </c>
      <c r="E24" s="2"/>
      <c r="F24" s="10">
        <v>0.10299320491161139</v>
      </c>
      <c r="G24" s="14">
        <f t="shared" si="0"/>
        <v>0.10299320491161139</v>
      </c>
      <c r="H24" s="14">
        <f t="shared" si="1"/>
        <v>0.051496602455805694</v>
      </c>
      <c r="I24" s="2"/>
      <c r="J24" s="10">
        <v>0.07444963126451065</v>
      </c>
      <c r="K24" s="14">
        <f t="shared" si="2"/>
        <v>0.07444963126451065</v>
      </c>
      <c r="L24" s="14">
        <f t="shared" si="3"/>
        <v>0.037224815632255326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48</v>
      </c>
      <c r="B25" s="4">
        <v>21</v>
      </c>
      <c r="C25" s="4" t="s">
        <v>95</v>
      </c>
      <c r="D25" s="11">
        <v>0</v>
      </c>
      <c r="E25" s="2"/>
      <c r="F25" s="10">
        <v>0.7037869002293446</v>
      </c>
      <c r="G25" s="14">
        <f t="shared" si="0"/>
        <v>0.7037869002293446</v>
      </c>
      <c r="H25" s="14">
        <f t="shared" si="1"/>
        <v>0</v>
      </c>
      <c r="I25" s="2"/>
      <c r="J25" s="10">
        <v>0.582760906794618</v>
      </c>
      <c r="K25" s="14">
        <f t="shared" si="2"/>
        <v>0.582760906794618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48</v>
      </c>
      <c r="B26" s="4">
        <v>22</v>
      </c>
      <c r="C26" s="4" t="s">
        <v>96</v>
      </c>
      <c r="D26" s="11">
        <v>0</v>
      </c>
      <c r="E26" s="2"/>
      <c r="F26" s="10">
        <v>0.8582767075967617</v>
      </c>
      <c r="G26" s="14">
        <f t="shared" si="0"/>
        <v>0.8582767075967617</v>
      </c>
      <c r="H26" s="14">
        <f t="shared" si="1"/>
        <v>0</v>
      </c>
      <c r="I26" s="2"/>
      <c r="J26" s="10">
        <v>0.6931517393592372</v>
      </c>
      <c r="K26" s="14">
        <f t="shared" si="2"/>
        <v>0.6931517393592372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48</v>
      </c>
      <c r="B27" s="4">
        <v>23</v>
      </c>
      <c r="C27" s="4" t="s">
        <v>97</v>
      </c>
      <c r="D27" s="11">
        <v>0.1</v>
      </c>
      <c r="E27" s="2"/>
      <c r="F27" s="10">
        <v>0.036783287468432645</v>
      </c>
      <c r="G27" s="14">
        <f t="shared" si="0"/>
        <v>0.036783287468432645</v>
      </c>
      <c r="H27" s="14">
        <f t="shared" si="1"/>
        <v>0.0036783287468432646</v>
      </c>
      <c r="I27" s="2"/>
      <c r="J27" s="10">
        <v>0.02823951530722818</v>
      </c>
      <c r="K27" s="14">
        <f t="shared" si="2"/>
        <v>0.02823951530722818</v>
      </c>
      <c r="L27" s="14">
        <f t="shared" si="3"/>
        <v>0.002823951530722818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48</v>
      </c>
      <c r="B28" s="4">
        <v>24</v>
      </c>
      <c r="C28" s="4" t="s">
        <v>98</v>
      </c>
      <c r="D28" s="11">
        <v>0.1</v>
      </c>
      <c r="E28" s="2"/>
      <c r="F28" s="10">
        <v>0.017165534151935235</v>
      </c>
      <c r="G28" s="14">
        <f t="shared" si="0"/>
        <v>0.017165534151935235</v>
      </c>
      <c r="H28" s="14">
        <f t="shared" si="1"/>
        <v>0.0017165534151935237</v>
      </c>
      <c r="I28" s="2"/>
      <c r="J28" s="10">
        <v>0.012836143321467356</v>
      </c>
      <c r="K28" s="14">
        <f t="shared" si="2"/>
        <v>0.012836143321467356</v>
      </c>
      <c r="L28" s="14">
        <f t="shared" si="3"/>
        <v>0.0012836143321467357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48</v>
      </c>
      <c r="B29" s="4">
        <v>25</v>
      </c>
      <c r="C29" s="4" t="s">
        <v>99</v>
      </c>
      <c r="D29" s="11">
        <v>0.1</v>
      </c>
      <c r="E29" s="2"/>
      <c r="F29" s="10">
        <v>0.0022069972481059586</v>
      </c>
      <c r="G29" s="14">
        <f t="shared" si="0"/>
        <v>0.0022069972481059586</v>
      </c>
      <c r="H29" s="14">
        <f t="shared" si="1"/>
        <v>0.00022069972481059586</v>
      </c>
      <c r="I29" s="2"/>
      <c r="J29" s="10">
        <v>0.0015403371985760828</v>
      </c>
      <c r="K29" s="14">
        <f t="shared" si="2"/>
        <v>0.0015403371985760828</v>
      </c>
      <c r="L29" s="14">
        <f t="shared" si="3"/>
        <v>0.0001540337198576083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48</v>
      </c>
      <c r="B30" s="4">
        <v>26</v>
      </c>
      <c r="C30" s="4" t="s">
        <v>100</v>
      </c>
      <c r="D30" s="11">
        <v>0.1</v>
      </c>
      <c r="E30" s="2"/>
      <c r="F30" s="10">
        <v>0.036783287468432645</v>
      </c>
      <c r="G30" s="14">
        <f t="shared" si="0"/>
        <v>0.036783287468432645</v>
      </c>
      <c r="H30" s="14">
        <f t="shared" si="1"/>
        <v>0.0036783287468432646</v>
      </c>
      <c r="I30" s="2"/>
      <c r="J30" s="10">
        <v>0.030806743971521652</v>
      </c>
      <c r="K30" s="14">
        <f t="shared" si="2"/>
        <v>0.030806743971521652</v>
      </c>
      <c r="L30" s="14">
        <f t="shared" si="3"/>
        <v>0.0030806743971521656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48</v>
      </c>
      <c r="B31" s="4">
        <v>27</v>
      </c>
      <c r="C31" s="4" t="s">
        <v>101</v>
      </c>
      <c r="D31" s="11">
        <v>0</v>
      </c>
      <c r="E31" s="2"/>
      <c r="F31" s="10">
        <v>0.11795174181544</v>
      </c>
      <c r="G31" s="14">
        <f t="shared" si="0"/>
        <v>0.11795174181544</v>
      </c>
      <c r="H31" s="14">
        <f t="shared" si="1"/>
        <v>0</v>
      </c>
      <c r="I31" s="2"/>
      <c r="J31" s="10">
        <v>0.09344712338028237</v>
      </c>
      <c r="K31" s="14">
        <f t="shared" si="2"/>
        <v>0.09344712338028237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48</v>
      </c>
      <c r="B32" s="4">
        <v>28</v>
      </c>
      <c r="C32" s="4" t="s">
        <v>102</v>
      </c>
      <c r="D32" s="11">
        <v>0</v>
      </c>
      <c r="E32" s="2"/>
      <c r="F32" s="10">
        <v>0.21089084815234713</v>
      </c>
      <c r="G32" s="14">
        <f t="shared" si="0"/>
        <v>0.21089084815234713</v>
      </c>
      <c r="H32" s="14">
        <f t="shared" si="1"/>
        <v>0</v>
      </c>
      <c r="I32" s="2"/>
      <c r="J32" s="10">
        <v>0.16686986317907562</v>
      </c>
      <c r="K32" s="14">
        <f t="shared" si="2"/>
        <v>0.16686986317907562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48</v>
      </c>
      <c r="B33" s="4">
        <v>29</v>
      </c>
      <c r="C33" s="4" t="s">
        <v>103</v>
      </c>
      <c r="D33" s="11">
        <v>0.01</v>
      </c>
      <c r="E33" s="2"/>
      <c r="F33" s="10">
        <v>0.019617753316497406</v>
      </c>
      <c r="G33" s="14">
        <f t="shared" si="0"/>
        <v>0.019617753316497406</v>
      </c>
      <c r="H33" s="14">
        <f t="shared" si="1"/>
        <v>0.00019617753316497407</v>
      </c>
      <c r="I33" s="2"/>
      <c r="J33" s="10">
        <v>0.015403371985760826</v>
      </c>
      <c r="K33" s="14">
        <f t="shared" si="2"/>
        <v>0.015403371985760826</v>
      </c>
      <c r="L33" s="14">
        <f t="shared" si="3"/>
        <v>0.00015403371985760826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48</v>
      </c>
      <c r="B34" s="4">
        <v>30</v>
      </c>
      <c r="C34" s="4" t="s">
        <v>104</v>
      </c>
      <c r="D34" s="11">
        <v>0.01</v>
      </c>
      <c r="E34" s="2"/>
      <c r="F34" s="10">
        <v>0.004904438329124352</v>
      </c>
      <c r="G34" s="14">
        <f t="shared" si="0"/>
        <v>0.004904438329124352</v>
      </c>
      <c r="H34" s="14">
        <f t="shared" si="1"/>
        <v>4.904438329124352E-05</v>
      </c>
      <c r="I34" s="2"/>
      <c r="J34" s="10">
        <v>0.0025672286642934713</v>
      </c>
      <c r="K34" s="14">
        <f t="shared" si="2"/>
        <v>0.0025672286642934713</v>
      </c>
      <c r="L34" s="14">
        <f t="shared" si="3"/>
        <v>2.5672286642934714E-05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48</v>
      </c>
      <c r="B35" s="4">
        <v>31</v>
      </c>
      <c r="C35" s="4" t="s">
        <v>105</v>
      </c>
      <c r="D35" s="11">
        <v>0</v>
      </c>
      <c r="E35" s="2"/>
      <c r="F35" s="10">
        <v>0.012261095822810889</v>
      </c>
      <c r="G35" s="14">
        <f t="shared" si="0"/>
        <v>0.012261095822810889</v>
      </c>
      <c r="H35" s="14">
        <f t="shared" si="1"/>
        <v>0</v>
      </c>
      <c r="I35" s="2"/>
      <c r="J35" s="10">
        <v>0.010268914657173882</v>
      </c>
      <c r="K35" s="14">
        <f t="shared" si="2"/>
        <v>0.010268914657173882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48</v>
      </c>
      <c r="B36" s="4">
        <v>32</v>
      </c>
      <c r="C36" s="4" t="s">
        <v>106</v>
      </c>
      <c r="D36" s="11">
        <v>0</v>
      </c>
      <c r="E36" s="2"/>
      <c r="F36" s="10">
        <v>0.036783287468432645</v>
      </c>
      <c r="G36" s="14">
        <f t="shared" si="0"/>
        <v>0.036783287468432645</v>
      </c>
      <c r="H36" s="14">
        <f t="shared" si="1"/>
        <v>0</v>
      </c>
      <c r="I36" s="2"/>
      <c r="J36" s="10">
        <v>0.02823951530722818</v>
      </c>
      <c r="K36" s="14">
        <f t="shared" si="2"/>
        <v>0.02823951530722818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48</v>
      </c>
      <c r="B37" s="4">
        <v>33</v>
      </c>
      <c r="C37" s="4" t="s">
        <v>107</v>
      </c>
      <c r="D37" s="11">
        <v>0.001</v>
      </c>
      <c r="E37" s="2">
        <v>1</v>
      </c>
      <c r="F37" s="10">
        <v>0.004904438329124352</v>
      </c>
      <c r="G37" s="14">
        <f t="shared" si="0"/>
        <v>0.002452219164562176</v>
      </c>
      <c r="H37" s="14">
        <f t="shared" si="1"/>
        <v>2.452219164562176E-06</v>
      </c>
      <c r="I37" s="2">
        <v>1</v>
      </c>
      <c r="J37" s="10">
        <v>0.005134457328586943</v>
      </c>
      <c r="K37" s="14">
        <f t="shared" si="2"/>
        <v>0.0025672286642934713</v>
      </c>
      <c r="L37" s="14">
        <f t="shared" si="3"/>
        <v>2.5672286642934715E-06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48</v>
      </c>
      <c r="B38" s="4">
        <v>34</v>
      </c>
      <c r="C38" s="4" t="s">
        <v>108</v>
      </c>
      <c r="D38" s="2"/>
      <c r="E38" s="2"/>
      <c r="F38" s="10">
        <v>7.930476778194079</v>
      </c>
      <c r="G38" s="10">
        <f>G37+G36+G32+G26+G22+G19+G18+G15+G10+G7</f>
        <v>7.928024559029517</v>
      </c>
      <c r="H38" s="10"/>
      <c r="I38" s="2"/>
      <c r="J38" s="10">
        <v>6.6080465818914</v>
      </c>
      <c r="K38" s="10">
        <f>K37+K36+K32+K26+K22+K19+K18+K15+K10+K7</f>
        <v>6.605479353227102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48</v>
      </c>
      <c r="B39" s="4">
        <v>35</v>
      </c>
      <c r="C39" s="4" t="s">
        <v>109</v>
      </c>
      <c r="D39" s="2"/>
      <c r="E39" s="34">
        <f>(F39-H39)*2/F39*100</f>
        <v>1.8575742058521618</v>
      </c>
      <c r="F39" s="10">
        <v>0.13887652794665</v>
      </c>
      <c r="G39" s="10"/>
      <c r="H39" s="10">
        <f>SUM(H5:H37)</f>
        <v>0.13758666066609</v>
      </c>
      <c r="I39" s="34">
        <f>(J39-L39)*2/J39*100</f>
        <v>1.6675376502446673</v>
      </c>
      <c r="J39" s="10">
        <v>0.10807519230942653</v>
      </c>
      <c r="K39" s="10"/>
      <c r="L39" s="10">
        <f>SUM(L5:L37)</f>
        <v>0.10717409504825952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8.28125" style="0" customWidth="1"/>
    <col min="5" max="5" width="3.421875" style="0" customWidth="1"/>
    <col min="6" max="8" width="9.140625" style="40" customWidth="1"/>
    <col min="9" max="9" width="4.00390625" style="0" customWidth="1"/>
    <col min="10" max="12" width="9.140625" style="40" customWidth="1"/>
  </cols>
  <sheetData>
    <row r="1" spans="3:12" ht="12.75">
      <c r="C1" s="7" t="s">
        <v>49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49</v>
      </c>
      <c r="B5" s="4">
        <v>1</v>
      </c>
      <c r="C5" s="4" t="s">
        <v>75</v>
      </c>
      <c r="D5" s="11">
        <v>1</v>
      </c>
      <c r="E5" s="2"/>
      <c r="F5" s="10">
        <v>0.005758048480624377</v>
      </c>
      <c r="G5" s="14">
        <f>IF(F5=0,"",IF(E5=1,F5/2,F5))</f>
        <v>0.005758048480624377</v>
      </c>
      <c r="H5" s="14">
        <f>IF(G5="","",G5*$D5)</f>
        <v>0.005758048480624377</v>
      </c>
      <c r="I5" s="2"/>
      <c r="J5" s="10">
        <v>0.008160432854985888</v>
      </c>
      <c r="K5" s="14">
        <f>IF(J5=0,"",IF(I5=1,J5/2,J5))</f>
        <v>0.008160432854985888</v>
      </c>
      <c r="L5" s="14">
        <f>IF(K5="","",K5*$D5)</f>
        <v>0.008160432854985888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49</v>
      </c>
      <c r="B6" s="4">
        <v>2</v>
      </c>
      <c r="C6" s="4" t="s">
        <v>76</v>
      </c>
      <c r="D6" s="11">
        <v>0</v>
      </c>
      <c r="E6" s="2"/>
      <c r="F6" s="10">
        <v>3.7945539487314637</v>
      </c>
      <c r="G6" s="14">
        <f aca="true" t="shared" si="0" ref="G6:G37">IF(F6=0,"",IF(E6=1,F6/2,F6))</f>
        <v>3.7945539487314637</v>
      </c>
      <c r="H6" s="14">
        <f aca="true" t="shared" si="1" ref="H6:H37">IF(G6="","",G6*$D6)</f>
        <v>0</v>
      </c>
      <c r="I6" s="2"/>
      <c r="J6" s="10">
        <v>4.534480523087159</v>
      </c>
      <c r="K6" s="14">
        <f aca="true" t="shared" si="2" ref="K6:K37">IF(J6=0,"",IF(I6=1,J6/2,J6))</f>
        <v>4.534480523087159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49</v>
      </c>
      <c r="B7" s="4">
        <v>3</v>
      </c>
      <c r="C7" s="4" t="s">
        <v>77</v>
      </c>
      <c r="D7" s="11">
        <v>0</v>
      </c>
      <c r="E7" s="2"/>
      <c r="F7" s="10">
        <v>3.8003119972120882</v>
      </c>
      <c r="G7" s="14">
        <f t="shared" si="0"/>
        <v>3.8003119972120882</v>
      </c>
      <c r="H7" s="14">
        <f t="shared" si="1"/>
        <v>0</v>
      </c>
      <c r="I7" s="2"/>
      <c r="J7" s="10">
        <v>4.542640955942145</v>
      </c>
      <c r="K7" s="14">
        <f t="shared" si="2"/>
        <v>4.542640955942145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49</v>
      </c>
      <c r="B8" s="4">
        <v>4</v>
      </c>
      <c r="C8" s="4" t="s">
        <v>78</v>
      </c>
      <c r="D8" s="11">
        <v>0.5</v>
      </c>
      <c r="E8" s="2"/>
      <c r="F8" s="10">
        <v>0.08061267872874127</v>
      </c>
      <c r="G8" s="14">
        <f t="shared" si="0"/>
        <v>0.08061267872874127</v>
      </c>
      <c r="H8" s="14">
        <f t="shared" si="1"/>
        <v>0.040306339364370634</v>
      </c>
      <c r="I8" s="2"/>
      <c r="J8" s="10">
        <v>0.11424605996980244</v>
      </c>
      <c r="K8" s="14">
        <f t="shared" si="2"/>
        <v>0.11424605996980244</v>
      </c>
      <c r="L8" s="14">
        <f t="shared" si="3"/>
        <v>0.05712302998490122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49</v>
      </c>
      <c r="B9" s="4">
        <v>5</v>
      </c>
      <c r="C9" s="4" t="s">
        <v>79</v>
      </c>
      <c r="D9" s="11">
        <v>0</v>
      </c>
      <c r="E9" s="2"/>
      <c r="F9" s="10">
        <v>7.692752770114167</v>
      </c>
      <c r="G9" s="14">
        <f t="shared" si="0"/>
        <v>7.692752770114167</v>
      </c>
      <c r="H9" s="14">
        <f t="shared" si="1"/>
        <v>0</v>
      </c>
      <c r="I9" s="2"/>
      <c r="J9" s="10">
        <v>11.228755608460583</v>
      </c>
      <c r="K9" s="14">
        <f t="shared" si="2"/>
        <v>11.228755608460583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49</v>
      </c>
      <c r="B10" s="4">
        <v>5</v>
      </c>
      <c r="C10" s="4" t="s">
        <v>80</v>
      </c>
      <c r="D10" s="11">
        <v>0</v>
      </c>
      <c r="E10" s="2"/>
      <c r="F10" s="10">
        <v>7.7733654488429</v>
      </c>
      <c r="G10" s="14">
        <f t="shared" si="0"/>
        <v>7.7733654488429</v>
      </c>
      <c r="H10" s="14">
        <f t="shared" si="1"/>
        <v>0</v>
      </c>
      <c r="I10" s="2"/>
      <c r="J10" s="10">
        <v>11.343001668430386</v>
      </c>
      <c r="K10" s="14">
        <f t="shared" si="2"/>
        <v>11.343001668430386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49</v>
      </c>
      <c r="B11" s="4">
        <v>7</v>
      </c>
      <c r="C11" s="4" t="s">
        <v>81</v>
      </c>
      <c r="D11" s="11">
        <v>0.1</v>
      </c>
      <c r="E11" s="2"/>
      <c r="F11" s="10">
        <v>0.17562047865904346</v>
      </c>
      <c r="G11" s="14">
        <f t="shared" si="0"/>
        <v>0.17562047865904346</v>
      </c>
      <c r="H11" s="14">
        <f t="shared" si="1"/>
        <v>0.017562047865904346</v>
      </c>
      <c r="I11" s="2"/>
      <c r="J11" s="10">
        <v>0.26929428421453433</v>
      </c>
      <c r="K11" s="14">
        <f t="shared" si="2"/>
        <v>0.26929428421453433</v>
      </c>
      <c r="L11" s="14">
        <f t="shared" si="3"/>
        <v>0.026929428421453433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49</v>
      </c>
      <c r="B12" s="4">
        <v>8</v>
      </c>
      <c r="C12" s="4" t="s">
        <v>82</v>
      </c>
      <c r="D12" s="11">
        <v>0.1</v>
      </c>
      <c r="E12" s="2"/>
      <c r="F12" s="10">
        <v>0.4318536360468282</v>
      </c>
      <c r="G12" s="14">
        <f t="shared" si="0"/>
        <v>0.4318536360468282</v>
      </c>
      <c r="H12" s="14">
        <f t="shared" si="1"/>
        <v>0.04318536360468282</v>
      </c>
      <c r="I12" s="2"/>
      <c r="J12" s="10">
        <v>0.5984317426989653</v>
      </c>
      <c r="K12" s="14">
        <f t="shared" si="2"/>
        <v>0.5984317426989653</v>
      </c>
      <c r="L12" s="14">
        <f t="shared" si="3"/>
        <v>0.05984317426989653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49</v>
      </c>
      <c r="B13" s="4">
        <v>9</v>
      </c>
      <c r="C13" s="4" t="s">
        <v>83</v>
      </c>
      <c r="D13" s="11">
        <v>0.1</v>
      </c>
      <c r="E13" s="2"/>
      <c r="F13" s="10">
        <v>0.4318536360468282</v>
      </c>
      <c r="G13" s="14">
        <f t="shared" si="0"/>
        <v>0.4318536360468282</v>
      </c>
      <c r="H13" s="14">
        <f t="shared" si="1"/>
        <v>0.04318536360468282</v>
      </c>
      <c r="I13" s="2"/>
      <c r="J13" s="10">
        <v>0.5984317426989653</v>
      </c>
      <c r="K13" s="14">
        <f t="shared" si="2"/>
        <v>0.5984317426989653</v>
      </c>
      <c r="L13" s="14">
        <f t="shared" si="3"/>
        <v>0.05984317426989653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49</v>
      </c>
      <c r="B14" s="4">
        <v>10</v>
      </c>
      <c r="C14" s="4" t="s">
        <v>84</v>
      </c>
      <c r="D14" s="11">
        <v>0</v>
      </c>
      <c r="E14" s="2"/>
      <c r="F14" s="10">
        <v>20.23666138515437</v>
      </c>
      <c r="G14" s="14">
        <f t="shared" si="0"/>
        <v>20.23666138515437</v>
      </c>
      <c r="H14" s="14">
        <f t="shared" si="1"/>
        <v>0</v>
      </c>
      <c r="I14" s="2"/>
      <c r="J14" s="10">
        <v>24.15760139504323</v>
      </c>
      <c r="K14" s="14">
        <f t="shared" si="2"/>
        <v>24.15760139504323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49</v>
      </c>
      <c r="B15" s="4">
        <v>11</v>
      </c>
      <c r="C15" s="4" t="s">
        <v>85</v>
      </c>
      <c r="D15" s="11">
        <v>0</v>
      </c>
      <c r="E15" s="2"/>
      <c r="F15" s="10">
        <v>21.275989135907</v>
      </c>
      <c r="G15" s="14">
        <f t="shared" si="0"/>
        <v>21.275989135907</v>
      </c>
      <c r="H15" s="14">
        <f t="shared" si="1"/>
        <v>0</v>
      </c>
      <c r="I15" s="2"/>
      <c r="J15" s="10">
        <v>25.6237591646557</v>
      </c>
      <c r="K15" s="14">
        <f t="shared" si="2"/>
        <v>25.6237591646557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49</v>
      </c>
      <c r="B16" s="4">
        <v>12</v>
      </c>
      <c r="C16" s="4" t="s">
        <v>86</v>
      </c>
      <c r="D16" s="11">
        <v>0.01</v>
      </c>
      <c r="E16" s="2"/>
      <c r="F16" s="10">
        <v>3.195716906746529</v>
      </c>
      <c r="G16" s="14">
        <f t="shared" si="0"/>
        <v>3.195716906746529</v>
      </c>
      <c r="H16" s="14">
        <f t="shared" si="1"/>
        <v>0.03195716906746529</v>
      </c>
      <c r="I16" s="2"/>
      <c r="J16" s="10">
        <v>4.433835184542333</v>
      </c>
      <c r="K16" s="14">
        <f t="shared" si="2"/>
        <v>4.433835184542333</v>
      </c>
      <c r="L16" s="14">
        <f t="shared" si="3"/>
        <v>0.04433835184542333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49</v>
      </c>
      <c r="B17" s="4">
        <v>13</v>
      </c>
      <c r="C17" s="4" t="s">
        <v>87</v>
      </c>
      <c r="D17" s="11">
        <v>0</v>
      </c>
      <c r="E17" s="2"/>
      <c r="F17" s="10">
        <v>4.923131450933841</v>
      </c>
      <c r="G17" s="14">
        <f t="shared" si="0"/>
        <v>4.923131450933841</v>
      </c>
      <c r="H17" s="14">
        <f t="shared" si="1"/>
        <v>0</v>
      </c>
      <c r="I17" s="2"/>
      <c r="J17" s="10">
        <v>6.365137626889</v>
      </c>
      <c r="K17" s="14">
        <f t="shared" si="2"/>
        <v>6.365137626889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49</v>
      </c>
      <c r="B18" s="4">
        <v>14</v>
      </c>
      <c r="C18" s="4" t="s">
        <v>88</v>
      </c>
      <c r="D18" s="11">
        <v>0</v>
      </c>
      <c r="E18" s="2"/>
      <c r="F18" s="10">
        <v>8.11884835768037</v>
      </c>
      <c r="G18" s="14">
        <f t="shared" si="0"/>
        <v>8.11884835768037</v>
      </c>
      <c r="H18" s="14">
        <f t="shared" si="1"/>
        <v>0</v>
      </c>
      <c r="I18" s="2"/>
      <c r="J18" s="10">
        <v>10.798972811431328</v>
      </c>
      <c r="K18" s="14">
        <f t="shared" si="2"/>
        <v>10.798972811431328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49</v>
      </c>
      <c r="B19" s="4">
        <v>15</v>
      </c>
      <c r="C19" s="4" t="s">
        <v>89</v>
      </c>
      <c r="D19" s="11">
        <v>0.001</v>
      </c>
      <c r="E19" s="2"/>
      <c r="F19" s="10">
        <v>1.957736483412288</v>
      </c>
      <c r="G19" s="14">
        <f t="shared" si="0"/>
        <v>1.957736483412288</v>
      </c>
      <c r="H19" s="14">
        <f t="shared" si="1"/>
        <v>0.001957736483412288</v>
      </c>
      <c r="I19" s="2"/>
      <c r="J19" s="10">
        <v>3.019360156344779</v>
      </c>
      <c r="K19" s="14">
        <f t="shared" si="2"/>
        <v>3.019360156344779</v>
      </c>
      <c r="L19" s="14">
        <f t="shared" si="3"/>
        <v>0.003019360156344779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49</v>
      </c>
      <c r="B20" s="4">
        <v>16</v>
      </c>
      <c r="C20" s="4" t="s">
        <v>90</v>
      </c>
      <c r="D20" s="11">
        <v>0.1</v>
      </c>
      <c r="E20" s="2"/>
      <c r="F20" s="10">
        <v>1.0364487265123878</v>
      </c>
      <c r="G20" s="14">
        <f t="shared" si="0"/>
        <v>1.0364487265123878</v>
      </c>
      <c r="H20" s="14">
        <f t="shared" si="1"/>
        <v>0.10364487265123878</v>
      </c>
      <c r="I20" s="2"/>
      <c r="J20" s="10">
        <v>1.2512663710978362</v>
      </c>
      <c r="K20" s="14">
        <f t="shared" si="2"/>
        <v>1.2512663710978362</v>
      </c>
      <c r="L20" s="14">
        <f t="shared" si="3"/>
        <v>0.12512663710978364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49</v>
      </c>
      <c r="B21" s="4">
        <v>17</v>
      </c>
      <c r="C21" s="4" t="s">
        <v>91</v>
      </c>
      <c r="D21" s="11">
        <v>0</v>
      </c>
      <c r="E21" s="2"/>
      <c r="F21" s="10">
        <v>4.635229026902622</v>
      </c>
      <c r="G21" s="14">
        <f t="shared" si="0"/>
        <v>4.635229026902622</v>
      </c>
      <c r="H21" s="14">
        <f t="shared" si="1"/>
        <v>0</v>
      </c>
      <c r="I21" s="2"/>
      <c r="J21" s="10">
        <v>5.712302998490123</v>
      </c>
      <c r="K21" s="14">
        <f t="shared" si="2"/>
        <v>5.712302998490123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49</v>
      </c>
      <c r="B22" s="4">
        <v>18</v>
      </c>
      <c r="C22" s="4" t="s">
        <v>92</v>
      </c>
      <c r="D22" s="11">
        <v>0</v>
      </c>
      <c r="E22" s="2"/>
      <c r="F22" s="10">
        <v>5.67167775341501</v>
      </c>
      <c r="G22" s="14">
        <f t="shared" si="0"/>
        <v>5.67167775341501</v>
      </c>
      <c r="H22" s="14">
        <f t="shared" si="1"/>
        <v>0</v>
      </c>
      <c r="I22" s="2"/>
      <c r="J22" s="10">
        <v>6.963569369587959</v>
      </c>
      <c r="K22" s="14">
        <f t="shared" si="2"/>
        <v>6.963569369587959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49</v>
      </c>
      <c r="B23" s="4">
        <v>19</v>
      </c>
      <c r="C23" s="4" t="s">
        <v>93</v>
      </c>
      <c r="D23" s="11">
        <v>0.05</v>
      </c>
      <c r="E23" s="2">
        <v>1</v>
      </c>
      <c r="F23" s="10">
        <v>0.060459509046556</v>
      </c>
      <c r="G23" s="14">
        <f t="shared" si="0"/>
        <v>0.030229754523278</v>
      </c>
      <c r="H23" s="14">
        <f t="shared" si="1"/>
        <v>0.0015114877261639</v>
      </c>
      <c r="I23" s="2">
        <v>1</v>
      </c>
      <c r="J23" s="10">
        <v>0.08704461711984948</v>
      </c>
      <c r="K23" s="14">
        <f t="shared" si="2"/>
        <v>0.04352230855992474</v>
      </c>
      <c r="L23" s="14">
        <f t="shared" si="3"/>
        <v>0.002176115427996237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49</v>
      </c>
      <c r="B24" s="4">
        <v>20</v>
      </c>
      <c r="C24" s="4" t="s">
        <v>94</v>
      </c>
      <c r="D24" s="11">
        <v>0.5</v>
      </c>
      <c r="E24" s="2"/>
      <c r="F24" s="10">
        <v>0.2159268180234141</v>
      </c>
      <c r="G24" s="14">
        <f t="shared" si="0"/>
        <v>0.2159268180234141</v>
      </c>
      <c r="H24" s="14">
        <f t="shared" si="1"/>
        <v>0.10796340901170705</v>
      </c>
      <c r="I24" s="2"/>
      <c r="J24" s="10">
        <v>0.29921587134948263</v>
      </c>
      <c r="K24" s="14">
        <f t="shared" si="2"/>
        <v>0.29921587134948263</v>
      </c>
      <c r="L24" s="14">
        <f t="shared" si="3"/>
        <v>0.14960793567474132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49</v>
      </c>
      <c r="B25" s="4">
        <v>21</v>
      </c>
      <c r="C25" s="4" t="s">
        <v>95</v>
      </c>
      <c r="D25" s="11">
        <v>0</v>
      </c>
      <c r="E25" s="2"/>
      <c r="F25" s="10">
        <v>2.141994034792268</v>
      </c>
      <c r="G25" s="14">
        <f t="shared" si="0"/>
        <v>2.141994034792268</v>
      </c>
      <c r="H25" s="14">
        <f t="shared" si="1"/>
        <v>0</v>
      </c>
      <c r="I25" s="2"/>
      <c r="J25" s="10">
        <v>2.7963083249751643</v>
      </c>
      <c r="K25" s="14">
        <f t="shared" si="2"/>
        <v>2.7963083249751643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49</v>
      </c>
      <c r="B26" s="4">
        <v>22</v>
      </c>
      <c r="C26" s="4" t="s">
        <v>96</v>
      </c>
      <c r="D26" s="11">
        <v>0</v>
      </c>
      <c r="E26" s="2"/>
      <c r="F26" s="10">
        <v>2.418380361862238</v>
      </c>
      <c r="G26" s="14">
        <f t="shared" si="0"/>
        <v>2.418380361862238</v>
      </c>
      <c r="H26" s="14">
        <f t="shared" si="1"/>
        <v>0</v>
      </c>
      <c r="I26" s="2"/>
      <c r="J26" s="10">
        <v>3.1825688134445</v>
      </c>
      <c r="K26" s="14">
        <f t="shared" si="2"/>
        <v>3.1825688134445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49</v>
      </c>
      <c r="B27" s="4">
        <v>23</v>
      </c>
      <c r="C27" s="4" t="s">
        <v>97</v>
      </c>
      <c r="D27" s="11">
        <v>0.1</v>
      </c>
      <c r="E27" s="2"/>
      <c r="F27" s="10">
        <v>0.1641043816977947</v>
      </c>
      <c r="G27" s="14">
        <f t="shared" si="0"/>
        <v>0.1641043816977947</v>
      </c>
      <c r="H27" s="14">
        <f t="shared" si="1"/>
        <v>0.01641043816977947</v>
      </c>
      <c r="I27" s="2"/>
      <c r="J27" s="10">
        <v>0.22577197565461</v>
      </c>
      <c r="K27" s="14">
        <f t="shared" si="2"/>
        <v>0.22577197565461</v>
      </c>
      <c r="L27" s="14">
        <f t="shared" si="3"/>
        <v>0.022577197565461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49</v>
      </c>
      <c r="B28" s="4">
        <v>24</v>
      </c>
      <c r="C28" s="4" t="s">
        <v>98</v>
      </c>
      <c r="D28" s="11">
        <v>0.1</v>
      </c>
      <c r="E28" s="2"/>
      <c r="F28" s="10">
        <v>0.08924975144967781</v>
      </c>
      <c r="G28" s="14">
        <f t="shared" si="0"/>
        <v>0.08924975144967781</v>
      </c>
      <c r="H28" s="14">
        <f t="shared" si="1"/>
        <v>0.00892497514496778</v>
      </c>
      <c r="I28" s="2"/>
      <c r="J28" s="10">
        <v>0.11696620425479773</v>
      </c>
      <c r="K28" s="14">
        <f t="shared" si="2"/>
        <v>0.11696620425479773</v>
      </c>
      <c r="L28" s="14">
        <f t="shared" si="3"/>
        <v>0.011696620425479774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49</v>
      </c>
      <c r="B29" s="4">
        <v>25</v>
      </c>
      <c r="C29" s="4" t="s">
        <v>99</v>
      </c>
      <c r="D29" s="11">
        <v>0.1</v>
      </c>
      <c r="E29" s="2"/>
      <c r="F29" s="10">
        <v>0.020153169682185317</v>
      </c>
      <c r="G29" s="14">
        <f t="shared" si="0"/>
        <v>0.020153169682185317</v>
      </c>
      <c r="H29" s="14">
        <f t="shared" si="1"/>
        <v>0.002015316968218532</v>
      </c>
      <c r="I29" s="2"/>
      <c r="J29" s="10">
        <v>0.027201442849953</v>
      </c>
      <c r="K29" s="14">
        <f t="shared" si="2"/>
        <v>0.027201442849953</v>
      </c>
      <c r="L29" s="14">
        <f t="shared" si="3"/>
        <v>0.0027201442849953002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49</v>
      </c>
      <c r="B30" s="4">
        <v>26</v>
      </c>
      <c r="C30" s="4" t="s">
        <v>100</v>
      </c>
      <c r="D30" s="11">
        <v>0.1</v>
      </c>
      <c r="E30" s="2"/>
      <c r="F30" s="10">
        <v>0.25623315738778474</v>
      </c>
      <c r="G30" s="14">
        <f t="shared" si="0"/>
        <v>0.25623315738778474</v>
      </c>
      <c r="H30" s="14">
        <f t="shared" si="1"/>
        <v>0.025623315738778477</v>
      </c>
      <c r="I30" s="2"/>
      <c r="J30" s="10">
        <v>0.32641731419943554</v>
      </c>
      <c r="K30" s="14">
        <f t="shared" si="2"/>
        <v>0.32641731419943554</v>
      </c>
      <c r="L30" s="14">
        <f t="shared" si="3"/>
        <v>0.03264173141994355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49</v>
      </c>
      <c r="B31" s="4">
        <v>27</v>
      </c>
      <c r="C31" s="4" t="s">
        <v>101</v>
      </c>
      <c r="D31" s="11">
        <v>0</v>
      </c>
      <c r="E31" s="2"/>
      <c r="F31" s="10">
        <v>0.59307899350431</v>
      </c>
      <c r="G31" s="14">
        <f t="shared" si="0"/>
        <v>0.59307899350431</v>
      </c>
      <c r="H31" s="14">
        <f t="shared" si="1"/>
        <v>0</v>
      </c>
      <c r="I31" s="2"/>
      <c r="J31" s="10">
        <v>0.7453195340887113</v>
      </c>
      <c r="K31" s="14">
        <f t="shared" si="2"/>
        <v>0.7453195340887113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49</v>
      </c>
      <c r="B32" s="4">
        <v>28</v>
      </c>
      <c r="C32" s="4" t="s">
        <v>102</v>
      </c>
      <c r="D32" s="11">
        <v>0</v>
      </c>
      <c r="E32" s="2"/>
      <c r="F32" s="10">
        <v>1.1228194537217533</v>
      </c>
      <c r="G32" s="14">
        <f t="shared" si="0"/>
        <v>1.1228194537217533</v>
      </c>
      <c r="H32" s="14">
        <f t="shared" si="1"/>
        <v>0</v>
      </c>
      <c r="I32" s="2"/>
      <c r="J32" s="10">
        <v>1.4416764710475</v>
      </c>
      <c r="K32" s="14">
        <f t="shared" si="2"/>
        <v>1.4416764710475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49</v>
      </c>
      <c r="B33" s="4">
        <v>29</v>
      </c>
      <c r="C33" s="4" t="s">
        <v>103</v>
      </c>
      <c r="D33" s="11">
        <v>0.01</v>
      </c>
      <c r="E33" s="2"/>
      <c r="F33" s="10">
        <v>0.12091901809311191</v>
      </c>
      <c r="G33" s="14">
        <f t="shared" si="0"/>
        <v>0.12091901809311191</v>
      </c>
      <c r="H33" s="14">
        <f t="shared" si="1"/>
        <v>0.0012091901809311192</v>
      </c>
      <c r="I33" s="2"/>
      <c r="J33" s="10">
        <v>0.17680937852469428</v>
      </c>
      <c r="K33" s="14">
        <f t="shared" si="2"/>
        <v>0.17680937852469428</v>
      </c>
      <c r="L33" s="14">
        <f t="shared" si="3"/>
        <v>0.0017680937852469429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49</v>
      </c>
      <c r="B34" s="4">
        <v>30</v>
      </c>
      <c r="C34" s="4" t="s">
        <v>104</v>
      </c>
      <c r="D34" s="11">
        <v>0.01</v>
      </c>
      <c r="E34" s="2"/>
      <c r="F34" s="10">
        <v>0.03742731512405845</v>
      </c>
      <c r="G34" s="14">
        <f t="shared" si="0"/>
        <v>0.03742731512405845</v>
      </c>
      <c r="H34" s="14">
        <f t="shared" si="1"/>
        <v>0.00037427315124058445</v>
      </c>
      <c r="I34" s="2"/>
      <c r="J34" s="10">
        <v>0.04896259712991533</v>
      </c>
      <c r="K34" s="14">
        <f t="shared" si="2"/>
        <v>0.04896259712991533</v>
      </c>
      <c r="L34" s="14">
        <f t="shared" si="3"/>
        <v>0.0004896259712991533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49</v>
      </c>
      <c r="B35" s="4">
        <v>31</v>
      </c>
      <c r="C35" s="4" t="s">
        <v>105</v>
      </c>
      <c r="D35" s="11">
        <v>0</v>
      </c>
      <c r="E35" s="2"/>
      <c r="F35" s="10">
        <v>0.0662175575271803</v>
      </c>
      <c r="G35" s="14">
        <f t="shared" si="0"/>
        <v>0.0662175575271803</v>
      </c>
      <c r="H35" s="14">
        <f t="shared" si="1"/>
        <v>0</v>
      </c>
      <c r="I35" s="2"/>
      <c r="J35" s="10">
        <v>0.100645338544826</v>
      </c>
      <c r="K35" s="14">
        <f t="shared" si="2"/>
        <v>0.100645338544826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49</v>
      </c>
      <c r="B36" s="4">
        <v>32</v>
      </c>
      <c r="C36" s="4" t="s">
        <v>106</v>
      </c>
      <c r="D36" s="11">
        <v>0</v>
      </c>
      <c r="E36" s="2"/>
      <c r="F36" s="10">
        <v>0.22456389074435</v>
      </c>
      <c r="G36" s="14">
        <f t="shared" si="0"/>
        <v>0.22456389074435</v>
      </c>
      <c r="H36" s="14">
        <f t="shared" si="1"/>
        <v>0</v>
      </c>
      <c r="I36" s="2"/>
      <c r="J36" s="10">
        <v>0.32641731419943554</v>
      </c>
      <c r="K36" s="14">
        <f t="shared" si="2"/>
        <v>0.32641731419943554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49</v>
      </c>
      <c r="B37" s="4">
        <v>33</v>
      </c>
      <c r="C37" s="4" t="s">
        <v>107</v>
      </c>
      <c r="D37" s="11">
        <v>0.001</v>
      </c>
      <c r="E37" s="2">
        <v>1</v>
      </c>
      <c r="F37" s="10">
        <v>0.03454829088374626</v>
      </c>
      <c r="G37" s="14">
        <f t="shared" si="0"/>
        <v>0.01727414544187313</v>
      </c>
      <c r="H37" s="14">
        <f t="shared" si="1"/>
        <v>1.727414544187313E-05</v>
      </c>
      <c r="I37" s="2">
        <v>1</v>
      </c>
      <c r="J37" s="10">
        <v>0.04352230855992474</v>
      </c>
      <c r="K37" s="14">
        <f t="shared" si="2"/>
        <v>0.02176115427996237</v>
      </c>
      <c r="L37" s="14">
        <f t="shared" si="3"/>
        <v>2.1761154279962372E-05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49</v>
      </c>
      <c r="B38" s="4">
        <v>34</v>
      </c>
      <c r="C38" s="4" t="s">
        <v>108</v>
      </c>
      <c r="D38" s="2"/>
      <c r="E38" s="2"/>
      <c r="F38" s="10">
        <v>52.398241173681825</v>
      </c>
      <c r="G38" s="10">
        <f>G37+G36+G32+G26+G22+G19+G18+G15+G10+G7</f>
        <v>52.38096702823987</v>
      </c>
      <c r="H38" s="10"/>
      <c r="I38" s="2"/>
      <c r="J38" s="10">
        <v>67.28548903364366</v>
      </c>
      <c r="K38" s="10">
        <f>K37+K36+K32+K26+K22+K19+K18+K15+K10+K7</f>
        <v>67.2637278793637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49</v>
      </c>
      <c r="B39" s="4">
        <v>35</v>
      </c>
      <c r="C39" s="4" t="s">
        <v>109</v>
      </c>
      <c r="D39" s="2"/>
      <c r="E39" s="34">
        <f>(F39-H39)*2/F39*100</f>
        <v>0.6747483989021065</v>
      </c>
      <c r="F39" s="10">
        <v>0.453135383231216</v>
      </c>
      <c r="G39" s="10"/>
      <c r="H39" s="10">
        <f>SUM(H5:H37)</f>
        <v>0.4516066213596102</v>
      </c>
      <c r="I39" s="34">
        <f>(J39-L39)*2/J39*100</f>
        <v>0.7202838346199839</v>
      </c>
      <c r="J39" s="10">
        <v>0.6102806912044048</v>
      </c>
      <c r="K39" s="10"/>
      <c r="L39" s="10">
        <f>SUM(L5:L37)</f>
        <v>0.6080828146221285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9.8515625" style="0" customWidth="1"/>
    <col min="5" max="5" width="7.00390625" style="0" customWidth="1"/>
    <col min="6" max="8" width="9.140625" style="40" customWidth="1"/>
    <col min="9" max="9" width="6.140625" style="0" customWidth="1"/>
    <col min="10" max="12" width="9.140625" style="40" customWidth="1"/>
    <col min="13" max="13" width="4.00390625" style="0" customWidth="1"/>
    <col min="14" max="16" width="9.140625" style="40" customWidth="1"/>
  </cols>
  <sheetData>
    <row r="1" spans="3:16" ht="12.75">
      <c r="C1" s="7" t="s">
        <v>35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  <c r="N1" s="41" t="s">
        <v>56</v>
      </c>
      <c r="O1" s="41"/>
      <c r="P1" s="41"/>
    </row>
    <row r="2" spans="3:16" ht="12.75">
      <c r="C2" s="7"/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  <c r="M2" s="23"/>
      <c r="N2" s="39" t="s">
        <v>66</v>
      </c>
      <c r="O2" s="12" t="s">
        <v>66</v>
      </c>
      <c r="P2" s="12" t="s">
        <v>72</v>
      </c>
    </row>
    <row r="3" spans="3:16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  <c r="M3" s="23"/>
      <c r="N3" s="39" t="s">
        <v>73</v>
      </c>
      <c r="O3" s="12" t="s">
        <v>74</v>
      </c>
      <c r="P3" s="12" t="s">
        <v>74</v>
      </c>
    </row>
    <row r="4" spans="4:16" ht="12.75">
      <c r="D4" s="13"/>
      <c r="G4" s="14"/>
      <c r="H4" s="14"/>
      <c r="K4" s="14"/>
      <c r="L4" s="14"/>
      <c r="O4" s="14"/>
      <c r="P4" s="14"/>
    </row>
    <row r="5" spans="1:38" s="4" customFormat="1" ht="12.75">
      <c r="A5" s="4" t="s">
        <v>35</v>
      </c>
      <c r="B5" s="4">
        <v>1</v>
      </c>
      <c r="C5" s="4" t="s">
        <v>75</v>
      </c>
      <c r="D5" s="11">
        <v>1</v>
      </c>
      <c r="E5" s="2"/>
      <c r="F5" s="10">
        <v>0.0433125</v>
      </c>
      <c r="G5" s="14">
        <f>IF(F5=0,"",IF(E5=1,F5/2,F5))</f>
        <v>0.0433125</v>
      </c>
      <c r="H5" s="14">
        <f>IF(G5="","",G5*$D5)</f>
        <v>0.0433125</v>
      </c>
      <c r="I5" s="2"/>
      <c r="J5" s="10">
        <v>0.04108196721311476</v>
      </c>
      <c r="K5" s="14">
        <f>IF(J5=0,"",IF(I5=1,J5/2,J5))</f>
        <v>0.04108196721311476</v>
      </c>
      <c r="L5" s="14">
        <f>IF(K5="","",K5*$D5)</f>
        <v>0.04108196721311476</v>
      </c>
      <c r="M5" s="2"/>
      <c r="N5" s="10">
        <v>0.045678431372549</v>
      </c>
      <c r="O5" s="14">
        <f>IF(N5=0,"",IF(M5=1,N5/2,N5))</f>
        <v>0.045678431372549</v>
      </c>
      <c r="P5" s="14">
        <f>IF(O5="","",O5*$D5)</f>
        <v>0.045678431372549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35</v>
      </c>
      <c r="B6" s="4">
        <v>4</v>
      </c>
      <c r="C6" s="4" t="s">
        <v>78</v>
      </c>
      <c r="D6" s="11">
        <v>0.5</v>
      </c>
      <c r="E6" s="2"/>
      <c r="F6" s="10">
        <v>0.354375</v>
      </c>
      <c r="G6" s="14">
        <f aca="true" t="shared" si="0" ref="G6:G22">IF(F6=0,"",IF(E6=1,F6/2,F6))</f>
        <v>0.354375</v>
      </c>
      <c r="H6" s="14">
        <f aca="true" t="shared" si="1" ref="H6:H21">IF(G6="","",G6*$D6)</f>
        <v>0.1771875</v>
      </c>
      <c r="I6" s="2"/>
      <c r="J6" s="10">
        <v>0.5347540983606558</v>
      </c>
      <c r="K6" s="14">
        <f aca="true" t="shared" si="2" ref="K6:K22">IF(J6=0,"",IF(I6=1,J6/2,J6))</f>
        <v>0.5347540983606558</v>
      </c>
      <c r="L6" s="14">
        <f aca="true" t="shared" si="3" ref="L6:L21">IF(K6="","",K6*$D6)</f>
        <v>0.2673770491803279</v>
      </c>
      <c r="M6" s="2"/>
      <c r="N6" s="10">
        <v>0.45678431372549</v>
      </c>
      <c r="O6" s="14">
        <f aca="true" t="shared" si="4" ref="O6:O22">IF(N6=0,"",IF(M6=1,N6/2,N6))</f>
        <v>0.45678431372549</v>
      </c>
      <c r="P6" s="14">
        <f aca="true" t="shared" si="5" ref="P6:P21">IF(O6="","",O6*$D6)</f>
        <v>0.228392156862745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35</v>
      </c>
      <c r="B7" s="4">
        <v>7</v>
      </c>
      <c r="C7" s="4" t="s">
        <v>81</v>
      </c>
      <c r="D7" s="11">
        <v>0.1</v>
      </c>
      <c r="E7" s="2"/>
      <c r="F7" s="10">
        <v>0.57859375</v>
      </c>
      <c r="G7" s="14">
        <f t="shared" si="0"/>
        <v>0.57859375</v>
      </c>
      <c r="H7" s="14">
        <f t="shared" si="1"/>
        <v>0.057859375000000005</v>
      </c>
      <c r="I7" s="2"/>
      <c r="J7" s="10">
        <v>0.74016393442623</v>
      </c>
      <c r="K7" s="14">
        <f t="shared" si="2"/>
        <v>0.74016393442623</v>
      </c>
      <c r="L7" s="14">
        <f t="shared" si="3"/>
        <v>0.074016393442623</v>
      </c>
      <c r="M7" s="2"/>
      <c r="N7" s="10">
        <v>0.6851764705882354</v>
      </c>
      <c r="O7" s="14">
        <f t="shared" si="4"/>
        <v>0.6851764705882354</v>
      </c>
      <c r="P7" s="14">
        <f t="shared" si="5"/>
        <v>0.06851764705882354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35</v>
      </c>
      <c r="B8" s="4">
        <v>8</v>
      </c>
      <c r="C8" s="4" t="s">
        <v>82</v>
      </c>
      <c r="D8" s="11">
        <v>0.1</v>
      </c>
      <c r="E8" s="2"/>
      <c r="F8" s="10">
        <v>1.334375</v>
      </c>
      <c r="G8" s="14">
        <f t="shared" si="0"/>
        <v>1.334375</v>
      </c>
      <c r="H8" s="14">
        <f t="shared" si="1"/>
        <v>0.13343750000000001</v>
      </c>
      <c r="I8" s="2"/>
      <c r="J8" s="10">
        <v>1.6065573770491806</v>
      </c>
      <c r="K8" s="14">
        <f t="shared" si="2"/>
        <v>1.6065573770491806</v>
      </c>
      <c r="L8" s="14">
        <f t="shared" si="3"/>
        <v>0.16065573770491806</v>
      </c>
      <c r="M8" s="2"/>
      <c r="N8" s="10">
        <v>1.251764705882353</v>
      </c>
      <c r="O8" s="14">
        <f t="shared" si="4"/>
        <v>1.251764705882353</v>
      </c>
      <c r="P8" s="14">
        <f t="shared" si="5"/>
        <v>0.1251764705882353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35</v>
      </c>
      <c r="B9" s="4">
        <v>9</v>
      </c>
      <c r="C9" s="4" t="s">
        <v>83</v>
      </c>
      <c r="D9" s="11">
        <v>0.1</v>
      </c>
      <c r="E9" s="2"/>
      <c r="F9" s="10">
        <v>0.6146875</v>
      </c>
      <c r="G9" s="14">
        <f t="shared" si="0"/>
        <v>0.6146875</v>
      </c>
      <c r="H9" s="14">
        <f t="shared" si="1"/>
        <v>0.06146875000000001</v>
      </c>
      <c r="I9" s="2"/>
      <c r="J9" s="10">
        <v>0.7814754098360658</v>
      </c>
      <c r="K9" s="14">
        <f t="shared" si="2"/>
        <v>0.7814754098360658</v>
      </c>
      <c r="L9" s="14">
        <f t="shared" si="3"/>
        <v>0.07814754098360659</v>
      </c>
      <c r="M9" s="2"/>
      <c r="N9" s="10">
        <v>0.6467450980392158</v>
      </c>
      <c r="O9" s="14">
        <f t="shared" si="4"/>
        <v>0.6467450980392158</v>
      </c>
      <c r="P9" s="14">
        <f t="shared" si="5"/>
        <v>0.06467450980392157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35</v>
      </c>
      <c r="B10" s="4">
        <v>12</v>
      </c>
      <c r="C10" s="4" t="s">
        <v>86</v>
      </c>
      <c r="D10" s="11">
        <v>0.01</v>
      </c>
      <c r="E10" s="2"/>
      <c r="F10" s="10">
        <v>9.034375</v>
      </c>
      <c r="G10" s="14">
        <f t="shared" si="0"/>
        <v>9.034375</v>
      </c>
      <c r="H10" s="14">
        <f t="shared" si="1"/>
        <v>0.09034375000000001</v>
      </c>
      <c r="I10" s="2"/>
      <c r="J10" s="10">
        <v>13.54098360655738</v>
      </c>
      <c r="K10" s="14">
        <f t="shared" si="2"/>
        <v>13.54098360655738</v>
      </c>
      <c r="L10" s="14">
        <f t="shared" si="3"/>
        <v>0.1354098360655738</v>
      </c>
      <c r="M10" s="2"/>
      <c r="N10" s="10">
        <v>10.27764705882353</v>
      </c>
      <c r="O10" s="14">
        <f t="shared" si="4"/>
        <v>10.27764705882353</v>
      </c>
      <c r="P10" s="14">
        <f t="shared" si="5"/>
        <v>0.10277647058823529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35</v>
      </c>
      <c r="B11" s="4">
        <v>15</v>
      </c>
      <c r="C11" s="4" t="s">
        <v>89</v>
      </c>
      <c r="D11" s="11">
        <v>0.001</v>
      </c>
      <c r="E11" s="2"/>
      <c r="F11" s="10">
        <v>2.49375</v>
      </c>
      <c r="G11" s="14">
        <f t="shared" si="0"/>
        <v>2.49375</v>
      </c>
      <c r="H11" s="14">
        <f t="shared" si="1"/>
        <v>0.00249375</v>
      </c>
      <c r="I11" s="2"/>
      <c r="J11" s="10">
        <v>3.9016393442623</v>
      </c>
      <c r="K11" s="14">
        <f t="shared" si="2"/>
        <v>3.9016393442623</v>
      </c>
      <c r="L11" s="14">
        <f t="shared" si="3"/>
        <v>0.0039016393442623</v>
      </c>
      <c r="M11" s="2"/>
      <c r="N11" s="10">
        <v>3.381960784313726</v>
      </c>
      <c r="O11" s="14">
        <f t="shared" si="4"/>
        <v>3.381960784313726</v>
      </c>
      <c r="P11" s="14">
        <f t="shared" si="5"/>
        <v>0.0033819607843137258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35</v>
      </c>
      <c r="B12" s="4">
        <v>16</v>
      </c>
      <c r="C12" s="4" t="s">
        <v>90</v>
      </c>
      <c r="D12" s="11">
        <v>0.1</v>
      </c>
      <c r="E12" s="2"/>
      <c r="F12" s="10">
        <v>0.433125</v>
      </c>
      <c r="G12" s="14">
        <f t="shared" si="0"/>
        <v>0.433125</v>
      </c>
      <c r="H12" s="14">
        <f t="shared" si="1"/>
        <v>0.043312500000000004</v>
      </c>
      <c r="I12" s="2"/>
      <c r="J12" s="10">
        <v>0.5347540983606558</v>
      </c>
      <c r="K12" s="14">
        <f t="shared" si="2"/>
        <v>0.5347540983606558</v>
      </c>
      <c r="L12" s="14">
        <f t="shared" si="3"/>
        <v>0.05347540983606558</v>
      </c>
      <c r="M12" s="2"/>
      <c r="N12" s="10">
        <v>0.45678431372549</v>
      </c>
      <c r="O12" s="14">
        <f t="shared" si="4"/>
        <v>0.45678431372549</v>
      </c>
      <c r="P12" s="14">
        <f t="shared" si="5"/>
        <v>0.045678431372549004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35</v>
      </c>
      <c r="B13" s="4">
        <v>19</v>
      </c>
      <c r="C13" s="4" t="s">
        <v>93</v>
      </c>
      <c r="D13" s="11">
        <v>0.05</v>
      </c>
      <c r="E13" s="2"/>
      <c r="F13" s="10">
        <v>0.35765625</v>
      </c>
      <c r="G13" s="14">
        <f t="shared" si="0"/>
        <v>0.35765625</v>
      </c>
      <c r="H13" s="14">
        <f t="shared" si="1"/>
        <v>0.0178828125</v>
      </c>
      <c r="I13" s="2"/>
      <c r="J13" s="10">
        <v>0.4521311475409837</v>
      </c>
      <c r="K13" s="14">
        <f t="shared" si="2"/>
        <v>0.4521311475409837</v>
      </c>
      <c r="L13" s="14">
        <f t="shared" si="3"/>
        <v>0.022606557377049186</v>
      </c>
      <c r="M13" s="2"/>
      <c r="N13" s="10">
        <v>0.32721568627451</v>
      </c>
      <c r="O13" s="14">
        <f t="shared" si="4"/>
        <v>0.32721568627451</v>
      </c>
      <c r="P13" s="14">
        <f t="shared" si="5"/>
        <v>0.0163607843137255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35</v>
      </c>
      <c r="B14" s="4">
        <v>20</v>
      </c>
      <c r="C14" s="4" t="s">
        <v>94</v>
      </c>
      <c r="D14" s="11">
        <v>0.5</v>
      </c>
      <c r="E14" s="2"/>
      <c r="F14" s="10">
        <v>1.5203125</v>
      </c>
      <c r="G14" s="14">
        <f t="shared" si="0"/>
        <v>1.5203125</v>
      </c>
      <c r="H14" s="14">
        <f t="shared" si="1"/>
        <v>0.76015625</v>
      </c>
      <c r="I14" s="2"/>
      <c r="J14" s="10">
        <v>1.7213114754098364</v>
      </c>
      <c r="K14" s="14">
        <f t="shared" si="2"/>
        <v>1.7213114754098364</v>
      </c>
      <c r="L14" s="14">
        <f t="shared" si="3"/>
        <v>0.8606557377049182</v>
      </c>
      <c r="M14" s="2"/>
      <c r="N14" s="10">
        <v>1.2956862745098</v>
      </c>
      <c r="O14" s="14">
        <f t="shared" si="4"/>
        <v>1.2956862745098</v>
      </c>
      <c r="P14" s="14">
        <f t="shared" si="5"/>
        <v>0.6478431372549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35</v>
      </c>
      <c r="B15" s="4">
        <v>23</v>
      </c>
      <c r="C15" s="4" t="s">
        <v>97</v>
      </c>
      <c r="D15" s="11">
        <v>0.1</v>
      </c>
      <c r="E15" s="2"/>
      <c r="F15" s="10">
        <v>0.266875</v>
      </c>
      <c r="G15" s="14">
        <f t="shared" si="0"/>
        <v>0.266875</v>
      </c>
      <c r="H15" s="14">
        <f t="shared" si="1"/>
        <v>0.0266875</v>
      </c>
      <c r="I15" s="2"/>
      <c r="J15" s="10">
        <v>0.3006557377049181</v>
      </c>
      <c r="K15" s="14">
        <f t="shared" si="2"/>
        <v>0.3006557377049181</v>
      </c>
      <c r="L15" s="14">
        <f t="shared" si="3"/>
        <v>0.03006557377049181</v>
      </c>
      <c r="M15" s="2"/>
      <c r="N15" s="10">
        <v>0.2514509803921569</v>
      </c>
      <c r="O15" s="14">
        <f t="shared" si="4"/>
        <v>0.2514509803921569</v>
      </c>
      <c r="P15" s="14">
        <f t="shared" si="5"/>
        <v>0.02514509803921569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35</v>
      </c>
      <c r="B16" s="4">
        <v>24</v>
      </c>
      <c r="C16" s="4" t="s">
        <v>98</v>
      </c>
      <c r="D16" s="11">
        <v>0.1</v>
      </c>
      <c r="E16" s="2"/>
      <c r="F16" s="10">
        <v>0.433125</v>
      </c>
      <c r="G16" s="14">
        <f t="shared" si="0"/>
        <v>0.433125</v>
      </c>
      <c r="H16" s="14">
        <f t="shared" si="1"/>
        <v>0.043312500000000004</v>
      </c>
      <c r="I16" s="2"/>
      <c r="J16" s="10">
        <v>0.5347540983606558</v>
      </c>
      <c r="K16" s="14">
        <f t="shared" si="2"/>
        <v>0.5347540983606558</v>
      </c>
      <c r="L16" s="14">
        <f t="shared" si="3"/>
        <v>0.05347540983606558</v>
      </c>
      <c r="M16" s="2"/>
      <c r="N16" s="10">
        <v>0.41835294117647</v>
      </c>
      <c r="O16" s="14">
        <f t="shared" si="4"/>
        <v>0.41835294117647</v>
      </c>
      <c r="P16" s="14">
        <f t="shared" si="5"/>
        <v>0.041835294117647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35</v>
      </c>
      <c r="B17" s="4">
        <v>25</v>
      </c>
      <c r="C17" s="4" t="s">
        <v>99</v>
      </c>
      <c r="D17" s="11">
        <v>0.1</v>
      </c>
      <c r="E17" s="2"/>
      <c r="F17" s="10">
        <v>0.052390625</v>
      </c>
      <c r="G17" s="14">
        <f t="shared" si="0"/>
        <v>0.052390625</v>
      </c>
      <c r="H17" s="14">
        <f t="shared" si="1"/>
        <v>0.005239062500000001</v>
      </c>
      <c r="I17" s="2"/>
      <c r="J17" s="10">
        <v>0.06162295081967214</v>
      </c>
      <c r="K17" s="14">
        <f t="shared" si="2"/>
        <v>0.06162295081967214</v>
      </c>
      <c r="L17" s="14">
        <f t="shared" si="3"/>
        <v>0.006162295081967214</v>
      </c>
      <c r="M17" s="2"/>
      <c r="N17" s="10">
        <v>0.047325490196078436</v>
      </c>
      <c r="O17" s="14">
        <f t="shared" si="4"/>
        <v>0.047325490196078436</v>
      </c>
      <c r="P17" s="14">
        <f t="shared" si="5"/>
        <v>0.004732549019607844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35</v>
      </c>
      <c r="B18" s="4">
        <v>26</v>
      </c>
      <c r="C18" s="4" t="s">
        <v>100</v>
      </c>
      <c r="D18" s="11">
        <v>0.1</v>
      </c>
      <c r="E18" s="2"/>
      <c r="F18" s="10">
        <v>0.37953125</v>
      </c>
      <c r="G18" s="14">
        <f t="shared" si="0"/>
        <v>0.37953125</v>
      </c>
      <c r="H18" s="14">
        <f t="shared" si="1"/>
        <v>0.037953125000000004</v>
      </c>
      <c r="I18" s="2"/>
      <c r="J18" s="10">
        <v>0.39819672131147543</v>
      </c>
      <c r="K18" s="14">
        <f t="shared" si="2"/>
        <v>0.39819672131147543</v>
      </c>
      <c r="L18" s="14">
        <f t="shared" si="3"/>
        <v>0.039819672131147545</v>
      </c>
      <c r="M18" s="2"/>
      <c r="N18" s="10">
        <v>0.27341176470588235</v>
      </c>
      <c r="O18" s="14">
        <f t="shared" si="4"/>
        <v>0.27341176470588235</v>
      </c>
      <c r="P18" s="14">
        <f t="shared" si="5"/>
        <v>0.027341176470588237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35</v>
      </c>
      <c r="B19" s="4">
        <v>29</v>
      </c>
      <c r="C19" s="4" t="s">
        <v>103</v>
      </c>
      <c r="D19" s="11">
        <v>0.01</v>
      </c>
      <c r="E19" s="2"/>
      <c r="F19" s="10">
        <v>0.30734375</v>
      </c>
      <c r="G19" s="14">
        <f t="shared" si="0"/>
        <v>0.30734375</v>
      </c>
      <c r="H19" s="14">
        <f t="shared" si="1"/>
        <v>0.0030734375</v>
      </c>
      <c r="I19" s="2"/>
      <c r="J19" s="10">
        <v>0.41081967213114756</v>
      </c>
      <c r="K19" s="14">
        <f t="shared" si="2"/>
        <v>0.41081967213114756</v>
      </c>
      <c r="L19" s="14">
        <f t="shared" si="3"/>
        <v>0.0041081967213114755</v>
      </c>
      <c r="M19" s="2"/>
      <c r="N19" s="10">
        <v>2.523294117647059</v>
      </c>
      <c r="O19" s="14">
        <f t="shared" si="4"/>
        <v>2.523294117647059</v>
      </c>
      <c r="P19" s="14">
        <f t="shared" si="5"/>
        <v>0.025232941176470593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35</v>
      </c>
      <c r="B20" s="4">
        <v>30</v>
      </c>
      <c r="C20" s="4" t="s">
        <v>104</v>
      </c>
      <c r="D20" s="11">
        <v>0.01</v>
      </c>
      <c r="E20" s="2"/>
      <c r="F20" s="10">
        <v>0.093953125</v>
      </c>
      <c r="G20" s="14">
        <f t="shared" si="0"/>
        <v>0.093953125</v>
      </c>
      <c r="H20" s="14">
        <f t="shared" si="1"/>
        <v>0.00093953125</v>
      </c>
      <c r="I20" s="2"/>
      <c r="J20" s="10">
        <v>0.13540983606557377</v>
      </c>
      <c r="K20" s="14">
        <f t="shared" si="2"/>
        <v>0.13540983606557377</v>
      </c>
      <c r="L20" s="14">
        <f t="shared" si="3"/>
        <v>0.0013540983606557377</v>
      </c>
      <c r="M20" s="2"/>
      <c r="N20" s="10">
        <v>0.09893333333333335</v>
      </c>
      <c r="O20" s="14">
        <f t="shared" si="4"/>
        <v>0.09893333333333335</v>
      </c>
      <c r="P20" s="14">
        <f t="shared" si="5"/>
        <v>0.0009893333333333334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35</v>
      </c>
      <c r="B21" s="4">
        <v>33</v>
      </c>
      <c r="C21" s="4" t="s">
        <v>107</v>
      </c>
      <c r="D21" s="11">
        <v>0.001</v>
      </c>
      <c r="E21" s="2"/>
      <c r="F21" s="10">
        <v>0.046921875</v>
      </c>
      <c r="G21" s="14">
        <f t="shared" si="0"/>
        <v>0.046921875</v>
      </c>
      <c r="H21" s="14">
        <f t="shared" si="1"/>
        <v>4.6921875E-05</v>
      </c>
      <c r="I21" s="2"/>
      <c r="J21" s="10">
        <v>0.06162295081967214</v>
      </c>
      <c r="K21" s="14">
        <f t="shared" si="2"/>
        <v>0.06162295081967214</v>
      </c>
      <c r="L21" s="14">
        <f t="shared" si="3"/>
        <v>6.162295081967214E-05</v>
      </c>
      <c r="M21" s="2"/>
      <c r="N21" s="10">
        <v>0.06094117647058824</v>
      </c>
      <c r="O21" s="14">
        <f t="shared" si="4"/>
        <v>0.06094117647058824</v>
      </c>
      <c r="P21" s="14">
        <f t="shared" si="5"/>
        <v>6.094117647058824E-05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35</v>
      </c>
      <c r="B22" s="4">
        <v>34</v>
      </c>
      <c r="C22" s="4" t="s">
        <v>108</v>
      </c>
      <c r="D22" s="2"/>
      <c r="E22" s="2"/>
      <c r="F22" s="10"/>
      <c r="G22" s="14">
        <f t="shared" si="0"/>
      </c>
      <c r="H22" s="14"/>
      <c r="I22" s="2"/>
      <c r="J22" s="10">
        <v>0</v>
      </c>
      <c r="K22" s="14">
        <f t="shared" si="2"/>
      </c>
      <c r="L22" s="14"/>
      <c r="M22" s="2"/>
      <c r="N22" s="10">
        <v>0</v>
      </c>
      <c r="O22" s="14">
        <f t="shared" si="4"/>
      </c>
      <c r="P22" s="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35</v>
      </c>
      <c r="B23" s="4">
        <v>35</v>
      </c>
      <c r="C23" s="4" t="s">
        <v>109</v>
      </c>
      <c r="D23" s="2"/>
      <c r="E23" s="34">
        <f>(F23-H23)*2/F23*100</f>
        <v>-5.902667815354764E-14</v>
      </c>
      <c r="F23" s="10">
        <v>1.504706765625</v>
      </c>
      <c r="G23" s="14"/>
      <c r="H23" s="14">
        <f>SUM(H5:H21)</f>
        <v>1.5047067656250004</v>
      </c>
      <c r="I23" s="34">
        <f>(J23-L23)*2/J23*100</f>
        <v>0</v>
      </c>
      <c r="J23" s="10">
        <v>1.8323747377049182</v>
      </c>
      <c r="K23" s="14"/>
      <c r="L23" s="14">
        <f>SUM(L5:L21)</f>
        <v>1.8323747377049182</v>
      </c>
      <c r="M23" s="34">
        <f>(N23-P23)*2/N23*100</f>
        <v>3.0131903038870224E-13</v>
      </c>
      <c r="N23" s="10">
        <v>1.4738173333333329</v>
      </c>
      <c r="O23" s="14"/>
      <c r="P23" s="14">
        <f>SUM(P5:P21)</f>
        <v>1.4738173333333306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E1">
      <selection activeCell="B2" sqref="B2"/>
    </sheetView>
  </sheetViews>
  <sheetFormatPr defaultColWidth="9.140625" defaultRowHeight="12.75"/>
  <cols>
    <col min="1" max="2" width="0.71875" style="0" hidden="1" customWidth="1"/>
    <col min="3" max="3" width="19.00390625" style="0" customWidth="1"/>
    <col min="5" max="5" width="6.7109375" style="0" customWidth="1"/>
    <col min="6" max="8" width="9.140625" style="40" customWidth="1"/>
    <col min="9" max="9" width="5.00390625" style="0" customWidth="1"/>
    <col min="10" max="12" width="9.140625" style="40" customWidth="1"/>
    <col min="13" max="13" width="4.00390625" style="0" customWidth="1"/>
    <col min="14" max="16" width="9.140625" style="40" customWidth="1"/>
  </cols>
  <sheetData>
    <row r="1" spans="3:16" ht="12.75">
      <c r="C1" s="7" t="s">
        <v>0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  <c r="N1" s="41" t="s">
        <v>56</v>
      </c>
      <c r="O1" s="41"/>
      <c r="P1" s="41"/>
    </row>
    <row r="2" spans="4:16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  <c r="M2" s="23"/>
      <c r="N2" s="39" t="s">
        <v>66</v>
      </c>
      <c r="O2" s="12" t="s">
        <v>66</v>
      </c>
      <c r="P2" s="12" t="s">
        <v>72</v>
      </c>
    </row>
    <row r="3" spans="3:16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  <c r="M3" s="23"/>
      <c r="N3" s="39" t="s">
        <v>73</v>
      </c>
      <c r="O3" s="12" t="s">
        <v>74</v>
      </c>
      <c r="P3" s="12" t="s">
        <v>74</v>
      </c>
    </row>
    <row r="4" spans="4:16" ht="12.75">
      <c r="D4" s="13"/>
      <c r="G4" s="14"/>
      <c r="H4" s="14"/>
      <c r="K4" s="14"/>
      <c r="L4" s="14"/>
      <c r="O4" s="14"/>
      <c r="P4" s="14"/>
    </row>
    <row r="5" spans="1:38" s="4" customFormat="1" ht="12.75">
      <c r="A5" s="4" t="s">
        <v>0</v>
      </c>
      <c r="B5" s="4">
        <v>1</v>
      </c>
      <c r="C5" s="4" t="s">
        <v>75</v>
      </c>
      <c r="D5" s="11">
        <v>1</v>
      </c>
      <c r="E5" s="2"/>
      <c r="F5" s="10">
        <v>0.015428571428571427</v>
      </c>
      <c r="G5" s="14">
        <f>IF(F5=0,"",IF(E5=1,F5/2,F5))</f>
        <v>0.015428571428571427</v>
      </c>
      <c r="H5" s="14">
        <f>IF(G5="","",G5*$D5)</f>
        <v>0.015428571428571427</v>
      </c>
      <c r="I5" s="2"/>
      <c r="J5" s="10">
        <v>0.007446017699115044</v>
      </c>
      <c r="K5" s="14">
        <f>IF(J5=0,"",IF(I5=1,J5/2,J5))</f>
        <v>0.007446017699115044</v>
      </c>
      <c r="L5" s="14">
        <f>IF(K5="","",K5*$D5)</f>
        <v>0.007446017699115044</v>
      </c>
      <c r="M5" s="2"/>
      <c r="N5" s="10">
        <v>0.010620264317180616</v>
      </c>
      <c r="O5" s="14">
        <f>IF(N5=0,"",IF(M5=1,N5/2,N5))</f>
        <v>0.010620264317180616</v>
      </c>
      <c r="P5" s="14">
        <f>IF(O5="","",O5*$D5)</f>
        <v>0.010620264317180616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0</v>
      </c>
      <c r="B6" s="4">
        <v>4</v>
      </c>
      <c r="C6" s="4" t="s">
        <v>78</v>
      </c>
      <c r="D6" s="11">
        <v>0.5</v>
      </c>
      <c r="E6" s="2"/>
      <c r="F6" s="10">
        <v>0.10011428571428571</v>
      </c>
      <c r="G6" s="14">
        <f aca="true" t="shared" si="0" ref="G6:G22">IF(F6=0,"",IF(E6=1,F6/2,F6))</f>
        <v>0.10011428571428571</v>
      </c>
      <c r="H6" s="14">
        <f aca="true" t="shared" si="1" ref="H6:H21">IF(G6="","",G6*$D6)</f>
        <v>0.050057142857142856</v>
      </c>
      <c r="I6" s="2"/>
      <c r="J6" s="10">
        <v>0.10072566371681416</v>
      </c>
      <c r="K6" s="14">
        <f aca="true" t="shared" si="2" ref="K6:K22">IF(J6=0,"",IF(I6=1,J6/2,J6))</f>
        <v>0.10072566371681416</v>
      </c>
      <c r="L6" s="14">
        <f aca="true" t="shared" si="3" ref="L6:L21">IF(K6="","",K6*$D6)</f>
        <v>0.05036283185840708</v>
      </c>
      <c r="M6" s="2"/>
      <c r="N6" s="10">
        <v>0.06636123348017621</v>
      </c>
      <c r="O6" s="14">
        <f aca="true" t="shared" si="4" ref="O6:O22">IF(N6=0,"",IF(M6=1,N6/2,N6))</f>
        <v>0.06636123348017621</v>
      </c>
      <c r="P6" s="14">
        <f aca="true" t="shared" si="5" ref="P6:P21">IF(O6="","",O6*$D6)</f>
        <v>0.033180616740088105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0</v>
      </c>
      <c r="B7" s="4">
        <v>7</v>
      </c>
      <c r="C7" s="4" t="s">
        <v>81</v>
      </c>
      <c r="D7" s="11">
        <v>0.1</v>
      </c>
      <c r="E7" s="2"/>
      <c r="F7" s="10">
        <v>0.15771428571428572</v>
      </c>
      <c r="G7" s="14">
        <f t="shared" si="0"/>
        <v>0.15771428571428572</v>
      </c>
      <c r="H7" s="14">
        <f t="shared" si="1"/>
        <v>0.01577142857142857</v>
      </c>
      <c r="I7" s="2"/>
      <c r="J7" s="10">
        <v>0.15362831858407</v>
      </c>
      <c r="K7" s="14">
        <f t="shared" si="2"/>
        <v>0.15362831858407</v>
      </c>
      <c r="L7" s="14">
        <f t="shared" si="3"/>
        <v>0.015362831858407</v>
      </c>
      <c r="M7" s="2"/>
      <c r="N7" s="10">
        <v>0.09288105726872248</v>
      </c>
      <c r="O7" s="14">
        <f t="shared" si="4"/>
        <v>0.09288105726872248</v>
      </c>
      <c r="P7" s="14">
        <f t="shared" si="5"/>
        <v>0.009288105726872248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0</v>
      </c>
      <c r="B8" s="4">
        <v>8</v>
      </c>
      <c r="C8" s="4" t="s">
        <v>82</v>
      </c>
      <c r="D8" s="11">
        <v>0.1</v>
      </c>
      <c r="E8" s="2"/>
      <c r="F8" s="10">
        <v>0.3348571428571428</v>
      </c>
      <c r="G8" s="14">
        <f t="shared" si="0"/>
        <v>0.3348571428571428</v>
      </c>
      <c r="H8" s="14">
        <f t="shared" si="1"/>
        <v>0.03348571428571428</v>
      </c>
      <c r="I8" s="2"/>
      <c r="J8" s="10">
        <v>0.3109734513274336</v>
      </c>
      <c r="K8" s="14">
        <f t="shared" si="2"/>
        <v>0.3109734513274336</v>
      </c>
      <c r="L8" s="14">
        <f t="shared" si="3"/>
        <v>0.03109734513274336</v>
      </c>
      <c r="M8" s="2"/>
      <c r="N8" s="10">
        <v>0.2084581497797357</v>
      </c>
      <c r="O8" s="14">
        <f t="shared" si="4"/>
        <v>0.2084581497797357</v>
      </c>
      <c r="P8" s="14">
        <f t="shared" si="5"/>
        <v>0.02084581497797357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0</v>
      </c>
      <c r="B9" s="4">
        <v>9</v>
      </c>
      <c r="C9" s="4" t="s">
        <v>83</v>
      </c>
      <c r="D9" s="11">
        <v>0.1</v>
      </c>
      <c r="E9" s="2"/>
      <c r="F9" s="10">
        <v>0.16114285714285712</v>
      </c>
      <c r="G9" s="14">
        <f t="shared" si="0"/>
        <v>0.16114285714285712</v>
      </c>
      <c r="H9" s="14">
        <f t="shared" si="1"/>
        <v>0.016114285714285713</v>
      </c>
      <c r="I9" s="2"/>
      <c r="J9" s="10">
        <v>0.15734513274336281</v>
      </c>
      <c r="K9" s="14">
        <f t="shared" si="2"/>
        <v>0.15734513274336281</v>
      </c>
      <c r="L9" s="14">
        <f t="shared" si="3"/>
        <v>0.01573451327433628</v>
      </c>
      <c r="M9" s="2"/>
      <c r="N9" s="10">
        <v>0.09732158590308371</v>
      </c>
      <c r="O9" s="14">
        <f t="shared" si="4"/>
        <v>0.09732158590308371</v>
      </c>
      <c r="P9" s="14">
        <f t="shared" si="5"/>
        <v>0.009732158590308371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0</v>
      </c>
      <c r="B10" s="4">
        <v>12</v>
      </c>
      <c r="C10" s="4" t="s">
        <v>86</v>
      </c>
      <c r="D10" s="11">
        <v>0.01</v>
      </c>
      <c r="E10" s="2"/>
      <c r="F10" s="10">
        <v>2.1142857142857143</v>
      </c>
      <c r="G10" s="14">
        <f t="shared" si="0"/>
        <v>2.1142857142857143</v>
      </c>
      <c r="H10" s="14">
        <f t="shared" si="1"/>
        <v>0.021142857142857144</v>
      </c>
      <c r="I10" s="2"/>
      <c r="J10" s="10">
        <v>2.230088495575221</v>
      </c>
      <c r="K10" s="14">
        <f t="shared" si="2"/>
        <v>2.230088495575221</v>
      </c>
      <c r="L10" s="14">
        <f t="shared" si="3"/>
        <v>0.022300884955752213</v>
      </c>
      <c r="M10" s="2"/>
      <c r="N10" s="10">
        <v>1.3691629955947138</v>
      </c>
      <c r="O10" s="14">
        <f t="shared" si="4"/>
        <v>1.3691629955947138</v>
      </c>
      <c r="P10" s="14">
        <f t="shared" si="5"/>
        <v>0.013691629955947138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0</v>
      </c>
      <c r="B11" s="4">
        <v>15</v>
      </c>
      <c r="C11" s="4" t="s">
        <v>89</v>
      </c>
      <c r="D11" s="11">
        <v>0.001</v>
      </c>
      <c r="E11" s="2"/>
      <c r="F11" s="10">
        <v>1.497142857142857</v>
      </c>
      <c r="G11" s="14">
        <f t="shared" si="0"/>
        <v>1.497142857142857</v>
      </c>
      <c r="H11" s="14">
        <f t="shared" si="1"/>
        <v>0.001497142857142857</v>
      </c>
      <c r="I11" s="2"/>
      <c r="J11" s="10">
        <v>1.4</v>
      </c>
      <c r="K11" s="14">
        <f t="shared" si="2"/>
        <v>1.4</v>
      </c>
      <c r="L11" s="14">
        <f t="shared" si="3"/>
        <v>0.0014</v>
      </c>
      <c r="M11" s="2"/>
      <c r="N11" s="10">
        <v>0.7968281938326</v>
      </c>
      <c r="O11" s="14">
        <f t="shared" si="4"/>
        <v>0.7968281938326</v>
      </c>
      <c r="P11" s="14">
        <f t="shared" si="5"/>
        <v>0.0007968281938326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0</v>
      </c>
      <c r="B12" s="4">
        <v>16</v>
      </c>
      <c r="C12" s="4" t="s">
        <v>90</v>
      </c>
      <c r="D12" s="11">
        <v>0.1</v>
      </c>
      <c r="E12" s="2"/>
      <c r="F12" s="10">
        <v>0.10777142857142856</v>
      </c>
      <c r="G12" s="14">
        <f t="shared" si="0"/>
        <v>0.10777142857142856</v>
      </c>
      <c r="H12" s="14">
        <f t="shared" si="1"/>
        <v>0.010777142857142857</v>
      </c>
      <c r="I12" s="2"/>
      <c r="J12" s="10">
        <v>0.14</v>
      </c>
      <c r="K12" s="14">
        <f t="shared" si="2"/>
        <v>0.14</v>
      </c>
      <c r="L12" s="14">
        <f t="shared" si="3"/>
        <v>0.014000000000000002</v>
      </c>
      <c r="M12" s="2"/>
      <c r="N12" s="10">
        <v>0.12334801762114539</v>
      </c>
      <c r="O12" s="14">
        <f t="shared" si="4"/>
        <v>0.12334801762114539</v>
      </c>
      <c r="P12" s="14">
        <f t="shared" si="5"/>
        <v>0.01233480176211454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0</v>
      </c>
      <c r="B13" s="4">
        <v>19</v>
      </c>
      <c r="C13" s="4" t="s">
        <v>93</v>
      </c>
      <c r="D13" s="11">
        <v>0.05</v>
      </c>
      <c r="E13" s="2"/>
      <c r="F13" s="10">
        <v>0.09234285714285713</v>
      </c>
      <c r="G13" s="14">
        <f t="shared" si="0"/>
        <v>0.09234285714285713</v>
      </c>
      <c r="H13" s="14">
        <f t="shared" si="1"/>
        <v>0.004617142857142857</v>
      </c>
      <c r="I13" s="2"/>
      <c r="J13" s="10">
        <v>0.07446017699115044</v>
      </c>
      <c r="K13" s="14">
        <f t="shared" si="2"/>
        <v>0.07446017699115044</v>
      </c>
      <c r="L13" s="14">
        <f t="shared" si="3"/>
        <v>0.0037230088495575223</v>
      </c>
      <c r="M13" s="2"/>
      <c r="N13" s="10">
        <v>0.05303964757709251</v>
      </c>
      <c r="O13" s="14">
        <f t="shared" si="4"/>
        <v>0.05303964757709251</v>
      </c>
      <c r="P13" s="14">
        <f t="shared" si="5"/>
        <v>0.0026519823788546254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0</v>
      </c>
      <c r="B14" s="4">
        <v>20</v>
      </c>
      <c r="C14" s="4" t="s">
        <v>94</v>
      </c>
      <c r="D14" s="11">
        <v>0.5</v>
      </c>
      <c r="E14" s="2"/>
      <c r="F14" s="10">
        <v>0.2</v>
      </c>
      <c r="G14" s="14">
        <f t="shared" si="0"/>
        <v>0.2</v>
      </c>
      <c r="H14" s="14">
        <f t="shared" si="1"/>
        <v>0.1</v>
      </c>
      <c r="I14" s="2"/>
      <c r="J14" s="10">
        <v>0.19699115044247786</v>
      </c>
      <c r="K14" s="14">
        <f t="shared" si="2"/>
        <v>0.19699115044247786</v>
      </c>
      <c r="L14" s="14">
        <f t="shared" si="3"/>
        <v>0.09849557522123893</v>
      </c>
      <c r="M14" s="2"/>
      <c r="N14" s="10">
        <v>0.1282819383259912</v>
      </c>
      <c r="O14" s="14">
        <f t="shared" si="4"/>
        <v>0.1282819383259912</v>
      </c>
      <c r="P14" s="14">
        <f t="shared" si="5"/>
        <v>0.0641409691629956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0</v>
      </c>
      <c r="B15" s="4">
        <v>23</v>
      </c>
      <c r="C15" s="4" t="s">
        <v>97</v>
      </c>
      <c r="D15" s="11">
        <v>0.1</v>
      </c>
      <c r="E15" s="2"/>
      <c r="F15" s="10">
        <v>0.0808</v>
      </c>
      <c r="G15" s="14">
        <f t="shared" si="0"/>
        <v>0.0808</v>
      </c>
      <c r="H15" s="14">
        <f t="shared" si="1"/>
        <v>0.00808</v>
      </c>
      <c r="I15" s="2"/>
      <c r="J15" s="10">
        <v>0.07446017699115044</v>
      </c>
      <c r="K15" s="14">
        <f t="shared" si="2"/>
        <v>0.07446017699115044</v>
      </c>
      <c r="L15" s="14">
        <f t="shared" si="3"/>
        <v>0.007446017699115045</v>
      </c>
      <c r="M15" s="2"/>
      <c r="N15" s="10">
        <v>0.04872246696035242</v>
      </c>
      <c r="O15" s="14">
        <f t="shared" si="4"/>
        <v>0.04872246696035242</v>
      </c>
      <c r="P15" s="14">
        <f t="shared" si="5"/>
        <v>0.004872246696035243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0</v>
      </c>
      <c r="B16" s="4">
        <v>24</v>
      </c>
      <c r="C16" s="4" t="s">
        <v>98</v>
      </c>
      <c r="D16" s="11">
        <v>0.1</v>
      </c>
      <c r="E16" s="2"/>
      <c r="F16" s="10">
        <v>0.14514285714285713</v>
      </c>
      <c r="G16" s="14">
        <f t="shared" si="0"/>
        <v>0.14514285714285713</v>
      </c>
      <c r="H16" s="14">
        <f t="shared" si="1"/>
        <v>0.014514285714285714</v>
      </c>
      <c r="I16" s="2"/>
      <c r="J16" s="10">
        <v>0.08808849557522123</v>
      </c>
      <c r="K16" s="14">
        <f t="shared" si="2"/>
        <v>0.08808849557522123</v>
      </c>
      <c r="L16" s="14">
        <f t="shared" si="3"/>
        <v>0.008808849557522124</v>
      </c>
      <c r="M16" s="2"/>
      <c r="N16" s="10">
        <v>0.062044052863436124</v>
      </c>
      <c r="O16" s="14">
        <f t="shared" si="4"/>
        <v>0.062044052863436124</v>
      </c>
      <c r="P16" s="14">
        <f t="shared" si="5"/>
        <v>0.0062044052863436125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0</v>
      </c>
      <c r="B17" s="4">
        <v>25</v>
      </c>
      <c r="C17" s="4" t="s">
        <v>99</v>
      </c>
      <c r="D17" s="11">
        <v>0.1</v>
      </c>
      <c r="E17" s="2"/>
      <c r="F17" s="10">
        <v>0.015314285714285714</v>
      </c>
      <c r="G17" s="14">
        <f t="shared" si="0"/>
        <v>0.015314285714285714</v>
      </c>
      <c r="H17" s="14">
        <f t="shared" si="1"/>
        <v>0.0015314285714285716</v>
      </c>
      <c r="I17" s="2"/>
      <c r="J17" s="10">
        <v>0.014991150442477875</v>
      </c>
      <c r="K17" s="14">
        <f t="shared" si="2"/>
        <v>0.014991150442477875</v>
      </c>
      <c r="L17" s="14">
        <f t="shared" si="3"/>
        <v>0.0014991150442477876</v>
      </c>
      <c r="M17" s="2"/>
      <c r="N17" s="10">
        <v>0.0090784140969163</v>
      </c>
      <c r="O17" s="14">
        <f t="shared" si="4"/>
        <v>0.0090784140969163</v>
      </c>
      <c r="P17" s="14">
        <f t="shared" si="5"/>
        <v>0.00090784140969163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0</v>
      </c>
      <c r="B18" s="4">
        <v>26</v>
      </c>
      <c r="C18" s="4" t="s">
        <v>100</v>
      </c>
      <c r="D18" s="11">
        <v>0.1</v>
      </c>
      <c r="E18" s="2"/>
      <c r="F18" s="10">
        <v>0.0825142857142857</v>
      </c>
      <c r="G18" s="14">
        <f t="shared" si="0"/>
        <v>0.0825142857142857</v>
      </c>
      <c r="H18" s="14">
        <f t="shared" si="1"/>
        <v>0.008251428571428571</v>
      </c>
      <c r="I18" s="2"/>
      <c r="J18" s="10">
        <v>0.05946902654867257</v>
      </c>
      <c r="K18" s="14">
        <f t="shared" si="2"/>
        <v>0.05946902654867257</v>
      </c>
      <c r="L18" s="14">
        <f t="shared" si="3"/>
        <v>0.005946902654867257</v>
      </c>
      <c r="M18" s="2"/>
      <c r="N18" s="10">
        <v>0.03762114537444934</v>
      </c>
      <c r="O18" s="14">
        <f t="shared" si="4"/>
        <v>0.03762114537444934</v>
      </c>
      <c r="P18" s="14">
        <f t="shared" si="5"/>
        <v>0.0037621145374449345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0</v>
      </c>
      <c r="B19" s="4">
        <v>29</v>
      </c>
      <c r="C19" s="4" t="s">
        <v>103</v>
      </c>
      <c r="D19" s="11">
        <v>0.01</v>
      </c>
      <c r="E19" s="2"/>
      <c r="F19" s="10">
        <v>0.208</v>
      </c>
      <c r="G19" s="14">
        <f t="shared" si="0"/>
        <v>0.208</v>
      </c>
      <c r="H19" s="14">
        <f t="shared" si="1"/>
        <v>0.00208</v>
      </c>
      <c r="I19" s="2"/>
      <c r="J19" s="10">
        <v>0.1846017699115044</v>
      </c>
      <c r="K19" s="14">
        <f t="shared" si="2"/>
        <v>0.1846017699115044</v>
      </c>
      <c r="L19" s="14">
        <f t="shared" si="3"/>
        <v>0.001846017699115044</v>
      </c>
      <c r="M19" s="2"/>
      <c r="N19" s="10">
        <v>0.10632599118942732</v>
      </c>
      <c r="O19" s="14">
        <f t="shared" si="4"/>
        <v>0.10632599118942732</v>
      </c>
      <c r="P19" s="14">
        <f t="shared" si="5"/>
        <v>0.0010632599118942732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0</v>
      </c>
      <c r="B20" s="4">
        <v>30</v>
      </c>
      <c r="C20" s="4" t="s">
        <v>104</v>
      </c>
      <c r="D20" s="11">
        <v>0.01</v>
      </c>
      <c r="E20" s="2"/>
      <c r="F20" s="10">
        <v>0.029028571428571424</v>
      </c>
      <c r="G20" s="14">
        <f t="shared" si="0"/>
        <v>0.029028571428571424</v>
      </c>
      <c r="H20" s="14">
        <f t="shared" si="1"/>
        <v>0.0002902857142857142</v>
      </c>
      <c r="I20" s="2"/>
      <c r="J20" s="10">
        <v>0.024654867256637167</v>
      </c>
      <c r="K20" s="14">
        <f t="shared" si="2"/>
        <v>0.024654867256637167</v>
      </c>
      <c r="L20" s="14">
        <f t="shared" si="3"/>
        <v>0.00024654867256637165</v>
      </c>
      <c r="M20" s="2"/>
      <c r="N20" s="10">
        <v>0.011964757709251102</v>
      </c>
      <c r="O20" s="14">
        <f t="shared" si="4"/>
        <v>0.011964757709251102</v>
      </c>
      <c r="P20" s="14">
        <f t="shared" si="5"/>
        <v>0.00011964757709251101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0</v>
      </c>
      <c r="B21" s="4">
        <v>33</v>
      </c>
      <c r="C21" s="4" t="s">
        <v>107</v>
      </c>
      <c r="D21" s="11">
        <v>0.001</v>
      </c>
      <c r="E21" s="2"/>
      <c r="F21" s="10">
        <v>0.03805714285714286</v>
      </c>
      <c r="G21" s="14">
        <f t="shared" si="0"/>
        <v>0.03805714285714286</v>
      </c>
      <c r="H21" s="14">
        <f t="shared" si="1"/>
        <v>3.805714285714286E-05</v>
      </c>
      <c r="I21" s="2"/>
      <c r="J21" s="10">
        <v>0.03431858407079646</v>
      </c>
      <c r="K21" s="14">
        <f t="shared" si="2"/>
        <v>0.03431858407079646</v>
      </c>
      <c r="L21" s="14">
        <f t="shared" si="3"/>
        <v>3.431858407079646E-05</v>
      </c>
      <c r="M21" s="2"/>
      <c r="N21" s="10">
        <v>0.017268722466960353</v>
      </c>
      <c r="O21" s="14">
        <f t="shared" si="4"/>
        <v>0.017268722466960353</v>
      </c>
      <c r="P21" s="14">
        <f t="shared" si="5"/>
        <v>1.7268722466960353E-05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0</v>
      </c>
      <c r="B22" s="4">
        <v>34</v>
      </c>
      <c r="C22" s="4" t="s">
        <v>108</v>
      </c>
      <c r="D22" s="2"/>
      <c r="E22" s="2"/>
      <c r="F22" s="10">
        <v>0</v>
      </c>
      <c r="G22" s="14">
        <f t="shared" si="0"/>
      </c>
      <c r="H22" s="14"/>
      <c r="I22" s="2"/>
      <c r="J22" s="10">
        <v>0</v>
      </c>
      <c r="K22" s="14">
        <f t="shared" si="2"/>
      </c>
      <c r="L22" s="14"/>
      <c r="M22" s="2"/>
      <c r="N22" s="10">
        <v>0</v>
      </c>
      <c r="O22" s="14">
        <f t="shared" si="4"/>
      </c>
      <c r="P22" s="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0</v>
      </c>
      <c r="B23" s="4">
        <v>35</v>
      </c>
      <c r="C23" s="4" t="s">
        <v>109</v>
      </c>
      <c r="D23" s="2"/>
      <c r="E23" s="34">
        <f>(F23-H23)*2/F23*100</f>
        <v>0</v>
      </c>
      <c r="F23" s="10">
        <v>0.30367691428571425</v>
      </c>
      <c r="G23" s="14"/>
      <c r="H23" s="14">
        <f>SUM(H5:H21)</f>
        <v>0.30367691428571425</v>
      </c>
      <c r="I23" s="34">
        <f>(J23-L23)*2/J23*100</f>
        <v>7.770568671335091E-14</v>
      </c>
      <c r="J23" s="10">
        <v>0.285750778761062</v>
      </c>
      <c r="K23" s="14"/>
      <c r="L23" s="14">
        <f>SUM(L5:L21)</f>
        <v>0.28575077876106186</v>
      </c>
      <c r="M23" s="34">
        <f>(N23-P23)*2/N23*100</f>
        <v>0</v>
      </c>
      <c r="N23" s="10">
        <v>0.1942299559471366</v>
      </c>
      <c r="O23" s="14"/>
      <c r="P23" s="14">
        <f>SUM(P5:P21)</f>
        <v>0.1942299559471366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D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2.00390625" style="0" customWidth="1"/>
    <col min="5" max="5" width="5.140625" style="0" customWidth="1"/>
    <col min="6" max="8" width="9.140625" style="40" customWidth="1"/>
    <col min="9" max="9" width="4.7109375" style="0" customWidth="1"/>
    <col min="10" max="12" width="9.140625" style="40" customWidth="1"/>
    <col min="13" max="13" width="3.57421875" style="0" customWidth="1"/>
    <col min="14" max="16" width="9.140625" style="40" customWidth="1"/>
  </cols>
  <sheetData>
    <row r="1" spans="3:16" ht="12.75">
      <c r="C1" s="7" t="s">
        <v>26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  <c r="N1" s="41" t="s">
        <v>56</v>
      </c>
      <c r="O1" s="41"/>
      <c r="P1" s="41"/>
    </row>
    <row r="2" spans="4:16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  <c r="M2" s="23"/>
      <c r="N2" s="39" t="s">
        <v>66</v>
      </c>
      <c r="O2" s="12" t="s">
        <v>66</v>
      </c>
      <c r="P2" s="12" t="s">
        <v>72</v>
      </c>
    </row>
    <row r="3" spans="3:16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  <c r="M3" s="23"/>
      <c r="N3" s="39" t="s">
        <v>73</v>
      </c>
      <c r="O3" s="12" t="s">
        <v>74</v>
      </c>
      <c r="P3" s="12" t="s">
        <v>74</v>
      </c>
    </row>
    <row r="4" spans="4:16" ht="12.75">
      <c r="D4" s="13"/>
      <c r="G4" s="14"/>
      <c r="H4" s="14"/>
      <c r="K4" s="14"/>
      <c r="L4" s="14"/>
      <c r="O4" s="14"/>
      <c r="P4" s="14"/>
    </row>
    <row r="5" spans="1:38" s="4" customFormat="1" ht="12.75">
      <c r="A5" s="4" t="s">
        <v>26</v>
      </c>
      <c r="B5" s="4">
        <v>1</v>
      </c>
      <c r="C5" s="4" t="s">
        <v>75</v>
      </c>
      <c r="D5" s="11">
        <v>1</v>
      </c>
      <c r="E5" s="2"/>
      <c r="F5" s="10">
        <v>0.004433333333333333</v>
      </c>
      <c r="G5" s="14">
        <f>IF(F5=0,"",IF(E5=1,F5/2,F5))</f>
        <v>0.004433333333333333</v>
      </c>
      <c r="H5" s="14">
        <f>IF(G5="","",G5*$D5)</f>
        <v>0.004433333333333333</v>
      </c>
      <c r="I5" s="2"/>
      <c r="J5" s="10">
        <v>0.002835</v>
      </c>
      <c r="K5" s="14">
        <f>IF(J5=0,"",IF(I5=1,J5/2,J5))</f>
        <v>0.002835</v>
      </c>
      <c r="L5" s="14">
        <f>IF(K5="","",K5*$D5)</f>
        <v>0.002835</v>
      </c>
      <c r="M5" s="2"/>
      <c r="N5" s="10">
        <v>0.0095375</v>
      </c>
      <c r="O5" s="14">
        <f>IF(N5=0,"",IF(M5=1,N5/2,N5))</f>
        <v>0.0095375</v>
      </c>
      <c r="P5" s="14">
        <f>IF(O5="","",O5*$D5)</f>
        <v>0.0095375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26</v>
      </c>
      <c r="B6" s="4">
        <v>4</v>
      </c>
      <c r="C6" s="4" t="s">
        <v>78</v>
      </c>
      <c r="D6" s="11">
        <v>0.5</v>
      </c>
      <c r="E6" s="2"/>
      <c r="F6" s="10">
        <v>0.022166666666666668</v>
      </c>
      <c r="G6" s="14">
        <f aca="true" t="shared" si="0" ref="G6:G22">IF(F6=0,"",IF(E6=1,F6/2,F6))</f>
        <v>0.022166666666666668</v>
      </c>
      <c r="H6" s="14">
        <f aca="true" t="shared" si="1" ref="H6:H21">IF(G6="","",G6*$D6)</f>
        <v>0.011083333333333334</v>
      </c>
      <c r="I6" s="2"/>
      <c r="J6" s="10">
        <v>0.0217</v>
      </c>
      <c r="K6" s="14">
        <f aca="true" t="shared" si="2" ref="K6:K22">IF(J6=0,"",IF(I6=1,J6/2,J6))</f>
        <v>0.0217</v>
      </c>
      <c r="L6" s="14">
        <f aca="true" t="shared" si="3" ref="L6:L21">IF(K6="","",K6*$D6)</f>
        <v>0.01085</v>
      </c>
      <c r="M6" s="2"/>
      <c r="N6" s="10">
        <v>0.023515625</v>
      </c>
      <c r="O6" s="14">
        <f aca="true" t="shared" si="4" ref="O6:O22">IF(N6=0,"",IF(M6=1,N6/2,N6))</f>
        <v>0.023515625</v>
      </c>
      <c r="P6" s="14">
        <f aca="true" t="shared" si="5" ref="P6:P21">IF(O6="","",O6*$D6)</f>
        <v>0.0117578125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26</v>
      </c>
      <c r="B7" s="4">
        <v>7</v>
      </c>
      <c r="C7" s="4" t="s">
        <v>81</v>
      </c>
      <c r="D7" s="11">
        <v>0.1</v>
      </c>
      <c r="E7" s="2"/>
      <c r="F7" s="10">
        <v>0.016566666666666667</v>
      </c>
      <c r="G7" s="14">
        <f t="shared" si="0"/>
        <v>0.016566666666666667</v>
      </c>
      <c r="H7" s="14">
        <f t="shared" si="1"/>
        <v>0.0016566666666666667</v>
      </c>
      <c r="I7" s="2"/>
      <c r="J7" s="10">
        <v>0.016216666666666667</v>
      </c>
      <c r="K7" s="14">
        <f t="shared" si="2"/>
        <v>0.016216666666666667</v>
      </c>
      <c r="L7" s="14">
        <f t="shared" si="3"/>
        <v>0.0016216666666666669</v>
      </c>
      <c r="M7" s="2"/>
      <c r="N7" s="10">
        <v>0.020890625</v>
      </c>
      <c r="O7" s="14">
        <f t="shared" si="4"/>
        <v>0.020890625</v>
      </c>
      <c r="P7" s="14">
        <f t="shared" si="5"/>
        <v>0.0020890625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26</v>
      </c>
      <c r="B8" s="4">
        <v>8</v>
      </c>
      <c r="C8" s="4" t="s">
        <v>82</v>
      </c>
      <c r="D8" s="11">
        <v>0.1</v>
      </c>
      <c r="E8" s="2"/>
      <c r="F8" s="10">
        <v>0.0483</v>
      </c>
      <c r="G8" s="14">
        <f t="shared" si="0"/>
        <v>0.0483</v>
      </c>
      <c r="H8" s="14">
        <f t="shared" si="1"/>
        <v>0.004830000000000001</v>
      </c>
      <c r="I8" s="2"/>
      <c r="J8" s="10">
        <v>0.04165</v>
      </c>
      <c r="K8" s="14">
        <f t="shared" si="2"/>
        <v>0.04165</v>
      </c>
      <c r="L8" s="14">
        <f t="shared" si="3"/>
        <v>0.004165</v>
      </c>
      <c r="M8" s="2"/>
      <c r="N8" s="10">
        <v>0.055015625</v>
      </c>
      <c r="O8" s="14">
        <f t="shared" si="4"/>
        <v>0.055015625</v>
      </c>
      <c r="P8" s="14">
        <f t="shared" si="5"/>
        <v>0.0055015625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26</v>
      </c>
      <c r="B9" s="4">
        <v>9</v>
      </c>
      <c r="C9" s="4" t="s">
        <v>83</v>
      </c>
      <c r="D9" s="11">
        <v>0.1</v>
      </c>
      <c r="E9" s="2"/>
      <c r="F9" s="10">
        <v>0.019716666666666667</v>
      </c>
      <c r="G9" s="14">
        <f t="shared" si="0"/>
        <v>0.019716666666666667</v>
      </c>
      <c r="H9" s="14">
        <f t="shared" si="1"/>
        <v>0.0019716666666666667</v>
      </c>
      <c r="I9" s="2"/>
      <c r="J9" s="10">
        <v>0.014583333333333335</v>
      </c>
      <c r="K9" s="14">
        <f t="shared" si="2"/>
        <v>0.014583333333333335</v>
      </c>
      <c r="L9" s="14">
        <f t="shared" si="3"/>
        <v>0.0014583333333333336</v>
      </c>
      <c r="M9" s="2"/>
      <c r="N9" s="10">
        <v>0.023515625</v>
      </c>
      <c r="O9" s="14">
        <f t="shared" si="4"/>
        <v>0.023515625</v>
      </c>
      <c r="P9" s="14">
        <f t="shared" si="5"/>
        <v>0.0023515625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26</v>
      </c>
      <c r="B10" s="4">
        <v>12</v>
      </c>
      <c r="C10" s="4" t="s">
        <v>86</v>
      </c>
      <c r="D10" s="11">
        <v>0.01</v>
      </c>
      <c r="E10" s="2"/>
      <c r="F10" s="10">
        <v>0.2975</v>
      </c>
      <c r="G10" s="14">
        <f t="shared" si="0"/>
        <v>0.2975</v>
      </c>
      <c r="H10" s="14">
        <f t="shared" si="1"/>
        <v>0.0029749999999999998</v>
      </c>
      <c r="I10" s="2"/>
      <c r="J10" s="10">
        <v>0.2625</v>
      </c>
      <c r="K10" s="14">
        <f t="shared" si="2"/>
        <v>0.2625</v>
      </c>
      <c r="L10" s="14">
        <f t="shared" si="3"/>
        <v>0.002625</v>
      </c>
      <c r="M10" s="2"/>
      <c r="N10" s="10">
        <v>0.31609375</v>
      </c>
      <c r="O10" s="14">
        <f t="shared" si="4"/>
        <v>0.31609375</v>
      </c>
      <c r="P10" s="14">
        <f t="shared" si="5"/>
        <v>0.0031609375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26</v>
      </c>
      <c r="B11" s="4">
        <v>15</v>
      </c>
      <c r="C11" s="4" t="s">
        <v>89</v>
      </c>
      <c r="D11" s="11">
        <v>0.001</v>
      </c>
      <c r="E11" s="2"/>
      <c r="F11" s="10">
        <v>0.3056666666666667</v>
      </c>
      <c r="G11" s="14">
        <f t="shared" si="0"/>
        <v>0.3056666666666667</v>
      </c>
      <c r="H11" s="14">
        <f t="shared" si="1"/>
        <v>0.0003056666666666667</v>
      </c>
      <c r="I11" s="2"/>
      <c r="J11" s="10">
        <v>0.32433333333333336</v>
      </c>
      <c r="K11" s="14">
        <f t="shared" si="2"/>
        <v>0.32433333333333336</v>
      </c>
      <c r="L11" s="14">
        <f t="shared" si="3"/>
        <v>0.0003243333333333334</v>
      </c>
      <c r="M11" s="2"/>
      <c r="N11" s="10">
        <v>0.25703125</v>
      </c>
      <c r="O11" s="14">
        <f t="shared" si="4"/>
        <v>0.25703125</v>
      </c>
      <c r="P11" s="14">
        <f t="shared" si="5"/>
        <v>0.00025703125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26</v>
      </c>
      <c r="B12" s="4">
        <v>16</v>
      </c>
      <c r="C12" s="4" t="s">
        <v>90</v>
      </c>
      <c r="D12" s="11">
        <v>0.1</v>
      </c>
      <c r="E12" s="2"/>
      <c r="F12" s="10">
        <v>0.12833333333333335</v>
      </c>
      <c r="G12" s="14">
        <f t="shared" si="0"/>
        <v>0.12833333333333335</v>
      </c>
      <c r="H12" s="14">
        <f t="shared" si="1"/>
        <v>0.012833333333333335</v>
      </c>
      <c r="I12" s="2"/>
      <c r="J12" s="10">
        <v>0.0791</v>
      </c>
      <c r="K12" s="14">
        <f t="shared" si="2"/>
        <v>0.0791</v>
      </c>
      <c r="L12" s="14">
        <f t="shared" si="3"/>
        <v>0.00791</v>
      </c>
      <c r="M12" s="2"/>
      <c r="N12" s="10">
        <v>0.044078125</v>
      </c>
      <c r="O12" s="14">
        <f t="shared" si="4"/>
        <v>0.044078125</v>
      </c>
      <c r="P12" s="14">
        <f t="shared" si="5"/>
        <v>0.0044078125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26</v>
      </c>
      <c r="B13" s="4">
        <v>19</v>
      </c>
      <c r="C13" s="4" t="s">
        <v>93</v>
      </c>
      <c r="D13" s="11">
        <v>0.05</v>
      </c>
      <c r="E13" s="2"/>
      <c r="F13" s="10">
        <v>0.04025</v>
      </c>
      <c r="G13" s="14">
        <f t="shared" si="0"/>
        <v>0.04025</v>
      </c>
      <c r="H13" s="14">
        <f t="shared" si="1"/>
        <v>0.0020125</v>
      </c>
      <c r="I13" s="2"/>
      <c r="J13" s="10">
        <v>0.04585</v>
      </c>
      <c r="K13" s="14">
        <f t="shared" si="2"/>
        <v>0.04585</v>
      </c>
      <c r="L13" s="14">
        <f t="shared" si="3"/>
        <v>0.0022925000000000003</v>
      </c>
      <c r="M13" s="2"/>
      <c r="N13" s="10">
        <v>0.3040625</v>
      </c>
      <c r="O13" s="14">
        <f t="shared" si="4"/>
        <v>0.3040625</v>
      </c>
      <c r="P13" s="14">
        <f t="shared" si="5"/>
        <v>0.015203125000000001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26</v>
      </c>
      <c r="B14" s="4">
        <v>20</v>
      </c>
      <c r="C14" s="4" t="s">
        <v>94</v>
      </c>
      <c r="D14" s="11">
        <v>0.5</v>
      </c>
      <c r="E14" s="2"/>
      <c r="F14" s="10">
        <v>0.12133333333333333</v>
      </c>
      <c r="G14" s="14">
        <f t="shared" si="0"/>
        <v>0.12133333333333333</v>
      </c>
      <c r="H14" s="14">
        <f t="shared" si="1"/>
        <v>0.06066666666666667</v>
      </c>
      <c r="I14" s="2"/>
      <c r="J14" s="10">
        <v>0.10418333333333335</v>
      </c>
      <c r="K14" s="14">
        <f t="shared" si="2"/>
        <v>0.10418333333333335</v>
      </c>
      <c r="L14" s="14">
        <f t="shared" si="3"/>
        <v>0.052091666666666675</v>
      </c>
      <c r="M14" s="2"/>
      <c r="N14" s="10">
        <v>0.077109375</v>
      </c>
      <c r="O14" s="14">
        <f t="shared" si="4"/>
        <v>0.077109375</v>
      </c>
      <c r="P14" s="14">
        <f t="shared" si="5"/>
        <v>0.0385546875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26</v>
      </c>
      <c r="B15" s="4">
        <v>23</v>
      </c>
      <c r="C15" s="4" t="s">
        <v>97</v>
      </c>
      <c r="D15" s="11">
        <v>0.1</v>
      </c>
      <c r="E15" s="2"/>
      <c r="F15" s="10">
        <v>0.02135</v>
      </c>
      <c r="G15" s="14">
        <f t="shared" si="0"/>
        <v>0.02135</v>
      </c>
      <c r="H15" s="14">
        <f t="shared" si="1"/>
        <v>0.002135</v>
      </c>
      <c r="I15" s="2"/>
      <c r="J15" s="10">
        <v>0.018316666666666665</v>
      </c>
      <c r="K15" s="14">
        <f t="shared" si="2"/>
        <v>0.018316666666666665</v>
      </c>
      <c r="L15" s="14">
        <f t="shared" si="3"/>
        <v>0.0018316666666666666</v>
      </c>
      <c r="M15" s="2"/>
      <c r="N15" s="10">
        <v>0.018703125</v>
      </c>
      <c r="O15" s="14">
        <f t="shared" si="4"/>
        <v>0.018703125</v>
      </c>
      <c r="P15" s="14">
        <f t="shared" si="5"/>
        <v>0.0018703125000000002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26</v>
      </c>
      <c r="B16" s="4">
        <v>24</v>
      </c>
      <c r="C16" s="4" t="s">
        <v>98</v>
      </c>
      <c r="D16" s="11">
        <v>0.1</v>
      </c>
      <c r="E16" s="2"/>
      <c r="F16" s="10">
        <v>0.019366666666666667</v>
      </c>
      <c r="G16" s="14">
        <f t="shared" si="0"/>
        <v>0.019366666666666667</v>
      </c>
      <c r="H16" s="14">
        <f t="shared" si="1"/>
        <v>0.0019366666666666668</v>
      </c>
      <c r="I16" s="2"/>
      <c r="J16" s="10">
        <v>0.01435</v>
      </c>
      <c r="K16" s="14">
        <f t="shared" si="2"/>
        <v>0.01435</v>
      </c>
      <c r="L16" s="14">
        <f t="shared" si="3"/>
        <v>0.001435</v>
      </c>
      <c r="M16" s="2"/>
      <c r="N16" s="10">
        <v>0.0170625</v>
      </c>
      <c r="O16" s="14">
        <f t="shared" si="4"/>
        <v>0.0170625</v>
      </c>
      <c r="P16" s="14">
        <f t="shared" si="5"/>
        <v>0.0017062500000000003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26</v>
      </c>
      <c r="B17" s="4">
        <v>25</v>
      </c>
      <c r="C17" s="4" t="s">
        <v>99</v>
      </c>
      <c r="D17" s="11">
        <v>0.1</v>
      </c>
      <c r="E17" s="2"/>
      <c r="F17" s="10">
        <v>0.020533333333333337</v>
      </c>
      <c r="G17" s="14">
        <f t="shared" si="0"/>
        <v>0.020533333333333337</v>
      </c>
      <c r="H17" s="14">
        <f t="shared" si="1"/>
        <v>0.0020533333333333337</v>
      </c>
      <c r="I17" s="2"/>
      <c r="J17" s="10">
        <v>0.01796666666666667</v>
      </c>
      <c r="K17" s="14">
        <f t="shared" si="2"/>
        <v>0.01796666666666667</v>
      </c>
      <c r="L17" s="14">
        <f t="shared" si="3"/>
        <v>0.001796666666666667</v>
      </c>
      <c r="M17" s="2"/>
      <c r="N17" s="10">
        <v>0.018703125</v>
      </c>
      <c r="O17" s="14">
        <f t="shared" si="4"/>
        <v>0.018703125</v>
      </c>
      <c r="P17" s="14">
        <f t="shared" si="5"/>
        <v>0.0018703125000000002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26</v>
      </c>
      <c r="B18" s="4">
        <v>26</v>
      </c>
      <c r="C18" s="4" t="s">
        <v>100</v>
      </c>
      <c r="D18" s="11">
        <v>0.1</v>
      </c>
      <c r="E18" s="2"/>
      <c r="F18" s="10">
        <v>0.03021666666666667</v>
      </c>
      <c r="G18" s="14">
        <f t="shared" si="0"/>
        <v>0.03021666666666667</v>
      </c>
      <c r="H18" s="14">
        <f t="shared" si="1"/>
        <v>0.0030216666666666673</v>
      </c>
      <c r="I18" s="2"/>
      <c r="J18" s="10">
        <v>0.024966666666666668</v>
      </c>
      <c r="K18" s="14">
        <f t="shared" si="2"/>
        <v>0.024966666666666668</v>
      </c>
      <c r="L18" s="14">
        <f t="shared" si="3"/>
        <v>0.002496666666666667</v>
      </c>
      <c r="M18" s="2"/>
      <c r="N18" s="10">
        <v>0.0275625</v>
      </c>
      <c r="O18" s="14">
        <f t="shared" si="4"/>
        <v>0.0275625</v>
      </c>
      <c r="P18" s="14">
        <f t="shared" si="5"/>
        <v>0.00275625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26</v>
      </c>
      <c r="B19" s="4">
        <v>29</v>
      </c>
      <c r="C19" s="4" t="s">
        <v>103</v>
      </c>
      <c r="D19" s="11">
        <v>0.01</v>
      </c>
      <c r="E19" s="2"/>
      <c r="F19" s="10">
        <v>0.04025</v>
      </c>
      <c r="G19" s="14">
        <f t="shared" si="0"/>
        <v>0.04025</v>
      </c>
      <c r="H19" s="14">
        <f t="shared" si="1"/>
        <v>0.0004025</v>
      </c>
      <c r="I19" s="2"/>
      <c r="J19" s="10">
        <v>0.03453333333333334</v>
      </c>
      <c r="K19" s="14">
        <f t="shared" si="2"/>
        <v>0.03453333333333334</v>
      </c>
      <c r="L19" s="14">
        <f t="shared" si="3"/>
        <v>0.0003453333333333334</v>
      </c>
      <c r="M19" s="2"/>
      <c r="N19" s="10">
        <v>0.0363125</v>
      </c>
      <c r="O19" s="14">
        <f t="shared" si="4"/>
        <v>0.0363125</v>
      </c>
      <c r="P19" s="14">
        <f t="shared" si="5"/>
        <v>0.000363125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26</v>
      </c>
      <c r="B20" s="4">
        <v>30</v>
      </c>
      <c r="C20" s="4" t="s">
        <v>104</v>
      </c>
      <c r="D20" s="11">
        <v>0.01</v>
      </c>
      <c r="E20" s="2"/>
      <c r="F20" s="10">
        <v>0.009263333333333333</v>
      </c>
      <c r="G20" s="14">
        <f t="shared" si="0"/>
        <v>0.009263333333333333</v>
      </c>
      <c r="H20" s="14">
        <f t="shared" si="1"/>
        <v>9.263333333333334E-05</v>
      </c>
      <c r="I20" s="2"/>
      <c r="J20" s="10">
        <v>0.005203333333333334</v>
      </c>
      <c r="K20" s="14">
        <f t="shared" si="2"/>
        <v>0.005203333333333334</v>
      </c>
      <c r="L20" s="14">
        <f t="shared" si="3"/>
        <v>5.203333333333334E-05</v>
      </c>
      <c r="M20" s="2"/>
      <c r="N20" s="10">
        <v>0.0106421875</v>
      </c>
      <c r="O20" s="14">
        <f t="shared" si="4"/>
        <v>0.0106421875</v>
      </c>
      <c r="P20" s="14">
        <f t="shared" si="5"/>
        <v>0.000106421875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26</v>
      </c>
      <c r="B21" s="4">
        <v>33</v>
      </c>
      <c r="C21" s="4" t="s">
        <v>107</v>
      </c>
      <c r="D21" s="11">
        <v>0.001</v>
      </c>
      <c r="E21" s="2"/>
      <c r="F21" s="10">
        <v>0.00805</v>
      </c>
      <c r="G21" s="14">
        <f t="shared" si="0"/>
        <v>0.00805</v>
      </c>
      <c r="H21" s="14">
        <f t="shared" si="1"/>
        <v>8.050000000000001E-06</v>
      </c>
      <c r="I21" s="2"/>
      <c r="J21" s="10">
        <v>0.007081666666666667</v>
      </c>
      <c r="K21" s="14">
        <f t="shared" si="2"/>
        <v>0.007081666666666667</v>
      </c>
      <c r="L21" s="14">
        <f t="shared" si="3"/>
        <v>7.081666666666667E-06</v>
      </c>
      <c r="M21" s="2"/>
      <c r="N21" s="10">
        <v>0.0476875</v>
      </c>
      <c r="O21" s="14">
        <f t="shared" si="4"/>
        <v>0.0476875</v>
      </c>
      <c r="P21" s="14">
        <f t="shared" si="5"/>
        <v>4.76875E-05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26</v>
      </c>
      <c r="B22" s="4">
        <v>34</v>
      </c>
      <c r="C22" s="4" t="s">
        <v>108</v>
      </c>
      <c r="D22" s="2"/>
      <c r="E22" s="2"/>
      <c r="F22" s="10"/>
      <c r="G22" s="14">
        <f t="shared" si="0"/>
      </c>
      <c r="H22" s="14"/>
      <c r="I22" s="2"/>
      <c r="J22" s="10"/>
      <c r="K22" s="14">
        <f t="shared" si="2"/>
      </c>
      <c r="L22" s="14"/>
      <c r="M22" s="2"/>
      <c r="N22" s="10"/>
      <c r="O22" s="14">
        <f t="shared" si="4"/>
      </c>
      <c r="P22" s="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26</v>
      </c>
      <c r="B23" s="4">
        <v>35</v>
      </c>
      <c r="C23" s="4" t="s">
        <v>109</v>
      </c>
      <c r="D23" s="2"/>
      <c r="E23" s="34">
        <f>(F23-H23)*2/F23*100</f>
        <v>2.468961509784293E-14</v>
      </c>
      <c r="F23" s="10">
        <v>0.11241801666666668</v>
      </c>
      <c r="G23" s="14"/>
      <c r="H23" s="14">
        <f>SUM(H5:H21)</f>
        <v>0.11241801666666666</v>
      </c>
      <c r="I23" s="34">
        <f>(J23-L23)*2/J23*100</f>
        <v>0</v>
      </c>
      <c r="J23" s="10">
        <v>0.09413794833333336</v>
      </c>
      <c r="K23" s="14"/>
      <c r="L23" s="14">
        <f>SUM(L5:L21)</f>
        <v>0.09413794833333336</v>
      </c>
      <c r="M23" s="34">
        <f>(N23-P23)*2/N23*100</f>
        <v>-2.7334231253772903E-14</v>
      </c>
      <c r="N23" s="10">
        <v>0.101541453125</v>
      </c>
      <c r="O23" s="14"/>
      <c r="P23" s="14">
        <f>SUM(P5:P21)</f>
        <v>0.10154145312500001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D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8.140625" style="0" customWidth="1"/>
    <col min="5" max="5" width="5.421875" style="0" customWidth="1"/>
    <col min="6" max="8" width="9.140625" style="40" customWidth="1"/>
    <col min="9" max="9" width="5.00390625" style="0" customWidth="1"/>
    <col min="10" max="12" width="9.140625" style="40" customWidth="1"/>
    <col min="13" max="13" width="3.8515625" style="0" customWidth="1"/>
    <col min="14" max="16" width="9.140625" style="40" customWidth="1"/>
  </cols>
  <sheetData>
    <row r="1" spans="3:16" ht="12.75">
      <c r="C1" s="7" t="s">
        <v>27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  <c r="N1" s="41" t="s">
        <v>56</v>
      </c>
      <c r="O1" s="41"/>
      <c r="P1" s="41"/>
    </row>
    <row r="2" spans="4:16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  <c r="M2" s="23"/>
      <c r="N2" s="39" t="s">
        <v>66</v>
      </c>
      <c r="O2" s="12" t="s">
        <v>66</v>
      </c>
      <c r="P2" s="12" t="s">
        <v>72</v>
      </c>
    </row>
    <row r="3" spans="3:16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  <c r="M3" s="23"/>
      <c r="N3" s="39" t="s">
        <v>73</v>
      </c>
      <c r="O3" s="12" t="s">
        <v>74</v>
      </c>
      <c r="P3" s="12" t="s">
        <v>74</v>
      </c>
    </row>
    <row r="4" spans="4:16" ht="12.75">
      <c r="D4" s="13"/>
      <c r="G4" s="14"/>
      <c r="H4" s="14"/>
      <c r="K4" s="14"/>
      <c r="L4" s="14"/>
      <c r="O4" s="14"/>
      <c r="P4" s="14"/>
    </row>
    <row r="5" spans="1:32" s="4" customFormat="1" ht="12.75">
      <c r="A5" s="4" t="s">
        <v>27</v>
      </c>
      <c r="B5" s="4">
        <v>1</v>
      </c>
      <c r="C5" s="4" t="s">
        <v>75</v>
      </c>
      <c r="D5" s="11">
        <v>1</v>
      </c>
      <c r="E5" s="2"/>
      <c r="F5" s="10">
        <v>0.003464016325665635</v>
      </c>
      <c r="G5" s="14">
        <f>IF(F5=0,"",IF(E5=1,F5/2,F5))</f>
        <v>0.003464016325665635</v>
      </c>
      <c r="H5" s="14">
        <f>IF(G5="","",G5*$D5)</f>
        <v>0.003464016325665635</v>
      </c>
      <c r="I5" s="2"/>
      <c r="J5" s="10">
        <v>0.004532828447073541</v>
      </c>
      <c r="K5" s="14">
        <f>IF(J5=0,"",IF(I5=1,J5/2,J5))</f>
        <v>0.004532828447073541</v>
      </c>
      <c r="L5" s="14">
        <f>IF(K5="","",K5*$D5)</f>
        <v>0.004532828447073541</v>
      </c>
      <c r="M5" s="2"/>
      <c r="N5" s="10">
        <v>0.0041233145022151</v>
      </c>
      <c r="O5" s="14">
        <f>IF(N5=0,"",IF(M5=1,N5/2,N5))</f>
        <v>0.0041233145022151</v>
      </c>
      <c r="P5" s="14">
        <f>IF(O5="","",O5*$D5)</f>
        <v>0.0041233145022151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4" customFormat="1" ht="12.75">
      <c r="A6" s="4" t="s">
        <v>27</v>
      </c>
      <c r="B6" s="4">
        <v>2</v>
      </c>
      <c r="C6" s="4" t="s">
        <v>76</v>
      </c>
      <c r="D6" s="11">
        <v>0</v>
      </c>
      <c r="E6" s="2"/>
      <c r="F6" s="10">
        <v>0.6893392488074612</v>
      </c>
      <c r="G6" s="14">
        <f aca="true" t="shared" si="0" ref="G6:G37">IF(F6=0,"",IF(E6=1,F6/2,F6))</f>
        <v>0.6893392488074612</v>
      </c>
      <c r="H6" s="14">
        <f aca="true" t="shared" si="1" ref="H6:H37">IF(G6="","",G6*$D6)</f>
        <v>0</v>
      </c>
      <c r="I6" s="2"/>
      <c r="J6" s="10">
        <v>1.7438438582813</v>
      </c>
      <c r="K6" s="14">
        <f aca="true" t="shared" si="2" ref="K6:K37">IF(J6=0,"",IF(I6=1,J6/2,J6))</f>
        <v>1.7438438582813</v>
      </c>
      <c r="L6" s="14">
        <f aca="true" t="shared" si="3" ref="L6:L37">IF(K6="","",K6*$D6)</f>
        <v>0</v>
      </c>
      <c r="M6" s="2"/>
      <c r="N6" s="10">
        <v>2.1606167991607124</v>
      </c>
      <c r="O6" s="14">
        <f aca="true" t="shared" si="4" ref="O6:O37">IF(N6=0,"",IF(M6=1,N6/2,N6))</f>
        <v>2.1606167991607124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4" customFormat="1" ht="12.75">
      <c r="A7" s="4" t="s">
        <v>27</v>
      </c>
      <c r="B7" s="4">
        <v>3</v>
      </c>
      <c r="C7" s="4" t="s">
        <v>77</v>
      </c>
      <c r="D7" s="11">
        <v>0</v>
      </c>
      <c r="E7" s="2"/>
      <c r="F7" s="10">
        <v>0.6928032651331268</v>
      </c>
      <c r="G7" s="14">
        <f t="shared" si="0"/>
        <v>0.6928032651331268</v>
      </c>
      <c r="H7" s="14">
        <f t="shared" si="1"/>
        <v>0</v>
      </c>
      <c r="I7" s="2"/>
      <c r="J7" s="10">
        <v>1.7483766867283657</v>
      </c>
      <c r="K7" s="14">
        <f t="shared" si="2"/>
        <v>1.7483766867283657</v>
      </c>
      <c r="L7" s="14">
        <f t="shared" si="3"/>
        <v>0</v>
      </c>
      <c r="M7" s="2"/>
      <c r="N7" s="10">
        <v>2.1647401136629276</v>
      </c>
      <c r="O7" s="14">
        <f t="shared" si="4"/>
        <v>2.1647401136629276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4" customFormat="1" ht="12.75">
      <c r="A8" s="4" t="s">
        <v>27</v>
      </c>
      <c r="B8" s="4">
        <v>4</v>
      </c>
      <c r="C8" s="4" t="s">
        <v>78</v>
      </c>
      <c r="D8" s="11">
        <v>0.5</v>
      </c>
      <c r="E8" s="2"/>
      <c r="F8" s="10">
        <v>0.016627278363195</v>
      </c>
      <c r="G8" s="14">
        <f t="shared" si="0"/>
        <v>0.016627278363195</v>
      </c>
      <c r="H8" s="14">
        <f t="shared" si="1"/>
        <v>0.0083136391815975</v>
      </c>
      <c r="I8" s="2"/>
      <c r="J8" s="10">
        <v>0.03011093182698852</v>
      </c>
      <c r="K8" s="14">
        <f t="shared" si="2"/>
        <v>0.03011093182698852</v>
      </c>
      <c r="L8" s="14">
        <f t="shared" si="3"/>
        <v>0.01505546591349426</v>
      </c>
      <c r="M8" s="2"/>
      <c r="N8" s="10">
        <v>0.029206811057357</v>
      </c>
      <c r="O8" s="14">
        <f t="shared" si="4"/>
        <v>0.029206811057357</v>
      </c>
      <c r="P8" s="14">
        <f t="shared" si="5"/>
        <v>0.0146034055286785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s="4" customFormat="1" ht="12.75">
      <c r="A9" s="4" t="s">
        <v>27</v>
      </c>
      <c r="B9" s="4">
        <v>5</v>
      </c>
      <c r="C9" s="4" t="s">
        <v>79</v>
      </c>
      <c r="D9" s="11">
        <v>0</v>
      </c>
      <c r="E9" s="2"/>
      <c r="F9" s="10">
        <v>1.16113827236312</v>
      </c>
      <c r="G9" s="14">
        <f t="shared" si="0"/>
        <v>1.16113827236312</v>
      </c>
      <c r="H9" s="14">
        <f t="shared" si="1"/>
        <v>0</v>
      </c>
      <c r="I9" s="2"/>
      <c r="J9" s="10">
        <v>2.721963482467661</v>
      </c>
      <c r="K9" s="14">
        <f t="shared" si="2"/>
        <v>2.721963482467661</v>
      </c>
      <c r="L9" s="14">
        <f t="shared" si="3"/>
        <v>0</v>
      </c>
      <c r="M9" s="2"/>
      <c r="N9" s="10">
        <v>3.0976400197891</v>
      </c>
      <c r="O9" s="14">
        <f t="shared" si="4"/>
        <v>3.0976400197891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s="4" customFormat="1" ht="12.75">
      <c r="A10" s="4" t="s">
        <v>27</v>
      </c>
      <c r="B10" s="4">
        <v>5</v>
      </c>
      <c r="C10" s="4" t="s">
        <v>80</v>
      </c>
      <c r="D10" s="11">
        <v>0</v>
      </c>
      <c r="E10" s="2"/>
      <c r="F10" s="10">
        <v>1.1777655507263156</v>
      </c>
      <c r="G10" s="14">
        <f t="shared" si="0"/>
        <v>1.1777655507263156</v>
      </c>
      <c r="H10" s="14">
        <f t="shared" si="1"/>
        <v>0</v>
      </c>
      <c r="I10" s="2"/>
      <c r="J10" s="10">
        <v>2.7520744142946496</v>
      </c>
      <c r="K10" s="14">
        <f t="shared" si="2"/>
        <v>2.7520744142946496</v>
      </c>
      <c r="L10" s="14">
        <f t="shared" si="3"/>
        <v>0</v>
      </c>
      <c r="M10" s="2"/>
      <c r="N10" s="10">
        <v>3.126846830846451</v>
      </c>
      <c r="O10" s="14">
        <f t="shared" si="4"/>
        <v>3.126846830846451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4" customFormat="1" ht="12.75">
      <c r="A11" s="4" t="s">
        <v>27</v>
      </c>
      <c r="B11" s="4">
        <v>7</v>
      </c>
      <c r="C11" s="4" t="s">
        <v>81</v>
      </c>
      <c r="D11" s="11">
        <v>0.1</v>
      </c>
      <c r="E11" s="2"/>
      <c r="F11" s="10">
        <v>0.016973679995761607</v>
      </c>
      <c r="G11" s="14">
        <f t="shared" si="0"/>
        <v>0.016973679995761607</v>
      </c>
      <c r="H11" s="14">
        <f t="shared" si="1"/>
        <v>0.0016973679995761607</v>
      </c>
      <c r="I11" s="2"/>
      <c r="J11" s="10">
        <v>0.03561508065557782</v>
      </c>
      <c r="K11" s="14">
        <f t="shared" si="2"/>
        <v>0.03561508065557782</v>
      </c>
      <c r="L11" s="14">
        <f t="shared" si="3"/>
        <v>0.0035615080655577824</v>
      </c>
      <c r="M11" s="2"/>
      <c r="N11" s="10">
        <v>0.037797049603638416</v>
      </c>
      <c r="O11" s="14">
        <f t="shared" si="4"/>
        <v>0.037797049603638416</v>
      </c>
      <c r="P11" s="14">
        <f t="shared" si="5"/>
        <v>0.003779704960363842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4" customFormat="1" ht="12.75">
      <c r="A12" s="4" t="s">
        <v>27</v>
      </c>
      <c r="B12" s="4">
        <v>8</v>
      </c>
      <c r="C12" s="4" t="s">
        <v>82</v>
      </c>
      <c r="D12" s="11">
        <v>0.1</v>
      </c>
      <c r="E12" s="2"/>
      <c r="F12" s="10">
        <v>0.065816310187647</v>
      </c>
      <c r="G12" s="14">
        <f t="shared" si="0"/>
        <v>0.065816310187647</v>
      </c>
      <c r="H12" s="14">
        <f t="shared" si="1"/>
        <v>0.0065816310187647</v>
      </c>
      <c r="I12" s="2"/>
      <c r="J12" s="10">
        <v>0.08741883433641828</v>
      </c>
      <c r="K12" s="14">
        <f t="shared" si="2"/>
        <v>0.08741883433641828</v>
      </c>
      <c r="L12" s="14">
        <f t="shared" si="3"/>
        <v>0.008741883433641828</v>
      </c>
      <c r="M12" s="2"/>
      <c r="N12" s="10">
        <v>0.09621067171835233</v>
      </c>
      <c r="O12" s="14">
        <f t="shared" si="4"/>
        <v>0.09621067171835233</v>
      </c>
      <c r="P12" s="14">
        <f t="shared" si="5"/>
        <v>0.009621067171835234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4" customFormat="1" ht="12.75">
      <c r="A13" s="4" t="s">
        <v>27</v>
      </c>
      <c r="B13" s="4">
        <v>9</v>
      </c>
      <c r="C13" s="4" t="s">
        <v>83</v>
      </c>
      <c r="D13" s="11">
        <v>0.1</v>
      </c>
      <c r="E13" s="2"/>
      <c r="F13" s="10">
        <v>0.02113049958656037</v>
      </c>
      <c r="G13" s="14">
        <f t="shared" si="0"/>
        <v>0.02113049958656037</v>
      </c>
      <c r="H13" s="14">
        <f t="shared" si="1"/>
        <v>0.002113049958656037</v>
      </c>
      <c r="I13" s="2"/>
      <c r="J13" s="10">
        <v>0.032377346050525294</v>
      </c>
      <c r="K13" s="14">
        <f t="shared" si="2"/>
        <v>0.032377346050525294</v>
      </c>
      <c r="L13" s="14">
        <f t="shared" si="3"/>
        <v>0.0032377346050525297</v>
      </c>
      <c r="M13" s="2"/>
      <c r="N13" s="10">
        <v>0.041233145022151</v>
      </c>
      <c r="O13" s="14">
        <f t="shared" si="4"/>
        <v>0.041233145022151</v>
      </c>
      <c r="P13" s="14">
        <f t="shared" si="5"/>
        <v>0.0041233145022151006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s="4" customFormat="1" ht="12.75">
      <c r="A14" s="4" t="s">
        <v>27</v>
      </c>
      <c r="B14" s="4">
        <v>10</v>
      </c>
      <c r="C14" s="4" t="s">
        <v>84</v>
      </c>
      <c r="D14" s="11">
        <v>0</v>
      </c>
      <c r="E14" s="2"/>
      <c r="F14" s="10">
        <v>1.835928652602786</v>
      </c>
      <c r="G14" s="14">
        <f t="shared" si="0"/>
        <v>1.835928652602786</v>
      </c>
      <c r="H14" s="14">
        <f t="shared" si="1"/>
        <v>0</v>
      </c>
      <c r="I14" s="2"/>
      <c r="J14" s="10">
        <v>5.024964107041525</v>
      </c>
      <c r="K14" s="14">
        <f t="shared" si="2"/>
        <v>5.024964107041525</v>
      </c>
      <c r="L14" s="14">
        <f t="shared" si="3"/>
        <v>0</v>
      </c>
      <c r="M14" s="2"/>
      <c r="N14" s="10">
        <v>6.0097308869785</v>
      </c>
      <c r="O14" s="14">
        <f t="shared" si="4"/>
        <v>6.0097308869785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s="4" customFormat="1" ht="12.75">
      <c r="A15" s="4" t="s">
        <v>27</v>
      </c>
      <c r="B15" s="4">
        <v>11</v>
      </c>
      <c r="C15" s="4" t="s">
        <v>85</v>
      </c>
      <c r="D15" s="11">
        <v>0</v>
      </c>
      <c r="E15" s="2"/>
      <c r="F15" s="10">
        <v>1.939849142372755</v>
      </c>
      <c r="G15" s="14">
        <f t="shared" si="0"/>
        <v>1.939849142372755</v>
      </c>
      <c r="H15" s="14">
        <f t="shared" si="1"/>
        <v>0</v>
      </c>
      <c r="I15" s="2"/>
      <c r="J15" s="10">
        <v>5.1803753680840465</v>
      </c>
      <c r="K15" s="14">
        <f t="shared" si="2"/>
        <v>5.1803753680840465</v>
      </c>
      <c r="L15" s="14">
        <f t="shared" si="3"/>
        <v>0</v>
      </c>
      <c r="M15" s="2"/>
      <c r="N15" s="10">
        <v>6.18497175332265</v>
      </c>
      <c r="O15" s="14">
        <f t="shared" si="4"/>
        <v>6.18497175332265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4" customFormat="1" ht="12.75">
      <c r="A16" s="4" t="s">
        <v>27</v>
      </c>
      <c r="B16" s="4">
        <v>12</v>
      </c>
      <c r="C16" s="4" t="s">
        <v>86</v>
      </c>
      <c r="D16" s="11">
        <v>0.01</v>
      </c>
      <c r="E16" s="2"/>
      <c r="F16" s="10">
        <v>0.38104179582322</v>
      </c>
      <c r="G16" s="14">
        <f t="shared" si="0"/>
        <v>0.38104179582322</v>
      </c>
      <c r="H16" s="14">
        <f t="shared" si="1"/>
        <v>0.0038104179582322</v>
      </c>
      <c r="I16" s="2"/>
      <c r="J16" s="10">
        <v>0.45328284470735397</v>
      </c>
      <c r="K16" s="14">
        <f t="shared" si="2"/>
        <v>0.45328284470735397</v>
      </c>
      <c r="L16" s="14">
        <f t="shared" si="3"/>
        <v>0.00453282844707354</v>
      </c>
      <c r="M16" s="2"/>
      <c r="N16" s="10">
        <v>0.5497752669620133</v>
      </c>
      <c r="O16" s="14">
        <f t="shared" si="4"/>
        <v>0.5497752669620133</v>
      </c>
      <c r="P16" s="14">
        <f t="shared" si="5"/>
        <v>0.005497752669620133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4" customFormat="1" ht="12.75">
      <c r="A17" s="4" t="s">
        <v>27</v>
      </c>
      <c r="B17" s="4">
        <v>13</v>
      </c>
      <c r="C17" s="4" t="s">
        <v>87</v>
      </c>
      <c r="D17" s="11">
        <v>0</v>
      </c>
      <c r="E17" s="2"/>
      <c r="F17" s="10">
        <v>0.692803265133127</v>
      </c>
      <c r="G17" s="14">
        <f t="shared" si="0"/>
        <v>0.692803265133127</v>
      </c>
      <c r="H17" s="14">
        <f t="shared" si="1"/>
        <v>0</v>
      </c>
      <c r="I17" s="2"/>
      <c r="J17" s="10">
        <v>0.7770563052126067</v>
      </c>
      <c r="K17" s="14">
        <f t="shared" si="2"/>
        <v>0.7770563052126067</v>
      </c>
      <c r="L17" s="14">
        <f t="shared" si="3"/>
        <v>0</v>
      </c>
      <c r="M17" s="2"/>
      <c r="N17" s="10">
        <v>0.9621067171835236</v>
      </c>
      <c r="O17" s="14">
        <f t="shared" si="4"/>
        <v>0.9621067171835236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4" customFormat="1" ht="12.75">
      <c r="A18" s="4" t="s">
        <v>27</v>
      </c>
      <c r="B18" s="4">
        <v>14</v>
      </c>
      <c r="C18" s="4" t="s">
        <v>88</v>
      </c>
      <c r="D18" s="11">
        <v>0</v>
      </c>
      <c r="E18" s="2"/>
      <c r="F18" s="10">
        <v>1.0738450609563468</v>
      </c>
      <c r="G18" s="14">
        <f t="shared" si="0"/>
        <v>1.0738450609563468</v>
      </c>
      <c r="H18" s="14">
        <f t="shared" si="1"/>
        <v>0</v>
      </c>
      <c r="I18" s="2"/>
      <c r="J18" s="10">
        <v>1.2303391499199607</v>
      </c>
      <c r="K18" s="14">
        <f t="shared" si="2"/>
        <v>1.2303391499199607</v>
      </c>
      <c r="L18" s="14">
        <f t="shared" si="3"/>
        <v>0</v>
      </c>
      <c r="M18" s="2"/>
      <c r="N18" s="10">
        <v>1.5118819841455369</v>
      </c>
      <c r="O18" s="14">
        <f t="shared" si="4"/>
        <v>1.5118819841455369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4" customFormat="1" ht="12.75">
      <c r="A19" s="4" t="s">
        <v>27</v>
      </c>
      <c r="B19" s="4">
        <v>15</v>
      </c>
      <c r="C19" s="4" t="s">
        <v>89</v>
      </c>
      <c r="D19" s="11">
        <v>0.001</v>
      </c>
      <c r="E19" s="2"/>
      <c r="F19" s="10">
        <v>0.2875133550302476</v>
      </c>
      <c r="G19" s="14">
        <f t="shared" si="0"/>
        <v>0.2875133550302476</v>
      </c>
      <c r="H19" s="14">
        <f t="shared" si="1"/>
        <v>0.0002875133550302476</v>
      </c>
      <c r="I19" s="2"/>
      <c r="J19" s="10">
        <v>0.19750181090820426</v>
      </c>
      <c r="K19" s="14">
        <f t="shared" si="2"/>
        <v>0.19750181090820426</v>
      </c>
      <c r="L19" s="14">
        <f t="shared" si="3"/>
        <v>0.00019750181090820426</v>
      </c>
      <c r="M19" s="2"/>
      <c r="N19" s="10">
        <v>0.2714515380624941</v>
      </c>
      <c r="O19" s="14">
        <f t="shared" si="4"/>
        <v>0.2714515380624941</v>
      </c>
      <c r="P19" s="14">
        <f t="shared" si="5"/>
        <v>0.0002714515380624941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4" customFormat="1" ht="12.75">
      <c r="A20" s="4" t="s">
        <v>27</v>
      </c>
      <c r="B20" s="4">
        <v>16</v>
      </c>
      <c r="C20" s="4" t="s">
        <v>90</v>
      </c>
      <c r="D20" s="11">
        <v>0.1</v>
      </c>
      <c r="E20" s="2"/>
      <c r="F20" s="10">
        <v>0.0322153518286904</v>
      </c>
      <c r="G20" s="14">
        <f t="shared" si="0"/>
        <v>0.0322153518286904</v>
      </c>
      <c r="H20" s="14">
        <f t="shared" si="1"/>
        <v>0.00322153518286904</v>
      </c>
      <c r="I20" s="2"/>
      <c r="J20" s="10">
        <v>0.024930556458904476</v>
      </c>
      <c r="K20" s="14">
        <f t="shared" si="2"/>
        <v>0.024930556458904476</v>
      </c>
      <c r="L20" s="14">
        <f t="shared" si="3"/>
        <v>0.002493055645890448</v>
      </c>
      <c r="M20" s="2"/>
      <c r="N20" s="10">
        <v>0.023709058387736827</v>
      </c>
      <c r="O20" s="14">
        <f t="shared" si="4"/>
        <v>0.023709058387736827</v>
      </c>
      <c r="P20" s="14">
        <f t="shared" si="5"/>
        <v>0.002370905838773683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4" customFormat="1" ht="12.75">
      <c r="A21" s="4" t="s">
        <v>27</v>
      </c>
      <c r="B21" s="4">
        <v>17</v>
      </c>
      <c r="C21" s="4" t="s">
        <v>91</v>
      </c>
      <c r="D21" s="11">
        <v>0</v>
      </c>
      <c r="E21" s="2"/>
      <c r="F21" s="10">
        <v>2.6697173821905</v>
      </c>
      <c r="G21" s="14">
        <f t="shared" si="0"/>
        <v>2.6697173821905</v>
      </c>
      <c r="H21" s="14">
        <f t="shared" si="1"/>
        <v>0</v>
      </c>
      <c r="I21" s="2"/>
      <c r="J21" s="10">
        <v>3.536577509098877</v>
      </c>
      <c r="K21" s="14">
        <f t="shared" si="2"/>
        <v>3.536577509098877</v>
      </c>
      <c r="L21" s="14">
        <f t="shared" si="3"/>
        <v>0</v>
      </c>
      <c r="M21" s="2"/>
      <c r="N21" s="10">
        <v>2.8626110931628332</v>
      </c>
      <c r="O21" s="14">
        <f t="shared" si="4"/>
        <v>2.8626110931628332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4" customFormat="1" ht="12.75">
      <c r="A22" s="4" t="s">
        <v>27</v>
      </c>
      <c r="B22" s="4">
        <v>18</v>
      </c>
      <c r="C22" s="4" t="s">
        <v>92</v>
      </c>
      <c r="D22" s="11">
        <v>0</v>
      </c>
      <c r="E22" s="2"/>
      <c r="F22" s="10">
        <v>2.7019327340192</v>
      </c>
      <c r="G22" s="14">
        <f t="shared" si="0"/>
        <v>2.7019327340192</v>
      </c>
      <c r="H22" s="14">
        <f t="shared" si="1"/>
        <v>0</v>
      </c>
      <c r="I22" s="2"/>
      <c r="J22" s="10">
        <v>3.5615080655577818</v>
      </c>
      <c r="K22" s="14">
        <f t="shared" si="2"/>
        <v>3.5615080655577818</v>
      </c>
      <c r="L22" s="14">
        <f t="shared" si="3"/>
        <v>0</v>
      </c>
      <c r="M22" s="2"/>
      <c r="N22" s="10">
        <v>2.88632015155057</v>
      </c>
      <c r="O22" s="14">
        <f t="shared" si="4"/>
        <v>2.88632015155057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4" customFormat="1" ht="12.75">
      <c r="A23" s="4" t="s">
        <v>27</v>
      </c>
      <c r="B23" s="4">
        <v>19</v>
      </c>
      <c r="C23" s="4" t="s">
        <v>93</v>
      </c>
      <c r="D23" s="11">
        <v>0.05</v>
      </c>
      <c r="E23" s="2"/>
      <c r="F23" s="10">
        <v>0.026672925707625385</v>
      </c>
      <c r="G23" s="14">
        <f t="shared" si="0"/>
        <v>0.026672925707625385</v>
      </c>
      <c r="H23" s="14">
        <f t="shared" si="1"/>
        <v>0.0013336462853812694</v>
      </c>
      <c r="I23" s="2"/>
      <c r="J23" s="10">
        <v>0.032377346050525294</v>
      </c>
      <c r="K23" s="14">
        <f t="shared" si="2"/>
        <v>0.032377346050525294</v>
      </c>
      <c r="L23" s="14">
        <f t="shared" si="3"/>
        <v>0.0016188673025262649</v>
      </c>
      <c r="M23" s="2"/>
      <c r="N23" s="10">
        <v>0.03436095418512583</v>
      </c>
      <c r="O23" s="14">
        <f t="shared" si="4"/>
        <v>0.03436095418512583</v>
      </c>
      <c r="P23" s="14">
        <f t="shared" si="5"/>
        <v>0.0017180477092562916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4" customFormat="1" ht="12.75">
      <c r="A24" s="4" t="s">
        <v>27</v>
      </c>
      <c r="B24" s="4">
        <v>20</v>
      </c>
      <c r="C24" s="4" t="s">
        <v>94</v>
      </c>
      <c r="D24" s="11">
        <v>0.5</v>
      </c>
      <c r="E24" s="2"/>
      <c r="F24" s="10">
        <v>0.06235229386198141</v>
      </c>
      <c r="G24" s="14">
        <f t="shared" si="0"/>
        <v>0.06235229386198141</v>
      </c>
      <c r="H24" s="14">
        <f t="shared" si="1"/>
        <v>0.031176146930990706</v>
      </c>
      <c r="I24" s="2"/>
      <c r="J24" s="10">
        <v>0.10360750736168</v>
      </c>
      <c r="K24" s="14">
        <f t="shared" si="2"/>
        <v>0.10360750736168</v>
      </c>
      <c r="L24" s="14">
        <f t="shared" si="3"/>
        <v>0.05180375368084</v>
      </c>
      <c r="M24" s="2"/>
      <c r="N24" s="10">
        <v>0.09277457629983975</v>
      </c>
      <c r="O24" s="14">
        <f t="shared" si="4"/>
        <v>0.09277457629983975</v>
      </c>
      <c r="P24" s="14">
        <f t="shared" si="5"/>
        <v>0.046387288149919874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4" customFormat="1" ht="12.75">
      <c r="A25" s="4" t="s">
        <v>27</v>
      </c>
      <c r="B25" s="4">
        <v>21</v>
      </c>
      <c r="C25" s="4" t="s">
        <v>95</v>
      </c>
      <c r="D25" s="11">
        <v>0</v>
      </c>
      <c r="E25" s="2"/>
      <c r="F25" s="10">
        <v>0.7769788618468019</v>
      </c>
      <c r="G25" s="14">
        <f t="shared" si="0"/>
        <v>0.7769788618468019</v>
      </c>
      <c r="H25" s="14">
        <f t="shared" si="1"/>
        <v>0</v>
      </c>
      <c r="I25" s="2"/>
      <c r="J25" s="10">
        <v>1.1591089886088</v>
      </c>
      <c r="K25" s="14">
        <f t="shared" si="2"/>
        <v>1.1591089886088</v>
      </c>
      <c r="L25" s="14">
        <f t="shared" si="3"/>
        <v>0</v>
      </c>
      <c r="M25" s="2"/>
      <c r="N25" s="10">
        <v>1.006775957624187</v>
      </c>
      <c r="O25" s="14">
        <f t="shared" si="4"/>
        <v>1.006775957624187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4" customFormat="1" ht="12.75">
      <c r="A26" s="4" t="s">
        <v>27</v>
      </c>
      <c r="B26" s="4">
        <v>22</v>
      </c>
      <c r="C26" s="4" t="s">
        <v>96</v>
      </c>
      <c r="D26" s="11">
        <v>0</v>
      </c>
      <c r="E26" s="2"/>
      <c r="F26" s="10">
        <v>0.8660040814164086</v>
      </c>
      <c r="G26" s="14">
        <f t="shared" si="0"/>
        <v>0.8660040814164086</v>
      </c>
      <c r="H26" s="14">
        <f t="shared" si="1"/>
        <v>0</v>
      </c>
      <c r="I26" s="2"/>
      <c r="J26" s="10">
        <v>1.2950938420210116</v>
      </c>
      <c r="K26" s="14">
        <f t="shared" si="2"/>
        <v>1.2950938420210116</v>
      </c>
      <c r="L26" s="14">
        <f t="shared" si="3"/>
        <v>0</v>
      </c>
      <c r="M26" s="2"/>
      <c r="N26" s="10">
        <v>1.1339114881091525</v>
      </c>
      <c r="O26" s="14">
        <f t="shared" si="4"/>
        <v>1.1339114881091525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4" customFormat="1" ht="12.75">
      <c r="A27" s="4" t="s">
        <v>27</v>
      </c>
      <c r="B27" s="4">
        <v>23</v>
      </c>
      <c r="C27" s="4" t="s">
        <v>97</v>
      </c>
      <c r="D27" s="11">
        <v>0.1</v>
      </c>
      <c r="E27" s="2"/>
      <c r="F27" s="10">
        <v>0.020784097953993805</v>
      </c>
      <c r="G27" s="14">
        <f t="shared" si="0"/>
        <v>0.020784097953993805</v>
      </c>
      <c r="H27" s="14">
        <f t="shared" si="1"/>
        <v>0.0020784097953993807</v>
      </c>
      <c r="I27" s="2"/>
      <c r="J27" s="10">
        <v>0.028492064524462252</v>
      </c>
      <c r="K27" s="14">
        <f t="shared" si="2"/>
        <v>0.028492064524462252</v>
      </c>
      <c r="L27" s="14">
        <f t="shared" si="3"/>
        <v>0.0028492064524462254</v>
      </c>
      <c r="M27" s="2"/>
      <c r="N27" s="10">
        <v>0.027832372889952</v>
      </c>
      <c r="O27" s="14">
        <f t="shared" si="4"/>
        <v>0.027832372889952</v>
      </c>
      <c r="P27" s="14">
        <f t="shared" si="5"/>
        <v>0.0027832372889952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4" customFormat="1" ht="12.75">
      <c r="A28" s="4" t="s">
        <v>27</v>
      </c>
      <c r="B28" s="4">
        <v>24</v>
      </c>
      <c r="C28" s="4" t="s">
        <v>98</v>
      </c>
      <c r="D28" s="11">
        <v>0.1</v>
      </c>
      <c r="E28" s="2"/>
      <c r="F28" s="10">
        <v>0.0284049338704582</v>
      </c>
      <c r="G28" s="14">
        <f t="shared" si="0"/>
        <v>0.0284049338704582</v>
      </c>
      <c r="H28" s="14">
        <f t="shared" si="1"/>
        <v>0.0028404933870458202</v>
      </c>
      <c r="I28" s="2"/>
      <c r="J28" s="10">
        <v>0.03561508065557782</v>
      </c>
      <c r="K28" s="14">
        <f t="shared" si="2"/>
        <v>0.03561508065557782</v>
      </c>
      <c r="L28" s="14">
        <f t="shared" si="3"/>
        <v>0.0035615080655577824</v>
      </c>
      <c r="M28" s="2"/>
      <c r="N28" s="10">
        <v>0.041233145022151</v>
      </c>
      <c r="O28" s="14">
        <f t="shared" si="4"/>
        <v>0.041233145022151</v>
      </c>
      <c r="P28" s="14">
        <f t="shared" si="5"/>
        <v>0.0041233145022151006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4" customFormat="1" ht="12.75">
      <c r="A29" s="4" t="s">
        <v>27</v>
      </c>
      <c r="B29" s="4">
        <v>25</v>
      </c>
      <c r="C29" s="4" t="s">
        <v>99</v>
      </c>
      <c r="D29" s="11">
        <v>0.1</v>
      </c>
      <c r="E29" s="2"/>
      <c r="F29" s="10">
        <v>0.015934475098062</v>
      </c>
      <c r="G29" s="14">
        <f t="shared" si="0"/>
        <v>0.015934475098062</v>
      </c>
      <c r="H29" s="14">
        <f t="shared" si="1"/>
        <v>0.0015934475098062</v>
      </c>
      <c r="I29" s="2"/>
      <c r="J29" s="10">
        <v>0.018455087248799414</v>
      </c>
      <c r="K29" s="14">
        <f t="shared" si="2"/>
        <v>0.018455087248799414</v>
      </c>
      <c r="L29" s="14">
        <f t="shared" si="3"/>
        <v>0.0018455087248799415</v>
      </c>
      <c r="M29" s="2"/>
      <c r="N29" s="10">
        <v>0.019929353427373</v>
      </c>
      <c r="O29" s="14">
        <f t="shared" si="4"/>
        <v>0.019929353427373</v>
      </c>
      <c r="P29" s="14">
        <f t="shared" si="5"/>
        <v>0.0019929353427373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4" customFormat="1" ht="12.75">
      <c r="A30" s="4" t="s">
        <v>27</v>
      </c>
      <c r="B30" s="4">
        <v>26</v>
      </c>
      <c r="C30" s="4" t="s">
        <v>100</v>
      </c>
      <c r="D30" s="11">
        <v>0.1</v>
      </c>
      <c r="E30" s="2"/>
      <c r="F30" s="10">
        <v>0.038104179582322</v>
      </c>
      <c r="G30" s="14">
        <f t="shared" si="0"/>
        <v>0.038104179582322</v>
      </c>
      <c r="H30" s="14">
        <f t="shared" si="1"/>
        <v>0.0038104179582322</v>
      </c>
      <c r="I30" s="2"/>
      <c r="J30" s="10">
        <v>0.05180375368084046</v>
      </c>
      <c r="K30" s="14">
        <f t="shared" si="2"/>
        <v>0.05180375368084046</v>
      </c>
      <c r="L30" s="14">
        <f t="shared" si="3"/>
        <v>0.005180375368084047</v>
      </c>
      <c r="M30" s="2"/>
      <c r="N30" s="10">
        <v>0.05497752669620134</v>
      </c>
      <c r="O30" s="14">
        <f t="shared" si="4"/>
        <v>0.05497752669620134</v>
      </c>
      <c r="P30" s="14">
        <f t="shared" si="5"/>
        <v>0.005497752669620134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4" customFormat="1" ht="12.75">
      <c r="A31" s="4" t="s">
        <v>27</v>
      </c>
      <c r="B31" s="4">
        <v>27</v>
      </c>
      <c r="C31" s="4" t="s">
        <v>101</v>
      </c>
      <c r="D31" s="11">
        <v>0</v>
      </c>
      <c r="E31" s="2"/>
      <c r="F31" s="10">
        <v>0.16696558689708355</v>
      </c>
      <c r="G31" s="14">
        <f t="shared" si="0"/>
        <v>0.16696558689708355</v>
      </c>
      <c r="H31" s="14">
        <f t="shared" si="1"/>
        <v>0</v>
      </c>
      <c r="I31" s="2"/>
      <c r="J31" s="10">
        <v>0.25416216649662354</v>
      </c>
      <c r="K31" s="14">
        <f t="shared" si="2"/>
        <v>0.25416216649662354</v>
      </c>
      <c r="L31" s="14">
        <f t="shared" si="3"/>
        <v>0</v>
      </c>
      <c r="M31" s="2"/>
      <c r="N31" s="10">
        <v>0.2683590521858327</v>
      </c>
      <c r="O31" s="14">
        <f t="shared" si="4"/>
        <v>0.2683590521858327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4" customFormat="1" ht="12.75">
      <c r="A32" s="4" t="s">
        <v>27</v>
      </c>
      <c r="B32" s="4">
        <v>28</v>
      </c>
      <c r="C32" s="4" t="s">
        <v>102</v>
      </c>
      <c r="D32" s="11">
        <v>0</v>
      </c>
      <c r="E32" s="2"/>
      <c r="F32" s="10">
        <v>0.27019327340192</v>
      </c>
      <c r="G32" s="14">
        <f t="shared" si="0"/>
        <v>0.27019327340192</v>
      </c>
      <c r="H32" s="14">
        <f t="shared" si="1"/>
        <v>0</v>
      </c>
      <c r="I32" s="2"/>
      <c r="J32" s="10">
        <v>0.38852815260630347</v>
      </c>
      <c r="K32" s="14">
        <f t="shared" si="2"/>
        <v>0.38852815260630347</v>
      </c>
      <c r="L32" s="14">
        <f t="shared" si="3"/>
        <v>0</v>
      </c>
      <c r="M32" s="2"/>
      <c r="N32" s="10">
        <v>0.41233145022151</v>
      </c>
      <c r="O32" s="14">
        <f t="shared" si="4"/>
        <v>0.41233145022151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4" customFormat="1" ht="12.75">
      <c r="A33" s="4" t="s">
        <v>27</v>
      </c>
      <c r="B33" s="4">
        <v>29</v>
      </c>
      <c r="C33" s="4" t="s">
        <v>103</v>
      </c>
      <c r="D33" s="11">
        <v>0.01</v>
      </c>
      <c r="E33" s="2"/>
      <c r="F33" s="10">
        <v>0.04503221223365325</v>
      </c>
      <c r="G33" s="14">
        <f t="shared" si="0"/>
        <v>0.04503221223365325</v>
      </c>
      <c r="H33" s="14">
        <f t="shared" si="1"/>
        <v>0.0004503221223365325</v>
      </c>
      <c r="I33" s="2"/>
      <c r="J33" s="10">
        <v>0.04209054986568288</v>
      </c>
      <c r="K33" s="14">
        <f t="shared" si="2"/>
        <v>0.04209054986568288</v>
      </c>
      <c r="L33" s="14">
        <f t="shared" si="3"/>
        <v>0.0004209054986568288</v>
      </c>
      <c r="M33" s="2"/>
      <c r="N33" s="10">
        <v>0.04810533585917617</v>
      </c>
      <c r="O33" s="14">
        <f t="shared" si="4"/>
        <v>0.04810533585917617</v>
      </c>
      <c r="P33" s="14">
        <f t="shared" si="5"/>
        <v>0.0004810533585917617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4" customFormat="1" ht="12.75">
      <c r="A34" s="4" t="s">
        <v>27</v>
      </c>
      <c r="B34" s="4">
        <v>30</v>
      </c>
      <c r="C34" s="4" t="s">
        <v>104</v>
      </c>
      <c r="D34" s="11">
        <v>0.01</v>
      </c>
      <c r="E34" s="2"/>
      <c r="F34" s="10">
        <v>0.005542426121065014</v>
      </c>
      <c r="G34" s="14">
        <f t="shared" si="0"/>
        <v>0.005542426121065014</v>
      </c>
      <c r="H34" s="14">
        <f t="shared" si="1"/>
        <v>5.5424261210650145E-05</v>
      </c>
      <c r="I34" s="2"/>
      <c r="J34" s="10">
        <v>0.008418109973136575</v>
      </c>
      <c r="K34" s="14">
        <f t="shared" si="2"/>
        <v>0.008418109973136575</v>
      </c>
      <c r="L34" s="14">
        <f t="shared" si="3"/>
        <v>8.418109973136574E-05</v>
      </c>
      <c r="M34" s="2"/>
      <c r="N34" s="10">
        <v>0.0082466290044302</v>
      </c>
      <c r="O34" s="14">
        <f t="shared" si="4"/>
        <v>0.0082466290044302</v>
      </c>
      <c r="P34" s="14">
        <f t="shared" si="5"/>
        <v>8.246629004430199E-05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4" customFormat="1" ht="12.75">
      <c r="A35" s="4" t="s">
        <v>27</v>
      </c>
      <c r="B35" s="4">
        <v>31</v>
      </c>
      <c r="C35" s="4" t="s">
        <v>105</v>
      </c>
      <c r="D35" s="11">
        <v>0</v>
      </c>
      <c r="E35" s="2"/>
      <c r="F35" s="10">
        <v>0.018705688158594427</v>
      </c>
      <c r="G35" s="14">
        <f t="shared" si="0"/>
        <v>0.018705688158594427</v>
      </c>
      <c r="H35" s="14">
        <f t="shared" si="1"/>
        <v>0</v>
      </c>
      <c r="I35" s="2"/>
      <c r="J35" s="10">
        <v>0.0239592360773887</v>
      </c>
      <c r="K35" s="14">
        <f t="shared" si="2"/>
        <v>0.0239592360773887</v>
      </c>
      <c r="L35" s="14">
        <f t="shared" si="3"/>
        <v>0</v>
      </c>
      <c r="M35" s="2"/>
      <c r="N35" s="10">
        <v>0.02611432518069564</v>
      </c>
      <c r="O35" s="14">
        <f t="shared" si="4"/>
        <v>0.02611432518069564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s="4" customFormat="1" ht="12.75">
      <c r="A36" s="4" t="s">
        <v>27</v>
      </c>
      <c r="B36" s="4">
        <v>32</v>
      </c>
      <c r="C36" s="4" t="s">
        <v>106</v>
      </c>
      <c r="D36" s="11">
        <v>0</v>
      </c>
      <c r="E36" s="2"/>
      <c r="F36" s="10">
        <v>0.06928032651331269</v>
      </c>
      <c r="G36" s="14">
        <f t="shared" si="0"/>
        <v>0.06928032651331269</v>
      </c>
      <c r="H36" s="14">
        <f t="shared" si="1"/>
        <v>0</v>
      </c>
      <c r="I36" s="2"/>
      <c r="J36" s="10">
        <v>0.07446789591620816</v>
      </c>
      <c r="K36" s="14">
        <f t="shared" si="2"/>
        <v>0.07446789591620816</v>
      </c>
      <c r="L36" s="14">
        <f t="shared" si="3"/>
        <v>0</v>
      </c>
      <c r="M36" s="2"/>
      <c r="N36" s="10">
        <v>0.082466290044302</v>
      </c>
      <c r="O36" s="14">
        <f t="shared" si="4"/>
        <v>0.082466290044302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4" customFormat="1" ht="12.75">
      <c r="A37" s="4" t="s">
        <v>27</v>
      </c>
      <c r="B37" s="4">
        <v>33</v>
      </c>
      <c r="C37" s="4" t="s">
        <v>107</v>
      </c>
      <c r="D37" s="11">
        <v>0.001</v>
      </c>
      <c r="E37" s="2"/>
      <c r="F37" s="10">
        <v>0.01108485224213</v>
      </c>
      <c r="G37" s="14">
        <f t="shared" si="0"/>
        <v>0.01108485224213</v>
      </c>
      <c r="H37" s="14">
        <f t="shared" si="1"/>
        <v>1.1084852242129999E-05</v>
      </c>
      <c r="I37" s="2"/>
      <c r="J37" s="10">
        <v>0.017159993406778404</v>
      </c>
      <c r="K37" s="14">
        <f t="shared" si="2"/>
        <v>0.017159993406778404</v>
      </c>
      <c r="L37" s="14">
        <f t="shared" si="3"/>
        <v>1.7159993406778404E-05</v>
      </c>
      <c r="M37" s="2"/>
      <c r="N37" s="10">
        <v>0.014431600757752851</v>
      </c>
      <c r="O37" s="14">
        <f t="shared" si="4"/>
        <v>0.014431600757752851</v>
      </c>
      <c r="P37" s="14">
        <f t="shared" si="5"/>
        <v>1.4431600757752851E-05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4" customFormat="1" ht="12.75">
      <c r="A38" s="4" t="s">
        <v>27</v>
      </c>
      <c r="B38" s="4">
        <v>34</v>
      </c>
      <c r="C38" s="4" t="s">
        <v>108</v>
      </c>
      <c r="D38" s="2"/>
      <c r="E38" s="2"/>
      <c r="F38" s="10">
        <v>9.090271641811757</v>
      </c>
      <c r="G38" s="10">
        <f>G37+G36+G32+G26+G22+G19+G18+G15+G10+G7</f>
        <v>9.090271641811764</v>
      </c>
      <c r="H38" s="10"/>
      <c r="I38" s="2"/>
      <c r="J38" s="10">
        <v>16.4454253794433</v>
      </c>
      <c r="K38" s="10">
        <f>K37+K36+K32+K26+K22+K19+K18+K15+K10+K7</f>
        <v>16.44542537944331</v>
      </c>
      <c r="L38" s="10"/>
      <c r="M38" s="2"/>
      <c r="N38" s="10">
        <v>17.789353200723347</v>
      </c>
      <c r="O38" s="10">
        <f>O37+O36+O32+O26+O22+O19+O18+O15+O10+O7</f>
        <v>17.789353200723347</v>
      </c>
      <c r="P38" s="1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4" customFormat="1" ht="12.75">
      <c r="A39" s="4" t="s">
        <v>27</v>
      </c>
      <c r="B39" s="4">
        <v>35</v>
      </c>
      <c r="C39" s="4" t="s">
        <v>109</v>
      </c>
      <c r="D39" s="2"/>
      <c r="E39" s="34">
        <f>(F39-H39)*2/F39*100</f>
        <v>7.621121027039298E-14</v>
      </c>
      <c r="F39" s="10">
        <v>0.07283856408303643</v>
      </c>
      <c r="G39" s="10"/>
      <c r="H39" s="10">
        <f>SUM(H5:H37)</f>
        <v>0.0728385640830364</v>
      </c>
      <c r="I39" s="34">
        <f>(J39-L39)*2/J39*100</f>
        <v>8.093901741193963E-13</v>
      </c>
      <c r="J39" s="10">
        <v>0.10973427255482182</v>
      </c>
      <c r="K39" s="10"/>
      <c r="L39" s="10">
        <f>SUM(L5:L37)</f>
        <v>0.10973427255482138</v>
      </c>
      <c r="M39" s="34">
        <f>(N39-P39)*2/N39*100</f>
        <v>0</v>
      </c>
      <c r="N39" s="10">
        <v>0.10747144362390179</v>
      </c>
      <c r="O39" s="10"/>
      <c r="P39" s="10">
        <f>SUM(P5:P37)</f>
        <v>0.10747144362390179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28125" style="0" customWidth="1"/>
    <col min="5" max="5" width="4.8515625" style="0" customWidth="1"/>
    <col min="6" max="8" width="9.140625" style="40" customWidth="1"/>
    <col min="9" max="9" width="3.7109375" style="0" customWidth="1"/>
    <col min="10" max="12" width="9.140625" style="40" customWidth="1"/>
  </cols>
  <sheetData>
    <row r="1" spans="3:13" ht="12.75">
      <c r="C1" s="7" t="s">
        <v>30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  <c r="M1" s="38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4:12" ht="12.75"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27" s="4" customFormat="1" ht="12.75">
      <c r="A5" s="4" t="s">
        <v>30</v>
      </c>
      <c r="B5" s="4">
        <v>1</v>
      </c>
      <c r="C5" s="4" t="s">
        <v>75</v>
      </c>
      <c r="D5" s="11">
        <v>1</v>
      </c>
      <c r="E5" s="2"/>
      <c r="F5" s="10">
        <v>0.0020610644703988</v>
      </c>
      <c r="G5" s="14">
        <f>IF(F5=0,"",IF(E5=1,F5/2,F5))</f>
        <v>0.0020610644703988</v>
      </c>
      <c r="H5" s="14">
        <f>IF(G5="","",G5*$D5)</f>
        <v>0.0020610644703988</v>
      </c>
      <c r="I5" s="2"/>
      <c r="J5" s="10">
        <v>0.00440108091322004</v>
      </c>
      <c r="K5" s="14">
        <f>IF(J5=0,"",IF(I5=1,J5/2,J5))</f>
        <v>0.00440108091322004</v>
      </c>
      <c r="L5" s="14">
        <f>IF(K5="","",K5*$D5)</f>
        <v>0.00440108091322004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4" customFormat="1" ht="12.75">
      <c r="A6" s="4" t="s">
        <v>30</v>
      </c>
      <c r="B6" s="4">
        <v>2</v>
      </c>
      <c r="C6" s="4" t="s">
        <v>76</v>
      </c>
      <c r="D6" s="11">
        <v>0</v>
      </c>
      <c r="E6" s="2"/>
      <c r="F6" s="10">
        <v>0.44450290411601</v>
      </c>
      <c r="G6" s="14">
        <f aca="true" t="shared" si="0" ref="G6:G37">IF(F6=0,"",IF(E6=1,F6/2,F6))</f>
        <v>0.44450290411601</v>
      </c>
      <c r="H6" s="14">
        <f aca="true" t="shared" si="1" ref="H6:H37">IF(G6="","",G6*$D6)</f>
        <v>0</v>
      </c>
      <c r="I6" s="2"/>
      <c r="J6" s="10">
        <v>0.8391394274539543</v>
      </c>
      <c r="K6" s="14">
        <f aca="true" t="shared" si="2" ref="K6:K37">IF(J6=0,"",IF(I6=1,J6/2,J6))</f>
        <v>0.8391394274539543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4" customFormat="1" ht="12.75">
      <c r="A7" s="4" t="s">
        <v>30</v>
      </c>
      <c r="B7" s="4">
        <v>3</v>
      </c>
      <c r="C7" s="4" t="s">
        <v>77</v>
      </c>
      <c r="D7" s="11">
        <v>0</v>
      </c>
      <c r="E7" s="2"/>
      <c r="F7" s="10">
        <v>0.44656396858640846</v>
      </c>
      <c r="G7" s="14">
        <f t="shared" si="0"/>
        <v>0.44656396858640846</v>
      </c>
      <c r="H7" s="14">
        <f t="shared" si="1"/>
        <v>0</v>
      </c>
      <c r="I7" s="2"/>
      <c r="J7" s="10">
        <v>0.8435405083671743</v>
      </c>
      <c r="K7" s="14">
        <f t="shared" si="2"/>
        <v>0.8435405083671743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4" customFormat="1" ht="12.75">
      <c r="A8" s="4" t="s">
        <v>30</v>
      </c>
      <c r="B8" s="4">
        <v>4</v>
      </c>
      <c r="C8" s="4" t="s">
        <v>78</v>
      </c>
      <c r="D8" s="11">
        <v>0.5</v>
      </c>
      <c r="E8" s="2"/>
      <c r="F8" s="10">
        <v>0.012709897567459313</v>
      </c>
      <c r="G8" s="14">
        <f t="shared" si="0"/>
        <v>0.012709897567459313</v>
      </c>
      <c r="H8" s="14">
        <f t="shared" si="1"/>
        <v>0.006354948783729657</v>
      </c>
      <c r="I8" s="2"/>
      <c r="J8" s="10">
        <v>0.01760432365288016</v>
      </c>
      <c r="K8" s="14">
        <f t="shared" si="2"/>
        <v>0.01760432365288016</v>
      </c>
      <c r="L8" s="14">
        <f t="shared" si="3"/>
        <v>0.00880216182644008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4" customFormat="1" ht="12.75">
      <c r="A9" s="4" t="s">
        <v>30</v>
      </c>
      <c r="B9" s="4">
        <v>5</v>
      </c>
      <c r="C9" s="4" t="s">
        <v>79</v>
      </c>
      <c r="D9" s="11">
        <v>0</v>
      </c>
      <c r="E9" s="2"/>
      <c r="F9" s="10">
        <v>0.8117158905920637</v>
      </c>
      <c r="G9" s="14">
        <f t="shared" si="0"/>
        <v>0.8117158905920637</v>
      </c>
      <c r="H9" s="14">
        <f t="shared" si="1"/>
        <v>0</v>
      </c>
      <c r="I9" s="2"/>
      <c r="J9" s="10">
        <v>1.449422647420467</v>
      </c>
      <c r="K9" s="14">
        <f t="shared" si="2"/>
        <v>1.449422647420467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4" customFormat="1" ht="12.75">
      <c r="A10" s="4" t="s">
        <v>30</v>
      </c>
      <c r="B10" s="4">
        <v>5</v>
      </c>
      <c r="C10" s="4" t="s">
        <v>80</v>
      </c>
      <c r="D10" s="11">
        <v>0</v>
      </c>
      <c r="E10" s="2"/>
      <c r="F10" s="10">
        <v>0.824425788159523</v>
      </c>
      <c r="G10" s="14">
        <f t="shared" si="0"/>
        <v>0.824425788159523</v>
      </c>
      <c r="H10" s="14">
        <f t="shared" si="1"/>
        <v>0</v>
      </c>
      <c r="I10" s="2"/>
      <c r="J10" s="10">
        <v>1.4670269710733472</v>
      </c>
      <c r="K10" s="14">
        <f t="shared" si="2"/>
        <v>1.4670269710733472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4" customFormat="1" ht="12.75">
      <c r="A11" s="4" t="s">
        <v>30</v>
      </c>
      <c r="B11" s="4">
        <v>7</v>
      </c>
      <c r="C11" s="4" t="s">
        <v>81</v>
      </c>
      <c r="D11" s="11">
        <v>0.1</v>
      </c>
      <c r="E11" s="2"/>
      <c r="F11" s="10">
        <v>0.014770962037858121</v>
      </c>
      <c r="G11" s="14">
        <f t="shared" si="0"/>
        <v>0.014770962037858121</v>
      </c>
      <c r="H11" s="14">
        <f t="shared" si="1"/>
        <v>0.0014770962037858122</v>
      </c>
      <c r="I11" s="2"/>
      <c r="J11" s="10">
        <v>0.022005404566100204</v>
      </c>
      <c r="K11" s="14">
        <f t="shared" si="2"/>
        <v>0.022005404566100204</v>
      </c>
      <c r="L11" s="14">
        <f t="shared" si="3"/>
        <v>0.0022005404566100206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12.75">
      <c r="A12" s="4" t="s">
        <v>30</v>
      </c>
      <c r="B12" s="4">
        <v>8</v>
      </c>
      <c r="C12" s="4" t="s">
        <v>82</v>
      </c>
      <c r="D12" s="11">
        <v>0.1</v>
      </c>
      <c r="E12" s="2"/>
      <c r="F12" s="10">
        <v>0.04809150430930551</v>
      </c>
      <c r="G12" s="14">
        <f t="shared" si="0"/>
        <v>0.04809150430930551</v>
      </c>
      <c r="H12" s="14">
        <f t="shared" si="1"/>
        <v>0.0048091504309305515</v>
      </c>
      <c r="I12" s="2"/>
      <c r="J12" s="10">
        <v>0.05501351141525051</v>
      </c>
      <c r="K12" s="14">
        <f t="shared" si="2"/>
        <v>0.05501351141525051</v>
      </c>
      <c r="L12" s="14">
        <f t="shared" si="3"/>
        <v>0.005501351141525051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4" customFormat="1" ht="12.75">
      <c r="A13" s="4" t="s">
        <v>30</v>
      </c>
      <c r="B13" s="4">
        <v>9</v>
      </c>
      <c r="C13" s="4" t="s">
        <v>83</v>
      </c>
      <c r="D13" s="11">
        <v>0.1</v>
      </c>
      <c r="E13" s="2"/>
      <c r="F13" s="10">
        <v>0.019580112468788675</v>
      </c>
      <c r="G13" s="14">
        <f t="shared" si="0"/>
        <v>0.019580112468788675</v>
      </c>
      <c r="H13" s="14">
        <f t="shared" si="1"/>
        <v>0.0019580112468788676</v>
      </c>
      <c r="I13" s="2"/>
      <c r="J13" s="10">
        <v>0.01907135062395351</v>
      </c>
      <c r="K13" s="14">
        <f t="shared" si="2"/>
        <v>0.01907135062395351</v>
      </c>
      <c r="L13" s="14">
        <f t="shared" si="3"/>
        <v>0.0019071350623953512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4" customFormat="1" ht="12.75">
      <c r="A14" s="4" t="s">
        <v>30</v>
      </c>
      <c r="B14" s="4">
        <v>10</v>
      </c>
      <c r="C14" s="4" t="s">
        <v>84</v>
      </c>
      <c r="D14" s="11">
        <v>0</v>
      </c>
      <c r="E14" s="2"/>
      <c r="F14" s="10">
        <v>1.60076007200974</v>
      </c>
      <c r="G14" s="14">
        <f t="shared" si="0"/>
        <v>1.60076007200974</v>
      </c>
      <c r="H14" s="14">
        <f t="shared" si="1"/>
        <v>0</v>
      </c>
      <c r="I14" s="2"/>
      <c r="J14" s="10">
        <v>4.304990646614738</v>
      </c>
      <c r="K14" s="14">
        <f t="shared" si="2"/>
        <v>4.304990646614738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4" customFormat="1" ht="12.75">
      <c r="A15" s="4" t="s">
        <v>30</v>
      </c>
      <c r="B15" s="4">
        <v>11</v>
      </c>
      <c r="C15" s="4" t="s">
        <v>85</v>
      </c>
      <c r="D15" s="11">
        <v>0</v>
      </c>
      <c r="E15" s="2"/>
      <c r="F15" s="10">
        <v>1.6832026508257</v>
      </c>
      <c r="G15" s="14">
        <f t="shared" si="0"/>
        <v>1.6832026508257</v>
      </c>
      <c r="H15" s="14">
        <f t="shared" si="1"/>
        <v>0</v>
      </c>
      <c r="I15" s="2"/>
      <c r="J15" s="10">
        <v>4.401080913220041</v>
      </c>
      <c r="K15" s="14">
        <f t="shared" si="2"/>
        <v>4.401080913220041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4" customFormat="1" ht="12.75">
      <c r="A16" s="4" t="s">
        <v>30</v>
      </c>
      <c r="B16" s="4">
        <v>12</v>
      </c>
      <c r="C16" s="4" t="s">
        <v>86</v>
      </c>
      <c r="D16" s="11">
        <v>0.01</v>
      </c>
      <c r="E16" s="2"/>
      <c r="F16" s="10">
        <v>0.3125947780104859</v>
      </c>
      <c r="G16" s="14">
        <f t="shared" si="0"/>
        <v>0.3125947780104859</v>
      </c>
      <c r="H16" s="14">
        <f t="shared" si="1"/>
        <v>0.003125947780104859</v>
      </c>
      <c r="I16" s="2"/>
      <c r="J16" s="10">
        <v>0.44010809132200407</v>
      </c>
      <c r="K16" s="14">
        <f t="shared" si="2"/>
        <v>0.44010809132200407</v>
      </c>
      <c r="L16" s="14">
        <f t="shared" si="3"/>
        <v>0.004401080913220041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4" customFormat="1" ht="12.75">
      <c r="A17" s="4" t="s">
        <v>30</v>
      </c>
      <c r="B17" s="4">
        <v>13</v>
      </c>
      <c r="C17" s="4" t="s">
        <v>87</v>
      </c>
      <c r="D17" s="11">
        <v>0</v>
      </c>
      <c r="E17" s="2"/>
      <c r="F17" s="10">
        <v>0.546182084655684</v>
      </c>
      <c r="G17" s="14">
        <f t="shared" si="0"/>
        <v>0.546182084655684</v>
      </c>
      <c r="H17" s="14">
        <f t="shared" si="1"/>
        <v>0</v>
      </c>
      <c r="I17" s="2"/>
      <c r="J17" s="10">
        <v>0.7701891598135069</v>
      </c>
      <c r="K17" s="14">
        <f t="shared" si="2"/>
        <v>0.7701891598135069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4" customFormat="1" ht="12.75">
      <c r="A18" s="4" t="s">
        <v>30</v>
      </c>
      <c r="B18" s="4">
        <v>14</v>
      </c>
      <c r="C18" s="4" t="s">
        <v>88</v>
      </c>
      <c r="D18" s="11">
        <v>0</v>
      </c>
      <c r="E18" s="2"/>
      <c r="F18" s="10">
        <v>0.85877686266617</v>
      </c>
      <c r="G18" s="14">
        <f t="shared" si="0"/>
        <v>0.85877686266617</v>
      </c>
      <c r="H18" s="14">
        <f t="shared" si="1"/>
        <v>0</v>
      </c>
      <c r="I18" s="2"/>
      <c r="J18" s="10">
        <v>1.210297251135511</v>
      </c>
      <c r="K18" s="14">
        <f t="shared" si="2"/>
        <v>1.210297251135511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4" customFormat="1" ht="12.75">
      <c r="A19" s="4" t="s">
        <v>30</v>
      </c>
      <c r="B19" s="4">
        <v>15</v>
      </c>
      <c r="C19" s="4" t="s">
        <v>89</v>
      </c>
      <c r="D19" s="11">
        <v>0.001</v>
      </c>
      <c r="E19" s="2"/>
      <c r="F19" s="10">
        <v>0.267938381151845</v>
      </c>
      <c r="G19" s="14">
        <f t="shared" si="0"/>
        <v>0.267938381151845</v>
      </c>
      <c r="H19" s="14">
        <f t="shared" si="1"/>
        <v>0.000267938381151845</v>
      </c>
      <c r="I19" s="2"/>
      <c r="J19" s="10">
        <v>0.23472431537173552</v>
      </c>
      <c r="K19" s="14">
        <f t="shared" si="2"/>
        <v>0.23472431537173552</v>
      </c>
      <c r="L19" s="14">
        <f t="shared" si="3"/>
        <v>0.00023472431537173552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4" customFormat="1" ht="12.75">
      <c r="A20" s="4" t="s">
        <v>30</v>
      </c>
      <c r="B20" s="4">
        <v>16</v>
      </c>
      <c r="C20" s="4" t="s">
        <v>90</v>
      </c>
      <c r="D20" s="11">
        <v>0.1</v>
      </c>
      <c r="E20" s="2"/>
      <c r="F20" s="10">
        <v>0.016488515763190464</v>
      </c>
      <c r="G20" s="14">
        <f t="shared" si="0"/>
        <v>0.016488515763190464</v>
      </c>
      <c r="H20" s="14">
        <f t="shared" si="1"/>
        <v>0.0016488515763190465</v>
      </c>
      <c r="I20" s="2"/>
      <c r="J20" s="10">
        <v>0.04401080913220041</v>
      </c>
      <c r="K20" s="14">
        <f t="shared" si="2"/>
        <v>0.04401080913220041</v>
      </c>
      <c r="L20" s="14">
        <f t="shared" si="3"/>
        <v>0.004401080913220041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4" customFormat="1" ht="12.75">
      <c r="A21" s="4" t="s">
        <v>30</v>
      </c>
      <c r="B21" s="4">
        <v>17</v>
      </c>
      <c r="C21" s="4" t="s">
        <v>91</v>
      </c>
      <c r="D21" s="11">
        <v>0</v>
      </c>
      <c r="E21" s="2"/>
      <c r="F21" s="10">
        <v>1.3575544645026816</v>
      </c>
      <c r="G21" s="14">
        <f t="shared" si="0"/>
        <v>1.3575544645026816</v>
      </c>
      <c r="H21" s="14">
        <f t="shared" si="1"/>
        <v>0</v>
      </c>
      <c r="I21" s="2"/>
      <c r="J21" s="10">
        <v>3.25679987578283</v>
      </c>
      <c r="K21" s="14">
        <f t="shared" si="2"/>
        <v>3.25679987578283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4" customFormat="1" ht="12.75">
      <c r="A22" s="4" t="s">
        <v>30</v>
      </c>
      <c r="B22" s="4">
        <v>18</v>
      </c>
      <c r="C22" s="4" t="s">
        <v>92</v>
      </c>
      <c r="D22" s="11">
        <v>0</v>
      </c>
      <c r="E22" s="2"/>
      <c r="F22" s="10">
        <v>1.374042980265872</v>
      </c>
      <c r="G22" s="14">
        <f t="shared" si="0"/>
        <v>1.374042980265872</v>
      </c>
      <c r="H22" s="14">
        <f t="shared" si="1"/>
        <v>0</v>
      </c>
      <c r="I22" s="2"/>
      <c r="J22" s="10">
        <v>3.3008106849150307</v>
      </c>
      <c r="K22" s="14">
        <f t="shared" si="2"/>
        <v>3.3008106849150307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4" customFormat="1" ht="12.75">
      <c r="A23" s="4" t="s">
        <v>30</v>
      </c>
      <c r="B23" s="4">
        <v>19</v>
      </c>
      <c r="C23" s="4" t="s">
        <v>93</v>
      </c>
      <c r="D23" s="11">
        <v>0.05</v>
      </c>
      <c r="E23" s="2"/>
      <c r="F23" s="10">
        <v>0.022671709174386885</v>
      </c>
      <c r="G23" s="14">
        <f t="shared" si="0"/>
        <v>0.022671709174386885</v>
      </c>
      <c r="H23" s="14">
        <f t="shared" si="1"/>
        <v>0.0011335854587193443</v>
      </c>
      <c r="I23" s="2"/>
      <c r="J23" s="10">
        <v>0.033374863591918644</v>
      </c>
      <c r="K23" s="14">
        <f t="shared" si="2"/>
        <v>0.033374863591918644</v>
      </c>
      <c r="L23" s="14">
        <f t="shared" si="3"/>
        <v>0.0016687431795959322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" customFormat="1" ht="12.75">
      <c r="A24" s="4" t="s">
        <v>30</v>
      </c>
      <c r="B24" s="4">
        <v>20</v>
      </c>
      <c r="C24" s="4" t="s">
        <v>94</v>
      </c>
      <c r="D24" s="11">
        <v>0.5</v>
      </c>
      <c r="E24" s="2"/>
      <c r="F24" s="10">
        <v>0.04465639685864084</v>
      </c>
      <c r="G24" s="14">
        <f t="shared" si="0"/>
        <v>0.04465639685864084</v>
      </c>
      <c r="H24" s="14">
        <f t="shared" si="1"/>
        <v>0.02232819842932042</v>
      </c>
      <c r="I24" s="2"/>
      <c r="J24" s="10">
        <v>0.07701891598135072</v>
      </c>
      <c r="K24" s="14">
        <f t="shared" si="2"/>
        <v>0.07701891598135072</v>
      </c>
      <c r="L24" s="14">
        <f t="shared" si="3"/>
        <v>0.03850945799067536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" customFormat="1" ht="12.75">
      <c r="A25" s="4" t="s">
        <v>30</v>
      </c>
      <c r="B25" s="4">
        <v>21</v>
      </c>
      <c r="C25" s="4" t="s">
        <v>95</v>
      </c>
      <c r="D25" s="11">
        <v>0</v>
      </c>
      <c r="E25" s="2"/>
      <c r="F25" s="10">
        <v>0.5509912350866145</v>
      </c>
      <c r="G25" s="14">
        <f t="shared" si="0"/>
        <v>0.5509912350866145</v>
      </c>
      <c r="H25" s="14">
        <f t="shared" si="1"/>
        <v>0</v>
      </c>
      <c r="I25" s="2"/>
      <c r="J25" s="10">
        <v>0.9532007744549073</v>
      </c>
      <c r="K25" s="14">
        <f t="shared" si="2"/>
        <v>0.9532007744549073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" customFormat="1" ht="12.75">
      <c r="A26" s="4" t="s">
        <v>30</v>
      </c>
      <c r="B26" s="4">
        <v>22</v>
      </c>
      <c r="C26" s="4" t="s">
        <v>96</v>
      </c>
      <c r="D26" s="11">
        <v>0</v>
      </c>
      <c r="E26" s="2"/>
      <c r="F26" s="10">
        <v>0.6183193411196423</v>
      </c>
      <c r="G26" s="14">
        <f t="shared" si="0"/>
        <v>0.6183193411196423</v>
      </c>
      <c r="H26" s="14">
        <f t="shared" si="1"/>
        <v>0</v>
      </c>
      <c r="I26" s="2"/>
      <c r="J26" s="10">
        <v>1.0635945540281766</v>
      </c>
      <c r="K26" s="14">
        <f t="shared" si="2"/>
        <v>1.0635945540281766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" customFormat="1" ht="12.75">
      <c r="A27" s="4" t="s">
        <v>30</v>
      </c>
      <c r="B27" s="4">
        <v>23</v>
      </c>
      <c r="C27" s="4" t="s">
        <v>97</v>
      </c>
      <c r="D27" s="11">
        <v>0.1</v>
      </c>
      <c r="E27" s="2"/>
      <c r="F27" s="10">
        <v>0.020954155449054546</v>
      </c>
      <c r="G27" s="14">
        <f t="shared" si="0"/>
        <v>0.020954155449054546</v>
      </c>
      <c r="H27" s="14">
        <f t="shared" si="1"/>
        <v>0.0020954155449054547</v>
      </c>
      <c r="I27" s="2"/>
      <c r="J27" s="10">
        <v>0.026039728736552</v>
      </c>
      <c r="K27" s="14">
        <f t="shared" si="2"/>
        <v>0.026039728736552</v>
      </c>
      <c r="L27" s="14">
        <f t="shared" si="3"/>
        <v>0.0026039728736552002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" customFormat="1" ht="12.75">
      <c r="A28" s="4" t="s">
        <v>30</v>
      </c>
      <c r="B28" s="4">
        <v>24</v>
      </c>
      <c r="C28" s="4" t="s">
        <v>98</v>
      </c>
      <c r="D28" s="11">
        <v>0.1</v>
      </c>
      <c r="E28" s="2"/>
      <c r="F28" s="10">
        <v>0.030572456310915652</v>
      </c>
      <c r="G28" s="14">
        <f t="shared" si="0"/>
        <v>0.030572456310915652</v>
      </c>
      <c r="H28" s="14">
        <f t="shared" si="1"/>
        <v>0.0030572456310915654</v>
      </c>
      <c r="I28" s="2"/>
      <c r="J28" s="10">
        <v>0.03227459336361363</v>
      </c>
      <c r="K28" s="14">
        <f t="shared" si="2"/>
        <v>0.03227459336361363</v>
      </c>
      <c r="L28" s="14">
        <f t="shared" si="3"/>
        <v>0.003227459336361363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4" customFormat="1" ht="12.75">
      <c r="A29" s="4" t="s">
        <v>30</v>
      </c>
      <c r="B29" s="4">
        <v>25</v>
      </c>
      <c r="C29" s="4" t="s">
        <v>99</v>
      </c>
      <c r="D29" s="11">
        <v>0.1</v>
      </c>
      <c r="E29" s="2"/>
      <c r="F29" s="10">
        <v>0.012022876077326378</v>
      </c>
      <c r="G29" s="14">
        <f t="shared" si="0"/>
        <v>0.012022876077326378</v>
      </c>
      <c r="H29" s="14">
        <f t="shared" si="1"/>
        <v>0.0012022876077326379</v>
      </c>
      <c r="I29" s="2"/>
      <c r="J29" s="10">
        <v>0.015403783196270143</v>
      </c>
      <c r="K29" s="14">
        <f t="shared" si="2"/>
        <v>0.015403783196270143</v>
      </c>
      <c r="L29" s="14">
        <f t="shared" si="3"/>
        <v>0.0015403783196270143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4" customFormat="1" ht="12.75">
      <c r="A30" s="4" t="s">
        <v>30</v>
      </c>
      <c r="B30" s="4">
        <v>26</v>
      </c>
      <c r="C30" s="4" t="s">
        <v>100</v>
      </c>
      <c r="D30" s="11">
        <v>0.1</v>
      </c>
      <c r="E30" s="2"/>
      <c r="F30" s="10">
        <v>0.03778618195731147</v>
      </c>
      <c r="G30" s="14">
        <f t="shared" si="0"/>
        <v>0.03778618195731147</v>
      </c>
      <c r="H30" s="14">
        <f t="shared" si="1"/>
        <v>0.003778618195731147</v>
      </c>
      <c r="I30" s="2"/>
      <c r="J30" s="10">
        <v>0.040343241704517</v>
      </c>
      <c r="K30" s="14">
        <f t="shared" si="2"/>
        <v>0.040343241704517</v>
      </c>
      <c r="L30" s="14">
        <f t="shared" si="3"/>
        <v>0.0040343241704517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4" customFormat="1" ht="12.75">
      <c r="A31" s="4" t="s">
        <v>30</v>
      </c>
      <c r="B31" s="4">
        <v>27</v>
      </c>
      <c r="C31" s="4" t="s">
        <v>101</v>
      </c>
      <c r="D31" s="11">
        <v>0</v>
      </c>
      <c r="E31" s="2"/>
      <c r="F31" s="10">
        <v>0.15629738900524293</v>
      </c>
      <c r="G31" s="14">
        <f t="shared" si="0"/>
        <v>0.15629738900524293</v>
      </c>
      <c r="H31" s="14">
        <f t="shared" si="1"/>
        <v>0</v>
      </c>
      <c r="I31" s="2"/>
      <c r="J31" s="10">
        <v>0.19034674949676678</v>
      </c>
      <c r="K31" s="14">
        <f t="shared" si="2"/>
        <v>0.19034674949676678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4" customFormat="1" ht="12.75">
      <c r="A32" s="4" t="s">
        <v>30</v>
      </c>
      <c r="B32" s="4">
        <v>28</v>
      </c>
      <c r="C32" s="4" t="s">
        <v>102</v>
      </c>
      <c r="D32" s="11">
        <v>0</v>
      </c>
      <c r="E32" s="2"/>
      <c r="F32" s="10">
        <v>0.25763305879985</v>
      </c>
      <c r="G32" s="14">
        <f t="shared" si="0"/>
        <v>0.25763305879985</v>
      </c>
      <c r="H32" s="14">
        <f t="shared" si="1"/>
        <v>0</v>
      </c>
      <c r="I32" s="2"/>
      <c r="J32" s="10">
        <v>0.30440809649772</v>
      </c>
      <c r="K32" s="14">
        <f t="shared" si="2"/>
        <v>0.30440809649772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4" customFormat="1" ht="12.75">
      <c r="A33" s="4" t="s">
        <v>30</v>
      </c>
      <c r="B33" s="4">
        <v>29</v>
      </c>
      <c r="C33" s="4" t="s">
        <v>103</v>
      </c>
      <c r="D33" s="11">
        <v>0.01</v>
      </c>
      <c r="E33" s="2"/>
      <c r="F33" s="10">
        <v>0.04809150430930551</v>
      </c>
      <c r="G33" s="14">
        <f t="shared" si="0"/>
        <v>0.04809150430930551</v>
      </c>
      <c r="H33" s="14">
        <f t="shared" si="1"/>
        <v>0.0004809150430930551</v>
      </c>
      <c r="I33" s="2"/>
      <c r="J33" s="10">
        <v>0.040343241704517</v>
      </c>
      <c r="K33" s="14">
        <f t="shared" si="2"/>
        <v>0.040343241704517</v>
      </c>
      <c r="L33" s="14">
        <f t="shared" si="3"/>
        <v>0.00040343241704517005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4" customFormat="1" ht="12.75">
      <c r="A34" s="4" t="s">
        <v>30</v>
      </c>
      <c r="B34" s="4">
        <v>30</v>
      </c>
      <c r="C34" s="4" t="s">
        <v>104</v>
      </c>
      <c r="D34" s="11">
        <v>0.01</v>
      </c>
      <c r="E34" s="2"/>
      <c r="F34" s="10">
        <v>0.0058396826661299564</v>
      </c>
      <c r="G34" s="14">
        <f t="shared" si="0"/>
        <v>0.0058396826661299564</v>
      </c>
      <c r="H34" s="14">
        <f t="shared" si="1"/>
        <v>5.839682666129957E-05</v>
      </c>
      <c r="I34" s="2"/>
      <c r="J34" s="10">
        <v>0.006601621369830062</v>
      </c>
      <c r="K34" s="14">
        <f t="shared" si="2"/>
        <v>0.006601621369830062</v>
      </c>
      <c r="L34" s="14">
        <f t="shared" si="3"/>
        <v>6.601621369830062E-05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4" customFormat="1" ht="12.75">
      <c r="A35" s="4" t="s">
        <v>30</v>
      </c>
      <c r="B35" s="4">
        <v>31</v>
      </c>
      <c r="C35" s="4" t="s">
        <v>105</v>
      </c>
      <c r="D35" s="11">
        <v>0</v>
      </c>
      <c r="E35" s="2"/>
      <c r="F35" s="10">
        <v>0.014770962037858125</v>
      </c>
      <c r="G35" s="14">
        <f t="shared" si="0"/>
        <v>0.014770962037858125</v>
      </c>
      <c r="H35" s="14">
        <f t="shared" si="1"/>
        <v>0</v>
      </c>
      <c r="I35" s="2"/>
      <c r="J35" s="10">
        <v>0.0190713506239535</v>
      </c>
      <c r="K35" s="14">
        <f t="shared" si="2"/>
        <v>0.0190713506239535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4" customFormat="1" ht="12.75">
      <c r="A36" s="4" t="s">
        <v>30</v>
      </c>
      <c r="B36" s="4">
        <v>32</v>
      </c>
      <c r="C36" s="4" t="s">
        <v>106</v>
      </c>
      <c r="D36" s="11">
        <v>0</v>
      </c>
      <c r="E36" s="2"/>
      <c r="F36" s="10">
        <v>0.06870214901329359</v>
      </c>
      <c r="G36" s="14">
        <f t="shared" si="0"/>
        <v>0.06870214901329359</v>
      </c>
      <c r="H36" s="14">
        <f t="shared" si="1"/>
        <v>0</v>
      </c>
      <c r="I36" s="2"/>
      <c r="J36" s="10">
        <v>0.0660162136983006</v>
      </c>
      <c r="K36" s="14">
        <f t="shared" si="2"/>
        <v>0.0660162136983006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4" customFormat="1" ht="12.75">
      <c r="A37" s="4" t="s">
        <v>30</v>
      </c>
      <c r="B37" s="4">
        <v>33</v>
      </c>
      <c r="C37" s="4" t="s">
        <v>107</v>
      </c>
      <c r="D37" s="11">
        <v>0.001</v>
      </c>
      <c r="E37" s="2"/>
      <c r="F37" s="10">
        <v>0.012022876077326378</v>
      </c>
      <c r="G37" s="14">
        <f t="shared" si="0"/>
        <v>0.012022876077326378</v>
      </c>
      <c r="H37" s="14">
        <f t="shared" si="1"/>
        <v>1.2022876077326379E-05</v>
      </c>
      <c r="I37" s="2"/>
      <c r="J37" s="10">
        <v>0.0080686483409034</v>
      </c>
      <c r="K37" s="14">
        <f t="shared" si="2"/>
        <v>0.0080686483409034</v>
      </c>
      <c r="L37" s="14">
        <f t="shared" si="3"/>
        <v>8.068648340903401E-06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4" customFormat="1" ht="12.75">
      <c r="A38" s="4" t="s">
        <v>30</v>
      </c>
      <c r="B38" s="4">
        <v>34</v>
      </c>
      <c r="C38" s="4" t="s">
        <v>108</v>
      </c>
      <c r="D38" s="2"/>
      <c r="E38" s="2"/>
      <c r="F38" s="10">
        <v>6.4116280566656245</v>
      </c>
      <c r="G38" s="10">
        <f>G37+G36+G32+G26+G22+G19+G18+G15+G10+G7</f>
        <v>6.411628056665631</v>
      </c>
      <c r="H38" s="10"/>
      <c r="I38" s="2"/>
      <c r="J38" s="10">
        <v>12.899568156648</v>
      </c>
      <c r="K38" s="10">
        <f>K37+K36+K32+K26+K22+K19+K18+K15+K10+K7</f>
        <v>12.899568156647941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4" customFormat="1" ht="12.75">
      <c r="A39" s="4" t="s">
        <v>30</v>
      </c>
      <c r="B39" s="4">
        <v>35</v>
      </c>
      <c r="C39" s="4" t="s">
        <v>109</v>
      </c>
      <c r="D39" s="2"/>
      <c r="E39" s="34">
        <f>(F39-H39)*2/F39*100</f>
        <v>2.4848457874977764E-14</v>
      </c>
      <c r="F39" s="10">
        <v>0.0558496944866317</v>
      </c>
      <c r="G39" s="10"/>
      <c r="H39" s="10">
        <f>SUM(H5:H37)</f>
        <v>0.05584969448663169</v>
      </c>
      <c r="I39" s="34">
        <f>(J39-L39)*2/J39*100</f>
        <v>0</v>
      </c>
      <c r="J39" s="10">
        <v>0.0839110086914533</v>
      </c>
      <c r="K39" s="10"/>
      <c r="L39" s="10">
        <f>SUM(L5:L37)</f>
        <v>0.0839110086914533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B2" sqref="B2"/>
    </sheetView>
  </sheetViews>
  <sheetFormatPr defaultColWidth="9.140625" defaultRowHeight="12.75"/>
  <cols>
    <col min="1" max="1" width="2.7109375" style="0" hidden="1" customWidth="1"/>
    <col min="2" max="2" width="32.140625" style="0" customWidth="1"/>
    <col min="3" max="3" width="49.00390625" style="0" customWidth="1"/>
  </cols>
  <sheetData>
    <row r="1" ht="12.75">
      <c r="B1" s="7" t="s">
        <v>121</v>
      </c>
    </row>
    <row r="2" ht="12.75">
      <c r="B2" s="17"/>
    </row>
    <row r="3" spans="2:3" ht="12.75">
      <c r="B3" s="17" t="s">
        <v>122</v>
      </c>
      <c r="C3" t="s">
        <v>144</v>
      </c>
    </row>
    <row r="4" spans="2:3" ht="12.75">
      <c r="B4" s="17" t="s">
        <v>123</v>
      </c>
      <c r="C4" t="s">
        <v>145</v>
      </c>
    </row>
    <row r="5" spans="2:3" ht="12.75">
      <c r="B5" s="17" t="s">
        <v>124</v>
      </c>
      <c r="C5" t="s">
        <v>146</v>
      </c>
    </row>
    <row r="6" ht="12.75">
      <c r="B6" s="17" t="s">
        <v>125</v>
      </c>
    </row>
    <row r="7" spans="2:3" ht="12.75">
      <c r="B7" s="17" t="s">
        <v>126</v>
      </c>
      <c r="C7" t="s">
        <v>147</v>
      </c>
    </row>
    <row r="8" spans="2:3" ht="12.75">
      <c r="B8" s="17" t="s">
        <v>127</v>
      </c>
      <c r="C8" t="s">
        <v>148</v>
      </c>
    </row>
    <row r="9" spans="2:3" ht="12.75">
      <c r="B9" s="17" t="s">
        <v>128</v>
      </c>
      <c r="C9" t="s">
        <v>152</v>
      </c>
    </row>
    <row r="10" spans="2:3" ht="12.75">
      <c r="B10" s="17" t="s">
        <v>129</v>
      </c>
      <c r="C10" t="s">
        <v>151</v>
      </c>
    </row>
    <row r="11" spans="2:3" ht="12.75">
      <c r="B11" s="17" t="s">
        <v>207</v>
      </c>
      <c r="C11" s="29">
        <v>0</v>
      </c>
    </row>
    <row r="12" spans="2:3" ht="12.75">
      <c r="B12" s="17" t="s">
        <v>154</v>
      </c>
      <c r="C12" t="s">
        <v>229</v>
      </c>
    </row>
    <row r="13" spans="2:3" ht="12.75">
      <c r="B13" s="17" t="s">
        <v>153</v>
      </c>
      <c r="C13" t="s">
        <v>155</v>
      </c>
    </row>
    <row r="14" ht="12.75">
      <c r="B14" s="18" t="s">
        <v>130</v>
      </c>
    </row>
    <row r="15" ht="12.75">
      <c r="B15" s="18" t="s">
        <v>131</v>
      </c>
    </row>
    <row r="16" ht="12.75">
      <c r="B16" s="17" t="s">
        <v>132</v>
      </c>
    </row>
    <row r="17" spans="2:3" ht="12.75">
      <c r="B17" s="17" t="s">
        <v>208</v>
      </c>
      <c r="C17" s="17" t="s">
        <v>149</v>
      </c>
    </row>
    <row r="18" spans="2:3" ht="12.75">
      <c r="B18" s="17" t="s">
        <v>209</v>
      </c>
      <c r="C18" s="17" t="s">
        <v>149</v>
      </c>
    </row>
    <row r="19" spans="2:3" ht="12.75">
      <c r="B19" s="18" t="s">
        <v>133</v>
      </c>
      <c r="C19" t="s">
        <v>175</v>
      </c>
    </row>
    <row r="20" spans="2:3" ht="12.75">
      <c r="B20" s="17" t="s">
        <v>134</v>
      </c>
      <c r="C20" t="s">
        <v>211</v>
      </c>
    </row>
    <row r="21" ht="12.75">
      <c r="B21" s="17" t="s">
        <v>135</v>
      </c>
    </row>
    <row r="22" spans="2:3" ht="12.75">
      <c r="B22" s="17" t="s">
        <v>136</v>
      </c>
      <c r="C22" t="s">
        <v>210</v>
      </c>
    </row>
    <row r="23" spans="2:3" ht="12.75">
      <c r="B23" s="17"/>
      <c r="C23" t="s">
        <v>150</v>
      </c>
    </row>
    <row r="24" ht="12.75">
      <c r="B24" s="17"/>
    </row>
    <row r="25" ht="12.75">
      <c r="B25" s="17" t="s">
        <v>137</v>
      </c>
    </row>
    <row r="26" spans="2:3" ht="12.75">
      <c r="B26" s="17" t="s">
        <v>138</v>
      </c>
      <c r="C26" s="22">
        <v>11.999414428576115</v>
      </c>
    </row>
    <row r="27" spans="2:3" ht="12.75">
      <c r="B27" s="17" t="s">
        <v>139</v>
      </c>
      <c r="C27" s="22">
        <v>249.98780059547244</v>
      </c>
    </row>
    <row r="28" spans="2:3" ht="12.75">
      <c r="B28" s="17" t="s">
        <v>140</v>
      </c>
      <c r="C28" s="22">
        <v>5.986833643057585</v>
      </c>
    </row>
    <row r="29" spans="2:3" ht="12.75">
      <c r="B29" s="17" t="s">
        <v>141</v>
      </c>
      <c r="C29" s="22">
        <v>395.43231547619047</v>
      </c>
    </row>
    <row r="30" ht="12.75">
      <c r="B30" s="17"/>
    </row>
    <row r="31" ht="12.75">
      <c r="B31" s="17" t="s">
        <v>142</v>
      </c>
    </row>
    <row r="32" ht="12.75">
      <c r="B32" s="17" t="s">
        <v>143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B75">
      <selection activeCell="B2" sqref="B2"/>
    </sheetView>
  </sheetViews>
  <sheetFormatPr defaultColWidth="9.140625" defaultRowHeight="12.75"/>
  <cols>
    <col min="1" max="1" width="0.13671875" style="0" hidden="1" customWidth="1"/>
    <col min="2" max="2" width="22.140625" style="0" customWidth="1"/>
    <col min="3" max="3" width="67.00390625" style="16" customWidth="1"/>
  </cols>
  <sheetData>
    <row r="1" ht="12.75">
      <c r="B1" s="7" t="s">
        <v>168</v>
      </c>
    </row>
    <row r="3" ht="12.75">
      <c r="B3" s="7" t="s">
        <v>32</v>
      </c>
    </row>
    <row r="4" ht="12.75">
      <c r="B4" s="7"/>
    </row>
    <row r="5" spans="2:3" s="20" customFormat="1" ht="25.5">
      <c r="B5" s="20" t="s">
        <v>169</v>
      </c>
      <c r="C5" s="19" t="s">
        <v>159</v>
      </c>
    </row>
    <row r="6" spans="2:3" s="20" customFormat="1" ht="12.75">
      <c r="B6" s="20" t="s">
        <v>170</v>
      </c>
      <c r="C6" s="19" t="s">
        <v>161</v>
      </c>
    </row>
    <row r="7" spans="2:3" s="20" customFormat="1" ht="12.75">
      <c r="B7" s="20" t="s">
        <v>171</v>
      </c>
      <c r="C7" s="19" t="s">
        <v>161</v>
      </c>
    </row>
    <row r="8" spans="1:3" s="20" customFormat="1" ht="63.75">
      <c r="A8" s="20" t="s">
        <v>32</v>
      </c>
      <c r="B8" s="20" t="s">
        <v>172</v>
      </c>
      <c r="C8" s="19" t="s">
        <v>156</v>
      </c>
    </row>
    <row r="9" spans="2:3" s="20" customFormat="1" ht="12.75">
      <c r="B9" s="20" t="s">
        <v>200</v>
      </c>
      <c r="C9" s="27">
        <v>33745</v>
      </c>
    </row>
    <row r="10" spans="2:3" s="20" customFormat="1" ht="12.75">
      <c r="B10" s="20" t="s">
        <v>201</v>
      </c>
      <c r="C10" s="28">
        <v>33725</v>
      </c>
    </row>
    <row r="11" s="20" customFormat="1" ht="12.75">
      <c r="C11" s="19"/>
    </row>
    <row r="12" spans="2:3" s="20" customFormat="1" ht="12.75">
      <c r="B12" s="21" t="s">
        <v>44</v>
      </c>
      <c r="C12" s="19"/>
    </row>
    <row r="13" s="20" customFormat="1" ht="12.75">
      <c r="C13" s="19"/>
    </row>
    <row r="14" spans="2:3" s="20" customFormat="1" ht="38.25">
      <c r="B14" s="20" t="s">
        <v>169</v>
      </c>
      <c r="C14" s="19" t="s">
        <v>166</v>
      </c>
    </row>
    <row r="15" spans="2:3" s="20" customFormat="1" ht="12.75">
      <c r="B15" s="20" t="s">
        <v>170</v>
      </c>
      <c r="C15" s="19" t="s">
        <v>167</v>
      </c>
    </row>
    <row r="16" spans="2:3" s="20" customFormat="1" ht="12.75">
      <c r="B16" s="20" t="s">
        <v>171</v>
      </c>
      <c r="C16" s="19"/>
    </row>
    <row r="17" spans="2:3" s="20" customFormat="1" ht="12.75">
      <c r="B17" s="20" t="s">
        <v>172</v>
      </c>
      <c r="C17" s="19" t="s">
        <v>111</v>
      </c>
    </row>
    <row r="18" spans="2:3" s="20" customFormat="1" ht="12.75">
      <c r="B18" s="20" t="s">
        <v>200</v>
      </c>
      <c r="C18" s="27">
        <v>34508</v>
      </c>
    </row>
    <row r="19" spans="2:3" s="20" customFormat="1" ht="12.75">
      <c r="B19" s="20" t="s">
        <v>201</v>
      </c>
      <c r="C19" s="28">
        <v>34486</v>
      </c>
    </row>
    <row r="20" s="20" customFormat="1" ht="12.75">
      <c r="C20" s="19"/>
    </row>
    <row r="21" spans="2:3" s="20" customFormat="1" ht="12.75">
      <c r="B21" s="21" t="s">
        <v>45</v>
      </c>
      <c r="C21" s="19"/>
    </row>
    <row r="22" s="20" customFormat="1" ht="12.75">
      <c r="C22" s="19"/>
    </row>
    <row r="23" spans="2:3" s="20" customFormat="1" ht="38.25">
      <c r="B23" s="20" t="s">
        <v>169</v>
      </c>
      <c r="C23" s="19" t="s">
        <v>166</v>
      </c>
    </row>
    <row r="24" spans="2:3" s="20" customFormat="1" ht="12.75">
      <c r="B24" s="20" t="s">
        <v>170</v>
      </c>
      <c r="C24" s="19" t="s">
        <v>167</v>
      </c>
    </row>
    <row r="25" spans="2:3" s="20" customFormat="1" ht="12.75">
      <c r="B25" s="20" t="s">
        <v>171</v>
      </c>
      <c r="C25" s="19"/>
    </row>
    <row r="26" spans="2:3" s="20" customFormat="1" ht="12.75">
      <c r="B26" s="20" t="s">
        <v>172</v>
      </c>
      <c r="C26" s="19" t="s">
        <v>111</v>
      </c>
    </row>
    <row r="27" spans="2:3" s="20" customFormat="1" ht="12.75">
      <c r="B27" s="20" t="s">
        <v>200</v>
      </c>
      <c r="C27" s="27">
        <v>34509</v>
      </c>
    </row>
    <row r="28" spans="2:3" s="20" customFormat="1" ht="12.75">
      <c r="B28" s="20" t="s">
        <v>201</v>
      </c>
      <c r="C28" s="28">
        <v>34486</v>
      </c>
    </row>
    <row r="29" s="20" customFormat="1" ht="12.75">
      <c r="C29" s="19"/>
    </row>
    <row r="30" spans="2:3" s="20" customFormat="1" ht="12.75">
      <c r="B30" s="21" t="s">
        <v>46</v>
      </c>
      <c r="C30" s="19"/>
    </row>
    <row r="31" s="20" customFormat="1" ht="12.75">
      <c r="C31" s="19"/>
    </row>
    <row r="32" spans="2:3" s="20" customFormat="1" ht="38.25">
      <c r="B32" s="20" t="s">
        <v>169</v>
      </c>
      <c r="C32" s="19" t="s">
        <v>166</v>
      </c>
    </row>
    <row r="33" spans="2:3" s="20" customFormat="1" ht="12.75">
      <c r="B33" s="20" t="s">
        <v>170</v>
      </c>
      <c r="C33" s="19" t="s">
        <v>167</v>
      </c>
    </row>
    <row r="34" spans="2:3" s="20" customFormat="1" ht="12.75">
      <c r="B34" s="20" t="s">
        <v>171</v>
      </c>
      <c r="C34" s="19"/>
    </row>
    <row r="35" spans="1:3" s="20" customFormat="1" ht="63.75">
      <c r="A35" s="20" t="s">
        <v>46</v>
      </c>
      <c r="B35" s="20" t="s">
        <v>172</v>
      </c>
      <c r="C35" s="19" t="s">
        <v>111</v>
      </c>
    </row>
    <row r="36" spans="2:3" s="20" customFormat="1" ht="12.75">
      <c r="B36" s="20" t="s">
        <v>200</v>
      </c>
      <c r="C36" s="27">
        <v>34510</v>
      </c>
    </row>
    <row r="37" spans="2:3" s="20" customFormat="1" ht="12.75">
      <c r="B37" s="20" t="s">
        <v>201</v>
      </c>
      <c r="C37" s="28">
        <v>34486</v>
      </c>
    </row>
    <row r="38" s="20" customFormat="1" ht="12.75">
      <c r="C38" s="19"/>
    </row>
    <row r="39" spans="2:3" s="20" customFormat="1" ht="12.75">
      <c r="B39" s="21" t="s">
        <v>47</v>
      </c>
      <c r="C39" s="19"/>
    </row>
    <row r="40" s="20" customFormat="1" ht="12.75">
      <c r="C40" s="19"/>
    </row>
    <row r="41" spans="2:3" s="20" customFormat="1" ht="38.25">
      <c r="B41" s="20" t="s">
        <v>169</v>
      </c>
      <c r="C41" s="19" t="s">
        <v>166</v>
      </c>
    </row>
    <row r="42" spans="2:3" s="20" customFormat="1" ht="12.75">
      <c r="B42" s="20" t="s">
        <v>170</v>
      </c>
      <c r="C42" s="19" t="s">
        <v>167</v>
      </c>
    </row>
    <row r="43" spans="2:3" s="20" customFormat="1" ht="12.75">
      <c r="B43" s="20" t="s">
        <v>171</v>
      </c>
      <c r="C43" s="19"/>
    </row>
    <row r="44" spans="1:3" s="20" customFormat="1" ht="63.75">
      <c r="A44" s="20" t="s">
        <v>47</v>
      </c>
      <c r="B44" s="20" t="s">
        <v>172</v>
      </c>
      <c r="C44" s="19" t="s">
        <v>111</v>
      </c>
    </row>
    <row r="45" spans="2:3" s="20" customFormat="1" ht="12.75">
      <c r="B45" s="20" t="s">
        <v>200</v>
      </c>
      <c r="C45" s="27">
        <v>34511</v>
      </c>
    </row>
    <row r="46" spans="2:3" s="20" customFormat="1" ht="12.75">
      <c r="B46" s="20" t="s">
        <v>201</v>
      </c>
      <c r="C46" s="28">
        <v>34486</v>
      </c>
    </row>
    <row r="47" s="20" customFormat="1" ht="12.75">
      <c r="C47" s="19"/>
    </row>
    <row r="48" spans="2:3" s="20" customFormat="1" ht="12.75">
      <c r="B48" s="21" t="s">
        <v>48</v>
      </c>
      <c r="C48" s="19"/>
    </row>
    <row r="49" s="20" customFormat="1" ht="12.75">
      <c r="C49" s="19"/>
    </row>
    <row r="50" spans="2:3" s="20" customFormat="1" ht="38.25">
      <c r="B50" s="20" t="s">
        <v>169</v>
      </c>
      <c r="C50" s="19" t="s">
        <v>166</v>
      </c>
    </row>
    <row r="51" spans="2:3" s="20" customFormat="1" ht="12.75">
      <c r="B51" s="20" t="s">
        <v>170</v>
      </c>
      <c r="C51" s="19" t="s">
        <v>167</v>
      </c>
    </row>
    <row r="52" spans="2:3" s="20" customFormat="1" ht="12.75">
      <c r="B52" s="20" t="s">
        <v>171</v>
      </c>
      <c r="C52" s="19"/>
    </row>
    <row r="53" spans="1:3" s="20" customFormat="1" ht="63.75">
      <c r="A53" s="20" t="s">
        <v>48</v>
      </c>
      <c r="B53" s="20" t="s">
        <v>172</v>
      </c>
      <c r="C53" s="19" t="s">
        <v>112</v>
      </c>
    </row>
    <row r="54" spans="2:3" s="20" customFormat="1" ht="12.75">
      <c r="B54" s="20" t="s">
        <v>200</v>
      </c>
      <c r="C54" s="27">
        <v>34535</v>
      </c>
    </row>
    <row r="55" spans="2:3" s="20" customFormat="1" ht="12.75">
      <c r="B55" s="20" t="s">
        <v>201</v>
      </c>
      <c r="C55" s="28">
        <v>34516</v>
      </c>
    </row>
    <row r="56" s="20" customFormat="1" ht="12.75">
      <c r="C56" s="19"/>
    </row>
    <row r="57" spans="2:3" s="20" customFormat="1" ht="12.75">
      <c r="B57" s="21" t="s">
        <v>49</v>
      </c>
      <c r="C57" s="19"/>
    </row>
    <row r="58" s="20" customFormat="1" ht="12.75">
      <c r="C58" s="19"/>
    </row>
    <row r="59" spans="2:3" s="20" customFormat="1" ht="38.25">
      <c r="B59" s="20" t="s">
        <v>169</v>
      </c>
      <c r="C59" s="19" t="s">
        <v>166</v>
      </c>
    </row>
    <row r="60" spans="2:3" s="20" customFormat="1" ht="12.75">
      <c r="B60" s="20" t="s">
        <v>170</v>
      </c>
      <c r="C60" s="19" t="s">
        <v>167</v>
      </c>
    </row>
    <row r="61" spans="2:3" s="20" customFormat="1" ht="12.75">
      <c r="B61" s="20" t="s">
        <v>171</v>
      </c>
      <c r="C61" s="19"/>
    </row>
    <row r="62" spans="1:3" s="20" customFormat="1" ht="63.75">
      <c r="A62" s="20" t="s">
        <v>49</v>
      </c>
      <c r="B62" s="20" t="s">
        <v>172</v>
      </c>
      <c r="C62" s="19" t="s">
        <v>113</v>
      </c>
    </row>
    <row r="63" spans="1:3" s="20" customFormat="1" ht="63.75">
      <c r="A63" s="20" t="s">
        <v>49</v>
      </c>
      <c r="B63" s="20" t="s">
        <v>200</v>
      </c>
      <c r="C63" s="19" t="s">
        <v>115</v>
      </c>
    </row>
    <row r="64" spans="2:3" s="20" customFormat="1" ht="12.75">
      <c r="B64" s="20" t="s">
        <v>201</v>
      </c>
      <c r="C64" s="28">
        <v>34516</v>
      </c>
    </row>
    <row r="65" s="20" customFormat="1" ht="12.75">
      <c r="C65" s="19"/>
    </row>
    <row r="66" spans="2:3" s="20" customFormat="1" ht="12.75">
      <c r="B66" s="21" t="s">
        <v>34</v>
      </c>
      <c r="C66" s="19"/>
    </row>
    <row r="67" s="20" customFormat="1" ht="12.75">
      <c r="C67" s="19"/>
    </row>
    <row r="68" spans="2:3" s="20" customFormat="1" ht="25.5">
      <c r="B68" s="20" t="s">
        <v>169</v>
      </c>
      <c r="C68" s="19" t="s">
        <v>157</v>
      </c>
    </row>
    <row r="69" spans="2:3" s="20" customFormat="1" ht="12.75">
      <c r="B69" s="20" t="s">
        <v>170</v>
      </c>
      <c r="C69" s="19"/>
    </row>
    <row r="70" spans="2:3" s="20" customFormat="1" ht="12.75">
      <c r="B70" s="20" t="s">
        <v>171</v>
      </c>
      <c r="C70" s="19"/>
    </row>
    <row r="71" spans="1:3" s="20" customFormat="1" ht="63.75">
      <c r="A71" s="20" t="s">
        <v>34</v>
      </c>
      <c r="B71" s="20" t="s">
        <v>172</v>
      </c>
      <c r="C71" s="19" t="s">
        <v>158</v>
      </c>
    </row>
    <row r="72" spans="1:3" s="20" customFormat="1" ht="63.75">
      <c r="A72" s="20" t="s">
        <v>34</v>
      </c>
      <c r="B72" s="20" t="s">
        <v>200</v>
      </c>
      <c r="C72" s="19" t="s">
        <v>116</v>
      </c>
    </row>
    <row r="73" spans="2:3" s="20" customFormat="1" ht="12.75">
      <c r="B73" s="20" t="s">
        <v>201</v>
      </c>
      <c r="C73" s="28">
        <v>34486</v>
      </c>
    </row>
    <row r="74" s="20" customFormat="1" ht="12.75">
      <c r="C74" s="19"/>
    </row>
    <row r="75" spans="2:3" s="20" customFormat="1" ht="12.75">
      <c r="B75" s="21" t="s">
        <v>35</v>
      </c>
      <c r="C75" s="19"/>
    </row>
    <row r="76" s="20" customFormat="1" ht="12.75">
      <c r="C76" s="19"/>
    </row>
    <row r="77" spans="2:3" s="20" customFormat="1" ht="25.5">
      <c r="B77" s="20" t="s">
        <v>169</v>
      </c>
      <c r="C77" s="19" t="s">
        <v>160</v>
      </c>
    </row>
    <row r="78" spans="2:3" s="20" customFormat="1" ht="12.75">
      <c r="B78" s="20" t="s">
        <v>170</v>
      </c>
      <c r="C78" s="19" t="s">
        <v>161</v>
      </c>
    </row>
    <row r="79" spans="2:3" s="20" customFormat="1" ht="12.75">
      <c r="B79" s="20" t="s">
        <v>171</v>
      </c>
      <c r="C79" s="19" t="s">
        <v>161</v>
      </c>
    </row>
    <row r="80" spans="2:3" s="20" customFormat="1" ht="12.75">
      <c r="B80" s="20" t="s">
        <v>172</v>
      </c>
      <c r="C80" s="19" t="s">
        <v>114</v>
      </c>
    </row>
    <row r="81" spans="2:3" s="20" customFormat="1" ht="12.75">
      <c r="B81" s="20" t="s">
        <v>200</v>
      </c>
      <c r="C81" s="19" t="s">
        <v>202</v>
      </c>
    </row>
    <row r="82" spans="2:3" s="20" customFormat="1" ht="12.75">
      <c r="B82" s="20" t="s">
        <v>201</v>
      </c>
      <c r="C82" s="28">
        <v>34731</v>
      </c>
    </row>
    <row r="83" s="20" customFormat="1" ht="12.75">
      <c r="C83" s="19"/>
    </row>
    <row r="84" spans="2:3" s="20" customFormat="1" ht="12.75">
      <c r="B84" s="21" t="s">
        <v>0</v>
      </c>
      <c r="C84" s="19"/>
    </row>
    <row r="85" s="20" customFormat="1" ht="12.75">
      <c r="C85" s="19"/>
    </row>
    <row r="86" spans="2:3" s="20" customFormat="1" ht="25.5">
      <c r="B86" s="20" t="s">
        <v>169</v>
      </c>
      <c r="C86" s="19" t="s">
        <v>160</v>
      </c>
    </row>
    <row r="87" spans="2:3" s="20" customFormat="1" ht="12.75">
      <c r="B87" s="20" t="s">
        <v>170</v>
      </c>
      <c r="C87" s="19" t="s">
        <v>161</v>
      </c>
    </row>
    <row r="88" spans="2:3" s="20" customFormat="1" ht="12.75">
      <c r="B88" s="20" t="s">
        <v>171</v>
      </c>
      <c r="C88" s="19" t="s">
        <v>161</v>
      </c>
    </row>
    <row r="89" spans="1:3" s="20" customFormat="1" ht="63.75">
      <c r="A89" s="20" t="s">
        <v>0</v>
      </c>
      <c r="B89" s="20" t="s">
        <v>172</v>
      </c>
      <c r="C89" s="19" t="s">
        <v>255</v>
      </c>
    </row>
    <row r="90" spans="2:3" s="20" customFormat="1" ht="12.75">
      <c r="B90" s="20" t="s">
        <v>200</v>
      </c>
      <c r="C90" s="19" t="s">
        <v>203</v>
      </c>
    </row>
    <row r="91" spans="2:3" s="20" customFormat="1" ht="12.75">
      <c r="B91" s="20" t="s">
        <v>201</v>
      </c>
      <c r="C91" s="28">
        <v>34731</v>
      </c>
    </row>
    <row r="92" s="20" customFormat="1" ht="12.75">
      <c r="C92" s="19"/>
    </row>
    <row r="93" spans="2:3" s="20" customFormat="1" ht="12.75">
      <c r="B93" s="21" t="s">
        <v>26</v>
      </c>
      <c r="C93" s="19"/>
    </row>
    <row r="94" s="20" customFormat="1" ht="12.75">
      <c r="C94" s="19"/>
    </row>
    <row r="95" spans="2:3" s="20" customFormat="1" ht="25.5">
      <c r="B95" s="20" t="s">
        <v>169</v>
      </c>
      <c r="C95" s="19" t="s">
        <v>160</v>
      </c>
    </row>
    <row r="96" spans="2:3" s="20" customFormat="1" ht="12.75">
      <c r="B96" s="20" t="s">
        <v>170</v>
      </c>
      <c r="C96" s="19" t="s">
        <v>161</v>
      </c>
    </row>
    <row r="97" spans="2:3" s="20" customFormat="1" ht="12.75">
      <c r="B97" s="20" t="s">
        <v>171</v>
      </c>
      <c r="C97" s="19" t="s">
        <v>161</v>
      </c>
    </row>
    <row r="98" spans="1:3" s="20" customFormat="1" ht="63.75">
      <c r="A98" s="20" t="s">
        <v>26</v>
      </c>
      <c r="B98" s="20" t="s">
        <v>172</v>
      </c>
      <c r="C98" s="19" t="s">
        <v>110</v>
      </c>
    </row>
    <row r="99" spans="2:3" s="20" customFormat="1" ht="12.75">
      <c r="B99" s="20" t="s">
        <v>200</v>
      </c>
      <c r="C99" s="19" t="s">
        <v>204</v>
      </c>
    </row>
    <row r="100" spans="2:3" s="20" customFormat="1" ht="12.75">
      <c r="B100" s="20" t="s">
        <v>201</v>
      </c>
      <c r="C100" s="28">
        <v>34790</v>
      </c>
    </row>
    <row r="101" s="20" customFormat="1" ht="12.75">
      <c r="C101" s="19"/>
    </row>
    <row r="102" spans="2:3" s="20" customFormat="1" ht="12.75">
      <c r="B102" s="21" t="s">
        <v>27</v>
      </c>
      <c r="C102" s="19"/>
    </row>
    <row r="103" s="20" customFormat="1" ht="12.75">
      <c r="C103" s="19"/>
    </row>
    <row r="104" spans="2:3" s="20" customFormat="1" ht="25.5">
      <c r="B104" s="20" t="s">
        <v>169</v>
      </c>
      <c r="C104" s="19" t="s">
        <v>162</v>
      </c>
    </row>
    <row r="105" spans="2:3" s="20" customFormat="1" ht="12.75">
      <c r="B105" s="20" t="s">
        <v>170</v>
      </c>
      <c r="C105" s="19"/>
    </row>
    <row r="106" spans="2:3" s="20" customFormat="1" ht="12.75">
      <c r="B106" s="20" t="s">
        <v>171</v>
      </c>
      <c r="C106" s="19"/>
    </row>
    <row r="107" spans="1:3" s="20" customFormat="1" ht="63.75">
      <c r="A107" s="20" t="s">
        <v>27</v>
      </c>
      <c r="B107" s="20" t="s">
        <v>172</v>
      </c>
      <c r="C107" s="19" t="s">
        <v>165</v>
      </c>
    </row>
    <row r="108" spans="1:3" s="20" customFormat="1" ht="63.75">
      <c r="A108" s="20" t="s">
        <v>27</v>
      </c>
      <c r="B108" s="20" t="s">
        <v>200</v>
      </c>
      <c r="C108" s="19" t="s">
        <v>205</v>
      </c>
    </row>
    <row r="109" spans="1:3" s="20" customFormat="1" ht="63.75">
      <c r="A109" s="20" t="s">
        <v>27</v>
      </c>
      <c r="B109" s="20" t="s">
        <v>201</v>
      </c>
      <c r="C109" s="28">
        <v>34943</v>
      </c>
    </row>
    <row r="110" s="20" customFormat="1" ht="12.75">
      <c r="C110" s="19"/>
    </row>
    <row r="111" spans="2:3" s="20" customFormat="1" ht="12.75">
      <c r="B111" s="21" t="s">
        <v>30</v>
      </c>
      <c r="C111" s="19"/>
    </row>
    <row r="112" s="20" customFormat="1" ht="12.75">
      <c r="C112" s="19"/>
    </row>
    <row r="113" spans="2:3" s="20" customFormat="1" ht="25.5">
      <c r="B113" s="20" t="s">
        <v>169</v>
      </c>
      <c r="C113" s="19" t="s">
        <v>162</v>
      </c>
    </row>
    <row r="114" spans="2:3" s="20" customFormat="1" ht="12.75">
      <c r="B114" s="20" t="s">
        <v>170</v>
      </c>
      <c r="C114" s="19"/>
    </row>
    <row r="115" spans="2:3" s="20" customFormat="1" ht="12.75">
      <c r="B115" s="20" t="s">
        <v>171</v>
      </c>
      <c r="C115" s="19"/>
    </row>
    <row r="116" spans="1:3" s="20" customFormat="1" ht="63.75">
      <c r="A116" s="20" t="s">
        <v>30</v>
      </c>
      <c r="B116" s="20" t="s">
        <v>172</v>
      </c>
      <c r="C116" s="19" t="s">
        <v>164</v>
      </c>
    </row>
    <row r="117" spans="1:3" s="20" customFormat="1" ht="63.75">
      <c r="A117" s="20" t="s">
        <v>30</v>
      </c>
      <c r="B117" s="20" t="s">
        <v>200</v>
      </c>
      <c r="C117" s="19" t="s">
        <v>206</v>
      </c>
    </row>
    <row r="118" spans="2:3" s="20" customFormat="1" ht="12.75">
      <c r="B118" s="20" t="s">
        <v>201</v>
      </c>
      <c r="C118" s="28">
        <v>34943</v>
      </c>
    </row>
    <row r="119" s="20" customFormat="1" ht="12.75">
      <c r="C119" s="19"/>
    </row>
    <row r="120" spans="2:3" s="20" customFormat="1" ht="12.75">
      <c r="B120" s="21" t="s">
        <v>31</v>
      </c>
      <c r="C120" s="19"/>
    </row>
    <row r="121" s="20" customFormat="1" ht="12.75">
      <c r="C121" s="19"/>
    </row>
    <row r="122" spans="2:3" s="20" customFormat="1" ht="25.5">
      <c r="B122" s="20" t="s">
        <v>169</v>
      </c>
      <c r="C122" s="19" t="s">
        <v>162</v>
      </c>
    </row>
    <row r="123" spans="2:3" s="20" customFormat="1" ht="12.75">
      <c r="B123" s="20" t="s">
        <v>170</v>
      </c>
      <c r="C123" s="19"/>
    </row>
    <row r="124" spans="2:3" s="20" customFormat="1" ht="12.75">
      <c r="B124" s="20" t="s">
        <v>171</v>
      </c>
      <c r="C124" s="19"/>
    </row>
    <row r="125" spans="1:3" s="20" customFormat="1" ht="63.75">
      <c r="A125" s="20" t="s">
        <v>31</v>
      </c>
      <c r="B125" s="20" t="s">
        <v>172</v>
      </c>
      <c r="C125" s="19" t="s">
        <v>163</v>
      </c>
    </row>
    <row r="126" spans="2:3" s="20" customFormat="1" ht="12.75">
      <c r="B126" s="20" t="s">
        <v>200</v>
      </c>
      <c r="C126" s="27">
        <v>34966</v>
      </c>
    </row>
    <row r="127" spans="2:3" s="20" customFormat="1" ht="12.75">
      <c r="B127" s="20" t="s">
        <v>201</v>
      </c>
      <c r="C127" s="28">
        <v>34943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284"/>
  <sheetViews>
    <sheetView tabSelected="1" zoomScale="75" zoomScaleNormal="75" workbookViewId="0" topLeftCell="B102">
      <selection activeCell="Y125" sqref="Y125"/>
    </sheetView>
  </sheetViews>
  <sheetFormatPr defaultColWidth="9.140625" defaultRowHeight="12.75"/>
  <cols>
    <col min="1" max="1" width="3.140625" style="25" hidden="1" customWidth="1"/>
    <col min="2" max="2" width="18.140625" style="0" customWidth="1"/>
    <col min="3" max="3" width="8.28125" style="0" customWidth="1"/>
    <col min="5" max="5" width="4.28125" style="0" customWidth="1"/>
    <col min="6" max="6" width="3.00390625" style="0" bestFit="1" customWidth="1"/>
    <col min="7" max="7" width="8.57421875" style="0" customWidth="1"/>
    <col min="8" max="8" width="3.00390625" style="0" bestFit="1" customWidth="1"/>
    <col min="9" max="9" width="7.8515625" style="0" customWidth="1"/>
    <col min="10" max="10" width="2.421875" style="0" customWidth="1"/>
    <col min="11" max="11" width="8.421875" style="0" customWidth="1"/>
    <col min="12" max="12" width="2.421875" style="0" customWidth="1"/>
    <col min="13" max="13" width="7.140625" style="0" customWidth="1"/>
    <col min="14" max="14" width="2.421875" style="0" customWidth="1"/>
    <col min="15" max="15" width="8.140625" style="0" customWidth="1"/>
    <col min="16" max="16" width="2.28125" style="0" customWidth="1"/>
    <col min="18" max="18" width="2.00390625" style="0" customWidth="1"/>
    <col min="19" max="19" width="7.57421875" style="0" customWidth="1"/>
    <col min="20" max="20" width="3.7109375" style="0" customWidth="1"/>
    <col min="22" max="22" width="1.8515625" style="0" customWidth="1"/>
  </cols>
  <sheetData>
    <row r="1" ht="12.75">
      <c r="B1" s="7" t="s">
        <v>174</v>
      </c>
    </row>
    <row r="2" ht="12.75">
      <c r="B2" s="7"/>
    </row>
    <row r="3" spans="1:61" s="3" customFormat="1" ht="12.75">
      <c r="A3" s="8"/>
      <c r="B3" s="5" t="s">
        <v>32</v>
      </c>
      <c r="F3" s="2"/>
      <c r="G3" s="23" t="s">
        <v>54</v>
      </c>
      <c r="H3" s="23"/>
      <c r="I3" s="23" t="s">
        <v>55</v>
      </c>
      <c r="J3" s="23"/>
      <c r="K3" s="23" t="s">
        <v>56</v>
      </c>
      <c r="L3" s="23"/>
      <c r="M3" s="23" t="s">
        <v>57</v>
      </c>
      <c r="N3" s="23"/>
      <c r="O3" s="23" t="s">
        <v>58</v>
      </c>
      <c r="P3" s="23"/>
      <c r="Q3" s="23" t="s">
        <v>59</v>
      </c>
      <c r="R3" s="23"/>
      <c r="S3" s="23" t="s">
        <v>60</v>
      </c>
      <c r="T3" s="23"/>
      <c r="U3" s="23" t="s">
        <v>61</v>
      </c>
      <c r="V3"/>
      <c r="W3"/>
      <c r="X3"/>
      <c r="Y3"/>
      <c r="Z3"/>
      <c r="AA3"/>
      <c r="AB3"/>
      <c r="AC3"/>
      <c r="AD3"/>
      <c r="AE3"/>
      <c r="AF3"/>
      <c r="BI3"/>
    </row>
    <row r="4" spans="1:61" s="3" customFormat="1" ht="12.75">
      <c r="A4" s="8"/>
      <c r="F4" s="2"/>
      <c r="H4" s="2"/>
      <c r="J4" s="2"/>
      <c r="L4" s="2"/>
      <c r="N4" s="2"/>
      <c r="P4" s="2"/>
      <c r="R4" s="2"/>
      <c r="T4" s="2"/>
      <c r="V4"/>
      <c r="W4"/>
      <c r="X4"/>
      <c r="Y4"/>
      <c r="Z4"/>
      <c r="AA4"/>
      <c r="AB4"/>
      <c r="AC4"/>
      <c r="AD4"/>
      <c r="AE4"/>
      <c r="AF4"/>
      <c r="BI4"/>
    </row>
    <row r="5" spans="1:61" s="1" customFormat="1" ht="12.75">
      <c r="A5" s="8"/>
      <c r="B5" s="1" t="s">
        <v>1</v>
      </c>
      <c r="C5" s="1" t="s">
        <v>183</v>
      </c>
      <c r="D5" s="1" t="s">
        <v>2</v>
      </c>
      <c r="E5" s="1" t="s">
        <v>185</v>
      </c>
      <c r="F5" s="2" t="s">
        <v>3</v>
      </c>
      <c r="G5" s="1">
        <v>0.03300032736</v>
      </c>
      <c r="H5" s="2" t="s">
        <v>3</v>
      </c>
      <c r="I5" s="1">
        <v>0.02800027776</v>
      </c>
      <c r="J5" s="2" t="s">
        <v>3</v>
      </c>
      <c r="K5" s="1">
        <v>0.0050000496</v>
      </c>
      <c r="L5" s="2" t="s">
        <v>3</v>
      </c>
      <c r="N5" s="2" t="s">
        <v>3</v>
      </c>
      <c r="P5" s="2" t="s">
        <v>3</v>
      </c>
      <c r="R5" s="2" t="s">
        <v>3</v>
      </c>
      <c r="T5" s="2" t="s">
        <v>3</v>
      </c>
      <c r="U5" s="1">
        <f aca="true" t="shared" si="0" ref="U5:U12">AVERAGE(G5,I5,K5)</f>
        <v>0.022000218239999998</v>
      </c>
      <c r="V5"/>
      <c r="W5"/>
      <c r="X5"/>
      <c r="Y5"/>
      <c r="Z5"/>
      <c r="AA5"/>
      <c r="AB5"/>
      <c r="AC5"/>
      <c r="AD5"/>
      <c r="AE5"/>
      <c r="AF5"/>
      <c r="BI5"/>
    </row>
    <row r="6" spans="1:61" s="3" customFormat="1" ht="12.75">
      <c r="A6" s="8"/>
      <c r="B6" s="3" t="s">
        <v>28</v>
      </c>
      <c r="C6" s="1" t="s">
        <v>183</v>
      </c>
      <c r="D6" s="3" t="s">
        <v>5</v>
      </c>
      <c r="E6" s="1" t="s">
        <v>185</v>
      </c>
      <c r="F6" s="2" t="s">
        <v>3</v>
      </c>
      <c r="G6" s="34">
        <v>621</v>
      </c>
      <c r="H6" s="34" t="s">
        <v>3</v>
      </c>
      <c r="I6" s="34">
        <v>573</v>
      </c>
      <c r="J6" s="34" t="s">
        <v>3</v>
      </c>
      <c r="K6" s="34">
        <v>878</v>
      </c>
      <c r="L6" s="34" t="s">
        <v>3</v>
      </c>
      <c r="M6" s="34">
        <v>384</v>
      </c>
      <c r="N6" s="34" t="s">
        <v>3</v>
      </c>
      <c r="O6" s="34">
        <v>125</v>
      </c>
      <c r="P6" s="34" t="s">
        <v>3</v>
      </c>
      <c r="Q6" s="34">
        <v>1060</v>
      </c>
      <c r="R6" s="34" t="s">
        <v>3</v>
      </c>
      <c r="S6" s="34">
        <v>1200</v>
      </c>
      <c r="T6" s="2" t="s">
        <v>3</v>
      </c>
      <c r="U6" s="34">
        <f t="shared" si="0"/>
        <v>690.6666666666666</v>
      </c>
      <c r="V6"/>
      <c r="W6"/>
      <c r="X6"/>
      <c r="Y6"/>
      <c r="Z6"/>
      <c r="AA6"/>
      <c r="AB6"/>
      <c r="AC6"/>
      <c r="AD6"/>
      <c r="AE6"/>
      <c r="AF6"/>
      <c r="BI6"/>
    </row>
    <row r="7" spans="1:61" s="3" customFormat="1" ht="12.75">
      <c r="A7" s="8"/>
      <c r="B7" s="3" t="s">
        <v>4</v>
      </c>
      <c r="C7" s="1" t="s">
        <v>183</v>
      </c>
      <c r="D7" s="3" t="s">
        <v>5</v>
      </c>
      <c r="E7" s="1" t="s">
        <v>185</v>
      </c>
      <c r="F7" s="2" t="s">
        <v>3</v>
      </c>
      <c r="G7" s="34">
        <v>364</v>
      </c>
      <c r="H7" s="34" t="s">
        <v>3</v>
      </c>
      <c r="I7" s="34">
        <v>244</v>
      </c>
      <c r="J7" s="34" t="s">
        <v>3</v>
      </c>
      <c r="K7" s="34">
        <v>406</v>
      </c>
      <c r="L7" s="34" t="s">
        <v>3</v>
      </c>
      <c r="M7" s="34">
        <v>180</v>
      </c>
      <c r="N7" s="34" t="s">
        <v>3</v>
      </c>
      <c r="O7" s="34">
        <v>86</v>
      </c>
      <c r="P7" s="34" t="s">
        <v>3</v>
      </c>
      <c r="Q7" s="34">
        <v>682</v>
      </c>
      <c r="R7" s="34" t="s">
        <v>3</v>
      </c>
      <c r="S7" s="34"/>
      <c r="T7" s="2" t="s">
        <v>3</v>
      </c>
      <c r="U7" s="34">
        <f t="shared" si="0"/>
        <v>338</v>
      </c>
      <c r="V7"/>
      <c r="W7"/>
      <c r="X7"/>
      <c r="Y7"/>
      <c r="Z7"/>
      <c r="AA7"/>
      <c r="AB7"/>
      <c r="AC7"/>
      <c r="AD7"/>
      <c r="AE7"/>
      <c r="AF7"/>
      <c r="BI7"/>
    </row>
    <row r="8" spans="1:61" s="3" customFormat="1" ht="12.75">
      <c r="A8" s="8"/>
      <c r="B8" s="3" t="s">
        <v>29</v>
      </c>
      <c r="C8" s="1" t="s">
        <v>183</v>
      </c>
      <c r="D8" s="3" t="s">
        <v>5</v>
      </c>
      <c r="E8" s="1" t="s">
        <v>185</v>
      </c>
      <c r="F8" s="2" t="s">
        <v>3</v>
      </c>
      <c r="G8" s="34">
        <v>10</v>
      </c>
      <c r="H8" s="34" t="s">
        <v>3</v>
      </c>
      <c r="I8" s="34">
        <v>10.6</v>
      </c>
      <c r="J8" s="34" t="s">
        <v>3</v>
      </c>
      <c r="K8" s="34">
        <v>10.5</v>
      </c>
      <c r="L8" s="34" t="s">
        <v>3</v>
      </c>
      <c r="M8" s="34">
        <v>8.6</v>
      </c>
      <c r="N8" s="34" t="s">
        <v>3</v>
      </c>
      <c r="O8" s="34">
        <v>10</v>
      </c>
      <c r="P8" s="34" t="s">
        <v>3</v>
      </c>
      <c r="Q8" s="34">
        <v>13.4</v>
      </c>
      <c r="R8" s="34" t="s">
        <v>3</v>
      </c>
      <c r="S8" s="34">
        <v>10.5</v>
      </c>
      <c r="T8" s="2" t="s">
        <v>3</v>
      </c>
      <c r="U8" s="34">
        <f t="shared" si="0"/>
        <v>10.366666666666667</v>
      </c>
      <c r="V8"/>
      <c r="W8"/>
      <c r="X8"/>
      <c r="Y8"/>
      <c r="Z8"/>
      <c r="AA8"/>
      <c r="AB8"/>
      <c r="AC8"/>
      <c r="AD8"/>
      <c r="AE8"/>
      <c r="AF8"/>
      <c r="BI8"/>
    </row>
    <row r="9" spans="1:61" s="3" customFormat="1" ht="12.75">
      <c r="A9" s="8"/>
      <c r="B9" s="3" t="s">
        <v>6</v>
      </c>
      <c r="C9" s="1" t="s">
        <v>183</v>
      </c>
      <c r="D9" s="3" t="s">
        <v>5</v>
      </c>
      <c r="E9" s="1" t="s">
        <v>185</v>
      </c>
      <c r="F9" s="2" t="s">
        <v>3</v>
      </c>
      <c r="G9" s="34">
        <v>2.6</v>
      </c>
      <c r="H9" s="34" t="s">
        <v>3</v>
      </c>
      <c r="I9" s="34">
        <v>9.8</v>
      </c>
      <c r="J9" s="34" t="s">
        <v>3</v>
      </c>
      <c r="K9" s="34">
        <v>9.1</v>
      </c>
      <c r="L9" s="34" t="s">
        <v>3</v>
      </c>
      <c r="M9" s="34">
        <v>6.5</v>
      </c>
      <c r="N9" s="34" t="s">
        <v>3</v>
      </c>
      <c r="O9" s="34">
        <v>9.3</v>
      </c>
      <c r="P9" s="34" t="s">
        <v>3</v>
      </c>
      <c r="Q9" s="34">
        <v>11.5</v>
      </c>
      <c r="R9" s="34" t="s">
        <v>3</v>
      </c>
      <c r="S9" s="34"/>
      <c r="T9" s="2" t="s">
        <v>3</v>
      </c>
      <c r="U9" s="34">
        <f t="shared" si="0"/>
        <v>7.166666666666667</v>
      </c>
      <c r="V9"/>
      <c r="W9"/>
      <c r="X9"/>
      <c r="Y9"/>
      <c r="Z9"/>
      <c r="AA9"/>
      <c r="AB9"/>
      <c r="AC9"/>
      <c r="AD9"/>
      <c r="AE9"/>
      <c r="AF9"/>
      <c r="BI9"/>
    </row>
    <row r="10" spans="1:61" s="3" customFormat="1" ht="12.75">
      <c r="A10" s="8"/>
      <c r="B10" s="3" t="s">
        <v>7</v>
      </c>
      <c r="C10" s="1" t="s">
        <v>183</v>
      </c>
      <c r="D10" s="3" t="s">
        <v>5</v>
      </c>
      <c r="E10" s="1" t="s">
        <v>185</v>
      </c>
      <c r="F10" s="2" t="s">
        <v>3</v>
      </c>
      <c r="G10" s="3">
        <v>108.57563627548753</v>
      </c>
      <c r="H10" s="2" t="s">
        <v>3</v>
      </c>
      <c r="I10" s="3">
        <v>86.19370377683335</v>
      </c>
      <c r="J10" s="2" t="s">
        <v>3</v>
      </c>
      <c r="K10" s="3">
        <v>27.364130615364</v>
      </c>
      <c r="L10" s="2" t="s">
        <v>3</v>
      </c>
      <c r="N10" s="2" t="s">
        <v>3</v>
      </c>
      <c r="P10" s="2" t="s">
        <v>3</v>
      </c>
      <c r="R10" s="2" t="s">
        <v>3</v>
      </c>
      <c r="T10" s="2" t="s">
        <v>3</v>
      </c>
      <c r="U10" s="34">
        <f t="shared" si="0"/>
        <v>74.04449022256162</v>
      </c>
      <c r="V10"/>
      <c r="W10"/>
      <c r="X10"/>
      <c r="Y10"/>
      <c r="Z10"/>
      <c r="AA10"/>
      <c r="AB10"/>
      <c r="AC10"/>
      <c r="AD10"/>
      <c r="AE10"/>
      <c r="AF10"/>
      <c r="BI10"/>
    </row>
    <row r="11" spans="1:61" s="3" customFormat="1" ht="12.75">
      <c r="A11" s="8"/>
      <c r="B11" s="3" t="s">
        <v>8</v>
      </c>
      <c r="C11" s="1" t="s">
        <v>183</v>
      </c>
      <c r="D11" s="3" t="s">
        <v>5</v>
      </c>
      <c r="E11" s="1" t="s">
        <v>185</v>
      </c>
      <c r="F11" s="2" t="s">
        <v>3</v>
      </c>
      <c r="G11" s="3">
        <v>0.09099521996040251</v>
      </c>
      <c r="H11" s="2" t="s">
        <v>3</v>
      </c>
      <c r="I11" s="3">
        <v>0.22838011682607526</v>
      </c>
      <c r="J11" s="2" t="s">
        <v>3</v>
      </c>
      <c r="K11" s="3">
        <v>0.039583544205718475</v>
      </c>
      <c r="L11" s="2" t="s">
        <v>3</v>
      </c>
      <c r="N11" s="2" t="s">
        <v>3</v>
      </c>
      <c r="P11" s="2" t="s">
        <v>3</v>
      </c>
      <c r="R11" s="2" t="s">
        <v>3</v>
      </c>
      <c r="T11" s="2" t="s">
        <v>3</v>
      </c>
      <c r="U11" s="34">
        <f t="shared" si="0"/>
        <v>0.11965296033073208</v>
      </c>
      <c r="V11"/>
      <c r="W11"/>
      <c r="X11"/>
      <c r="Y11"/>
      <c r="Z11"/>
      <c r="AA11"/>
      <c r="AB11"/>
      <c r="AC11"/>
      <c r="AD11"/>
      <c r="AE11"/>
      <c r="AF11"/>
      <c r="BI11"/>
    </row>
    <row r="12" spans="1:61" s="3" customFormat="1" ht="12.75">
      <c r="A12" s="8"/>
      <c r="B12" s="3" t="s">
        <v>184</v>
      </c>
      <c r="C12" s="1" t="s">
        <v>183</v>
      </c>
      <c r="D12" s="3" t="s">
        <v>5</v>
      </c>
      <c r="E12" s="1" t="s">
        <v>185</v>
      </c>
      <c r="F12" s="2"/>
      <c r="G12" s="3">
        <f>G10+2*G11</f>
        <v>108.75762671540834</v>
      </c>
      <c r="H12" s="2"/>
      <c r="I12" s="3">
        <f>I10+2*I11</f>
        <v>86.65046401048549</v>
      </c>
      <c r="J12" s="2"/>
      <c r="K12" s="3">
        <f>K10+2*K11</f>
        <v>27.44329770377544</v>
      </c>
      <c r="L12" s="2"/>
      <c r="N12" s="2"/>
      <c r="P12" s="2"/>
      <c r="R12" s="2"/>
      <c r="T12" s="2"/>
      <c r="U12" s="34">
        <f t="shared" si="0"/>
        <v>74.28379614322309</v>
      </c>
      <c r="V12"/>
      <c r="W12"/>
      <c r="X12"/>
      <c r="Y12"/>
      <c r="Z12"/>
      <c r="AA12"/>
      <c r="AB12"/>
      <c r="AC12"/>
      <c r="AD12"/>
      <c r="AE12"/>
      <c r="AF12"/>
      <c r="BI12"/>
    </row>
    <row r="13" spans="1:61" s="3" customFormat="1" ht="12.75">
      <c r="A13" s="8"/>
      <c r="C13" s="1"/>
      <c r="E13" s="1"/>
      <c r="F13" s="2"/>
      <c r="H13" s="2"/>
      <c r="J13" s="2"/>
      <c r="L13" s="2"/>
      <c r="N13" s="2"/>
      <c r="P13" s="2"/>
      <c r="R13" s="2"/>
      <c r="T13" s="2"/>
      <c r="U13" s="34"/>
      <c r="V13"/>
      <c r="W13"/>
      <c r="X13"/>
      <c r="Y13"/>
      <c r="Z13"/>
      <c r="AA13"/>
      <c r="AB13"/>
      <c r="AC13"/>
      <c r="AD13"/>
      <c r="AE13"/>
      <c r="AF13"/>
      <c r="BI13"/>
    </row>
    <row r="14" spans="1:61" s="3" customFormat="1" ht="12.75">
      <c r="A14" s="8"/>
      <c r="B14" s="3" t="s">
        <v>12</v>
      </c>
      <c r="C14" s="3" t="s">
        <v>186</v>
      </c>
      <c r="D14" s="3" t="s">
        <v>10</v>
      </c>
      <c r="E14" s="1" t="s">
        <v>185</v>
      </c>
      <c r="F14" s="2" t="s">
        <v>3</v>
      </c>
      <c r="H14" s="2" t="s">
        <v>3</v>
      </c>
      <c r="J14" s="2" t="s">
        <v>3</v>
      </c>
      <c r="L14" s="2" t="s">
        <v>3</v>
      </c>
      <c r="M14" s="34">
        <v>10.8</v>
      </c>
      <c r="N14" s="34" t="s">
        <v>3</v>
      </c>
      <c r="O14" s="34">
        <v>12.2</v>
      </c>
      <c r="P14" s="34" t="s">
        <v>3</v>
      </c>
      <c r="Q14" s="34">
        <v>41</v>
      </c>
      <c r="R14" s="2" t="s">
        <v>3</v>
      </c>
      <c r="T14" s="2" t="s">
        <v>3</v>
      </c>
      <c r="U14" s="34">
        <f aca="true" t="shared" si="1" ref="U14:U19">AVERAGE(M14,O14,Q14)</f>
        <v>21.333333333333332</v>
      </c>
      <c r="V14"/>
      <c r="W14"/>
      <c r="X14"/>
      <c r="Y14"/>
      <c r="Z14"/>
      <c r="AA14"/>
      <c r="AB14"/>
      <c r="AC14"/>
      <c r="AD14"/>
      <c r="AE14"/>
      <c r="AF14"/>
      <c r="BI14"/>
    </row>
    <row r="15" spans="1:61" s="3" customFormat="1" ht="12.75">
      <c r="A15" s="8"/>
      <c r="B15" s="3" t="s">
        <v>14</v>
      </c>
      <c r="C15" s="3" t="s">
        <v>186</v>
      </c>
      <c r="D15" s="3" t="s">
        <v>10</v>
      </c>
      <c r="E15" s="1" t="s">
        <v>185</v>
      </c>
      <c r="F15" s="2" t="s">
        <v>3</v>
      </c>
      <c r="H15" s="2" t="s">
        <v>3</v>
      </c>
      <c r="J15" s="2" t="s">
        <v>3</v>
      </c>
      <c r="L15" s="2" t="s">
        <v>3</v>
      </c>
      <c r="M15" s="34">
        <v>0.98</v>
      </c>
      <c r="N15" s="34" t="s">
        <v>3</v>
      </c>
      <c r="O15" s="34">
        <v>1.01</v>
      </c>
      <c r="P15" s="34" t="s">
        <v>3</v>
      </c>
      <c r="Q15" s="34">
        <v>1</v>
      </c>
      <c r="R15" s="2" t="s">
        <v>3</v>
      </c>
      <c r="T15" s="2" t="s">
        <v>3</v>
      </c>
      <c r="U15" s="34">
        <f t="shared" si="1"/>
        <v>0.9966666666666667</v>
      </c>
      <c r="V15"/>
      <c r="W15"/>
      <c r="X15"/>
      <c r="Y15"/>
      <c r="Z15"/>
      <c r="AA15"/>
      <c r="AB15"/>
      <c r="AC15"/>
      <c r="AD15"/>
      <c r="AE15"/>
      <c r="AF15"/>
      <c r="BI15"/>
    </row>
    <row r="16" spans="1:61" s="3" customFormat="1" ht="12.75">
      <c r="A16" s="8"/>
      <c r="B16" s="3" t="s">
        <v>15</v>
      </c>
      <c r="C16" s="3" t="s">
        <v>186</v>
      </c>
      <c r="D16" s="3" t="s">
        <v>10</v>
      </c>
      <c r="E16" s="1" t="s">
        <v>185</v>
      </c>
      <c r="F16" s="2" t="s">
        <v>3</v>
      </c>
      <c r="H16" s="2" t="s">
        <v>3</v>
      </c>
      <c r="J16" s="2" t="s">
        <v>3</v>
      </c>
      <c r="L16" s="2" t="s">
        <v>3</v>
      </c>
      <c r="M16" s="34">
        <v>22.6</v>
      </c>
      <c r="N16" s="34" t="s">
        <v>3</v>
      </c>
      <c r="O16" s="34">
        <v>44.6</v>
      </c>
      <c r="P16" s="34" t="s">
        <v>3</v>
      </c>
      <c r="Q16" s="34">
        <v>98</v>
      </c>
      <c r="R16" s="2" t="s">
        <v>3</v>
      </c>
      <c r="T16" s="2" t="s">
        <v>3</v>
      </c>
      <c r="U16" s="34">
        <f t="shared" si="1"/>
        <v>55.06666666666666</v>
      </c>
      <c r="V16"/>
      <c r="W16"/>
      <c r="X16"/>
      <c r="Y16"/>
      <c r="Z16"/>
      <c r="AA16"/>
      <c r="AB16"/>
      <c r="AC16"/>
      <c r="AD16"/>
      <c r="AE16"/>
      <c r="AF16"/>
      <c r="BI16"/>
    </row>
    <row r="17" spans="1:61" s="3" customFormat="1" ht="12.75">
      <c r="A17" s="8"/>
      <c r="B17" s="3" t="s">
        <v>16</v>
      </c>
      <c r="C17" s="3" t="s">
        <v>186</v>
      </c>
      <c r="D17" s="3" t="s">
        <v>10</v>
      </c>
      <c r="E17" s="1" t="s">
        <v>185</v>
      </c>
      <c r="F17" s="2" t="s">
        <v>3</v>
      </c>
      <c r="H17" s="2" t="s">
        <v>3</v>
      </c>
      <c r="J17" s="2" t="s">
        <v>3</v>
      </c>
      <c r="L17" s="2" t="s">
        <v>3</v>
      </c>
      <c r="M17" s="34">
        <v>22.6</v>
      </c>
      <c r="N17" s="34" t="s">
        <v>3</v>
      </c>
      <c r="O17" s="34">
        <v>30.4</v>
      </c>
      <c r="P17" s="34" t="s">
        <v>3</v>
      </c>
      <c r="Q17" s="34">
        <v>54</v>
      </c>
      <c r="R17" s="2" t="s">
        <v>3</v>
      </c>
      <c r="T17" s="2" t="s">
        <v>3</v>
      </c>
      <c r="U17" s="34">
        <f t="shared" si="1"/>
        <v>35.666666666666664</v>
      </c>
      <c r="V17"/>
      <c r="W17"/>
      <c r="X17"/>
      <c r="Y17"/>
      <c r="Z17"/>
      <c r="AA17"/>
      <c r="AB17"/>
      <c r="AC17"/>
      <c r="AD17"/>
      <c r="AE17"/>
      <c r="AF17"/>
      <c r="BI17"/>
    </row>
    <row r="18" spans="1:61" s="3" customFormat="1" ht="12.75">
      <c r="A18" s="8"/>
      <c r="B18" s="3" t="s">
        <v>33</v>
      </c>
      <c r="C18" s="3" t="s">
        <v>187</v>
      </c>
      <c r="D18" s="3" t="s">
        <v>10</v>
      </c>
      <c r="E18" s="1" t="s">
        <v>185</v>
      </c>
      <c r="F18" s="2" t="s">
        <v>3</v>
      </c>
      <c r="H18" s="2" t="s">
        <v>3</v>
      </c>
      <c r="J18" s="2" t="s">
        <v>3</v>
      </c>
      <c r="L18" s="2" t="s">
        <v>3</v>
      </c>
      <c r="M18" s="34"/>
      <c r="N18" s="34" t="s">
        <v>3</v>
      </c>
      <c r="O18" s="34"/>
      <c r="P18" s="34" t="s">
        <v>3</v>
      </c>
      <c r="Q18" s="34">
        <v>0.1032646114570843</v>
      </c>
      <c r="R18" s="2" t="s">
        <v>3</v>
      </c>
      <c r="S18" s="3">
        <v>0.2108854648986267</v>
      </c>
      <c r="T18" s="2" t="s">
        <v>3</v>
      </c>
      <c r="U18" s="34">
        <f t="shared" si="1"/>
        <v>0.1032646114570843</v>
      </c>
      <c r="V18"/>
      <c r="W18"/>
      <c r="X18"/>
      <c r="Y18"/>
      <c r="Z18"/>
      <c r="AA18"/>
      <c r="AB18"/>
      <c r="AC18"/>
      <c r="AD18"/>
      <c r="AE18"/>
      <c r="AF18"/>
      <c r="BI18"/>
    </row>
    <row r="19" spans="1:61" s="3" customFormat="1" ht="12.75">
      <c r="A19" s="8"/>
      <c r="B19" s="3" t="s">
        <v>19</v>
      </c>
      <c r="C19" s="3" t="s">
        <v>186</v>
      </c>
      <c r="D19" s="3" t="s">
        <v>10</v>
      </c>
      <c r="E19" s="1" t="s">
        <v>185</v>
      </c>
      <c r="F19" s="2" t="s">
        <v>3</v>
      </c>
      <c r="H19" s="2" t="s">
        <v>3</v>
      </c>
      <c r="J19" s="2" t="s">
        <v>3</v>
      </c>
      <c r="L19" s="2" t="s">
        <v>3</v>
      </c>
      <c r="M19" s="34">
        <v>815.8</v>
      </c>
      <c r="N19" s="34" t="s">
        <v>3</v>
      </c>
      <c r="O19" s="34">
        <v>668.6</v>
      </c>
      <c r="P19" s="34" t="s">
        <v>3</v>
      </c>
      <c r="Q19" s="34">
        <v>1219.8</v>
      </c>
      <c r="R19" s="2" t="s">
        <v>3</v>
      </c>
      <c r="T19" s="2" t="s">
        <v>3</v>
      </c>
      <c r="U19" s="34">
        <f t="shared" si="1"/>
        <v>901.4</v>
      </c>
      <c r="V19"/>
      <c r="W19"/>
      <c r="X19"/>
      <c r="Y19"/>
      <c r="Z19"/>
      <c r="AA19"/>
      <c r="AB19"/>
      <c r="AC19"/>
      <c r="AD19"/>
      <c r="AE19"/>
      <c r="AF19"/>
      <c r="BI19"/>
    </row>
    <row r="20" spans="1:61" s="3" customFormat="1" ht="12.75">
      <c r="A20" s="8"/>
      <c r="B20" s="3" t="s">
        <v>67</v>
      </c>
      <c r="C20" s="3" t="s">
        <v>186</v>
      </c>
      <c r="D20" s="3" t="s">
        <v>10</v>
      </c>
      <c r="E20" s="1" t="s">
        <v>185</v>
      </c>
      <c r="F20" s="2"/>
      <c r="H20" s="2"/>
      <c r="J20" s="2"/>
      <c r="L20" s="2"/>
      <c r="M20" s="34">
        <f>M16+M19</f>
        <v>838.4</v>
      </c>
      <c r="N20" s="34"/>
      <c r="O20" s="34">
        <f>O16+O19</f>
        <v>713.2</v>
      </c>
      <c r="P20" s="34"/>
      <c r="Q20" s="34">
        <f>Q16+Q19</f>
        <v>1317.8</v>
      </c>
      <c r="R20" s="2"/>
      <c r="T20" s="2"/>
      <c r="U20" s="34">
        <f>AVERAGE(M20,O20,Q20)</f>
        <v>956.4666666666666</v>
      </c>
      <c r="V20"/>
      <c r="W20"/>
      <c r="X20"/>
      <c r="Y20"/>
      <c r="Z20"/>
      <c r="AA20"/>
      <c r="AB20"/>
      <c r="AC20"/>
      <c r="AD20"/>
      <c r="AE20"/>
      <c r="AF20"/>
      <c r="BI20"/>
    </row>
    <row r="21" spans="1:61" s="3" customFormat="1" ht="12.75">
      <c r="A21" s="8"/>
      <c r="B21" s="9" t="s">
        <v>68</v>
      </c>
      <c r="C21" s="3" t="s">
        <v>186</v>
      </c>
      <c r="D21" s="3" t="s">
        <v>10</v>
      </c>
      <c r="E21" s="1" t="s">
        <v>185</v>
      </c>
      <c r="F21" s="2"/>
      <c r="H21" s="2"/>
      <c r="J21" s="2"/>
      <c r="L21" s="2"/>
      <c r="M21" s="34">
        <f>M14+M15+M17</f>
        <v>34.38</v>
      </c>
      <c r="N21" s="34"/>
      <c r="O21" s="34">
        <f>O14+O15+O17</f>
        <v>43.61</v>
      </c>
      <c r="P21" s="34"/>
      <c r="Q21" s="34">
        <f>Q14+Q15+Q17</f>
        <v>96</v>
      </c>
      <c r="R21" s="2"/>
      <c r="T21" s="2"/>
      <c r="U21" s="34">
        <f>AVERAGE(M21,O21,Q21)</f>
        <v>57.99666666666667</v>
      </c>
      <c r="V21"/>
      <c r="W21"/>
      <c r="X21"/>
      <c r="Y21"/>
      <c r="Z21"/>
      <c r="AA21"/>
      <c r="AB21"/>
      <c r="AC21"/>
      <c r="AD21"/>
      <c r="AE21"/>
      <c r="AF21"/>
      <c r="BI21"/>
    </row>
    <row r="22" spans="1:61" s="4" customFormat="1" ht="12.75">
      <c r="A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/>
      <c r="W22"/>
      <c r="X22"/>
      <c r="Y22"/>
      <c r="Z22"/>
      <c r="AA22"/>
      <c r="AB22"/>
      <c r="AC22"/>
      <c r="AD22"/>
      <c r="AE22"/>
      <c r="AF22"/>
      <c r="AG22" s="2"/>
      <c r="AH22" s="2"/>
      <c r="AI22" s="2"/>
      <c r="AJ22" s="2"/>
      <c r="AK22" s="2"/>
      <c r="AL22" s="2"/>
      <c r="AM22" s="2"/>
      <c r="AN22" s="2"/>
      <c r="AO22" s="2"/>
      <c r="BI22"/>
    </row>
    <row r="23" spans="1:61" s="4" customFormat="1" ht="12.75">
      <c r="A23" s="8"/>
      <c r="B23" s="3" t="s">
        <v>53</v>
      </c>
      <c r="C23" s="4" t="s">
        <v>38</v>
      </c>
      <c r="D23" s="4" t="s">
        <v>183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/>
      <c r="W23"/>
      <c r="X23"/>
      <c r="Y23"/>
      <c r="Z23"/>
      <c r="AA23"/>
      <c r="AB23"/>
      <c r="AC23"/>
      <c r="AD23"/>
      <c r="AE23"/>
      <c r="AF23"/>
      <c r="AG23" s="2"/>
      <c r="AH23" s="2"/>
      <c r="AI23" s="2"/>
      <c r="AJ23" s="2"/>
      <c r="AK23" s="2"/>
      <c r="AL23" s="2"/>
      <c r="AM23" s="2"/>
      <c r="AN23" s="2"/>
      <c r="AO23" s="2"/>
      <c r="BI23"/>
    </row>
    <row r="24" spans="1:61" s="4" customFormat="1" ht="12.75">
      <c r="A24" s="8"/>
      <c r="B24" s="26" t="s">
        <v>189</v>
      </c>
      <c r="C24" s="26"/>
      <c r="D24" s="26" t="s">
        <v>190</v>
      </c>
      <c r="G24" s="2">
        <v>53679</v>
      </c>
      <c r="H24" s="2"/>
      <c r="I24" s="2">
        <v>52014</v>
      </c>
      <c r="J24" s="2"/>
      <c r="K24" s="2">
        <v>55548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/>
      <c r="W24"/>
      <c r="X24"/>
      <c r="Y24"/>
      <c r="Z24"/>
      <c r="AA24"/>
      <c r="AB24"/>
      <c r="AC24"/>
      <c r="AD24"/>
      <c r="AE24"/>
      <c r="AF24"/>
      <c r="AG24" s="2"/>
      <c r="AH24" s="2"/>
      <c r="AI24" s="2"/>
      <c r="AJ24" s="2"/>
      <c r="AK24" s="2"/>
      <c r="AL24" s="2"/>
      <c r="AM24" s="2"/>
      <c r="AN24" s="2"/>
      <c r="AO24" s="2"/>
      <c r="BI24"/>
    </row>
    <row r="25" spans="1:61" s="4" customFormat="1" ht="12.75">
      <c r="A25" s="8"/>
      <c r="B25" s="26" t="s">
        <v>191</v>
      </c>
      <c r="C25" s="26"/>
      <c r="D25" s="26" t="s">
        <v>192</v>
      </c>
      <c r="G25" s="2">
        <v>5.6</v>
      </c>
      <c r="H25" s="2"/>
      <c r="I25" s="2">
        <v>5.6</v>
      </c>
      <c r="J25" s="2"/>
      <c r="K25" s="2">
        <v>5.6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/>
      <c r="W25"/>
      <c r="X25"/>
      <c r="Y25"/>
      <c r="Z25"/>
      <c r="AA25"/>
      <c r="AB25"/>
      <c r="AC25"/>
      <c r="AD25"/>
      <c r="AE25"/>
      <c r="AF25"/>
      <c r="AG25" s="2"/>
      <c r="AH25" s="2"/>
      <c r="AI25" s="2"/>
      <c r="AJ25" s="2"/>
      <c r="AK25" s="2"/>
      <c r="AL25" s="2"/>
      <c r="AM25" s="2"/>
      <c r="AN25" s="2"/>
      <c r="AO25" s="2"/>
      <c r="BI25"/>
    </row>
    <row r="26" spans="1:61" s="4" customFormat="1" ht="12.75">
      <c r="A26" s="8"/>
      <c r="B26" s="26" t="s">
        <v>193</v>
      </c>
      <c r="C26" s="26"/>
      <c r="D26" s="26" t="s">
        <v>192</v>
      </c>
      <c r="G26" s="2">
        <v>38.17</v>
      </c>
      <c r="H26" s="2"/>
      <c r="I26" s="2">
        <v>38.04</v>
      </c>
      <c r="J26" s="2"/>
      <c r="K26" s="2">
        <v>32.75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/>
      <c r="W26"/>
      <c r="X26"/>
      <c r="Y26"/>
      <c r="Z26"/>
      <c r="AA26"/>
      <c r="AB26"/>
      <c r="AC26"/>
      <c r="AD26"/>
      <c r="AE26"/>
      <c r="AF26"/>
      <c r="AG26" s="2"/>
      <c r="AH26" s="2"/>
      <c r="AI26" s="2"/>
      <c r="AJ26" s="2"/>
      <c r="AK26" s="2"/>
      <c r="AL26" s="2"/>
      <c r="AM26" s="2"/>
      <c r="AN26" s="2"/>
      <c r="AO26" s="2"/>
      <c r="BI26"/>
    </row>
    <row r="27" spans="1:61" s="4" customFormat="1" ht="12.75">
      <c r="A27" s="8"/>
      <c r="B27" s="26" t="s">
        <v>194</v>
      </c>
      <c r="C27" s="26"/>
      <c r="D27" s="26" t="s">
        <v>195</v>
      </c>
      <c r="G27" s="2">
        <v>443</v>
      </c>
      <c r="H27" s="2"/>
      <c r="I27" s="2">
        <v>446</v>
      </c>
      <c r="J27" s="2"/>
      <c r="K27" s="2">
        <v>478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/>
      <c r="W27"/>
      <c r="X27"/>
      <c r="Y27"/>
      <c r="Z27"/>
      <c r="AA27"/>
      <c r="AB27"/>
      <c r="AC27"/>
      <c r="AD27"/>
      <c r="AE27"/>
      <c r="AF27"/>
      <c r="AG27" s="2"/>
      <c r="AH27" s="2"/>
      <c r="AI27" s="2"/>
      <c r="AJ27" s="2"/>
      <c r="AK27" s="2"/>
      <c r="AL27" s="2"/>
      <c r="AM27" s="2"/>
      <c r="AN27" s="2"/>
      <c r="AO27" s="2"/>
      <c r="BI27"/>
    </row>
    <row r="28" spans="1:61" s="4" customFormat="1" ht="12.75">
      <c r="A28" s="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/>
      <c r="W28"/>
      <c r="X28"/>
      <c r="Y28"/>
      <c r="Z28"/>
      <c r="AA28"/>
      <c r="AB28"/>
      <c r="AC28"/>
      <c r="AD28"/>
      <c r="AE28"/>
      <c r="AF28"/>
      <c r="AG28" s="2"/>
      <c r="AH28" s="2"/>
      <c r="AI28" s="2"/>
      <c r="AJ28" s="2"/>
      <c r="AK28" s="2"/>
      <c r="AL28" s="2"/>
      <c r="AM28" s="2"/>
      <c r="AN28" s="2"/>
      <c r="AO28" s="2"/>
      <c r="BI28"/>
    </row>
    <row r="29" spans="1:61" s="4" customFormat="1" ht="12.75">
      <c r="A29" s="8"/>
      <c r="B29" s="3" t="s">
        <v>53</v>
      </c>
      <c r="C29" s="4" t="s">
        <v>36</v>
      </c>
      <c r="D29" s="4" t="s">
        <v>186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/>
      <c r="W29"/>
      <c r="X29"/>
      <c r="Y29"/>
      <c r="Z29"/>
      <c r="AA29"/>
      <c r="AB29"/>
      <c r="AC29"/>
      <c r="AD29"/>
      <c r="AE29"/>
      <c r="AF29"/>
      <c r="AG29" s="2"/>
      <c r="AH29" s="2"/>
      <c r="AI29" s="2"/>
      <c r="AJ29" s="2"/>
      <c r="AK29" s="2"/>
      <c r="AL29" s="2"/>
      <c r="AM29" s="2"/>
      <c r="AN29" s="2"/>
      <c r="AO29" s="2"/>
      <c r="BI29"/>
    </row>
    <row r="30" spans="1:61" s="4" customFormat="1" ht="12.75">
      <c r="A30" s="8"/>
      <c r="B30" s="26" t="s">
        <v>189</v>
      </c>
      <c r="C30" s="26"/>
      <c r="D30" s="26" t="s">
        <v>190</v>
      </c>
      <c r="G30" s="2"/>
      <c r="H30" s="2"/>
      <c r="I30" s="2"/>
      <c r="J30" s="2"/>
      <c r="K30" s="2"/>
      <c r="L30" s="2"/>
      <c r="M30" s="2">
        <v>54432</v>
      </c>
      <c r="N30" s="2"/>
      <c r="O30" s="2">
        <v>52815</v>
      </c>
      <c r="P30" s="2"/>
      <c r="Q30" s="2">
        <v>53511</v>
      </c>
      <c r="R30" s="2"/>
      <c r="S30" s="2"/>
      <c r="T30" s="2"/>
      <c r="U30" s="2"/>
      <c r="V30"/>
      <c r="W30"/>
      <c r="X30"/>
      <c r="Y30"/>
      <c r="Z30"/>
      <c r="AA30"/>
      <c r="AB30"/>
      <c r="AC30"/>
      <c r="AD30"/>
      <c r="AE30"/>
      <c r="AF30"/>
      <c r="AG30" s="2"/>
      <c r="AH30" s="2"/>
      <c r="AI30" s="2"/>
      <c r="AJ30" s="2"/>
      <c r="AK30" s="2"/>
      <c r="AL30" s="2"/>
      <c r="AM30" s="2"/>
      <c r="AN30" s="2"/>
      <c r="AO30" s="2"/>
      <c r="BI30"/>
    </row>
    <row r="31" spans="1:61" s="4" customFormat="1" ht="12.75">
      <c r="A31" s="8"/>
      <c r="B31" s="26" t="s">
        <v>191</v>
      </c>
      <c r="C31" s="26"/>
      <c r="D31" s="26" t="s">
        <v>192</v>
      </c>
      <c r="G31" s="2"/>
      <c r="H31" s="2"/>
      <c r="I31" s="2"/>
      <c r="J31" s="2"/>
      <c r="K31" s="2"/>
      <c r="L31" s="2"/>
      <c r="M31" s="2">
        <v>5.6</v>
      </c>
      <c r="N31" s="2"/>
      <c r="O31" s="2">
        <v>5.6</v>
      </c>
      <c r="P31" s="2"/>
      <c r="Q31" s="2">
        <v>5.6</v>
      </c>
      <c r="R31" s="2"/>
      <c r="S31" s="2"/>
      <c r="T31" s="2"/>
      <c r="U31" s="2"/>
      <c r="V31"/>
      <c r="W31"/>
      <c r="X31"/>
      <c r="Y31"/>
      <c r="Z31"/>
      <c r="AA31"/>
      <c r="AB31"/>
      <c r="AC31"/>
      <c r="AD31"/>
      <c r="AE31"/>
      <c r="AF31"/>
      <c r="AG31" s="2"/>
      <c r="AH31" s="2"/>
      <c r="AI31" s="2"/>
      <c r="AJ31" s="2"/>
      <c r="AK31" s="2"/>
      <c r="AL31" s="2"/>
      <c r="AM31" s="2"/>
      <c r="AN31" s="2"/>
      <c r="AO31" s="2"/>
      <c r="BI31"/>
    </row>
    <row r="32" spans="1:61" s="4" customFormat="1" ht="12.75">
      <c r="A32" s="8"/>
      <c r="B32" s="26" t="s">
        <v>193</v>
      </c>
      <c r="C32" s="26"/>
      <c r="D32" s="26" t="s">
        <v>192</v>
      </c>
      <c r="G32" s="2"/>
      <c r="H32" s="2"/>
      <c r="I32" s="2"/>
      <c r="J32" s="2"/>
      <c r="K32" s="2"/>
      <c r="L32" s="2"/>
      <c r="M32" s="2">
        <v>37.08</v>
      </c>
      <c r="N32" s="2"/>
      <c r="O32" s="2">
        <v>37.1</v>
      </c>
      <c r="P32" s="2"/>
      <c r="Q32" s="2">
        <v>37.11</v>
      </c>
      <c r="R32" s="2"/>
      <c r="S32" s="2"/>
      <c r="T32" s="2"/>
      <c r="U32" s="2"/>
      <c r="V32"/>
      <c r="W32"/>
      <c r="X32"/>
      <c r="Y32"/>
      <c r="Z32"/>
      <c r="AA32"/>
      <c r="AB32"/>
      <c r="AC32"/>
      <c r="AD32"/>
      <c r="AE32"/>
      <c r="AF32"/>
      <c r="AG32" s="2"/>
      <c r="AH32" s="2"/>
      <c r="AI32" s="2"/>
      <c r="AJ32" s="2"/>
      <c r="AK32" s="2"/>
      <c r="AL32" s="2"/>
      <c r="AM32" s="2"/>
      <c r="AN32" s="2"/>
      <c r="AO32" s="2"/>
      <c r="BI32"/>
    </row>
    <row r="33" spans="1:61" s="4" customFormat="1" ht="12.75">
      <c r="A33" s="8"/>
      <c r="B33" s="26" t="s">
        <v>194</v>
      </c>
      <c r="C33" s="26"/>
      <c r="D33" s="26" t="s">
        <v>195</v>
      </c>
      <c r="G33" s="2"/>
      <c r="H33" s="2"/>
      <c r="I33" s="2"/>
      <c r="J33" s="2"/>
      <c r="K33" s="2"/>
      <c r="L33" s="2"/>
      <c r="M33" s="2">
        <v>462</v>
      </c>
      <c r="N33" s="2"/>
      <c r="O33" s="2">
        <v>467</v>
      </c>
      <c r="P33" s="2"/>
      <c r="Q33" s="2">
        <v>454</v>
      </c>
      <c r="R33" s="2"/>
      <c r="S33" s="2"/>
      <c r="T33" s="2"/>
      <c r="U33" s="2"/>
      <c r="V33"/>
      <c r="W33"/>
      <c r="X33"/>
      <c r="Y33"/>
      <c r="Z33"/>
      <c r="AA33"/>
      <c r="AB33"/>
      <c r="AC33"/>
      <c r="AD33"/>
      <c r="AE33"/>
      <c r="AF33"/>
      <c r="AG33" s="2"/>
      <c r="AH33" s="2"/>
      <c r="AI33" s="2"/>
      <c r="AJ33" s="2"/>
      <c r="AK33" s="2"/>
      <c r="AL33" s="2"/>
      <c r="AM33" s="2"/>
      <c r="AN33" s="2"/>
      <c r="AO33" s="2"/>
      <c r="BI33"/>
    </row>
    <row r="34" spans="1:61" s="3" customFormat="1" ht="12.75">
      <c r="A34" s="8"/>
      <c r="F34" s="2"/>
      <c r="H34" s="2"/>
      <c r="J34" s="2"/>
      <c r="L34" s="2"/>
      <c r="N34" s="2"/>
      <c r="P34" s="2"/>
      <c r="R34" s="2"/>
      <c r="T34" s="2"/>
      <c r="V34"/>
      <c r="W34"/>
      <c r="X34"/>
      <c r="Y34"/>
      <c r="Z34"/>
      <c r="AA34"/>
      <c r="AB34"/>
      <c r="AC34"/>
      <c r="AD34"/>
      <c r="AE34"/>
      <c r="AF34"/>
      <c r="BI34"/>
    </row>
    <row r="35" spans="1:61" s="3" customFormat="1" ht="12.75">
      <c r="A35" s="8"/>
      <c r="B35" s="3" t="s">
        <v>53</v>
      </c>
      <c r="C35" s="4" t="s">
        <v>43</v>
      </c>
      <c r="D35" s="3" t="s">
        <v>187</v>
      </c>
      <c r="F35" s="2"/>
      <c r="H35" s="2"/>
      <c r="J35" s="2"/>
      <c r="L35" s="2"/>
      <c r="N35" s="2"/>
      <c r="P35" s="2"/>
      <c r="R35" s="2"/>
      <c r="T35" s="2"/>
      <c r="V35"/>
      <c r="W35"/>
      <c r="X35"/>
      <c r="Y35"/>
      <c r="Z35"/>
      <c r="AA35"/>
      <c r="AB35"/>
      <c r="AC35"/>
      <c r="AD35"/>
      <c r="AE35"/>
      <c r="AF35"/>
      <c r="BI35"/>
    </row>
    <row r="36" spans="1:61" s="4" customFormat="1" ht="12.75">
      <c r="A36" s="8"/>
      <c r="B36" s="26" t="s">
        <v>189</v>
      </c>
      <c r="C36" s="26"/>
      <c r="D36" s="26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51706</v>
      </c>
      <c r="R36" s="2"/>
      <c r="S36" s="2">
        <v>50753</v>
      </c>
      <c r="T36" s="2"/>
      <c r="U36" s="2"/>
      <c r="V36"/>
      <c r="W36"/>
      <c r="X36"/>
      <c r="Y36"/>
      <c r="Z36"/>
      <c r="AA36"/>
      <c r="AB36"/>
      <c r="AC36"/>
      <c r="AD36"/>
      <c r="AE36"/>
      <c r="AF36"/>
      <c r="AG36" s="2"/>
      <c r="AH36" s="2"/>
      <c r="AI36" s="2"/>
      <c r="AJ36" s="2"/>
      <c r="AK36" s="2"/>
      <c r="AL36" s="2"/>
      <c r="AM36" s="2"/>
      <c r="AN36" s="2"/>
      <c r="AO36" s="2"/>
      <c r="BI36"/>
    </row>
    <row r="37" spans="1:61" s="4" customFormat="1" ht="12.75">
      <c r="A37" s="8"/>
      <c r="B37" s="26" t="s">
        <v>191</v>
      </c>
      <c r="C37" s="26"/>
      <c r="D37" s="26" t="s">
        <v>192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5.6</v>
      </c>
      <c r="R37" s="2"/>
      <c r="S37" s="2">
        <v>5.6</v>
      </c>
      <c r="T37" s="2"/>
      <c r="U37" s="2"/>
      <c r="V37"/>
      <c r="W37"/>
      <c r="X37"/>
      <c r="Y37"/>
      <c r="Z37"/>
      <c r="AA37"/>
      <c r="AB37"/>
      <c r="AC37"/>
      <c r="AD37"/>
      <c r="AE37"/>
      <c r="AF37"/>
      <c r="AG37" s="2"/>
      <c r="AH37" s="2"/>
      <c r="AI37" s="2"/>
      <c r="AJ37" s="2"/>
      <c r="AK37" s="2"/>
      <c r="AL37" s="2"/>
      <c r="AM37" s="2"/>
      <c r="AN37" s="2"/>
      <c r="AO37" s="2"/>
      <c r="BI37"/>
    </row>
    <row r="38" spans="1:61" s="4" customFormat="1" ht="12.75">
      <c r="A38" s="8"/>
      <c r="B38" s="26" t="s">
        <v>193</v>
      </c>
      <c r="C38" s="26"/>
      <c r="D38" s="26" t="s">
        <v>192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37.14</v>
      </c>
      <c r="R38" s="2"/>
      <c r="S38" s="2">
        <v>37.13</v>
      </c>
      <c r="T38" s="2"/>
      <c r="U38" s="2"/>
      <c r="V38"/>
      <c r="W38"/>
      <c r="X38"/>
      <c r="Y38"/>
      <c r="Z38"/>
      <c r="AA38"/>
      <c r="AB38"/>
      <c r="AC38"/>
      <c r="AD38"/>
      <c r="AE38"/>
      <c r="AF38"/>
      <c r="AG38" s="2"/>
      <c r="AH38" s="2"/>
      <c r="AI38" s="2"/>
      <c r="AJ38" s="2"/>
      <c r="AK38" s="2"/>
      <c r="AL38" s="2"/>
      <c r="AM38" s="2"/>
      <c r="AN38" s="2"/>
      <c r="AO38" s="2"/>
      <c r="BI38"/>
    </row>
    <row r="39" spans="1:61" s="4" customFormat="1" ht="12.75">
      <c r="A39" s="8"/>
      <c r="B39" s="26" t="s">
        <v>194</v>
      </c>
      <c r="C39" s="26"/>
      <c r="D39" s="26" t="s">
        <v>195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444</v>
      </c>
      <c r="R39" s="2"/>
      <c r="S39" s="2">
        <v>447</v>
      </c>
      <c r="T39" s="2"/>
      <c r="U39" s="2"/>
      <c r="V39"/>
      <c r="W39"/>
      <c r="X39"/>
      <c r="Y39"/>
      <c r="Z39"/>
      <c r="AA39"/>
      <c r="AB39"/>
      <c r="AC39"/>
      <c r="AD39"/>
      <c r="AE39"/>
      <c r="AF39"/>
      <c r="AG39" s="2"/>
      <c r="AH39" s="2"/>
      <c r="AI39" s="2"/>
      <c r="AJ39" s="2"/>
      <c r="AK39" s="2"/>
      <c r="AL39" s="2"/>
      <c r="AM39" s="2"/>
      <c r="AN39" s="2"/>
      <c r="AO39" s="2"/>
      <c r="BI39"/>
    </row>
    <row r="40" spans="1:61" s="4" customFormat="1" ht="12.75">
      <c r="A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/>
      <c r="W40"/>
      <c r="X40"/>
      <c r="Y40"/>
      <c r="Z40"/>
      <c r="AA40"/>
      <c r="AB40"/>
      <c r="AC40"/>
      <c r="AD40"/>
      <c r="AE40"/>
      <c r="AF40"/>
      <c r="AG40" s="2"/>
      <c r="AH40" s="2"/>
      <c r="AI40" s="2"/>
      <c r="AJ40" s="2"/>
      <c r="AK40" s="2"/>
      <c r="AL40" s="2"/>
      <c r="AM40" s="2"/>
      <c r="AN40" s="2"/>
      <c r="AO40" s="2"/>
      <c r="BI40"/>
    </row>
    <row r="41" spans="1:61" s="4" customFormat="1" ht="12.75">
      <c r="A41" s="8"/>
      <c r="B41" s="3" t="s">
        <v>53</v>
      </c>
      <c r="C41" s="4" t="s">
        <v>39</v>
      </c>
      <c r="D41" s="4" t="s">
        <v>188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/>
      <c r="W41"/>
      <c r="X41"/>
      <c r="Y41"/>
      <c r="Z41"/>
      <c r="AA41"/>
      <c r="AB41"/>
      <c r="AC41"/>
      <c r="AD41"/>
      <c r="AE41"/>
      <c r="AF41"/>
      <c r="AG41" s="2"/>
      <c r="AH41" s="2"/>
      <c r="AI41" s="2"/>
      <c r="AJ41" s="2"/>
      <c r="AK41" s="2"/>
      <c r="AL41" s="2"/>
      <c r="AM41" s="2"/>
      <c r="AN41" s="2"/>
      <c r="AO41" s="2"/>
      <c r="BI41"/>
    </row>
    <row r="42" spans="1:61" s="4" customFormat="1" ht="12.75">
      <c r="A42" s="8"/>
      <c r="B42" s="26" t="s">
        <v>189</v>
      </c>
      <c r="C42" s="26"/>
      <c r="D42" s="26" t="s">
        <v>190</v>
      </c>
      <c r="G42" s="2"/>
      <c r="H42" s="2"/>
      <c r="I42" s="2">
        <v>48779</v>
      </c>
      <c r="J42" s="2"/>
      <c r="K42" s="2">
        <v>48961</v>
      </c>
      <c r="L42" s="2"/>
      <c r="M42" s="2">
        <v>51187</v>
      </c>
      <c r="N42" s="2"/>
      <c r="O42" s="2"/>
      <c r="P42" s="2"/>
      <c r="Q42" s="2"/>
      <c r="R42" s="2"/>
      <c r="S42" s="2"/>
      <c r="T42" s="2"/>
      <c r="U42" s="2"/>
      <c r="V42"/>
      <c r="W42"/>
      <c r="X42"/>
      <c r="Y42"/>
      <c r="Z42"/>
      <c r="AA42"/>
      <c r="AB42"/>
      <c r="AC42"/>
      <c r="AD42"/>
      <c r="AE42"/>
      <c r="AF42"/>
      <c r="AG42" s="2"/>
      <c r="AH42" s="2"/>
      <c r="AI42" s="2"/>
      <c r="AJ42" s="2"/>
      <c r="AK42" s="2"/>
      <c r="AL42" s="2"/>
      <c r="AM42" s="2"/>
      <c r="AN42" s="2"/>
      <c r="AO42" s="2"/>
      <c r="BI42"/>
    </row>
    <row r="43" spans="1:61" s="4" customFormat="1" ht="12.75">
      <c r="A43" s="8"/>
      <c r="B43" s="26" t="s">
        <v>191</v>
      </c>
      <c r="C43" s="26"/>
      <c r="D43" s="26" t="s">
        <v>192</v>
      </c>
      <c r="G43" s="2"/>
      <c r="H43" s="2"/>
      <c r="I43" s="2">
        <v>5.6</v>
      </c>
      <c r="J43" s="2"/>
      <c r="K43" s="2">
        <v>5.6</v>
      </c>
      <c r="L43" s="2"/>
      <c r="M43" s="2">
        <v>5.6</v>
      </c>
      <c r="N43" s="2"/>
      <c r="O43" s="2"/>
      <c r="P43" s="2"/>
      <c r="Q43" s="2"/>
      <c r="R43" s="2"/>
      <c r="S43" s="2"/>
      <c r="T43" s="2"/>
      <c r="U43" s="2"/>
      <c r="V43"/>
      <c r="W43"/>
      <c r="X43"/>
      <c r="Y43"/>
      <c r="Z43"/>
      <c r="AA43"/>
      <c r="AB43"/>
      <c r="AC43"/>
      <c r="AD43"/>
      <c r="AE43"/>
      <c r="AF43"/>
      <c r="AG43" s="2"/>
      <c r="AH43" s="2"/>
      <c r="AI43" s="2"/>
      <c r="AJ43" s="2"/>
      <c r="AK43" s="2"/>
      <c r="AL43" s="2"/>
      <c r="AM43" s="2"/>
      <c r="AN43" s="2"/>
      <c r="AO43" s="2"/>
      <c r="BI43"/>
    </row>
    <row r="44" spans="1:61" s="4" customFormat="1" ht="12.75">
      <c r="A44" s="8"/>
      <c r="B44" s="26" t="s">
        <v>193</v>
      </c>
      <c r="C44" s="26"/>
      <c r="D44" s="26" t="s">
        <v>192</v>
      </c>
      <c r="G44" s="2"/>
      <c r="H44" s="2"/>
      <c r="I44" s="2">
        <v>37.63</v>
      </c>
      <c r="J44" s="2"/>
      <c r="K44" s="2">
        <v>37.12</v>
      </c>
      <c r="L44" s="2"/>
      <c r="M44" s="2">
        <v>36.51</v>
      </c>
      <c r="N44" s="2"/>
      <c r="O44" s="2"/>
      <c r="P44" s="2"/>
      <c r="Q44" s="2"/>
      <c r="R44" s="2"/>
      <c r="S44" s="2"/>
      <c r="T44" s="2"/>
      <c r="U44" s="2"/>
      <c r="V44"/>
      <c r="W44"/>
      <c r="X44"/>
      <c r="Y44"/>
      <c r="Z44"/>
      <c r="AA44"/>
      <c r="AB44"/>
      <c r="AC44"/>
      <c r="AD44"/>
      <c r="AE44"/>
      <c r="AF44"/>
      <c r="AG44" s="2"/>
      <c r="AH44" s="2"/>
      <c r="AI44" s="2"/>
      <c r="AJ44" s="2"/>
      <c r="AK44" s="2"/>
      <c r="AL44" s="2"/>
      <c r="AM44" s="2"/>
      <c r="AN44" s="2"/>
      <c r="AO44" s="2"/>
      <c r="BI44"/>
    </row>
    <row r="45" spans="1:61" s="4" customFormat="1" ht="12.75">
      <c r="A45" s="8"/>
      <c r="B45" s="26" t="s">
        <v>194</v>
      </c>
      <c r="C45" s="26"/>
      <c r="D45" s="26" t="s">
        <v>195</v>
      </c>
      <c r="G45" s="2"/>
      <c r="H45" s="2"/>
      <c r="I45" s="2">
        <v>449</v>
      </c>
      <c r="J45" s="2"/>
      <c r="K45" s="2">
        <v>468</v>
      </c>
      <c r="L45" s="2"/>
      <c r="M45" s="2">
        <v>436</v>
      </c>
      <c r="N45" s="2"/>
      <c r="O45" s="2"/>
      <c r="P45" s="2"/>
      <c r="Q45" s="2"/>
      <c r="R45" s="2"/>
      <c r="S45" s="2"/>
      <c r="T45" s="2"/>
      <c r="U45" s="2"/>
      <c r="V45"/>
      <c r="W45"/>
      <c r="X45"/>
      <c r="Y45"/>
      <c r="Z45"/>
      <c r="AA45"/>
      <c r="AB45"/>
      <c r="AC45"/>
      <c r="AD45"/>
      <c r="AE45"/>
      <c r="AF45"/>
      <c r="AG45" s="2"/>
      <c r="AH45" s="2"/>
      <c r="AI45" s="2"/>
      <c r="AJ45" s="2"/>
      <c r="AK45" s="2"/>
      <c r="AL45" s="2"/>
      <c r="AM45" s="2"/>
      <c r="AN45" s="2"/>
      <c r="AO45" s="2"/>
      <c r="BI45"/>
    </row>
    <row r="46" spans="1:61" s="3" customFormat="1" ht="12.75">
      <c r="A46" s="8"/>
      <c r="F46" s="2"/>
      <c r="H46" s="2"/>
      <c r="J46" s="2"/>
      <c r="L46" s="2"/>
      <c r="N46" s="2"/>
      <c r="P46" s="2"/>
      <c r="R46" s="2"/>
      <c r="T46" s="2"/>
      <c r="V46"/>
      <c r="W46"/>
      <c r="X46"/>
      <c r="Y46"/>
      <c r="Z46"/>
      <c r="AA46"/>
      <c r="AB46"/>
      <c r="AC46"/>
      <c r="AD46"/>
      <c r="AE46"/>
      <c r="AF46"/>
      <c r="BI46"/>
    </row>
    <row r="47" spans="1:61" s="3" customFormat="1" ht="12.75">
      <c r="A47" s="8">
        <v>2</v>
      </c>
      <c r="B47" s="5" t="s">
        <v>44</v>
      </c>
      <c r="F47" s="2"/>
      <c r="G47" s="23" t="s">
        <v>54</v>
      </c>
      <c r="H47" s="23"/>
      <c r="I47" s="23" t="s">
        <v>55</v>
      </c>
      <c r="J47" s="23"/>
      <c r="K47" s="23" t="s">
        <v>56</v>
      </c>
      <c r="L47" s="23"/>
      <c r="M47" s="23" t="s">
        <v>57</v>
      </c>
      <c r="N47" s="23"/>
      <c r="O47" s="23" t="s">
        <v>58</v>
      </c>
      <c r="P47" s="23"/>
      <c r="Q47" s="23" t="s">
        <v>59</v>
      </c>
      <c r="R47" s="23"/>
      <c r="S47" s="23" t="s">
        <v>60</v>
      </c>
      <c r="T47" s="23"/>
      <c r="U47" s="23" t="s">
        <v>61</v>
      </c>
      <c r="V47"/>
      <c r="W47"/>
      <c r="X47"/>
      <c r="Y47"/>
      <c r="Z47"/>
      <c r="AA47"/>
      <c r="AB47"/>
      <c r="AC47"/>
      <c r="AD47"/>
      <c r="AE47"/>
      <c r="AF47"/>
      <c r="BI47"/>
    </row>
    <row r="48" spans="1:61" s="3" customFormat="1" ht="12.75">
      <c r="A48" s="8"/>
      <c r="F48" s="2"/>
      <c r="H48" s="2"/>
      <c r="J48" s="2"/>
      <c r="L48" s="2"/>
      <c r="N48" s="2"/>
      <c r="P48" s="2"/>
      <c r="R48" s="2"/>
      <c r="T48" s="2"/>
      <c r="V48"/>
      <c r="W48"/>
      <c r="X48"/>
      <c r="Y48"/>
      <c r="Z48"/>
      <c r="AA48"/>
      <c r="AB48"/>
      <c r="AC48"/>
      <c r="AD48"/>
      <c r="AE48"/>
      <c r="AF48"/>
      <c r="BI48"/>
    </row>
    <row r="49" spans="1:61" s="3" customFormat="1" ht="12.75">
      <c r="A49" s="8"/>
      <c r="B49" s="3" t="s">
        <v>53</v>
      </c>
      <c r="C49" s="4" t="s">
        <v>39</v>
      </c>
      <c r="D49" s="3" t="s">
        <v>183</v>
      </c>
      <c r="F49" s="2"/>
      <c r="H49" s="2"/>
      <c r="J49" s="2"/>
      <c r="L49" s="2"/>
      <c r="N49" s="2"/>
      <c r="P49" s="2"/>
      <c r="R49" s="2"/>
      <c r="T49" s="2"/>
      <c r="V49"/>
      <c r="W49"/>
      <c r="X49"/>
      <c r="Y49"/>
      <c r="Z49"/>
      <c r="AA49"/>
      <c r="AB49"/>
      <c r="AC49"/>
      <c r="AD49"/>
      <c r="AE49"/>
      <c r="AF49"/>
      <c r="BI49"/>
    </row>
    <row r="50" spans="1:61" s="4" customFormat="1" ht="12.75">
      <c r="A50" s="8"/>
      <c r="B50" s="26" t="s">
        <v>189</v>
      </c>
      <c r="C50" s="26"/>
      <c r="D50" s="26" t="s">
        <v>190</v>
      </c>
      <c r="G50" s="2">
        <v>53176</v>
      </c>
      <c r="H50" s="2"/>
      <c r="I50" s="2">
        <v>50200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/>
      <c r="W50"/>
      <c r="X50"/>
      <c r="Y50"/>
      <c r="Z50"/>
      <c r="AA50"/>
      <c r="AB50"/>
      <c r="AC50"/>
      <c r="AD50"/>
      <c r="AE50"/>
      <c r="AF50"/>
      <c r="AG50" s="2"/>
      <c r="AH50" s="2"/>
      <c r="AI50" s="2"/>
      <c r="AJ50" s="2"/>
      <c r="AK50" s="2"/>
      <c r="AL50" s="2"/>
      <c r="AM50" s="2"/>
      <c r="AN50" s="2"/>
      <c r="AO50" s="2"/>
      <c r="BI50"/>
    </row>
    <row r="51" spans="1:61" s="4" customFormat="1" ht="12.75">
      <c r="A51" s="8"/>
      <c r="B51" s="26" t="s">
        <v>191</v>
      </c>
      <c r="C51" s="26"/>
      <c r="D51" s="26" t="s">
        <v>192</v>
      </c>
      <c r="G51" s="2">
        <v>1.45</v>
      </c>
      <c r="H51" s="2"/>
      <c r="I51" s="2">
        <v>1.49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/>
      <c r="W51"/>
      <c r="X51"/>
      <c r="Y51"/>
      <c r="Z51"/>
      <c r="AA51"/>
      <c r="AB51"/>
      <c r="AC51"/>
      <c r="AD51"/>
      <c r="AE51"/>
      <c r="AF51"/>
      <c r="AG51" s="2"/>
      <c r="AH51" s="2"/>
      <c r="AI51" s="2"/>
      <c r="AJ51" s="2"/>
      <c r="AK51" s="2"/>
      <c r="AL51" s="2"/>
      <c r="AM51" s="2"/>
      <c r="AN51" s="2"/>
      <c r="AO51" s="2"/>
      <c r="BI51"/>
    </row>
    <row r="52" spans="1:61" s="4" customFormat="1" ht="12.75">
      <c r="A52" s="8"/>
      <c r="B52" s="26" t="s">
        <v>193</v>
      </c>
      <c r="C52" s="26"/>
      <c r="D52" s="26" t="s">
        <v>192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/>
      <c r="W52"/>
      <c r="X52"/>
      <c r="Y52"/>
      <c r="Z52"/>
      <c r="AA52"/>
      <c r="AB52"/>
      <c r="AC52"/>
      <c r="AD52"/>
      <c r="AE52"/>
      <c r="AF52"/>
      <c r="AG52" s="2"/>
      <c r="AH52" s="2"/>
      <c r="AI52" s="2"/>
      <c r="AJ52" s="2"/>
      <c r="AK52" s="2"/>
      <c r="AL52" s="2"/>
      <c r="AM52" s="2"/>
      <c r="AN52" s="2"/>
      <c r="AO52" s="2"/>
      <c r="BI52"/>
    </row>
    <row r="53" spans="1:61" s="4" customFormat="1" ht="12.75">
      <c r="A53" s="8"/>
      <c r="B53" s="26" t="s">
        <v>194</v>
      </c>
      <c r="C53" s="26"/>
      <c r="D53" s="26" t="s">
        <v>195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/>
      <c r="W53"/>
      <c r="X53"/>
      <c r="Y53"/>
      <c r="Z53"/>
      <c r="AA53"/>
      <c r="AB53"/>
      <c r="AC53"/>
      <c r="AD53"/>
      <c r="AE53"/>
      <c r="AF53"/>
      <c r="AG53" s="2"/>
      <c r="AH53" s="2"/>
      <c r="AI53" s="2"/>
      <c r="AJ53" s="2"/>
      <c r="AK53" s="2"/>
      <c r="AL53" s="2"/>
      <c r="AM53" s="2"/>
      <c r="AN53" s="2"/>
      <c r="AO53" s="2"/>
      <c r="BI53"/>
    </row>
    <row r="54" spans="1:61" s="4" customFormat="1" ht="12.75">
      <c r="A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/>
      <c r="W54"/>
      <c r="X54"/>
      <c r="Y54"/>
      <c r="Z54"/>
      <c r="AA54"/>
      <c r="AB54"/>
      <c r="AC54"/>
      <c r="AD54"/>
      <c r="AE54"/>
      <c r="AF54"/>
      <c r="AG54" s="2"/>
      <c r="AH54" s="2"/>
      <c r="AI54" s="2"/>
      <c r="AJ54" s="2"/>
      <c r="AK54" s="2"/>
      <c r="AL54" s="2"/>
      <c r="AM54" s="2"/>
      <c r="AN54" s="2"/>
      <c r="AO54" s="2"/>
      <c r="BI54"/>
    </row>
    <row r="55" spans="1:61" s="4" customFormat="1" ht="12.75">
      <c r="A55" s="8">
        <v>3</v>
      </c>
      <c r="B55" s="6" t="s">
        <v>45</v>
      </c>
      <c r="G55" s="23" t="s">
        <v>54</v>
      </c>
      <c r="H55" s="23"/>
      <c r="I55" s="23" t="s">
        <v>55</v>
      </c>
      <c r="J55" s="23"/>
      <c r="K55" s="23" t="s">
        <v>56</v>
      </c>
      <c r="L55" s="23"/>
      <c r="M55" s="23" t="s">
        <v>57</v>
      </c>
      <c r="N55" s="23"/>
      <c r="O55" s="23" t="s">
        <v>58</v>
      </c>
      <c r="P55" s="23"/>
      <c r="Q55" s="23" t="s">
        <v>59</v>
      </c>
      <c r="R55" s="23"/>
      <c r="S55" s="23" t="s">
        <v>60</v>
      </c>
      <c r="T55" s="23"/>
      <c r="U55" s="23" t="s">
        <v>61</v>
      </c>
      <c r="V55"/>
      <c r="W55"/>
      <c r="X55"/>
      <c r="Y55"/>
      <c r="Z55"/>
      <c r="AA55"/>
      <c r="AB55"/>
      <c r="AC55"/>
      <c r="AD55"/>
      <c r="AE55"/>
      <c r="AF55"/>
      <c r="AG55" s="2"/>
      <c r="AH55" s="2"/>
      <c r="AI55" s="2"/>
      <c r="AJ55" s="2"/>
      <c r="AK55" s="2"/>
      <c r="AL55" s="2"/>
      <c r="AM55" s="2"/>
      <c r="AN55" s="2"/>
      <c r="AO55" s="2"/>
      <c r="BI55"/>
    </row>
    <row r="56" spans="1:61" s="4" customFormat="1" ht="12.75">
      <c r="A56" s="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/>
      <c r="W56"/>
      <c r="X56"/>
      <c r="Y56"/>
      <c r="Z56"/>
      <c r="AA56"/>
      <c r="AB56"/>
      <c r="AC56"/>
      <c r="AD56"/>
      <c r="AE56"/>
      <c r="AF56"/>
      <c r="AG56" s="2"/>
      <c r="AH56" s="2"/>
      <c r="AI56" s="2"/>
      <c r="AJ56" s="2"/>
      <c r="AK56" s="2"/>
      <c r="AL56" s="2"/>
      <c r="AM56" s="2"/>
      <c r="AN56" s="2"/>
      <c r="AO56" s="2"/>
      <c r="BI56"/>
    </row>
    <row r="57" spans="1:61" s="4" customFormat="1" ht="12.75">
      <c r="A57" s="8"/>
      <c r="B57" s="3" t="s">
        <v>53</v>
      </c>
      <c r="C57" s="4" t="s">
        <v>39</v>
      </c>
      <c r="D57" s="3" t="s">
        <v>183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/>
      <c r="W57"/>
      <c r="X57"/>
      <c r="Y57"/>
      <c r="Z57"/>
      <c r="AA57"/>
      <c r="AB57"/>
      <c r="AC57"/>
      <c r="AD57"/>
      <c r="AE57"/>
      <c r="AF57"/>
      <c r="AG57" s="2"/>
      <c r="AH57" s="2"/>
      <c r="AI57" s="2"/>
      <c r="AJ57" s="2"/>
      <c r="AK57" s="2"/>
      <c r="AL57" s="2"/>
      <c r="AM57" s="2"/>
      <c r="AN57" s="2"/>
      <c r="AO57" s="2"/>
      <c r="BI57"/>
    </row>
    <row r="58" spans="1:61" s="4" customFormat="1" ht="12.75">
      <c r="A58" s="8"/>
      <c r="B58" s="26" t="s">
        <v>189</v>
      </c>
      <c r="C58" s="26"/>
      <c r="D58" s="26" t="s">
        <v>190</v>
      </c>
      <c r="G58" s="2">
        <v>51879</v>
      </c>
      <c r="H58" s="2"/>
      <c r="I58" s="2">
        <v>50538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/>
      <c r="W58"/>
      <c r="X58"/>
      <c r="Y58"/>
      <c r="Z58"/>
      <c r="AA58"/>
      <c r="AB58"/>
      <c r="AC58"/>
      <c r="AD58"/>
      <c r="AE58"/>
      <c r="AF58"/>
      <c r="AG58" s="2"/>
      <c r="AH58" s="2"/>
      <c r="AI58" s="2"/>
      <c r="AJ58" s="2"/>
      <c r="AK58" s="2"/>
      <c r="AL58" s="2"/>
      <c r="AM58" s="2"/>
      <c r="AN58" s="2"/>
      <c r="AO58" s="2"/>
      <c r="BI58"/>
    </row>
    <row r="59" spans="1:61" s="4" customFormat="1" ht="12.75">
      <c r="A59" s="8"/>
      <c r="B59" s="26" t="s">
        <v>191</v>
      </c>
      <c r="C59" s="26"/>
      <c r="D59" s="26" t="s">
        <v>192</v>
      </c>
      <c r="G59" s="2">
        <v>1.3</v>
      </c>
      <c r="H59" s="2"/>
      <c r="I59" s="2">
        <v>1.52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/>
      <c r="W59"/>
      <c r="X59"/>
      <c r="Y59"/>
      <c r="Z59"/>
      <c r="AA59"/>
      <c r="AB59"/>
      <c r="AC59"/>
      <c r="AD59"/>
      <c r="AE59"/>
      <c r="AF59"/>
      <c r="AG59" s="2"/>
      <c r="AH59" s="2"/>
      <c r="AI59" s="2"/>
      <c r="AJ59" s="2"/>
      <c r="AK59" s="2"/>
      <c r="AL59" s="2"/>
      <c r="AM59" s="2"/>
      <c r="AN59" s="2"/>
      <c r="AO59" s="2"/>
      <c r="BI59"/>
    </row>
    <row r="60" spans="1:61" s="4" customFormat="1" ht="12.75">
      <c r="A60" s="8"/>
      <c r="B60" s="26" t="s">
        <v>193</v>
      </c>
      <c r="C60" s="26"/>
      <c r="D60" s="26" t="s">
        <v>192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 s="2"/>
      <c r="AH60" s="2"/>
      <c r="AI60" s="2"/>
      <c r="AJ60" s="2"/>
      <c r="AK60" s="2"/>
      <c r="AL60" s="2"/>
      <c r="AM60" s="2"/>
      <c r="AN60" s="2"/>
      <c r="AO60" s="2"/>
      <c r="BI60"/>
    </row>
    <row r="61" spans="1:61" s="4" customFormat="1" ht="12.75">
      <c r="A61" s="8"/>
      <c r="B61" s="26" t="s">
        <v>194</v>
      </c>
      <c r="C61" s="26"/>
      <c r="D61" s="26" t="s">
        <v>195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/>
      <c r="W61"/>
      <c r="X61"/>
      <c r="Y61"/>
      <c r="Z61"/>
      <c r="AA61"/>
      <c r="AB61"/>
      <c r="AC61"/>
      <c r="AD61"/>
      <c r="AE61"/>
      <c r="AF61"/>
      <c r="AG61" s="2"/>
      <c r="AH61" s="2"/>
      <c r="AI61" s="2"/>
      <c r="AJ61" s="2"/>
      <c r="AK61" s="2"/>
      <c r="AL61" s="2"/>
      <c r="AM61" s="2"/>
      <c r="AN61" s="2"/>
      <c r="AO61" s="2"/>
      <c r="BI61"/>
    </row>
    <row r="62" spans="1:61" s="4" customFormat="1" ht="12.75">
      <c r="A62" s="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/>
      <c r="W62"/>
      <c r="X62"/>
      <c r="Y62"/>
      <c r="Z62"/>
      <c r="AA62"/>
      <c r="AB62"/>
      <c r="AC62"/>
      <c r="AD62"/>
      <c r="AE62"/>
      <c r="AF62"/>
      <c r="AG62" s="2"/>
      <c r="AH62" s="2"/>
      <c r="AI62" s="2"/>
      <c r="AJ62" s="2"/>
      <c r="AK62" s="2"/>
      <c r="AL62" s="2"/>
      <c r="AM62" s="2"/>
      <c r="AN62" s="2"/>
      <c r="AO62" s="2"/>
      <c r="BI62"/>
    </row>
    <row r="63" spans="1:61" s="4" customFormat="1" ht="12.75">
      <c r="A63" s="8">
        <v>4</v>
      </c>
      <c r="B63" s="6" t="s">
        <v>46</v>
      </c>
      <c r="G63" s="23" t="s">
        <v>54</v>
      </c>
      <c r="H63" s="23"/>
      <c r="I63" s="23" t="s">
        <v>55</v>
      </c>
      <c r="J63" s="23"/>
      <c r="K63" s="23" t="s">
        <v>56</v>
      </c>
      <c r="L63" s="23"/>
      <c r="M63" s="23" t="s">
        <v>57</v>
      </c>
      <c r="N63" s="23"/>
      <c r="O63" s="23" t="s">
        <v>58</v>
      </c>
      <c r="P63" s="23"/>
      <c r="Q63" s="23" t="s">
        <v>59</v>
      </c>
      <c r="R63" s="23"/>
      <c r="S63" s="23" t="s">
        <v>60</v>
      </c>
      <c r="T63" s="23"/>
      <c r="U63" s="23" t="s">
        <v>61</v>
      </c>
      <c r="V63"/>
      <c r="W63"/>
      <c r="X63"/>
      <c r="Y63"/>
      <c r="Z63"/>
      <c r="AA63"/>
      <c r="AB63"/>
      <c r="AC63"/>
      <c r="AD63"/>
      <c r="AE63"/>
      <c r="AF63"/>
      <c r="AG63" s="2"/>
      <c r="AH63" s="2"/>
      <c r="AI63" s="2"/>
      <c r="AJ63" s="2"/>
      <c r="AK63" s="2"/>
      <c r="AL63" s="2"/>
      <c r="AM63" s="2"/>
      <c r="AN63" s="2"/>
      <c r="AO63" s="2"/>
      <c r="BI63"/>
    </row>
    <row r="64" spans="1:61" s="4" customFormat="1" ht="12.75">
      <c r="A64" s="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/>
      <c r="W64"/>
      <c r="X64"/>
      <c r="Y64"/>
      <c r="Z64"/>
      <c r="AA64"/>
      <c r="AB64"/>
      <c r="AC64"/>
      <c r="AD64"/>
      <c r="AE64"/>
      <c r="AF64"/>
      <c r="AG64" s="2"/>
      <c r="AH64" s="2"/>
      <c r="AI64" s="2"/>
      <c r="AJ64" s="2"/>
      <c r="AK64" s="2"/>
      <c r="AL64" s="2"/>
      <c r="AM64" s="2"/>
      <c r="AN64" s="2"/>
      <c r="AO64" s="2"/>
      <c r="BI64"/>
    </row>
    <row r="65" spans="1:61" s="4" customFormat="1" ht="12.75">
      <c r="A65" s="8"/>
      <c r="B65" s="3" t="s">
        <v>53</v>
      </c>
      <c r="C65" s="4" t="s">
        <v>39</v>
      </c>
      <c r="D65" s="3" t="s">
        <v>183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/>
      <c r="W65"/>
      <c r="X65"/>
      <c r="Y65"/>
      <c r="Z65"/>
      <c r="AA65"/>
      <c r="AB65"/>
      <c r="AC65"/>
      <c r="AD65"/>
      <c r="AE65"/>
      <c r="AF65"/>
      <c r="AG65" s="2"/>
      <c r="AH65" s="2"/>
      <c r="AI65" s="2"/>
      <c r="AJ65" s="2"/>
      <c r="AK65" s="2"/>
      <c r="AL65" s="2"/>
      <c r="AM65" s="2"/>
      <c r="AN65" s="2"/>
      <c r="AO65" s="2"/>
      <c r="BI65"/>
    </row>
    <row r="66" spans="1:61" s="4" customFormat="1" ht="12.75">
      <c r="A66" s="8"/>
      <c r="B66" s="26" t="s">
        <v>189</v>
      </c>
      <c r="C66" s="26"/>
      <c r="D66" s="26" t="s">
        <v>190</v>
      </c>
      <c r="G66" s="2">
        <v>54315</v>
      </c>
      <c r="H66" s="2"/>
      <c r="I66" s="2">
        <v>57008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/>
      <c r="W66"/>
      <c r="X66"/>
      <c r="Y66"/>
      <c r="Z66"/>
      <c r="AA66"/>
      <c r="AB66"/>
      <c r="AC66"/>
      <c r="AD66"/>
      <c r="AE66"/>
      <c r="AF66"/>
      <c r="AG66" s="2"/>
      <c r="AH66" s="2"/>
      <c r="AI66" s="2"/>
      <c r="AJ66" s="2"/>
      <c r="AK66" s="2"/>
      <c r="AL66" s="2"/>
      <c r="AM66" s="2"/>
      <c r="AN66" s="2"/>
      <c r="AO66" s="2"/>
      <c r="BI66"/>
    </row>
    <row r="67" spans="1:61" s="4" customFormat="1" ht="12.75">
      <c r="A67" s="8"/>
      <c r="B67" s="26" t="s">
        <v>191</v>
      </c>
      <c r="C67" s="26"/>
      <c r="D67" s="26" t="s">
        <v>192</v>
      </c>
      <c r="G67" s="2">
        <v>1.43</v>
      </c>
      <c r="H67" s="2"/>
      <c r="I67" s="2">
        <v>1.24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/>
      <c r="W67"/>
      <c r="X67"/>
      <c r="Y67"/>
      <c r="Z67"/>
      <c r="AA67"/>
      <c r="AB67"/>
      <c r="AC67"/>
      <c r="AD67"/>
      <c r="AE67"/>
      <c r="AF67"/>
      <c r="AG67" s="2"/>
      <c r="AH67" s="2"/>
      <c r="AI67" s="2"/>
      <c r="AJ67" s="2"/>
      <c r="AK67" s="2"/>
      <c r="AL67" s="2"/>
      <c r="AM67" s="2"/>
      <c r="AN67" s="2"/>
      <c r="AO67" s="2"/>
      <c r="BI67"/>
    </row>
    <row r="68" spans="1:61" s="4" customFormat="1" ht="12.75">
      <c r="A68" s="8"/>
      <c r="B68" s="26" t="s">
        <v>193</v>
      </c>
      <c r="C68" s="26"/>
      <c r="D68" s="26" t="s">
        <v>192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/>
      <c r="W68"/>
      <c r="X68"/>
      <c r="Y68"/>
      <c r="Z68"/>
      <c r="AA68"/>
      <c r="AB68"/>
      <c r="AC68"/>
      <c r="AD68"/>
      <c r="AE68"/>
      <c r="AF68"/>
      <c r="AG68" s="2"/>
      <c r="AH68" s="2"/>
      <c r="AI68" s="2"/>
      <c r="AJ68" s="2"/>
      <c r="AK68" s="2"/>
      <c r="AL68" s="2"/>
      <c r="AM68" s="2"/>
      <c r="AN68" s="2"/>
      <c r="AO68" s="2"/>
      <c r="BI68"/>
    </row>
    <row r="69" spans="1:61" s="4" customFormat="1" ht="12.75">
      <c r="A69" s="8"/>
      <c r="B69" s="26" t="s">
        <v>194</v>
      </c>
      <c r="C69" s="26"/>
      <c r="D69" s="26" t="s">
        <v>195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/>
      <c r="W69"/>
      <c r="X69"/>
      <c r="Y69"/>
      <c r="Z69"/>
      <c r="AA69"/>
      <c r="AB69"/>
      <c r="AC69"/>
      <c r="AD69"/>
      <c r="AE69"/>
      <c r="AF69"/>
      <c r="AG69" s="2"/>
      <c r="AH69" s="2"/>
      <c r="AI69" s="2"/>
      <c r="AJ69" s="2"/>
      <c r="AK69" s="2"/>
      <c r="AL69" s="2"/>
      <c r="AM69" s="2"/>
      <c r="AN69" s="2"/>
      <c r="AO69" s="2"/>
      <c r="BI69"/>
    </row>
    <row r="70" spans="1:61" s="4" customFormat="1" ht="12.75">
      <c r="A70" s="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/>
      <c r="W70"/>
      <c r="X70"/>
      <c r="Y70"/>
      <c r="Z70"/>
      <c r="AA70"/>
      <c r="AB70"/>
      <c r="AC70"/>
      <c r="AD70"/>
      <c r="AE70"/>
      <c r="AF70"/>
      <c r="AG70" s="2"/>
      <c r="AH70" s="2"/>
      <c r="AI70" s="2"/>
      <c r="AJ70" s="2"/>
      <c r="AK70" s="2"/>
      <c r="AL70" s="2"/>
      <c r="AM70" s="2"/>
      <c r="AN70" s="2"/>
      <c r="AO70" s="2"/>
      <c r="BI70"/>
    </row>
    <row r="71" spans="1:61" s="4" customFormat="1" ht="12.75">
      <c r="A71" s="8">
        <v>5</v>
      </c>
      <c r="B71" s="6" t="s">
        <v>47</v>
      </c>
      <c r="G71" s="23" t="s">
        <v>54</v>
      </c>
      <c r="H71" s="23"/>
      <c r="I71" s="23" t="s">
        <v>55</v>
      </c>
      <c r="J71" s="23"/>
      <c r="K71" s="23" t="s">
        <v>56</v>
      </c>
      <c r="L71" s="23"/>
      <c r="M71" s="23" t="s">
        <v>57</v>
      </c>
      <c r="N71" s="23"/>
      <c r="O71" s="23" t="s">
        <v>58</v>
      </c>
      <c r="P71" s="23"/>
      <c r="Q71" s="23" t="s">
        <v>59</v>
      </c>
      <c r="R71" s="23"/>
      <c r="S71" s="23" t="s">
        <v>60</v>
      </c>
      <c r="T71" s="23"/>
      <c r="U71" s="23" t="s">
        <v>61</v>
      </c>
      <c r="V71"/>
      <c r="W71"/>
      <c r="X71"/>
      <c r="Y71"/>
      <c r="Z71"/>
      <c r="AA71"/>
      <c r="AB71"/>
      <c r="AC71"/>
      <c r="AD71"/>
      <c r="AE71"/>
      <c r="AF71"/>
      <c r="AG71" s="2"/>
      <c r="AH71" s="2"/>
      <c r="AI71" s="2"/>
      <c r="AJ71" s="2"/>
      <c r="AK71" s="2"/>
      <c r="AL71" s="2"/>
      <c r="AM71" s="2"/>
      <c r="AN71" s="2"/>
      <c r="AO71" s="2"/>
      <c r="BI71"/>
    </row>
    <row r="72" spans="1:61" s="4" customFormat="1" ht="12.75">
      <c r="A72" s="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/>
      <c r="W72"/>
      <c r="X72"/>
      <c r="Y72"/>
      <c r="Z72"/>
      <c r="AA72"/>
      <c r="AB72"/>
      <c r="AC72"/>
      <c r="AD72"/>
      <c r="AE72"/>
      <c r="AF72"/>
      <c r="AG72" s="2"/>
      <c r="AH72" s="2"/>
      <c r="AI72" s="2"/>
      <c r="AJ72" s="2"/>
      <c r="AK72" s="2"/>
      <c r="AL72" s="2"/>
      <c r="AM72" s="2"/>
      <c r="AN72" s="2"/>
      <c r="AO72" s="2"/>
      <c r="BI72"/>
    </row>
    <row r="73" spans="1:61" s="4" customFormat="1" ht="12.75">
      <c r="A73" s="8"/>
      <c r="B73" s="3" t="s">
        <v>53</v>
      </c>
      <c r="C73" s="4" t="s">
        <v>39</v>
      </c>
      <c r="D73" s="3" t="s">
        <v>183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/>
      <c r="W73"/>
      <c r="X73"/>
      <c r="Y73"/>
      <c r="Z73"/>
      <c r="AA73"/>
      <c r="AB73"/>
      <c r="AC73"/>
      <c r="AD73"/>
      <c r="AE73"/>
      <c r="AF73"/>
      <c r="AG73" s="2"/>
      <c r="AH73" s="2"/>
      <c r="AI73" s="2"/>
      <c r="AJ73" s="2"/>
      <c r="AK73" s="2"/>
      <c r="AL73" s="2"/>
      <c r="AM73" s="2"/>
      <c r="AN73" s="2"/>
      <c r="AO73" s="2"/>
      <c r="BI73"/>
    </row>
    <row r="74" spans="1:61" s="4" customFormat="1" ht="12.75">
      <c r="A74" s="8"/>
      <c r="B74" s="26" t="s">
        <v>189</v>
      </c>
      <c r="C74" s="26"/>
      <c r="D74" s="26" t="s">
        <v>190</v>
      </c>
      <c r="G74" s="2">
        <v>63130</v>
      </c>
      <c r="H74" s="2"/>
      <c r="I74" s="2">
        <v>56164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/>
      <c r="W74"/>
      <c r="X74"/>
      <c r="Y74"/>
      <c r="Z74"/>
      <c r="AA74"/>
      <c r="AB74"/>
      <c r="AC74"/>
      <c r="AD74"/>
      <c r="AE74"/>
      <c r="AF74"/>
      <c r="AG74" s="2"/>
      <c r="AH74" s="2"/>
      <c r="AI74" s="2"/>
      <c r="AJ74" s="2"/>
      <c r="AK74" s="2"/>
      <c r="AL74" s="2"/>
      <c r="AM74" s="2"/>
      <c r="AN74" s="2"/>
      <c r="AO74" s="2"/>
      <c r="BI74"/>
    </row>
    <row r="75" spans="1:61" s="4" customFormat="1" ht="12.75">
      <c r="A75" s="8"/>
      <c r="B75" s="26" t="s">
        <v>191</v>
      </c>
      <c r="C75" s="26"/>
      <c r="D75" s="26" t="s">
        <v>192</v>
      </c>
      <c r="G75" s="2">
        <v>0.67</v>
      </c>
      <c r="H75" s="2"/>
      <c r="I75" s="2">
        <v>1.17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/>
      <c r="W75"/>
      <c r="X75"/>
      <c r="Y75"/>
      <c r="Z75"/>
      <c r="AA75"/>
      <c r="AB75"/>
      <c r="AC75"/>
      <c r="AD75"/>
      <c r="AE75"/>
      <c r="AF75"/>
      <c r="AG75" s="2"/>
      <c r="AH75" s="2"/>
      <c r="AI75" s="2"/>
      <c r="AJ75" s="2"/>
      <c r="AK75" s="2"/>
      <c r="AL75" s="2"/>
      <c r="AM75" s="2"/>
      <c r="AN75" s="2"/>
      <c r="AO75" s="2"/>
      <c r="BI75"/>
    </row>
    <row r="76" spans="1:61" s="4" customFormat="1" ht="12.75">
      <c r="A76" s="8"/>
      <c r="B76" s="26" t="s">
        <v>193</v>
      </c>
      <c r="C76" s="26"/>
      <c r="D76" s="26" t="s">
        <v>192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/>
      <c r="W76"/>
      <c r="X76"/>
      <c r="Y76"/>
      <c r="Z76"/>
      <c r="AA76"/>
      <c r="AB76"/>
      <c r="AC76"/>
      <c r="AD76"/>
      <c r="AE76"/>
      <c r="AF76"/>
      <c r="AG76" s="2"/>
      <c r="AH76" s="2"/>
      <c r="AI76" s="2"/>
      <c r="AJ76" s="2"/>
      <c r="AK76" s="2"/>
      <c r="AL76" s="2"/>
      <c r="AM76" s="2"/>
      <c r="AN76" s="2"/>
      <c r="AO76" s="2"/>
      <c r="BI76"/>
    </row>
    <row r="77" spans="1:61" s="4" customFormat="1" ht="12.75">
      <c r="A77" s="8"/>
      <c r="B77" s="26" t="s">
        <v>194</v>
      </c>
      <c r="C77" s="26"/>
      <c r="D77" s="26" t="s">
        <v>195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/>
      <c r="W77"/>
      <c r="X77"/>
      <c r="Y77"/>
      <c r="Z77"/>
      <c r="AA77"/>
      <c r="AB77"/>
      <c r="AC77"/>
      <c r="AD77"/>
      <c r="AE77"/>
      <c r="AF77"/>
      <c r="AG77" s="2"/>
      <c r="AH77" s="2"/>
      <c r="AI77" s="2"/>
      <c r="AJ77" s="2"/>
      <c r="AK77" s="2"/>
      <c r="AL77" s="2"/>
      <c r="AM77" s="2"/>
      <c r="AN77" s="2"/>
      <c r="AO77" s="2"/>
      <c r="BI77"/>
    </row>
    <row r="78" spans="1:61" s="4" customFormat="1" ht="12.75">
      <c r="A78" s="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/>
      <c r="W78"/>
      <c r="X78"/>
      <c r="Y78"/>
      <c r="Z78"/>
      <c r="AA78"/>
      <c r="AB78"/>
      <c r="AC78"/>
      <c r="AD78"/>
      <c r="AE78"/>
      <c r="AF78"/>
      <c r="AG78" s="2"/>
      <c r="AH78" s="2"/>
      <c r="AI78" s="2"/>
      <c r="AJ78" s="2"/>
      <c r="AK78" s="2"/>
      <c r="AL78" s="2"/>
      <c r="AM78" s="2"/>
      <c r="AN78" s="2"/>
      <c r="AO78" s="2"/>
      <c r="BI78"/>
    </row>
    <row r="79" spans="1:61" s="4" customFormat="1" ht="12.75">
      <c r="A79" s="8"/>
      <c r="B79" s="6" t="s">
        <v>48</v>
      </c>
      <c r="G79" s="23" t="s">
        <v>54</v>
      </c>
      <c r="H79" s="23"/>
      <c r="I79" s="23" t="s">
        <v>55</v>
      </c>
      <c r="J79" s="23"/>
      <c r="K79" s="23" t="s">
        <v>56</v>
      </c>
      <c r="L79" s="23"/>
      <c r="M79" s="23" t="s">
        <v>57</v>
      </c>
      <c r="N79" s="23"/>
      <c r="O79" s="23" t="s">
        <v>58</v>
      </c>
      <c r="P79" s="23"/>
      <c r="Q79" s="23" t="s">
        <v>59</v>
      </c>
      <c r="R79" s="23"/>
      <c r="S79" s="23" t="s">
        <v>60</v>
      </c>
      <c r="T79" s="23"/>
      <c r="U79" s="23" t="s">
        <v>61</v>
      </c>
      <c r="V79"/>
      <c r="W79"/>
      <c r="X79"/>
      <c r="Y79"/>
      <c r="Z79"/>
      <c r="AA79"/>
      <c r="AB79"/>
      <c r="AC79"/>
      <c r="AD79"/>
      <c r="AE79"/>
      <c r="AF79"/>
      <c r="AG79" s="2"/>
      <c r="AH79" s="2"/>
      <c r="AI79" s="2"/>
      <c r="AJ79" s="2"/>
      <c r="AK79" s="2"/>
      <c r="AL79" s="2"/>
      <c r="AM79" s="2"/>
      <c r="AN79" s="2"/>
      <c r="AO79" s="2"/>
      <c r="BI79"/>
    </row>
    <row r="80" spans="1:61" s="4" customFormat="1" ht="12.75">
      <c r="A80" s="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/>
      <c r="W80"/>
      <c r="X80"/>
      <c r="Y80"/>
      <c r="Z80"/>
      <c r="AA80"/>
      <c r="AB80"/>
      <c r="AC80"/>
      <c r="AD80"/>
      <c r="AE80"/>
      <c r="AF80"/>
      <c r="AG80" s="2"/>
      <c r="AH80" s="2"/>
      <c r="AI80" s="2"/>
      <c r="AJ80" s="2"/>
      <c r="AK80" s="2"/>
      <c r="AL80" s="2"/>
      <c r="AM80" s="2"/>
      <c r="AN80" s="2"/>
      <c r="AO80" s="2"/>
      <c r="BI80"/>
    </row>
    <row r="81" spans="1:61" s="4" customFormat="1" ht="12.75">
      <c r="A81" s="8"/>
      <c r="B81" s="3" t="s">
        <v>53</v>
      </c>
      <c r="C81" s="4" t="s">
        <v>39</v>
      </c>
      <c r="D81" s="3" t="s">
        <v>183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/>
      <c r="W81"/>
      <c r="X81"/>
      <c r="Y81"/>
      <c r="Z81"/>
      <c r="AA81"/>
      <c r="AB81"/>
      <c r="AC81"/>
      <c r="AD81"/>
      <c r="AE81"/>
      <c r="AF81"/>
      <c r="AG81" s="2"/>
      <c r="AH81" s="2"/>
      <c r="AI81" s="2"/>
      <c r="AJ81" s="2"/>
      <c r="AK81" s="2"/>
      <c r="AL81" s="2"/>
      <c r="AM81" s="2"/>
      <c r="AN81" s="2"/>
      <c r="AO81" s="2"/>
      <c r="BI81"/>
    </row>
    <row r="82" spans="1:61" s="4" customFormat="1" ht="12.75">
      <c r="A82" s="8"/>
      <c r="B82" s="26" t="s">
        <v>189</v>
      </c>
      <c r="C82" s="26"/>
      <c r="D82" s="26" t="s">
        <v>190</v>
      </c>
      <c r="G82" s="2">
        <v>55280</v>
      </c>
      <c r="H82" s="2"/>
      <c r="I82" s="2">
        <v>57554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/>
      <c r="W82"/>
      <c r="X82"/>
      <c r="Y82"/>
      <c r="Z82"/>
      <c r="AA82"/>
      <c r="AB82"/>
      <c r="AC82"/>
      <c r="AD82"/>
      <c r="AE82"/>
      <c r="AF82"/>
      <c r="AG82" s="2"/>
      <c r="AH82" s="2"/>
      <c r="AI82" s="2"/>
      <c r="AJ82" s="2"/>
      <c r="AK82" s="2"/>
      <c r="AL82" s="2"/>
      <c r="AM82" s="2"/>
      <c r="AN82" s="2"/>
      <c r="AO82" s="2"/>
      <c r="BI82"/>
    </row>
    <row r="83" spans="1:61" s="4" customFormat="1" ht="12.75">
      <c r="A83" s="8"/>
      <c r="B83" s="26" t="s">
        <v>191</v>
      </c>
      <c r="C83" s="26"/>
      <c r="D83" s="26" t="s">
        <v>192</v>
      </c>
      <c r="G83" s="2">
        <v>1.18</v>
      </c>
      <c r="H83" s="2"/>
      <c r="I83" s="2">
        <v>1.47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/>
      <c r="W83"/>
      <c r="X83"/>
      <c r="Y83"/>
      <c r="Z83"/>
      <c r="AA83"/>
      <c r="AB83"/>
      <c r="AC83"/>
      <c r="AD83"/>
      <c r="AE83"/>
      <c r="AF83"/>
      <c r="AG83" s="2"/>
      <c r="AH83" s="2"/>
      <c r="AI83" s="2"/>
      <c r="AJ83" s="2"/>
      <c r="AK83" s="2"/>
      <c r="AL83" s="2"/>
      <c r="AM83" s="2"/>
      <c r="AN83" s="2"/>
      <c r="AO83" s="2"/>
      <c r="BI83"/>
    </row>
    <row r="84" spans="1:61" s="4" customFormat="1" ht="12.75">
      <c r="A84" s="8"/>
      <c r="B84" s="26" t="s">
        <v>193</v>
      </c>
      <c r="C84" s="26"/>
      <c r="D84" s="26" t="s">
        <v>192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/>
      <c r="W84"/>
      <c r="X84"/>
      <c r="Y84"/>
      <c r="Z84"/>
      <c r="AA84"/>
      <c r="AB84"/>
      <c r="AC84"/>
      <c r="AD84"/>
      <c r="AE84"/>
      <c r="AF84"/>
      <c r="AG84" s="2"/>
      <c r="AH84" s="2"/>
      <c r="AI84" s="2"/>
      <c r="AJ84" s="2"/>
      <c r="AK84" s="2"/>
      <c r="AL84" s="2"/>
      <c r="AM84" s="2"/>
      <c r="AN84" s="2"/>
      <c r="AO84" s="2"/>
      <c r="BI84"/>
    </row>
    <row r="85" spans="1:61" s="4" customFormat="1" ht="12.75">
      <c r="A85" s="8"/>
      <c r="B85" s="26" t="s">
        <v>194</v>
      </c>
      <c r="C85" s="26"/>
      <c r="D85" s="26" t="s">
        <v>195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/>
      <c r="W85"/>
      <c r="X85"/>
      <c r="Y85"/>
      <c r="Z85"/>
      <c r="AA85"/>
      <c r="AB85"/>
      <c r="AC85"/>
      <c r="AD85"/>
      <c r="AE85"/>
      <c r="AF85"/>
      <c r="AG85" s="2"/>
      <c r="AH85" s="2"/>
      <c r="AI85" s="2"/>
      <c r="AJ85" s="2"/>
      <c r="AK85" s="2"/>
      <c r="AL85" s="2"/>
      <c r="AM85" s="2"/>
      <c r="AN85" s="2"/>
      <c r="AO85" s="2"/>
      <c r="BI85"/>
    </row>
    <row r="86" spans="1:61" s="4" customFormat="1" ht="12.75">
      <c r="A86" s="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/>
      <c r="W86"/>
      <c r="X86"/>
      <c r="Y86"/>
      <c r="Z86"/>
      <c r="AA86"/>
      <c r="AB86"/>
      <c r="AC86"/>
      <c r="AD86"/>
      <c r="AE86"/>
      <c r="AF86"/>
      <c r="AG86" s="2"/>
      <c r="AH86" s="2"/>
      <c r="AI86" s="2"/>
      <c r="AJ86" s="2"/>
      <c r="AK86" s="2"/>
      <c r="AL86" s="2"/>
      <c r="AM86" s="2"/>
      <c r="AN86" s="2"/>
      <c r="AO86" s="2"/>
      <c r="BI86"/>
    </row>
    <row r="87" spans="1:61" s="4" customFormat="1" ht="12.75">
      <c r="A87" s="8"/>
      <c r="B87" s="6" t="s">
        <v>49</v>
      </c>
      <c r="G87" s="23" t="s">
        <v>54</v>
      </c>
      <c r="H87" s="23"/>
      <c r="I87" s="23" t="s">
        <v>55</v>
      </c>
      <c r="J87" s="23"/>
      <c r="K87" s="23" t="s">
        <v>56</v>
      </c>
      <c r="L87" s="23"/>
      <c r="M87" s="23" t="s">
        <v>57</v>
      </c>
      <c r="N87" s="23"/>
      <c r="O87" s="23" t="s">
        <v>58</v>
      </c>
      <c r="P87" s="23"/>
      <c r="Q87" s="23" t="s">
        <v>59</v>
      </c>
      <c r="R87" s="23"/>
      <c r="S87" s="23" t="s">
        <v>60</v>
      </c>
      <c r="T87" s="23"/>
      <c r="U87" s="23" t="s">
        <v>61</v>
      </c>
      <c r="V87"/>
      <c r="W87"/>
      <c r="X87"/>
      <c r="Y87"/>
      <c r="Z87"/>
      <c r="AA87"/>
      <c r="AB87"/>
      <c r="AC87"/>
      <c r="AD87"/>
      <c r="AE87"/>
      <c r="AF87"/>
      <c r="AG87" s="2"/>
      <c r="AH87" s="2"/>
      <c r="AI87" s="2"/>
      <c r="AJ87" s="2"/>
      <c r="AK87" s="2"/>
      <c r="AL87" s="2"/>
      <c r="AM87" s="2"/>
      <c r="AN87" s="2"/>
      <c r="AO87" s="2"/>
      <c r="BI87"/>
    </row>
    <row r="88" spans="1:61" s="4" customFormat="1" ht="12.75">
      <c r="A88" s="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/>
      <c r="W88"/>
      <c r="X88"/>
      <c r="Y88"/>
      <c r="Z88"/>
      <c r="AA88"/>
      <c r="AB88"/>
      <c r="AC88"/>
      <c r="AD88"/>
      <c r="AE88"/>
      <c r="AF88"/>
      <c r="AG88" s="2"/>
      <c r="AH88" s="2"/>
      <c r="AI88" s="2"/>
      <c r="AJ88" s="2"/>
      <c r="AK88" s="2"/>
      <c r="AL88" s="2"/>
      <c r="AM88" s="2"/>
      <c r="AN88" s="2"/>
      <c r="AO88" s="2"/>
      <c r="BI88"/>
    </row>
    <row r="89" spans="1:61" s="4" customFormat="1" ht="12.75">
      <c r="A89" s="8"/>
      <c r="B89" s="3" t="s">
        <v>53</v>
      </c>
      <c r="C89" s="4" t="s">
        <v>39</v>
      </c>
      <c r="D89" s="3" t="s">
        <v>183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/>
      <c r="W89"/>
      <c r="X89"/>
      <c r="Y89"/>
      <c r="Z89"/>
      <c r="AA89"/>
      <c r="AB89"/>
      <c r="AC89"/>
      <c r="AD89"/>
      <c r="AE89"/>
      <c r="AF89"/>
      <c r="AG89" s="2"/>
      <c r="AH89" s="2"/>
      <c r="AI89" s="2"/>
      <c r="AJ89" s="2"/>
      <c r="AK89" s="2"/>
      <c r="AL89" s="2"/>
      <c r="AM89" s="2"/>
      <c r="AN89" s="2"/>
      <c r="AO89" s="2"/>
      <c r="BI89"/>
    </row>
    <row r="90" spans="1:61" s="4" customFormat="1" ht="12.75">
      <c r="A90" s="8"/>
      <c r="B90" s="26" t="s">
        <v>189</v>
      </c>
      <c r="C90" s="26"/>
      <c r="D90" s="26" t="s">
        <v>190</v>
      </c>
      <c r="G90" s="2">
        <v>45652</v>
      </c>
      <c r="H90" s="2"/>
      <c r="I90" s="2">
        <v>47741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/>
      <c r="W90"/>
      <c r="X90"/>
      <c r="Y90"/>
      <c r="Z90"/>
      <c r="AA90"/>
      <c r="AB90"/>
      <c r="AC90"/>
      <c r="AD90"/>
      <c r="AE90"/>
      <c r="AF90"/>
      <c r="AG90" s="2"/>
      <c r="AH90" s="2"/>
      <c r="AI90" s="2"/>
      <c r="AJ90" s="2"/>
      <c r="AK90" s="2"/>
      <c r="AL90" s="2"/>
      <c r="AM90" s="2"/>
      <c r="AN90" s="2"/>
      <c r="AO90" s="2"/>
      <c r="BI90"/>
    </row>
    <row r="91" spans="1:61" s="4" customFormat="1" ht="12.75">
      <c r="A91" s="8"/>
      <c r="B91" s="26" t="s">
        <v>191</v>
      </c>
      <c r="C91" s="26"/>
      <c r="D91" s="26" t="s">
        <v>192</v>
      </c>
      <c r="G91" s="2">
        <v>1.38</v>
      </c>
      <c r="H91" s="2"/>
      <c r="I91" s="2">
        <v>1.37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/>
      <c r="W91"/>
      <c r="X91"/>
      <c r="Y91"/>
      <c r="Z91"/>
      <c r="AA91"/>
      <c r="AB91"/>
      <c r="AC91"/>
      <c r="AD91"/>
      <c r="AE91"/>
      <c r="AF91"/>
      <c r="AG91" s="2"/>
      <c r="AH91" s="2"/>
      <c r="AI91" s="2"/>
      <c r="AJ91" s="2"/>
      <c r="AK91" s="2"/>
      <c r="AL91" s="2"/>
      <c r="AM91" s="2"/>
      <c r="AN91" s="2"/>
      <c r="AO91" s="2"/>
      <c r="BI91"/>
    </row>
    <row r="92" spans="1:61" s="4" customFormat="1" ht="12.75">
      <c r="A92" s="8"/>
      <c r="B92" s="26" t="s">
        <v>193</v>
      </c>
      <c r="C92" s="26"/>
      <c r="D92" s="26" t="s">
        <v>192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/>
      <c r="W92"/>
      <c r="X92"/>
      <c r="Y92"/>
      <c r="Z92"/>
      <c r="AA92"/>
      <c r="AB92"/>
      <c r="AC92"/>
      <c r="AD92"/>
      <c r="AE92"/>
      <c r="AF92"/>
      <c r="AG92" s="2"/>
      <c r="AH92" s="2"/>
      <c r="AI92" s="2"/>
      <c r="AJ92" s="2"/>
      <c r="AK92" s="2"/>
      <c r="AL92" s="2"/>
      <c r="AM92" s="2"/>
      <c r="AN92" s="2"/>
      <c r="AO92" s="2"/>
      <c r="BI92"/>
    </row>
    <row r="93" spans="1:61" s="4" customFormat="1" ht="12.75">
      <c r="A93" s="8"/>
      <c r="B93" s="26" t="s">
        <v>194</v>
      </c>
      <c r="C93" s="26"/>
      <c r="D93" s="26" t="s">
        <v>195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/>
      <c r="W93"/>
      <c r="X93"/>
      <c r="Y93"/>
      <c r="Z93"/>
      <c r="AA93"/>
      <c r="AB93"/>
      <c r="AC93"/>
      <c r="AD93"/>
      <c r="AE93"/>
      <c r="AF93"/>
      <c r="AG93" s="2"/>
      <c r="AH93" s="2"/>
      <c r="AI93" s="2"/>
      <c r="AJ93" s="2"/>
      <c r="AK93" s="2"/>
      <c r="AL93" s="2"/>
      <c r="AM93" s="2"/>
      <c r="AN93" s="2"/>
      <c r="AO93" s="2"/>
      <c r="BI93"/>
    </row>
    <row r="94" spans="1:61" s="3" customFormat="1" ht="12.75">
      <c r="A94" s="8"/>
      <c r="F94" s="2"/>
      <c r="H94" s="2"/>
      <c r="J94" s="2"/>
      <c r="L94" s="2"/>
      <c r="N94" s="2"/>
      <c r="P94" s="2"/>
      <c r="R94" s="2"/>
      <c r="T94" s="2"/>
      <c r="V94"/>
      <c r="W94"/>
      <c r="X94"/>
      <c r="Y94"/>
      <c r="Z94"/>
      <c r="AA94"/>
      <c r="AB94"/>
      <c r="AC94"/>
      <c r="AD94"/>
      <c r="AE94"/>
      <c r="AF94"/>
      <c r="BI94"/>
    </row>
    <row r="95" spans="1:61" s="3" customFormat="1" ht="12.75">
      <c r="A95" s="8">
        <v>8</v>
      </c>
      <c r="B95" s="5" t="s">
        <v>34</v>
      </c>
      <c r="F95" s="2"/>
      <c r="G95" s="23" t="s">
        <v>54</v>
      </c>
      <c r="H95" s="23"/>
      <c r="I95" s="23" t="s">
        <v>55</v>
      </c>
      <c r="J95" s="23"/>
      <c r="K95" s="23" t="s">
        <v>56</v>
      </c>
      <c r="L95" s="23"/>
      <c r="M95" s="23" t="s">
        <v>57</v>
      </c>
      <c r="N95" s="23"/>
      <c r="O95" s="23" t="s">
        <v>58</v>
      </c>
      <c r="P95" s="23"/>
      <c r="Q95" s="23" t="s">
        <v>59</v>
      </c>
      <c r="R95" s="23"/>
      <c r="S95" s="23" t="s">
        <v>60</v>
      </c>
      <c r="T95" s="23"/>
      <c r="U95" s="23" t="s">
        <v>61</v>
      </c>
      <c r="V95"/>
      <c r="W95"/>
      <c r="X95"/>
      <c r="Y95"/>
      <c r="Z95"/>
      <c r="AA95"/>
      <c r="AB95"/>
      <c r="AC95"/>
      <c r="AD95"/>
      <c r="AE95"/>
      <c r="AF95"/>
      <c r="BI95"/>
    </row>
    <row r="96" spans="1:61" s="3" customFormat="1" ht="12.75">
      <c r="A96" s="8"/>
      <c r="F96" s="2"/>
      <c r="H96" s="2"/>
      <c r="J96" s="2"/>
      <c r="L96" s="2"/>
      <c r="N96" s="2"/>
      <c r="P96" s="2"/>
      <c r="R96" s="2"/>
      <c r="T96" s="2"/>
      <c r="V96"/>
      <c r="W96"/>
      <c r="X96"/>
      <c r="Y96"/>
      <c r="Z96"/>
      <c r="AA96"/>
      <c r="AB96"/>
      <c r="AC96"/>
      <c r="AD96"/>
      <c r="AE96"/>
      <c r="AF96"/>
      <c r="BI96"/>
    </row>
    <row r="97" spans="1:61" s="1" customFormat="1" ht="12.75">
      <c r="A97" s="8"/>
      <c r="B97" s="1" t="s">
        <v>1</v>
      </c>
      <c r="C97" s="1" t="s">
        <v>183</v>
      </c>
      <c r="D97" s="1" t="s">
        <v>2</v>
      </c>
      <c r="E97" s="1" t="s">
        <v>185</v>
      </c>
      <c r="F97" s="2" t="s">
        <v>3</v>
      </c>
      <c r="G97" s="1">
        <v>0.01600015872</v>
      </c>
      <c r="H97" s="2" t="s">
        <v>3</v>
      </c>
      <c r="I97" s="1">
        <v>0.01600015872</v>
      </c>
      <c r="J97" s="2" t="s">
        <v>3</v>
      </c>
      <c r="K97" s="1">
        <v>0.01100010912</v>
      </c>
      <c r="L97" s="2" t="s">
        <v>3</v>
      </c>
      <c r="N97" s="2" t="s">
        <v>3</v>
      </c>
      <c r="P97" s="2" t="s">
        <v>3</v>
      </c>
      <c r="R97" s="2" t="s">
        <v>3</v>
      </c>
      <c r="T97" s="2" t="s">
        <v>3</v>
      </c>
      <c r="U97" s="1">
        <f>AVERAGE(G97,I97,K97)</f>
        <v>0.01433347552</v>
      </c>
      <c r="V97"/>
      <c r="W97"/>
      <c r="X97"/>
      <c r="Y97"/>
      <c r="Z97"/>
      <c r="AA97"/>
      <c r="AB97"/>
      <c r="AC97"/>
      <c r="AD97"/>
      <c r="AE97"/>
      <c r="AF97"/>
      <c r="BI97"/>
    </row>
    <row r="98" spans="1:61" s="3" customFormat="1" ht="12.75">
      <c r="A98" s="8"/>
      <c r="B98" s="3" t="s">
        <v>28</v>
      </c>
      <c r="C98" s="1" t="s">
        <v>183</v>
      </c>
      <c r="D98" s="3" t="s">
        <v>5</v>
      </c>
      <c r="E98" s="1" t="s">
        <v>185</v>
      </c>
      <c r="F98" s="2" t="s">
        <v>3</v>
      </c>
      <c r="G98" s="3">
        <v>50.2</v>
      </c>
      <c r="H98" s="2" t="s">
        <v>3</v>
      </c>
      <c r="I98" s="3">
        <v>53</v>
      </c>
      <c r="J98" s="2" t="s">
        <v>3</v>
      </c>
      <c r="K98" s="3">
        <v>53.8</v>
      </c>
      <c r="L98" s="2" t="s">
        <v>3</v>
      </c>
      <c r="N98" s="2" t="s">
        <v>3</v>
      </c>
      <c r="P98" s="2" t="s">
        <v>3</v>
      </c>
      <c r="R98" s="2" t="s">
        <v>3</v>
      </c>
      <c r="T98" s="2" t="s">
        <v>3</v>
      </c>
      <c r="U98" s="3">
        <f>AVERAGE(G98,I98,K98)</f>
        <v>52.333333333333336</v>
      </c>
      <c r="V98"/>
      <c r="W98"/>
      <c r="X98"/>
      <c r="Y98"/>
      <c r="Z98"/>
      <c r="AA98"/>
      <c r="AB98"/>
      <c r="AC98"/>
      <c r="AD98"/>
      <c r="AE98"/>
      <c r="AF98"/>
      <c r="BI98"/>
    </row>
    <row r="99" spans="1:61" s="3" customFormat="1" ht="12.75">
      <c r="A99" s="8"/>
      <c r="B99" s="3" t="s">
        <v>4</v>
      </c>
      <c r="C99" s="1" t="s">
        <v>183</v>
      </c>
      <c r="D99" s="3" t="s">
        <v>5</v>
      </c>
      <c r="E99" s="1" t="s">
        <v>185</v>
      </c>
      <c r="F99" s="2" t="s">
        <v>3</v>
      </c>
      <c r="G99" s="3">
        <v>43.7</v>
      </c>
      <c r="H99" s="2" t="s">
        <v>3</v>
      </c>
      <c r="I99" s="3">
        <v>52.2</v>
      </c>
      <c r="J99" s="2" t="s">
        <v>3</v>
      </c>
      <c r="K99" s="3">
        <v>53</v>
      </c>
      <c r="L99" s="2" t="s">
        <v>3</v>
      </c>
      <c r="N99" s="2" t="s">
        <v>3</v>
      </c>
      <c r="P99" s="2" t="s">
        <v>3</v>
      </c>
      <c r="R99" s="2" t="s">
        <v>3</v>
      </c>
      <c r="T99" s="2" t="s">
        <v>3</v>
      </c>
      <c r="U99" s="3">
        <f>AVERAGE(G99,I99,K99)</f>
        <v>49.63333333333333</v>
      </c>
      <c r="V99"/>
      <c r="W99"/>
      <c r="X99"/>
      <c r="Y99"/>
      <c r="Z99"/>
      <c r="AA99"/>
      <c r="AB99"/>
      <c r="AC99"/>
      <c r="AD99"/>
      <c r="AE99"/>
      <c r="AF99"/>
      <c r="BI99"/>
    </row>
    <row r="100" spans="1:61" s="3" customFormat="1" ht="12.75">
      <c r="A100" s="8"/>
      <c r="B100" s="3" t="s">
        <v>29</v>
      </c>
      <c r="C100" s="1" t="s">
        <v>183</v>
      </c>
      <c r="D100" s="3" t="s">
        <v>5</v>
      </c>
      <c r="E100" s="1" t="s">
        <v>185</v>
      </c>
      <c r="F100" s="2" t="s">
        <v>3</v>
      </c>
      <c r="G100" s="3">
        <v>7.3</v>
      </c>
      <c r="H100" s="2" t="s">
        <v>3</v>
      </c>
      <c r="I100" s="3">
        <v>10.5</v>
      </c>
      <c r="J100" s="2" t="s">
        <v>3</v>
      </c>
      <c r="K100" s="3">
        <v>10.1</v>
      </c>
      <c r="L100" s="2" t="s">
        <v>3</v>
      </c>
      <c r="N100" s="2" t="s">
        <v>3</v>
      </c>
      <c r="P100" s="2" t="s">
        <v>3</v>
      </c>
      <c r="R100" s="2" t="s">
        <v>3</v>
      </c>
      <c r="T100" s="2" t="s">
        <v>3</v>
      </c>
      <c r="U100" s="3">
        <f>AVERAGE(G100,I100,K100)</f>
        <v>9.299999999999999</v>
      </c>
      <c r="V100"/>
      <c r="W100"/>
      <c r="X100"/>
      <c r="Y100"/>
      <c r="Z100"/>
      <c r="AA100"/>
      <c r="AB100"/>
      <c r="AC100"/>
      <c r="AD100"/>
      <c r="AE100"/>
      <c r="AF100"/>
      <c r="BI100"/>
    </row>
    <row r="101" spans="1:61" s="3" customFormat="1" ht="12.75">
      <c r="A101" s="8"/>
      <c r="B101" s="3" t="s">
        <v>6</v>
      </c>
      <c r="C101" s="1" t="s">
        <v>183</v>
      </c>
      <c r="D101" s="3" t="s">
        <v>5</v>
      </c>
      <c r="E101" s="1" t="s">
        <v>185</v>
      </c>
      <c r="F101" s="2" t="s">
        <v>3</v>
      </c>
      <c r="G101" s="3">
        <v>6.5</v>
      </c>
      <c r="H101" s="2" t="s">
        <v>3</v>
      </c>
      <c r="I101" s="3">
        <v>8.8</v>
      </c>
      <c r="J101" s="2" t="s">
        <v>3</v>
      </c>
      <c r="K101" s="3">
        <v>9.4</v>
      </c>
      <c r="L101" s="2" t="s">
        <v>3</v>
      </c>
      <c r="N101" s="2" t="s">
        <v>3</v>
      </c>
      <c r="P101" s="2" t="s">
        <v>3</v>
      </c>
      <c r="R101" s="2" t="s">
        <v>3</v>
      </c>
      <c r="T101" s="2" t="s">
        <v>3</v>
      </c>
      <c r="U101" s="3">
        <f>AVERAGE(G101,I101,K101)</f>
        <v>8.233333333333334</v>
      </c>
      <c r="V101"/>
      <c r="W101"/>
      <c r="X101"/>
      <c r="Y101"/>
      <c r="Z101"/>
      <c r="AA101"/>
      <c r="AB101"/>
      <c r="AC101"/>
      <c r="AD101"/>
      <c r="AE101"/>
      <c r="AF101"/>
      <c r="BI101"/>
    </row>
    <row r="102" spans="1:61" s="3" customFormat="1" ht="12.75">
      <c r="A102" s="8"/>
      <c r="F102" s="2"/>
      <c r="H102" s="2"/>
      <c r="J102" s="2"/>
      <c r="L102" s="2"/>
      <c r="N102" s="2"/>
      <c r="P102" s="2"/>
      <c r="R102" s="2"/>
      <c r="T102" s="2"/>
      <c r="V102"/>
      <c r="W102"/>
      <c r="X102"/>
      <c r="Y102"/>
      <c r="Z102"/>
      <c r="AA102"/>
      <c r="AB102"/>
      <c r="AC102"/>
      <c r="AD102"/>
      <c r="AE102"/>
      <c r="AF102"/>
      <c r="BI102"/>
    </row>
    <row r="103" spans="1:61" s="3" customFormat="1" ht="12.75">
      <c r="A103" s="8"/>
      <c r="B103" s="3" t="s">
        <v>53</v>
      </c>
      <c r="C103" s="4" t="s">
        <v>40</v>
      </c>
      <c r="D103" s="1" t="s">
        <v>183</v>
      </c>
      <c r="F103" s="2"/>
      <c r="H103" s="2"/>
      <c r="J103" s="2"/>
      <c r="L103" s="2"/>
      <c r="N103" s="2"/>
      <c r="P103" s="2"/>
      <c r="R103" s="2"/>
      <c r="T103" s="2"/>
      <c r="V103"/>
      <c r="W103"/>
      <c r="X103"/>
      <c r="Y103"/>
      <c r="Z103"/>
      <c r="AA103"/>
      <c r="AB103"/>
      <c r="AC103"/>
      <c r="AD103"/>
      <c r="AE103"/>
      <c r="AF103"/>
      <c r="BI103"/>
    </row>
    <row r="104" spans="1:61" s="4" customFormat="1" ht="12.75">
      <c r="A104" s="8"/>
      <c r="B104" s="26" t="s">
        <v>189</v>
      </c>
      <c r="C104" s="26"/>
      <c r="D104" s="26" t="s">
        <v>190</v>
      </c>
      <c r="G104" s="2">
        <v>47546</v>
      </c>
      <c r="H104" s="2"/>
      <c r="I104" s="2">
        <v>45066</v>
      </c>
      <c r="J104" s="2"/>
      <c r="K104" s="2">
        <v>42721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/>
      <c r="W104"/>
      <c r="X104"/>
      <c r="Y104"/>
      <c r="Z104"/>
      <c r="AA104"/>
      <c r="AB104"/>
      <c r="AC104"/>
      <c r="AD104"/>
      <c r="AE104"/>
      <c r="AF104"/>
      <c r="AG104" s="2"/>
      <c r="AH104" s="2"/>
      <c r="AI104" s="2"/>
      <c r="AJ104" s="2"/>
      <c r="AK104" s="2"/>
      <c r="AL104" s="2"/>
      <c r="AM104" s="2"/>
      <c r="AN104" s="2"/>
      <c r="AO104" s="2"/>
      <c r="BI104"/>
    </row>
    <row r="105" spans="1:61" s="4" customFormat="1" ht="12.75">
      <c r="A105" s="8"/>
      <c r="B105" s="26" t="s">
        <v>191</v>
      </c>
      <c r="C105" s="26"/>
      <c r="D105" s="26" t="s">
        <v>192</v>
      </c>
      <c r="G105" s="2">
        <v>8.6</v>
      </c>
      <c r="H105" s="2"/>
      <c r="I105" s="2">
        <v>9.1</v>
      </c>
      <c r="J105" s="2"/>
      <c r="K105" s="2">
        <v>9.1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/>
      <c r="W105"/>
      <c r="X105"/>
      <c r="Y105"/>
      <c r="Z105"/>
      <c r="AA105"/>
      <c r="AB105"/>
      <c r="AC105"/>
      <c r="AD105"/>
      <c r="AE105"/>
      <c r="AF105"/>
      <c r="AG105" s="2"/>
      <c r="AH105" s="2"/>
      <c r="AI105" s="2"/>
      <c r="AJ105" s="2"/>
      <c r="AK105" s="2"/>
      <c r="AL105" s="2"/>
      <c r="AM105" s="2"/>
      <c r="AN105" s="2"/>
      <c r="AO105" s="2"/>
      <c r="BI105"/>
    </row>
    <row r="106" spans="1:61" s="4" customFormat="1" ht="12.75">
      <c r="A106" s="8"/>
      <c r="B106" s="26" t="s">
        <v>193</v>
      </c>
      <c r="C106" s="26"/>
      <c r="D106" s="26" t="s">
        <v>192</v>
      </c>
      <c r="G106" s="2">
        <v>38.299</v>
      </c>
      <c r="H106" s="2"/>
      <c r="I106" s="2">
        <v>35.065</v>
      </c>
      <c r="J106" s="2"/>
      <c r="K106" s="2">
        <v>40.136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/>
      <c r="W106"/>
      <c r="X106"/>
      <c r="Y106"/>
      <c r="Z106"/>
      <c r="AA106"/>
      <c r="AB106"/>
      <c r="AC106"/>
      <c r="AD106"/>
      <c r="AE106"/>
      <c r="AF106"/>
      <c r="AG106" s="2"/>
      <c r="AH106" s="2"/>
      <c r="AI106" s="2"/>
      <c r="AJ106" s="2"/>
      <c r="AK106" s="2"/>
      <c r="AL106" s="2"/>
      <c r="AM106" s="2"/>
      <c r="AN106" s="2"/>
      <c r="AO106" s="2"/>
      <c r="BI106"/>
    </row>
    <row r="107" spans="1:61" s="4" customFormat="1" ht="12.75">
      <c r="A107" s="8"/>
      <c r="B107" s="26" t="s">
        <v>194</v>
      </c>
      <c r="C107" s="26"/>
      <c r="D107" s="26" t="s">
        <v>195</v>
      </c>
      <c r="G107" s="2">
        <v>390.375</v>
      </c>
      <c r="H107" s="2"/>
      <c r="I107" s="2">
        <v>396.5</v>
      </c>
      <c r="J107" s="2"/>
      <c r="K107" s="2">
        <v>405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/>
      <c r="W107"/>
      <c r="X107"/>
      <c r="Y107"/>
      <c r="Z107"/>
      <c r="AA107"/>
      <c r="AB107"/>
      <c r="AC107"/>
      <c r="AD107"/>
      <c r="AE107"/>
      <c r="AF107"/>
      <c r="AG107" s="2"/>
      <c r="AH107" s="2"/>
      <c r="AI107" s="2"/>
      <c r="AJ107" s="2"/>
      <c r="AK107" s="2"/>
      <c r="AL107" s="2"/>
      <c r="AM107" s="2"/>
      <c r="AN107" s="2"/>
      <c r="AO107" s="2"/>
      <c r="BI107"/>
    </row>
    <row r="108" spans="1:61" s="4" customFormat="1" ht="12.75">
      <c r="A108" s="8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/>
      <c r="W108"/>
      <c r="X108"/>
      <c r="Y108"/>
      <c r="Z108"/>
      <c r="AA108"/>
      <c r="AB108"/>
      <c r="AC108"/>
      <c r="AD108"/>
      <c r="AE108"/>
      <c r="AF108"/>
      <c r="AG108" s="2"/>
      <c r="AH108" s="2"/>
      <c r="AI108" s="2"/>
      <c r="AJ108" s="2"/>
      <c r="AK108" s="2"/>
      <c r="AL108" s="2"/>
      <c r="AM108" s="2"/>
      <c r="AN108" s="2"/>
      <c r="AO108" s="2"/>
      <c r="BI108"/>
    </row>
    <row r="109" spans="1:61" s="4" customFormat="1" ht="12.75">
      <c r="A109" s="8">
        <v>9</v>
      </c>
      <c r="B109" s="6" t="s">
        <v>35</v>
      </c>
      <c r="G109" s="23" t="s">
        <v>54</v>
      </c>
      <c r="H109" s="23"/>
      <c r="I109" s="23" t="s">
        <v>55</v>
      </c>
      <c r="J109" s="23"/>
      <c r="K109" s="23" t="s">
        <v>56</v>
      </c>
      <c r="L109" s="23"/>
      <c r="M109" s="23" t="s">
        <v>57</v>
      </c>
      <c r="N109" s="23"/>
      <c r="O109" s="23" t="s">
        <v>58</v>
      </c>
      <c r="P109" s="23"/>
      <c r="Q109" s="23" t="s">
        <v>59</v>
      </c>
      <c r="R109" s="23"/>
      <c r="S109" s="23" t="s">
        <v>60</v>
      </c>
      <c r="T109" s="23"/>
      <c r="U109" s="23" t="s">
        <v>61</v>
      </c>
      <c r="V109"/>
      <c r="W109"/>
      <c r="X109"/>
      <c r="Y109"/>
      <c r="Z109"/>
      <c r="AA109"/>
      <c r="AB109"/>
      <c r="AC109"/>
      <c r="AD109"/>
      <c r="AE109"/>
      <c r="AF109"/>
      <c r="AG109" s="2"/>
      <c r="AH109" s="2"/>
      <c r="AI109" s="2"/>
      <c r="AJ109" s="2"/>
      <c r="AK109" s="2"/>
      <c r="AL109" s="2"/>
      <c r="AM109" s="2"/>
      <c r="AN109" s="2"/>
      <c r="AO109" s="2"/>
      <c r="BI109"/>
    </row>
    <row r="110" spans="1:61" s="4" customFormat="1" ht="12.75">
      <c r="A110" s="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/>
      <c r="W110"/>
      <c r="X110"/>
      <c r="Y110"/>
      <c r="Z110"/>
      <c r="AA110"/>
      <c r="AB110"/>
      <c r="AC110"/>
      <c r="AD110"/>
      <c r="AE110"/>
      <c r="AF110"/>
      <c r="AG110" s="2"/>
      <c r="AH110" s="2"/>
      <c r="AI110" s="2"/>
      <c r="AJ110" s="2"/>
      <c r="AK110" s="2"/>
      <c r="AL110" s="2"/>
      <c r="AM110" s="2"/>
      <c r="AN110" s="2"/>
      <c r="AO110" s="2"/>
      <c r="BI110"/>
    </row>
    <row r="111" spans="1:61" s="1" customFormat="1" ht="12.75">
      <c r="A111" s="8"/>
      <c r="B111" s="1" t="s">
        <v>1</v>
      </c>
      <c r="C111" s="1" t="s">
        <v>183</v>
      </c>
      <c r="D111" s="1" t="s">
        <v>2</v>
      </c>
      <c r="E111" s="1" t="s">
        <v>185</v>
      </c>
      <c r="F111" s="2" t="s">
        <v>3</v>
      </c>
      <c r="G111" s="10">
        <f>0.5*(0.0062+0.0053)*14/(21-G137)</f>
        <v>0.0062890624999999995</v>
      </c>
      <c r="H111" s="2" t="s">
        <v>3</v>
      </c>
      <c r="I111" s="10">
        <f>0.5*(0.0027+0.0035)*14/(21-I137)</f>
        <v>0.0035573770491803287</v>
      </c>
      <c r="J111" s="2" t="s">
        <v>3</v>
      </c>
      <c r="K111" s="10">
        <f>0.0043*14/(21-K137)</f>
        <v>0.004721568627450981</v>
      </c>
      <c r="L111" s="2" t="s">
        <v>3</v>
      </c>
      <c r="N111" s="2" t="s">
        <v>3</v>
      </c>
      <c r="P111" s="2" t="s">
        <v>3</v>
      </c>
      <c r="R111" s="2" t="s">
        <v>3</v>
      </c>
      <c r="T111" s="2" t="s">
        <v>3</v>
      </c>
      <c r="U111" s="1">
        <f aca="true" t="shared" si="2" ref="U111:U116">AVERAGE(G111,I111,K111)</f>
        <v>0.00485600272554377</v>
      </c>
      <c r="V111"/>
      <c r="W111"/>
      <c r="X111"/>
      <c r="Y111"/>
      <c r="Z111"/>
      <c r="AA111"/>
      <c r="AB111"/>
      <c r="AC111"/>
      <c r="AD111"/>
      <c r="AE111"/>
      <c r="AF111"/>
      <c r="BI111"/>
    </row>
    <row r="112" spans="1:61" s="3" customFormat="1" ht="12.75">
      <c r="A112" s="8"/>
      <c r="B112" s="3" t="s">
        <v>4</v>
      </c>
      <c r="C112" s="1" t="s">
        <v>183</v>
      </c>
      <c r="D112" s="3" t="s">
        <v>5</v>
      </c>
      <c r="E112" s="1" t="s">
        <v>185</v>
      </c>
      <c r="F112" s="2" t="s">
        <v>3</v>
      </c>
      <c r="G112" s="3">
        <v>41.78</v>
      </c>
      <c r="H112" s="2" t="s">
        <v>3</v>
      </c>
      <c r="I112" s="3">
        <v>63.63</v>
      </c>
      <c r="J112" s="2" t="s">
        <v>3</v>
      </c>
      <c r="K112" s="3">
        <v>40.78</v>
      </c>
      <c r="L112" s="2" t="s">
        <v>3</v>
      </c>
      <c r="N112" s="2" t="s">
        <v>3</v>
      </c>
      <c r="P112" s="2" t="s">
        <v>3</v>
      </c>
      <c r="R112" s="2" t="s">
        <v>3</v>
      </c>
      <c r="T112" s="2" t="s">
        <v>3</v>
      </c>
      <c r="U112" s="3">
        <f t="shared" si="2"/>
        <v>48.73</v>
      </c>
      <c r="V112"/>
      <c r="W112"/>
      <c r="X112"/>
      <c r="Y112"/>
      <c r="Z112"/>
      <c r="AA112"/>
      <c r="AB112"/>
      <c r="AC112"/>
      <c r="AD112"/>
      <c r="AE112"/>
      <c r="AF112"/>
      <c r="BI112"/>
    </row>
    <row r="113" spans="1:61" s="3" customFormat="1" ht="12.75">
      <c r="A113" s="8"/>
      <c r="B113" s="3" t="s">
        <v>6</v>
      </c>
      <c r="C113" s="1" t="s">
        <v>183</v>
      </c>
      <c r="D113" s="3" t="s">
        <v>5</v>
      </c>
      <c r="E113" s="1" t="s">
        <v>185</v>
      </c>
      <c r="F113" s="2" t="s">
        <v>3</v>
      </c>
      <c r="G113" s="3">
        <v>5.24</v>
      </c>
      <c r="H113" s="2" t="s">
        <v>3</v>
      </c>
      <c r="I113" s="3">
        <v>6.02</v>
      </c>
      <c r="J113" s="2" t="s">
        <v>3</v>
      </c>
      <c r="K113" s="3">
        <v>5.3</v>
      </c>
      <c r="L113" s="2" t="s">
        <v>3</v>
      </c>
      <c r="N113" s="2" t="s">
        <v>3</v>
      </c>
      <c r="P113" s="2" t="s">
        <v>3</v>
      </c>
      <c r="R113" s="2" t="s">
        <v>3</v>
      </c>
      <c r="T113" s="2" t="s">
        <v>3</v>
      </c>
      <c r="U113" s="3">
        <f t="shared" si="2"/>
        <v>5.52</v>
      </c>
      <c r="V113"/>
      <c r="W113"/>
      <c r="X113"/>
      <c r="Y113"/>
      <c r="Z113"/>
      <c r="AA113"/>
      <c r="AB113"/>
      <c r="AC113"/>
      <c r="AD113"/>
      <c r="AE113"/>
      <c r="AF113"/>
      <c r="BI113"/>
    </row>
    <row r="114" spans="1:61" s="3" customFormat="1" ht="12.75">
      <c r="A114" s="8"/>
      <c r="B114" s="3" t="s">
        <v>7</v>
      </c>
      <c r="C114" s="1" t="s">
        <v>183</v>
      </c>
      <c r="D114" s="3" t="s">
        <v>5</v>
      </c>
      <c r="E114" s="1" t="s">
        <v>185</v>
      </c>
      <c r="F114" s="2" t="s">
        <v>3</v>
      </c>
      <c r="G114" s="3">
        <v>34.94</v>
      </c>
      <c r="H114" s="2" t="s">
        <v>3</v>
      </c>
      <c r="I114" s="3">
        <v>39.3</v>
      </c>
      <c r="J114" s="2" t="s">
        <v>3</v>
      </c>
      <c r="K114" s="3">
        <v>45.6</v>
      </c>
      <c r="L114" s="2" t="s">
        <v>3</v>
      </c>
      <c r="N114" s="2" t="s">
        <v>3</v>
      </c>
      <c r="P114" s="2" t="s">
        <v>3</v>
      </c>
      <c r="R114" s="2" t="s">
        <v>3</v>
      </c>
      <c r="T114" s="2" t="s">
        <v>3</v>
      </c>
      <c r="U114" s="3">
        <f t="shared" si="2"/>
        <v>39.946666666666665</v>
      </c>
      <c r="V114"/>
      <c r="W114"/>
      <c r="X114"/>
      <c r="Y114"/>
      <c r="Z114"/>
      <c r="AA114"/>
      <c r="AB114"/>
      <c r="AC114"/>
      <c r="AD114"/>
      <c r="AE114"/>
      <c r="AF114"/>
      <c r="BI114"/>
    </row>
    <row r="115" spans="1:61" s="3" customFormat="1" ht="12.75">
      <c r="A115" s="8"/>
      <c r="B115" s="3" t="s">
        <v>8</v>
      </c>
      <c r="C115" s="1" t="s">
        <v>183</v>
      </c>
      <c r="D115" s="3" t="s">
        <v>5</v>
      </c>
      <c r="E115" s="1" t="s">
        <v>185</v>
      </c>
      <c r="F115" s="2" t="s">
        <v>3</v>
      </c>
      <c r="G115" s="3">
        <v>0.21</v>
      </c>
      <c r="H115" s="2" t="s">
        <v>3</v>
      </c>
      <c r="I115" s="3">
        <v>0.1</v>
      </c>
      <c r="J115" s="2" t="s">
        <v>3</v>
      </c>
      <c r="K115" s="3">
        <v>21.35</v>
      </c>
      <c r="L115" s="2" t="s">
        <v>3</v>
      </c>
      <c r="N115" s="2" t="s">
        <v>3</v>
      </c>
      <c r="P115" s="2" t="s">
        <v>3</v>
      </c>
      <c r="R115" s="2" t="s">
        <v>3</v>
      </c>
      <c r="T115" s="2" t="s">
        <v>3</v>
      </c>
      <c r="U115" s="3">
        <f t="shared" si="2"/>
        <v>7.22</v>
      </c>
      <c r="V115"/>
      <c r="W115"/>
      <c r="X115"/>
      <c r="Y115"/>
      <c r="Z115"/>
      <c r="AA115"/>
      <c r="AB115"/>
      <c r="AC115"/>
      <c r="AD115"/>
      <c r="AE115"/>
      <c r="AF115"/>
      <c r="BI115"/>
    </row>
    <row r="116" spans="1:61" s="3" customFormat="1" ht="12.75">
      <c r="A116" s="8"/>
      <c r="B116" s="3" t="s">
        <v>184</v>
      </c>
      <c r="C116" s="1" t="s">
        <v>183</v>
      </c>
      <c r="D116" s="3" t="s">
        <v>5</v>
      </c>
      <c r="E116" s="1" t="s">
        <v>185</v>
      </c>
      <c r="F116" s="2"/>
      <c r="G116" s="3">
        <f>G114+2*G115</f>
        <v>35.36</v>
      </c>
      <c r="H116" s="2"/>
      <c r="I116" s="3">
        <f>I114+2*I115</f>
        <v>39.5</v>
      </c>
      <c r="J116" s="2"/>
      <c r="K116" s="3">
        <f>K114+2*K115</f>
        <v>88.30000000000001</v>
      </c>
      <c r="L116" s="2"/>
      <c r="N116" s="2"/>
      <c r="P116" s="2"/>
      <c r="R116" s="2"/>
      <c r="T116" s="2"/>
      <c r="U116" s="3">
        <f t="shared" si="2"/>
        <v>54.38666666666668</v>
      </c>
      <c r="V116"/>
      <c r="W116"/>
      <c r="X116"/>
      <c r="Y116"/>
      <c r="Z116"/>
      <c r="AA116"/>
      <c r="AB116"/>
      <c r="AC116"/>
      <c r="AD116"/>
      <c r="AE116"/>
      <c r="AF116"/>
      <c r="BI116"/>
    </row>
    <row r="117" spans="1:61" s="3" customFormat="1" ht="12.75">
      <c r="A117" s="8"/>
      <c r="B117" s="3" t="s">
        <v>9</v>
      </c>
      <c r="C117" s="1" t="s">
        <v>183</v>
      </c>
      <c r="D117" s="3" t="s">
        <v>10</v>
      </c>
      <c r="E117" s="1" t="s">
        <v>185</v>
      </c>
      <c r="F117" s="2" t="s">
        <v>11</v>
      </c>
      <c r="G117" s="3">
        <v>41.6</v>
      </c>
      <c r="H117" s="2" t="s">
        <v>11</v>
      </c>
      <c r="I117" s="3">
        <v>37</v>
      </c>
      <c r="J117" s="2"/>
      <c r="K117" s="3">
        <v>21.4</v>
      </c>
      <c r="L117" s="2" t="s">
        <v>3</v>
      </c>
      <c r="N117" s="2" t="s">
        <v>3</v>
      </c>
      <c r="P117" s="2" t="s">
        <v>3</v>
      </c>
      <c r="R117" s="2" t="s">
        <v>3</v>
      </c>
      <c r="T117" s="2" t="s">
        <v>3</v>
      </c>
      <c r="U117" s="3">
        <f aca="true" t="shared" si="3" ref="U117:U125">AVERAGE(G117,I117,K117)</f>
        <v>33.333333333333336</v>
      </c>
      <c r="V117"/>
      <c r="W117"/>
      <c r="X117"/>
      <c r="Y117"/>
      <c r="Z117"/>
      <c r="AA117"/>
      <c r="AB117"/>
      <c r="AC117"/>
      <c r="AD117"/>
      <c r="AE117"/>
      <c r="AF117"/>
      <c r="BI117"/>
    </row>
    <row r="118" spans="1:61" s="3" customFormat="1" ht="12.75">
      <c r="A118" s="8"/>
      <c r="B118" s="3" t="s">
        <v>12</v>
      </c>
      <c r="C118" s="1" t="s">
        <v>183</v>
      </c>
      <c r="D118" s="3" t="s">
        <v>10</v>
      </c>
      <c r="E118" s="1" t="s">
        <v>185</v>
      </c>
      <c r="F118" s="2" t="s">
        <v>11</v>
      </c>
      <c r="G118" s="3">
        <v>1.16</v>
      </c>
      <c r="H118" s="2"/>
      <c r="I118" s="3">
        <v>0.567</v>
      </c>
      <c r="J118" s="2"/>
      <c r="K118" s="3">
        <v>0.576</v>
      </c>
      <c r="L118" s="2" t="s">
        <v>3</v>
      </c>
      <c r="N118" s="2" t="s">
        <v>3</v>
      </c>
      <c r="P118" s="2" t="s">
        <v>3</v>
      </c>
      <c r="R118" s="2" t="s">
        <v>3</v>
      </c>
      <c r="T118" s="2" t="s">
        <v>3</v>
      </c>
      <c r="U118" s="3">
        <f t="shared" si="3"/>
        <v>0.7676666666666666</v>
      </c>
      <c r="V118"/>
      <c r="W118"/>
      <c r="X118"/>
      <c r="Y118"/>
      <c r="Z118"/>
      <c r="AA118"/>
      <c r="AB118"/>
      <c r="AC118"/>
      <c r="AD118"/>
      <c r="AE118"/>
      <c r="AF118"/>
      <c r="BI118"/>
    </row>
    <row r="119" spans="1:61" s="3" customFormat="1" ht="12.75">
      <c r="A119" s="8"/>
      <c r="B119" s="3" t="s">
        <v>13</v>
      </c>
      <c r="C119" s="1" t="s">
        <v>183</v>
      </c>
      <c r="D119" s="3" t="s">
        <v>10</v>
      </c>
      <c r="E119" s="1" t="s">
        <v>185</v>
      </c>
      <c r="F119" s="2" t="s">
        <v>3</v>
      </c>
      <c r="G119" s="3">
        <v>28.2</v>
      </c>
      <c r="H119" s="2" t="s">
        <v>3</v>
      </c>
      <c r="I119" s="3">
        <v>31.2</v>
      </c>
      <c r="J119" s="2" t="s">
        <v>3</v>
      </c>
      <c r="K119" s="3">
        <v>42.3</v>
      </c>
      <c r="L119" s="2" t="s">
        <v>3</v>
      </c>
      <c r="N119" s="2" t="s">
        <v>3</v>
      </c>
      <c r="P119" s="2" t="s">
        <v>3</v>
      </c>
      <c r="R119" s="2" t="s">
        <v>3</v>
      </c>
      <c r="T119" s="2" t="s">
        <v>3</v>
      </c>
      <c r="U119" s="3">
        <f t="shared" si="3"/>
        <v>33.9</v>
      </c>
      <c r="V119"/>
      <c r="W119"/>
      <c r="X119"/>
      <c r="Y119"/>
      <c r="Z119"/>
      <c r="AA119"/>
      <c r="AB119"/>
      <c r="AC119"/>
      <c r="AD119"/>
      <c r="AE119"/>
      <c r="AF119"/>
      <c r="BI119"/>
    </row>
    <row r="120" spans="1:61" s="3" customFormat="1" ht="12.75">
      <c r="A120" s="8"/>
      <c r="B120" s="3" t="s">
        <v>14</v>
      </c>
      <c r="C120" s="1" t="s">
        <v>183</v>
      </c>
      <c r="D120" s="3" t="s">
        <v>10</v>
      </c>
      <c r="E120" s="1" t="s">
        <v>185</v>
      </c>
      <c r="F120" s="2"/>
      <c r="G120" s="3">
        <v>0.234</v>
      </c>
      <c r="H120" s="2" t="s">
        <v>3</v>
      </c>
      <c r="I120" s="3">
        <v>0.32</v>
      </c>
      <c r="J120" s="2"/>
      <c r="K120" s="3">
        <v>0.146</v>
      </c>
      <c r="L120" s="2" t="s">
        <v>3</v>
      </c>
      <c r="N120" s="2" t="s">
        <v>3</v>
      </c>
      <c r="P120" s="2" t="s">
        <v>3</v>
      </c>
      <c r="R120" s="2" t="s">
        <v>3</v>
      </c>
      <c r="T120" s="2" t="s">
        <v>3</v>
      </c>
      <c r="U120" s="3">
        <f t="shared" si="3"/>
        <v>0.23333333333333336</v>
      </c>
      <c r="V120"/>
      <c r="W120"/>
      <c r="X120"/>
      <c r="Y120"/>
      <c r="Z120"/>
      <c r="AA120"/>
      <c r="AB120"/>
      <c r="AC120"/>
      <c r="AD120"/>
      <c r="AE120"/>
      <c r="AF120"/>
      <c r="BI120"/>
    </row>
    <row r="121" spans="1:61" s="3" customFormat="1" ht="12.75">
      <c r="A121" s="8"/>
      <c r="B121" s="3" t="s">
        <v>15</v>
      </c>
      <c r="C121" s="1" t="s">
        <v>183</v>
      </c>
      <c r="D121" s="3" t="s">
        <v>10</v>
      </c>
      <c r="E121" s="1" t="s">
        <v>185</v>
      </c>
      <c r="F121" s="2"/>
      <c r="G121" s="3">
        <v>1.35</v>
      </c>
      <c r="H121" s="2"/>
      <c r="I121" s="3">
        <v>1.68</v>
      </c>
      <c r="J121" s="2" t="s">
        <v>3</v>
      </c>
      <c r="K121" s="3">
        <v>3.45</v>
      </c>
      <c r="L121" s="2" t="s">
        <v>3</v>
      </c>
      <c r="N121" s="2" t="s">
        <v>3</v>
      </c>
      <c r="P121" s="2" t="s">
        <v>3</v>
      </c>
      <c r="R121" s="2" t="s">
        <v>3</v>
      </c>
      <c r="T121" s="2" t="s">
        <v>3</v>
      </c>
      <c r="U121" s="3">
        <f t="shared" si="3"/>
        <v>2.16</v>
      </c>
      <c r="V121"/>
      <c r="W121"/>
      <c r="X121"/>
      <c r="Y121"/>
      <c r="Z121"/>
      <c r="AA121"/>
      <c r="AB121"/>
      <c r="AC121"/>
      <c r="AD121"/>
      <c r="AE121"/>
      <c r="AF121"/>
      <c r="BI121"/>
    </row>
    <row r="122" spans="1:61" s="3" customFormat="1" ht="12.75">
      <c r="A122" s="8"/>
      <c r="B122" s="3" t="s">
        <v>16</v>
      </c>
      <c r="C122" s="1" t="s">
        <v>183</v>
      </c>
      <c r="D122" s="3" t="s">
        <v>10</v>
      </c>
      <c r="E122" s="1" t="s">
        <v>185</v>
      </c>
      <c r="F122" s="2"/>
      <c r="G122" s="3">
        <v>2.55</v>
      </c>
      <c r="H122" s="2" t="s">
        <v>3</v>
      </c>
      <c r="I122" s="3">
        <v>4.51</v>
      </c>
      <c r="J122" s="2"/>
      <c r="K122" s="3">
        <v>1.63</v>
      </c>
      <c r="L122" s="2" t="s">
        <v>3</v>
      </c>
      <c r="N122" s="2" t="s">
        <v>3</v>
      </c>
      <c r="P122" s="2" t="s">
        <v>3</v>
      </c>
      <c r="R122" s="2" t="s">
        <v>3</v>
      </c>
      <c r="T122" s="2" t="s">
        <v>3</v>
      </c>
      <c r="U122" s="3">
        <f t="shared" si="3"/>
        <v>2.8966666666666665</v>
      </c>
      <c r="V122"/>
      <c r="W122"/>
      <c r="X122"/>
      <c r="Y122"/>
      <c r="Z122"/>
      <c r="AA122"/>
      <c r="AB122"/>
      <c r="AC122"/>
      <c r="AD122"/>
      <c r="AE122"/>
      <c r="AF122"/>
      <c r="BI122"/>
    </row>
    <row r="123" spans="1:61" s="3" customFormat="1" ht="12.75">
      <c r="A123" s="8"/>
      <c r="B123" s="3" t="s">
        <v>17</v>
      </c>
      <c r="C123" s="1" t="s">
        <v>183</v>
      </c>
      <c r="D123" s="3" t="s">
        <v>10</v>
      </c>
      <c r="E123" s="1" t="s">
        <v>185</v>
      </c>
      <c r="F123" s="2" t="s">
        <v>3</v>
      </c>
      <c r="G123" s="3">
        <v>7.8</v>
      </c>
      <c r="H123" s="2" t="s">
        <v>3</v>
      </c>
      <c r="I123" s="3">
        <v>8.43</v>
      </c>
      <c r="J123" s="2"/>
      <c r="K123" s="3">
        <v>7.42</v>
      </c>
      <c r="L123" s="2" t="s">
        <v>3</v>
      </c>
      <c r="N123" s="2" t="s">
        <v>3</v>
      </c>
      <c r="P123" s="2" t="s">
        <v>3</v>
      </c>
      <c r="R123" s="2" t="s">
        <v>3</v>
      </c>
      <c r="T123" s="2" t="s">
        <v>3</v>
      </c>
      <c r="U123" s="3">
        <f t="shared" si="3"/>
        <v>7.883333333333333</v>
      </c>
      <c r="V123"/>
      <c r="W123"/>
      <c r="X123"/>
      <c r="Y123"/>
      <c r="Z123"/>
      <c r="AA123"/>
      <c r="AB123"/>
      <c r="AC123"/>
      <c r="AD123"/>
      <c r="AE123"/>
      <c r="AF123"/>
      <c r="BI123"/>
    </row>
    <row r="124" spans="1:61" s="3" customFormat="1" ht="12.75">
      <c r="A124" s="8"/>
      <c r="B124" s="3" t="s">
        <v>18</v>
      </c>
      <c r="C124" s="1" t="s">
        <v>183</v>
      </c>
      <c r="D124" s="3" t="s">
        <v>10</v>
      </c>
      <c r="E124" s="1" t="s">
        <v>185</v>
      </c>
      <c r="F124" s="2" t="s">
        <v>3</v>
      </c>
      <c r="G124" s="3">
        <v>229</v>
      </c>
      <c r="H124" s="2" t="s">
        <v>3</v>
      </c>
      <c r="I124" s="3">
        <v>208</v>
      </c>
      <c r="J124" s="2" t="s">
        <v>3</v>
      </c>
      <c r="K124" s="3">
        <v>214</v>
      </c>
      <c r="L124" s="2" t="s">
        <v>3</v>
      </c>
      <c r="N124" s="2" t="s">
        <v>3</v>
      </c>
      <c r="P124" s="2" t="s">
        <v>3</v>
      </c>
      <c r="R124" s="2" t="s">
        <v>3</v>
      </c>
      <c r="T124" s="2" t="s">
        <v>3</v>
      </c>
      <c r="U124" s="3">
        <f t="shared" si="3"/>
        <v>217</v>
      </c>
      <c r="V124"/>
      <c r="W124"/>
      <c r="X124"/>
      <c r="Y124"/>
      <c r="Z124"/>
      <c r="AA124"/>
      <c r="AB124"/>
      <c r="AC124"/>
      <c r="AD124"/>
      <c r="AE124"/>
      <c r="AF124"/>
      <c r="BI124"/>
    </row>
    <row r="125" spans="1:61" s="3" customFormat="1" ht="12.75">
      <c r="A125" s="8"/>
      <c r="B125" s="3" t="s">
        <v>19</v>
      </c>
      <c r="C125" s="1" t="s">
        <v>183</v>
      </c>
      <c r="D125" s="3" t="s">
        <v>10</v>
      </c>
      <c r="E125" s="1" t="s">
        <v>185</v>
      </c>
      <c r="F125" s="2" t="s">
        <v>3</v>
      </c>
      <c r="G125" s="3">
        <v>28.5</v>
      </c>
      <c r="H125" s="2" t="s">
        <v>3</v>
      </c>
      <c r="I125" s="3">
        <v>32</v>
      </c>
      <c r="J125" s="2" t="s">
        <v>3</v>
      </c>
      <c r="K125" s="3">
        <v>36.2</v>
      </c>
      <c r="L125" s="2" t="s">
        <v>3</v>
      </c>
      <c r="N125" s="2" t="s">
        <v>3</v>
      </c>
      <c r="P125" s="2" t="s">
        <v>3</v>
      </c>
      <c r="R125" s="2" t="s">
        <v>3</v>
      </c>
      <c r="T125" s="2" t="s">
        <v>3</v>
      </c>
      <c r="U125" s="3">
        <f t="shared" si="3"/>
        <v>32.233333333333334</v>
      </c>
      <c r="V125"/>
      <c r="W125"/>
      <c r="X125"/>
      <c r="Y125"/>
      <c r="Z125"/>
      <c r="AA125"/>
      <c r="AB125"/>
      <c r="AC125"/>
      <c r="AD125"/>
      <c r="AE125"/>
      <c r="AF125"/>
      <c r="BI125"/>
    </row>
    <row r="126" spans="1:61" s="3" customFormat="1" ht="12.75">
      <c r="A126" s="8"/>
      <c r="B126" s="3" t="s">
        <v>20</v>
      </c>
      <c r="C126" s="1" t="s">
        <v>183</v>
      </c>
      <c r="D126" s="3" t="s">
        <v>10</v>
      </c>
      <c r="E126" s="1" t="s">
        <v>185</v>
      </c>
      <c r="F126" s="2" t="s">
        <v>3</v>
      </c>
      <c r="G126" s="3">
        <v>39.5</v>
      </c>
      <c r="H126" s="2" t="s">
        <v>3</v>
      </c>
      <c r="I126" s="3">
        <v>35.6</v>
      </c>
      <c r="J126" s="2" t="s">
        <v>3</v>
      </c>
      <c r="K126" s="3">
        <v>38.4</v>
      </c>
      <c r="L126" s="2" t="s">
        <v>3</v>
      </c>
      <c r="N126" s="2" t="s">
        <v>3</v>
      </c>
      <c r="P126" s="2" t="s">
        <v>3</v>
      </c>
      <c r="R126" s="2" t="s">
        <v>3</v>
      </c>
      <c r="T126" s="2" t="s">
        <v>3</v>
      </c>
      <c r="U126" s="3">
        <f aca="true" t="shared" si="4" ref="U126:U133">AVERAGE(G126,I126,K126)</f>
        <v>37.833333333333336</v>
      </c>
      <c r="V126"/>
      <c r="W126"/>
      <c r="X126"/>
      <c r="Y126"/>
      <c r="Z126"/>
      <c r="AA126"/>
      <c r="AB126"/>
      <c r="AC126"/>
      <c r="AD126"/>
      <c r="AE126"/>
      <c r="AF126"/>
      <c r="BI126"/>
    </row>
    <row r="127" spans="1:61" s="3" customFormat="1" ht="12.75">
      <c r="A127" s="8"/>
      <c r="B127" s="3" t="s">
        <v>21</v>
      </c>
      <c r="C127" s="1" t="s">
        <v>183</v>
      </c>
      <c r="D127" s="3" t="s">
        <v>10</v>
      </c>
      <c r="E127" s="1" t="s">
        <v>185</v>
      </c>
      <c r="F127" s="2" t="s">
        <v>11</v>
      </c>
      <c r="G127" s="3">
        <v>8.07</v>
      </c>
      <c r="H127" s="2"/>
      <c r="I127" s="3">
        <v>4.15</v>
      </c>
      <c r="J127" s="2"/>
      <c r="K127" s="3">
        <v>4.94</v>
      </c>
      <c r="L127" s="2" t="s">
        <v>3</v>
      </c>
      <c r="N127" s="2" t="s">
        <v>3</v>
      </c>
      <c r="P127" s="2" t="s">
        <v>3</v>
      </c>
      <c r="R127" s="2" t="s">
        <v>3</v>
      </c>
      <c r="T127" s="2" t="s">
        <v>3</v>
      </c>
      <c r="U127" s="3">
        <f t="shared" si="4"/>
        <v>5.72</v>
      </c>
      <c r="V127"/>
      <c r="W127"/>
      <c r="X127"/>
      <c r="Y127"/>
      <c r="Z127"/>
      <c r="AA127"/>
      <c r="AB127"/>
      <c r="AC127"/>
      <c r="AD127"/>
      <c r="AE127"/>
      <c r="AF127"/>
      <c r="BI127"/>
    </row>
    <row r="128" spans="1:61" s="3" customFormat="1" ht="12.75">
      <c r="A128" s="8"/>
      <c r="B128" s="3" t="s">
        <v>22</v>
      </c>
      <c r="C128" s="1" t="s">
        <v>183</v>
      </c>
      <c r="D128" s="3" t="s">
        <v>10</v>
      </c>
      <c r="E128" s="1" t="s">
        <v>185</v>
      </c>
      <c r="F128" s="2"/>
      <c r="G128" s="3">
        <v>1.31</v>
      </c>
      <c r="H128" s="2" t="s">
        <v>3</v>
      </c>
      <c r="I128" s="3">
        <v>4.42</v>
      </c>
      <c r="J128" s="2" t="s">
        <v>3</v>
      </c>
      <c r="K128" s="3">
        <v>1.87</v>
      </c>
      <c r="L128" s="2" t="s">
        <v>3</v>
      </c>
      <c r="N128" s="2" t="s">
        <v>3</v>
      </c>
      <c r="P128" s="2" t="s">
        <v>3</v>
      </c>
      <c r="R128" s="2" t="s">
        <v>3</v>
      </c>
      <c r="T128" s="2" t="s">
        <v>3</v>
      </c>
      <c r="U128" s="3">
        <f t="shared" si="4"/>
        <v>2.5333333333333337</v>
      </c>
      <c r="V128"/>
      <c r="W128"/>
      <c r="X128"/>
      <c r="Y128"/>
      <c r="Z128"/>
      <c r="AA128"/>
      <c r="AB128"/>
      <c r="AC128"/>
      <c r="AD128"/>
      <c r="AE128"/>
      <c r="AF128"/>
      <c r="BI128"/>
    </row>
    <row r="129" spans="1:61" s="3" customFormat="1" ht="12.75">
      <c r="A129" s="8"/>
      <c r="B129" s="3" t="s">
        <v>23</v>
      </c>
      <c r="C129" s="1" t="s">
        <v>183</v>
      </c>
      <c r="D129" s="3" t="s">
        <v>10</v>
      </c>
      <c r="E129" s="1" t="s">
        <v>185</v>
      </c>
      <c r="F129" s="2"/>
      <c r="G129" s="3">
        <v>1.69</v>
      </c>
      <c r="H129" s="2"/>
      <c r="I129" s="3">
        <v>2.8</v>
      </c>
      <c r="J129" s="2"/>
      <c r="K129" s="3">
        <v>2.79</v>
      </c>
      <c r="L129" s="2" t="s">
        <v>3</v>
      </c>
      <c r="N129" s="2" t="s">
        <v>3</v>
      </c>
      <c r="P129" s="2" t="s">
        <v>3</v>
      </c>
      <c r="R129" s="2" t="s">
        <v>3</v>
      </c>
      <c r="T129" s="2" t="s">
        <v>3</v>
      </c>
      <c r="U129" s="3">
        <f t="shared" si="4"/>
        <v>2.4266666666666667</v>
      </c>
      <c r="V129"/>
      <c r="W129"/>
      <c r="X129"/>
      <c r="Y129"/>
      <c r="Z129"/>
      <c r="AA129"/>
      <c r="AB129"/>
      <c r="AC129"/>
      <c r="AD129"/>
      <c r="AE129"/>
      <c r="AF129"/>
      <c r="BI129"/>
    </row>
    <row r="130" spans="1:61" s="3" customFormat="1" ht="12.75">
      <c r="A130" s="8"/>
      <c r="B130" s="3" t="s">
        <v>24</v>
      </c>
      <c r="C130" s="1" t="s">
        <v>183</v>
      </c>
      <c r="D130" s="3" t="s">
        <v>10</v>
      </c>
      <c r="E130" s="1" t="s">
        <v>185</v>
      </c>
      <c r="F130" s="2"/>
      <c r="G130" s="3">
        <v>0.223</v>
      </c>
      <c r="H130" s="2"/>
      <c r="I130" s="3">
        <v>0.23</v>
      </c>
      <c r="J130" s="2"/>
      <c r="K130" s="3">
        <v>0.236</v>
      </c>
      <c r="L130" s="2" t="s">
        <v>3</v>
      </c>
      <c r="N130" s="2" t="s">
        <v>3</v>
      </c>
      <c r="P130" s="2" t="s">
        <v>3</v>
      </c>
      <c r="R130" s="2" t="s">
        <v>3</v>
      </c>
      <c r="T130" s="2" t="s">
        <v>3</v>
      </c>
      <c r="U130" s="3">
        <f t="shared" si="4"/>
        <v>0.22966666666666669</v>
      </c>
      <c r="V130"/>
      <c r="W130"/>
      <c r="X130"/>
      <c r="Y130"/>
      <c r="Z130"/>
      <c r="AA130"/>
      <c r="AB130"/>
      <c r="AC130"/>
      <c r="AD130"/>
      <c r="AE130"/>
      <c r="AF130"/>
      <c r="BI130"/>
    </row>
    <row r="131" spans="1:61" s="3" customFormat="1" ht="12.75">
      <c r="A131" s="8"/>
      <c r="B131" s="3" t="s">
        <v>25</v>
      </c>
      <c r="C131" s="1" t="s">
        <v>183</v>
      </c>
      <c r="D131" s="3" t="s">
        <v>10</v>
      </c>
      <c r="E131" s="1" t="s">
        <v>185</v>
      </c>
      <c r="F131" s="2" t="s">
        <v>3</v>
      </c>
      <c r="G131" s="3">
        <v>44.6</v>
      </c>
      <c r="H131" s="2" t="s">
        <v>3</v>
      </c>
      <c r="I131" s="3">
        <v>255</v>
      </c>
      <c r="J131" s="2" t="s">
        <v>3</v>
      </c>
      <c r="K131" s="8">
        <v>314</v>
      </c>
      <c r="L131" s="2" t="s">
        <v>3</v>
      </c>
      <c r="N131" s="2" t="s">
        <v>3</v>
      </c>
      <c r="P131" s="2" t="s">
        <v>3</v>
      </c>
      <c r="R131" s="2" t="s">
        <v>3</v>
      </c>
      <c r="T131" s="2" t="s">
        <v>3</v>
      </c>
      <c r="U131" s="3">
        <f t="shared" si="4"/>
        <v>204.53333333333333</v>
      </c>
      <c r="V131"/>
      <c r="W131"/>
      <c r="X131"/>
      <c r="Y131"/>
      <c r="Z131"/>
      <c r="AA131"/>
      <c r="AB131"/>
      <c r="AC131"/>
      <c r="AD131"/>
      <c r="AE131"/>
      <c r="AF131"/>
      <c r="BI131"/>
    </row>
    <row r="132" spans="1:61" s="3" customFormat="1" ht="12.75">
      <c r="A132" s="8"/>
      <c r="B132" s="3" t="s">
        <v>67</v>
      </c>
      <c r="C132" s="1" t="s">
        <v>183</v>
      </c>
      <c r="D132" s="3" t="s">
        <v>10</v>
      </c>
      <c r="E132" s="1" t="s">
        <v>185</v>
      </c>
      <c r="F132" s="2"/>
      <c r="G132" s="3">
        <f>G121+G125</f>
        <v>29.85</v>
      </c>
      <c r="H132" s="2"/>
      <c r="I132" s="3">
        <f>I121+I125</f>
        <v>33.68</v>
      </c>
      <c r="J132" s="2"/>
      <c r="K132" s="3">
        <f>K121+K125</f>
        <v>39.650000000000006</v>
      </c>
      <c r="L132" s="2"/>
      <c r="N132" s="2"/>
      <c r="P132" s="2"/>
      <c r="R132" s="2"/>
      <c r="T132" s="2"/>
      <c r="U132" s="3">
        <f t="shared" si="4"/>
        <v>34.39333333333334</v>
      </c>
      <c r="V132"/>
      <c r="W132"/>
      <c r="X132"/>
      <c r="Y132"/>
      <c r="Z132"/>
      <c r="AA132"/>
      <c r="AB132"/>
      <c r="AC132"/>
      <c r="AD132"/>
      <c r="AE132"/>
      <c r="AF132"/>
      <c r="BI132"/>
    </row>
    <row r="133" spans="1:61" s="3" customFormat="1" ht="12.75">
      <c r="A133" s="8"/>
      <c r="B133" s="3" t="s">
        <v>68</v>
      </c>
      <c r="C133" s="1" t="s">
        <v>183</v>
      </c>
      <c r="D133" s="3" t="s">
        <v>10</v>
      </c>
      <c r="E133" s="1" t="s">
        <v>185</v>
      </c>
      <c r="F133" s="2">
        <v>29.41176470588235</v>
      </c>
      <c r="G133" s="3">
        <v>3.944</v>
      </c>
      <c r="H133" s="2">
        <v>0</v>
      </c>
      <c r="I133" s="3">
        <v>5.397</v>
      </c>
      <c r="J133" s="2">
        <v>0</v>
      </c>
      <c r="K133" s="3">
        <v>2.352</v>
      </c>
      <c r="L133" s="2"/>
      <c r="N133" s="2"/>
      <c r="P133" s="2"/>
      <c r="R133" s="2"/>
      <c r="T133" s="2">
        <v>9.920465235611047</v>
      </c>
      <c r="U133" s="3">
        <v>3.8976666669999998</v>
      </c>
      <c r="V133"/>
      <c r="W133"/>
      <c r="X133"/>
      <c r="Y133"/>
      <c r="Z133"/>
      <c r="AA133"/>
      <c r="AB133"/>
      <c r="AC133"/>
      <c r="AD133"/>
      <c r="AE133"/>
      <c r="AF133"/>
      <c r="BI133"/>
    </row>
    <row r="135" spans="2:4" ht="12.75">
      <c r="B135" s="3" t="s">
        <v>53</v>
      </c>
      <c r="C135" s="4" t="s">
        <v>36</v>
      </c>
      <c r="D135" s="1" t="s">
        <v>183</v>
      </c>
    </row>
    <row r="136" spans="1:61" s="4" customFormat="1" ht="12.75">
      <c r="A136" s="8"/>
      <c r="B136" s="26" t="s">
        <v>189</v>
      </c>
      <c r="C136" s="26"/>
      <c r="D136" s="26" t="s">
        <v>190</v>
      </c>
      <c r="G136" s="2">
        <v>58194</v>
      </c>
      <c r="H136" s="2"/>
      <c r="I136" s="2">
        <v>56039</v>
      </c>
      <c r="J136" s="2"/>
      <c r="K136" s="2">
        <v>58974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/>
      <c r="W136"/>
      <c r="X136"/>
      <c r="Y136"/>
      <c r="Z136"/>
      <c r="AA136"/>
      <c r="AB136"/>
      <c r="AC136"/>
      <c r="AD136"/>
      <c r="AE136"/>
      <c r="AF136"/>
      <c r="AG136" s="2"/>
      <c r="AH136" s="2"/>
      <c r="AI136" s="2"/>
      <c r="AJ136" s="2"/>
      <c r="AK136" s="2"/>
      <c r="AL136" s="2"/>
      <c r="AM136" s="2"/>
      <c r="AN136" s="2"/>
      <c r="AO136" s="2"/>
      <c r="BI136"/>
    </row>
    <row r="137" spans="1:61" s="4" customFormat="1" ht="12.75">
      <c r="A137" s="8"/>
      <c r="B137" s="26" t="s">
        <v>191</v>
      </c>
      <c r="C137" s="26"/>
      <c r="D137" s="26" t="s">
        <v>192</v>
      </c>
      <c r="G137" s="2">
        <v>8.2</v>
      </c>
      <c r="H137" s="2"/>
      <c r="I137" s="2">
        <v>8.8</v>
      </c>
      <c r="J137" s="2"/>
      <c r="K137" s="2">
        <v>8.25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/>
      <c r="W137"/>
      <c r="X137"/>
      <c r="Y137"/>
      <c r="Z137"/>
      <c r="AA137"/>
      <c r="AB137"/>
      <c r="AC137"/>
      <c r="AD137"/>
      <c r="AE137"/>
      <c r="AF137"/>
      <c r="AG137" s="2"/>
      <c r="AH137" s="2"/>
      <c r="AI137" s="2"/>
      <c r="AJ137" s="2"/>
      <c r="AK137" s="2"/>
      <c r="AL137" s="2"/>
      <c r="AM137" s="2"/>
      <c r="AN137" s="2"/>
      <c r="AO137" s="2"/>
      <c r="BI137"/>
    </row>
    <row r="138" spans="1:61" s="4" customFormat="1" ht="12.75">
      <c r="A138" s="8"/>
      <c r="B138" s="26" t="s">
        <v>193</v>
      </c>
      <c r="C138" s="26"/>
      <c r="D138" s="26" t="s">
        <v>192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/>
      <c r="W138"/>
      <c r="X138"/>
      <c r="Y138"/>
      <c r="Z138"/>
      <c r="AA138"/>
      <c r="AB138"/>
      <c r="AC138"/>
      <c r="AD138"/>
      <c r="AE138"/>
      <c r="AF138"/>
      <c r="AG138" s="2"/>
      <c r="AH138" s="2"/>
      <c r="AI138" s="2"/>
      <c r="AJ138" s="2"/>
      <c r="AK138" s="2"/>
      <c r="AL138" s="2"/>
      <c r="AM138" s="2"/>
      <c r="AN138" s="2"/>
      <c r="AO138" s="2"/>
      <c r="BI138"/>
    </row>
    <row r="139" spans="1:61" s="4" customFormat="1" ht="12.75">
      <c r="A139" s="8"/>
      <c r="B139" s="26" t="s">
        <v>194</v>
      </c>
      <c r="C139" s="26"/>
      <c r="D139" s="26" t="s">
        <v>195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/>
      <c r="W139"/>
      <c r="X139"/>
      <c r="Y139"/>
      <c r="Z139"/>
      <c r="AA139"/>
      <c r="AB139"/>
      <c r="AC139"/>
      <c r="AD139"/>
      <c r="AE139"/>
      <c r="AF139"/>
      <c r="AG139" s="2"/>
      <c r="AH139" s="2"/>
      <c r="AI139" s="2"/>
      <c r="AJ139" s="2"/>
      <c r="AK139" s="2"/>
      <c r="AL139" s="2"/>
      <c r="AM139" s="2"/>
      <c r="AN139" s="2"/>
      <c r="AO139" s="2"/>
      <c r="BI139"/>
    </row>
    <row r="141" spans="1:21" ht="12.75">
      <c r="A141" s="25" t="s">
        <v>196</v>
      </c>
      <c r="B141" s="7" t="s">
        <v>0</v>
      </c>
      <c r="G141" s="23" t="s">
        <v>54</v>
      </c>
      <c r="H141" s="23"/>
      <c r="I141" s="23" t="s">
        <v>55</v>
      </c>
      <c r="J141" s="23"/>
      <c r="K141" s="23" t="s">
        <v>56</v>
      </c>
      <c r="L141" s="23"/>
      <c r="M141" s="23" t="s">
        <v>57</v>
      </c>
      <c r="N141" s="23"/>
      <c r="O141" s="23" t="s">
        <v>58</v>
      </c>
      <c r="P141" s="23"/>
      <c r="Q141" s="23" t="s">
        <v>59</v>
      </c>
      <c r="R141" s="23"/>
      <c r="S141" s="23" t="s">
        <v>60</v>
      </c>
      <c r="T141" s="23"/>
      <c r="U141" s="23" t="s">
        <v>61</v>
      </c>
    </row>
    <row r="143" spans="1:61" s="1" customFormat="1" ht="12.75">
      <c r="A143" s="8"/>
      <c r="B143" s="1" t="s">
        <v>1</v>
      </c>
      <c r="C143" s="1" t="s">
        <v>183</v>
      </c>
      <c r="D143" s="1" t="s">
        <v>2</v>
      </c>
      <c r="E143" s="1" t="s">
        <v>185</v>
      </c>
      <c r="F143" s="2" t="s">
        <v>3</v>
      </c>
      <c r="G143" s="10">
        <f>0.5*(0.0113+0.0087)*14/(21-G169)</f>
        <v>0.011428571428571427</v>
      </c>
      <c r="H143" s="2" t="s">
        <v>3</v>
      </c>
      <c r="I143" s="10">
        <f>0.5*(0.012+0.0069)*14/(21-I169)</f>
        <v>0.011707964601769911</v>
      </c>
      <c r="J143" s="2" t="s">
        <v>3</v>
      </c>
      <c r="K143" s="10">
        <f>0.5*(0.0121+0.0089)*14/(21-K169)</f>
        <v>0.012951541850220264</v>
      </c>
      <c r="L143" s="2" t="s">
        <v>3</v>
      </c>
      <c r="N143" s="2" t="s">
        <v>3</v>
      </c>
      <c r="P143" s="2" t="s">
        <v>3</v>
      </c>
      <c r="R143" s="2" t="s">
        <v>3</v>
      </c>
      <c r="T143" s="2" t="s">
        <v>3</v>
      </c>
      <c r="U143" s="10">
        <f aca="true" t="shared" si="5" ref="U143:U148">AVERAGE(G143,I143,K143)</f>
        <v>0.012029359293520536</v>
      </c>
      <c r="V143"/>
      <c r="W143"/>
      <c r="X143"/>
      <c r="Y143"/>
      <c r="Z143"/>
      <c r="AA143"/>
      <c r="AB143"/>
      <c r="AC143"/>
      <c r="AD143"/>
      <c r="AE143"/>
      <c r="AF143"/>
      <c r="BI143"/>
    </row>
    <row r="144" spans="1:61" s="3" customFormat="1" ht="12.75">
      <c r="A144" s="8"/>
      <c r="B144" s="3" t="s">
        <v>4</v>
      </c>
      <c r="C144" s="1" t="s">
        <v>183</v>
      </c>
      <c r="D144" s="3" t="s">
        <v>5</v>
      </c>
      <c r="E144" s="1" t="s">
        <v>185</v>
      </c>
      <c r="F144" s="2" t="s">
        <v>3</v>
      </c>
      <c r="G144" s="3">
        <v>43.15</v>
      </c>
      <c r="H144" s="2" t="s">
        <v>3</v>
      </c>
      <c r="I144" s="3">
        <v>40.31</v>
      </c>
      <c r="J144" s="2" t="s">
        <v>3</v>
      </c>
      <c r="K144" s="3">
        <v>25.46</v>
      </c>
      <c r="L144" s="2" t="s">
        <v>3</v>
      </c>
      <c r="N144" s="2" t="s">
        <v>3</v>
      </c>
      <c r="P144" s="2" t="s">
        <v>3</v>
      </c>
      <c r="R144" s="2" t="s">
        <v>3</v>
      </c>
      <c r="T144" s="2" t="s">
        <v>3</v>
      </c>
      <c r="U144" s="3">
        <f t="shared" si="5"/>
        <v>36.30666666666667</v>
      </c>
      <c r="V144"/>
      <c r="W144"/>
      <c r="X144"/>
      <c r="Y144"/>
      <c r="Z144"/>
      <c r="AA144"/>
      <c r="AB144"/>
      <c r="AC144"/>
      <c r="AD144"/>
      <c r="AE144"/>
      <c r="AF144"/>
      <c r="BI144"/>
    </row>
    <row r="145" spans="1:61" s="3" customFormat="1" ht="12.75">
      <c r="A145" s="8"/>
      <c r="B145" s="3" t="s">
        <v>6</v>
      </c>
      <c r="C145" s="1" t="s">
        <v>183</v>
      </c>
      <c r="D145" s="3" t="s">
        <v>5</v>
      </c>
      <c r="E145" s="1" t="s">
        <v>185</v>
      </c>
      <c r="F145" s="2" t="s">
        <v>3</v>
      </c>
      <c r="G145" s="3">
        <v>6.18</v>
      </c>
      <c r="H145" s="2" t="s">
        <v>3</v>
      </c>
      <c r="I145" s="3">
        <v>6.04</v>
      </c>
      <c r="J145" s="2" t="s">
        <v>3</v>
      </c>
      <c r="K145" s="3">
        <v>5.16</v>
      </c>
      <c r="L145" s="2" t="s">
        <v>3</v>
      </c>
      <c r="N145" s="2" t="s">
        <v>3</v>
      </c>
      <c r="P145" s="2" t="s">
        <v>3</v>
      </c>
      <c r="R145" s="2" t="s">
        <v>3</v>
      </c>
      <c r="T145" s="2" t="s">
        <v>3</v>
      </c>
      <c r="U145" s="3">
        <f t="shared" si="5"/>
        <v>5.793333333333333</v>
      </c>
      <c r="V145"/>
      <c r="W145"/>
      <c r="X145"/>
      <c r="Y145"/>
      <c r="Z145"/>
      <c r="AA145"/>
      <c r="AB145"/>
      <c r="AC145"/>
      <c r="AD145"/>
      <c r="AE145"/>
      <c r="AF145"/>
      <c r="BI145"/>
    </row>
    <row r="146" spans="1:61" s="3" customFormat="1" ht="12.75">
      <c r="A146" s="8"/>
      <c r="B146" s="3" t="s">
        <v>7</v>
      </c>
      <c r="C146" s="1" t="s">
        <v>183</v>
      </c>
      <c r="D146" s="3" t="s">
        <v>5</v>
      </c>
      <c r="E146" s="1" t="s">
        <v>185</v>
      </c>
      <c r="F146" s="2" t="s">
        <v>3</v>
      </c>
      <c r="G146" s="3">
        <v>118.9</v>
      </c>
      <c r="H146" s="2" t="s">
        <v>3</v>
      </c>
      <c r="I146" s="3">
        <v>72.75</v>
      </c>
      <c r="J146" s="2" t="s">
        <v>3</v>
      </c>
      <c r="K146" s="3">
        <v>59.77</v>
      </c>
      <c r="L146" s="2" t="s">
        <v>3</v>
      </c>
      <c r="N146" s="2" t="s">
        <v>3</v>
      </c>
      <c r="P146" s="2" t="s">
        <v>3</v>
      </c>
      <c r="R146" s="2" t="s">
        <v>3</v>
      </c>
      <c r="T146" s="2" t="s">
        <v>3</v>
      </c>
      <c r="U146" s="3">
        <f t="shared" si="5"/>
        <v>83.80666666666667</v>
      </c>
      <c r="V146"/>
      <c r="W146"/>
      <c r="X146"/>
      <c r="Y146"/>
      <c r="Z146"/>
      <c r="AA146"/>
      <c r="AB146"/>
      <c r="AC146"/>
      <c r="AD146"/>
      <c r="AE146"/>
      <c r="AF146"/>
      <c r="BI146"/>
    </row>
    <row r="147" spans="1:61" s="3" customFormat="1" ht="12.75">
      <c r="A147" s="8"/>
      <c r="B147" s="3" t="s">
        <v>8</v>
      </c>
      <c r="C147" s="1" t="s">
        <v>183</v>
      </c>
      <c r="D147" s="3" t="s">
        <v>5</v>
      </c>
      <c r="E147" s="1" t="s">
        <v>185</v>
      </c>
      <c r="F147" s="2" t="s">
        <v>3</v>
      </c>
      <c r="G147" s="3">
        <v>54.31</v>
      </c>
      <c r="H147" s="2" t="s">
        <v>3</v>
      </c>
      <c r="I147" s="3">
        <v>37.94</v>
      </c>
      <c r="J147" s="2" t="s">
        <v>3</v>
      </c>
      <c r="K147" s="3">
        <v>51.27</v>
      </c>
      <c r="L147" s="2" t="s">
        <v>3</v>
      </c>
      <c r="N147" s="2" t="s">
        <v>3</v>
      </c>
      <c r="P147" s="2" t="s">
        <v>3</v>
      </c>
      <c r="R147" s="2" t="s">
        <v>3</v>
      </c>
      <c r="T147" s="2" t="s">
        <v>3</v>
      </c>
      <c r="U147" s="3">
        <f t="shared" si="5"/>
        <v>47.84</v>
      </c>
      <c r="V147"/>
      <c r="W147"/>
      <c r="X147"/>
      <c r="Y147"/>
      <c r="Z147"/>
      <c r="AA147"/>
      <c r="AB147"/>
      <c r="AC147"/>
      <c r="AD147"/>
      <c r="AE147"/>
      <c r="AF147"/>
      <c r="BI147"/>
    </row>
    <row r="148" spans="1:61" s="3" customFormat="1" ht="12.75">
      <c r="A148" s="8"/>
      <c r="B148" s="3" t="s">
        <v>184</v>
      </c>
      <c r="C148" s="1" t="s">
        <v>183</v>
      </c>
      <c r="D148" s="3" t="s">
        <v>5</v>
      </c>
      <c r="E148" s="1" t="s">
        <v>185</v>
      </c>
      <c r="F148" s="2"/>
      <c r="G148" s="3">
        <f>G146+2*G147</f>
        <v>227.52</v>
      </c>
      <c r="H148" s="2"/>
      <c r="I148" s="3">
        <f>I146+2*I147</f>
        <v>148.63</v>
      </c>
      <c r="J148" s="2"/>
      <c r="K148" s="3">
        <f>K146+2*K147</f>
        <v>162.31</v>
      </c>
      <c r="L148" s="2"/>
      <c r="N148" s="2"/>
      <c r="P148" s="2"/>
      <c r="R148" s="2"/>
      <c r="T148" s="2"/>
      <c r="U148" s="3">
        <f t="shared" si="5"/>
        <v>179.48666666666668</v>
      </c>
      <c r="V148"/>
      <c r="W148"/>
      <c r="X148"/>
      <c r="Y148"/>
      <c r="Z148"/>
      <c r="AA148"/>
      <c r="AB148"/>
      <c r="AC148"/>
      <c r="AD148"/>
      <c r="AE148"/>
      <c r="AF148"/>
      <c r="BI148"/>
    </row>
    <row r="149" spans="1:61" s="3" customFormat="1" ht="12.75">
      <c r="A149" s="8"/>
      <c r="B149" s="3" t="s">
        <v>9</v>
      </c>
      <c r="C149" s="1" t="s">
        <v>183</v>
      </c>
      <c r="D149" s="3" t="s">
        <v>10</v>
      </c>
      <c r="E149" s="1" t="s">
        <v>185</v>
      </c>
      <c r="F149" s="2" t="s">
        <v>3</v>
      </c>
      <c r="G149" s="3">
        <v>21</v>
      </c>
      <c r="H149" s="2" t="s">
        <v>3</v>
      </c>
      <c r="J149" s="2" t="s">
        <v>11</v>
      </c>
      <c r="K149" s="3">
        <v>38.7</v>
      </c>
      <c r="L149" s="2" t="s">
        <v>3</v>
      </c>
      <c r="N149" s="2"/>
      <c r="P149" s="2"/>
      <c r="R149" s="2" t="s">
        <v>3</v>
      </c>
      <c r="T149" s="2" t="s">
        <v>3</v>
      </c>
      <c r="U149" s="3">
        <f aca="true" t="shared" si="6" ref="U149:U157">AVERAGE(G149,I149,K149)</f>
        <v>29.85</v>
      </c>
      <c r="V149"/>
      <c r="W149"/>
      <c r="X149"/>
      <c r="Y149"/>
      <c r="Z149"/>
      <c r="AA149"/>
      <c r="AB149"/>
      <c r="AC149"/>
      <c r="AD149"/>
      <c r="AE149"/>
      <c r="AF149"/>
      <c r="BI149"/>
    </row>
    <row r="150" spans="1:61" s="3" customFormat="1" ht="12.75">
      <c r="A150" s="8"/>
      <c r="B150" s="3" t="s">
        <v>12</v>
      </c>
      <c r="C150" s="1" t="s">
        <v>183</v>
      </c>
      <c r="D150" s="3" t="s">
        <v>10</v>
      </c>
      <c r="E150" s="1" t="s">
        <v>185</v>
      </c>
      <c r="F150" s="2" t="s">
        <v>3</v>
      </c>
      <c r="G150" s="3">
        <v>0.64</v>
      </c>
      <c r="H150" s="2" t="s">
        <v>3</v>
      </c>
      <c r="J150" s="2"/>
      <c r="K150" s="3">
        <v>1.31</v>
      </c>
      <c r="L150" s="2" t="s">
        <v>3</v>
      </c>
      <c r="N150" s="2"/>
      <c r="P150" s="2"/>
      <c r="R150" s="2" t="s">
        <v>3</v>
      </c>
      <c r="T150" s="2" t="s">
        <v>3</v>
      </c>
      <c r="U150" s="3">
        <f t="shared" si="6"/>
        <v>0.9750000000000001</v>
      </c>
      <c r="V150"/>
      <c r="W150"/>
      <c r="X150"/>
      <c r="Y150"/>
      <c r="Z150"/>
      <c r="AA150"/>
      <c r="AB150"/>
      <c r="AC150"/>
      <c r="AD150"/>
      <c r="AE150"/>
      <c r="AF150"/>
      <c r="BI150"/>
    </row>
    <row r="151" spans="1:61" s="3" customFormat="1" ht="12.75">
      <c r="A151" s="8"/>
      <c r="B151" s="3" t="s">
        <v>13</v>
      </c>
      <c r="C151" s="1" t="s">
        <v>183</v>
      </c>
      <c r="D151" s="3" t="s">
        <v>10</v>
      </c>
      <c r="E151" s="1" t="s">
        <v>185</v>
      </c>
      <c r="F151" s="2" t="s">
        <v>3</v>
      </c>
      <c r="G151" s="3">
        <v>15.5</v>
      </c>
      <c r="H151" s="2" t="s">
        <v>3</v>
      </c>
      <c r="J151" s="2" t="s">
        <v>3</v>
      </c>
      <c r="K151" s="3">
        <v>14.7</v>
      </c>
      <c r="L151" s="2" t="s">
        <v>3</v>
      </c>
      <c r="N151" s="2"/>
      <c r="P151" s="2"/>
      <c r="R151" s="2" t="s">
        <v>3</v>
      </c>
      <c r="T151" s="2" t="s">
        <v>3</v>
      </c>
      <c r="U151" s="3">
        <f t="shared" si="6"/>
        <v>15.1</v>
      </c>
      <c r="V151"/>
      <c r="W151"/>
      <c r="X151"/>
      <c r="Y151"/>
      <c r="Z151"/>
      <c r="AA151"/>
      <c r="AB151"/>
      <c r="AC151"/>
      <c r="AD151"/>
      <c r="AE151"/>
      <c r="AF151"/>
      <c r="BI151"/>
    </row>
    <row r="152" spans="1:61" s="3" customFormat="1" ht="12.75">
      <c r="A152" s="8"/>
      <c r="B152" s="3" t="s">
        <v>14</v>
      </c>
      <c r="C152" s="1" t="s">
        <v>183</v>
      </c>
      <c r="D152" s="3" t="s">
        <v>10</v>
      </c>
      <c r="E152" s="1" t="s">
        <v>185</v>
      </c>
      <c r="F152" s="2" t="s">
        <v>3</v>
      </c>
      <c r="G152" s="3">
        <v>0.187</v>
      </c>
      <c r="H152" s="2" t="s">
        <v>3</v>
      </c>
      <c r="J152" s="2"/>
      <c r="K152" s="3">
        <v>0.209</v>
      </c>
      <c r="L152" s="2" t="s">
        <v>3</v>
      </c>
      <c r="N152" s="2"/>
      <c r="P152" s="2"/>
      <c r="R152" s="2" t="s">
        <v>3</v>
      </c>
      <c r="T152" s="2" t="s">
        <v>3</v>
      </c>
      <c r="U152" s="3">
        <f t="shared" si="6"/>
        <v>0.198</v>
      </c>
      <c r="V152"/>
      <c r="W152"/>
      <c r="X152"/>
      <c r="Y152"/>
      <c r="Z152"/>
      <c r="AA152"/>
      <c r="AB152"/>
      <c r="AC152"/>
      <c r="AD152"/>
      <c r="AE152"/>
      <c r="AF152"/>
      <c r="BI152"/>
    </row>
    <row r="153" spans="1:61" s="3" customFormat="1" ht="12.75">
      <c r="A153" s="8"/>
      <c r="B153" s="3" t="s">
        <v>15</v>
      </c>
      <c r="C153" s="1" t="s">
        <v>183</v>
      </c>
      <c r="D153" s="3" t="s">
        <v>10</v>
      </c>
      <c r="E153" s="1" t="s">
        <v>185</v>
      </c>
      <c r="F153" s="2" t="s">
        <v>3</v>
      </c>
      <c r="G153" s="3">
        <v>2.43</v>
      </c>
      <c r="H153" s="2" t="s">
        <v>3</v>
      </c>
      <c r="J153" s="2"/>
      <c r="K153" s="3">
        <v>2.93</v>
      </c>
      <c r="L153" s="2" t="s">
        <v>3</v>
      </c>
      <c r="N153" s="2"/>
      <c r="P153" s="2"/>
      <c r="R153" s="2" t="s">
        <v>3</v>
      </c>
      <c r="T153" s="2" t="s">
        <v>3</v>
      </c>
      <c r="U153" s="3">
        <f t="shared" si="6"/>
        <v>2.68</v>
      </c>
      <c r="V153"/>
      <c r="W153"/>
      <c r="X153"/>
      <c r="Y153"/>
      <c r="Z153"/>
      <c r="AA153"/>
      <c r="AB153"/>
      <c r="AC153"/>
      <c r="AD153"/>
      <c r="AE153"/>
      <c r="AF153"/>
      <c r="BI153"/>
    </row>
    <row r="154" spans="1:61" s="3" customFormat="1" ht="12.75">
      <c r="A154" s="8"/>
      <c r="B154" s="3" t="s">
        <v>16</v>
      </c>
      <c r="C154" s="1" t="s">
        <v>183</v>
      </c>
      <c r="D154" s="3" t="s">
        <v>10</v>
      </c>
      <c r="E154" s="1" t="s">
        <v>185</v>
      </c>
      <c r="F154" s="2" t="s">
        <v>3</v>
      </c>
      <c r="G154" s="3">
        <v>1.9</v>
      </c>
      <c r="H154" s="2" t="s">
        <v>3</v>
      </c>
      <c r="J154" s="2" t="s">
        <v>3</v>
      </c>
      <c r="K154" s="3">
        <v>7.3</v>
      </c>
      <c r="L154" s="2" t="s">
        <v>3</v>
      </c>
      <c r="N154" s="2"/>
      <c r="P154" s="2"/>
      <c r="R154" s="2" t="s">
        <v>3</v>
      </c>
      <c r="T154" s="2" t="s">
        <v>3</v>
      </c>
      <c r="U154" s="3">
        <f t="shared" si="6"/>
        <v>4.6</v>
      </c>
      <c r="V154"/>
      <c r="W154"/>
      <c r="X154"/>
      <c r="Y154"/>
      <c r="Z154"/>
      <c r="AA154"/>
      <c r="AB154"/>
      <c r="AC154"/>
      <c r="AD154"/>
      <c r="AE154"/>
      <c r="AF154"/>
      <c r="BI154"/>
    </row>
    <row r="155" spans="1:61" s="3" customFormat="1" ht="12.75">
      <c r="A155" s="8"/>
      <c r="B155" s="3" t="s">
        <v>17</v>
      </c>
      <c r="C155" s="1" t="s">
        <v>183</v>
      </c>
      <c r="D155" s="3" t="s">
        <v>10</v>
      </c>
      <c r="E155" s="1" t="s">
        <v>185</v>
      </c>
      <c r="F155" s="2" t="s">
        <v>3</v>
      </c>
      <c r="G155" s="3">
        <v>4.57</v>
      </c>
      <c r="H155" s="2" t="s">
        <v>3</v>
      </c>
      <c r="J155" s="2"/>
      <c r="K155" s="3">
        <v>8.7</v>
      </c>
      <c r="L155" s="2" t="s">
        <v>3</v>
      </c>
      <c r="N155" s="2"/>
      <c r="P155" s="2"/>
      <c r="R155" s="2" t="s">
        <v>3</v>
      </c>
      <c r="T155" s="2" t="s">
        <v>3</v>
      </c>
      <c r="U155" s="3">
        <f t="shared" si="6"/>
        <v>6.635</v>
      </c>
      <c r="V155"/>
      <c r="W155"/>
      <c r="X155"/>
      <c r="Y155"/>
      <c r="Z155"/>
      <c r="AA155"/>
      <c r="AB155"/>
      <c r="AC155"/>
      <c r="AD155"/>
      <c r="AE155"/>
      <c r="AF155"/>
      <c r="BI155"/>
    </row>
    <row r="156" spans="1:61" s="3" customFormat="1" ht="12.75">
      <c r="A156" s="8"/>
      <c r="B156" s="3" t="s">
        <v>18</v>
      </c>
      <c r="C156" s="1" t="s">
        <v>183</v>
      </c>
      <c r="D156" s="3" t="s">
        <v>10</v>
      </c>
      <c r="E156" s="1" t="s">
        <v>185</v>
      </c>
      <c r="F156" s="2" t="s">
        <v>3</v>
      </c>
      <c r="G156" s="3">
        <v>443</v>
      </c>
      <c r="H156" s="2" t="s">
        <v>3</v>
      </c>
      <c r="J156" s="2" t="s">
        <v>3</v>
      </c>
      <c r="K156" s="3">
        <v>4793.999999999992</v>
      </c>
      <c r="L156" s="2" t="s">
        <v>3</v>
      </c>
      <c r="N156" s="2"/>
      <c r="P156" s="2"/>
      <c r="R156" s="2" t="s">
        <v>3</v>
      </c>
      <c r="T156" s="2" t="s">
        <v>3</v>
      </c>
      <c r="U156" s="3">
        <f t="shared" si="6"/>
        <v>2618.499999999996</v>
      </c>
      <c r="V156"/>
      <c r="W156"/>
      <c r="X156"/>
      <c r="Y156"/>
      <c r="Z156"/>
      <c r="AA156"/>
      <c r="AB156"/>
      <c r="AC156"/>
      <c r="AD156"/>
      <c r="AE156"/>
      <c r="AF156"/>
      <c r="BI156"/>
    </row>
    <row r="157" spans="1:61" s="3" customFormat="1" ht="12.75">
      <c r="A157" s="8"/>
      <c r="B157" s="3" t="s">
        <v>19</v>
      </c>
      <c r="C157" s="1" t="s">
        <v>183</v>
      </c>
      <c r="D157" s="3" t="s">
        <v>10</v>
      </c>
      <c r="E157" s="1" t="s">
        <v>185</v>
      </c>
      <c r="F157" s="2" t="s">
        <v>3</v>
      </c>
      <c r="G157" s="3">
        <v>29.7</v>
      </c>
      <c r="H157" s="2" t="s">
        <v>3</v>
      </c>
      <c r="J157" s="2" t="s">
        <v>3</v>
      </c>
      <c r="K157" s="3">
        <v>37.89999999999992</v>
      </c>
      <c r="L157" s="2" t="s">
        <v>3</v>
      </c>
      <c r="N157" s="2"/>
      <c r="P157" s="2"/>
      <c r="R157" s="2" t="s">
        <v>3</v>
      </c>
      <c r="T157" s="2" t="s">
        <v>3</v>
      </c>
      <c r="U157" s="3">
        <f t="shared" si="6"/>
        <v>33.79999999999996</v>
      </c>
      <c r="V157"/>
      <c r="W157"/>
      <c r="X157"/>
      <c r="Y157"/>
      <c r="Z157"/>
      <c r="AA157"/>
      <c r="AB157"/>
      <c r="AC157"/>
      <c r="AD157"/>
      <c r="AE157"/>
      <c r="AF157"/>
      <c r="BI157"/>
    </row>
    <row r="158" spans="1:61" s="3" customFormat="1" ht="12.75">
      <c r="A158" s="8"/>
      <c r="B158" s="3" t="s">
        <v>20</v>
      </c>
      <c r="C158" s="1" t="s">
        <v>183</v>
      </c>
      <c r="D158" s="3" t="s">
        <v>10</v>
      </c>
      <c r="E158" s="1" t="s">
        <v>185</v>
      </c>
      <c r="F158" s="2" t="s">
        <v>3</v>
      </c>
      <c r="G158" s="3">
        <v>19.3</v>
      </c>
      <c r="H158" s="2" t="s">
        <v>3</v>
      </c>
      <c r="J158" s="2" t="s">
        <v>3</v>
      </c>
      <c r="K158" s="3">
        <v>11.3</v>
      </c>
      <c r="L158" s="2" t="s">
        <v>3</v>
      </c>
      <c r="N158" s="2"/>
      <c r="P158" s="2"/>
      <c r="R158" s="2" t="s">
        <v>3</v>
      </c>
      <c r="T158" s="2" t="s">
        <v>3</v>
      </c>
      <c r="U158" s="3">
        <f aca="true" t="shared" si="7" ref="U158:U165">AVERAGE(G158,I158,K158)</f>
        <v>15.3</v>
      </c>
      <c r="V158"/>
      <c r="W158"/>
      <c r="X158"/>
      <c r="Y158"/>
      <c r="Z158"/>
      <c r="AA158"/>
      <c r="AB158"/>
      <c r="AC158"/>
      <c r="AD158"/>
      <c r="AE158"/>
      <c r="AF158"/>
      <c r="BI158"/>
    </row>
    <row r="159" spans="1:61" s="3" customFormat="1" ht="12.75">
      <c r="A159" s="8"/>
      <c r="B159" s="3" t="s">
        <v>21</v>
      </c>
      <c r="C159" s="1" t="s">
        <v>183</v>
      </c>
      <c r="D159" s="3" t="s">
        <v>10</v>
      </c>
      <c r="E159" s="1" t="s">
        <v>185</v>
      </c>
      <c r="F159" s="2" t="s">
        <v>3</v>
      </c>
      <c r="G159" s="3">
        <v>4.02</v>
      </c>
      <c r="H159" s="2" t="s">
        <v>3</v>
      </c>
      <c r="J159" s="2"/>
      <c r="K159" s="3">
        <v>6.25</v>
      </c>
      <c r="L159" s="2" t="s">
        <v>3</v>
      </c>
      <c r="N159" s="2"/>
      <c r="P159" s="2"/>
      <c r="R159" s="2" t="s">
        <v>3</v>
      </c>
      <c r="T159" s="2" t="s">
        <v>3</v>
      </c>
      <c r="U159" s="3">
        <f t="shared" si="7"/>
        <v>5.135</v>
      </c>
      <c r="V159"/>
      <c r="W159"/>
      <c r="X159"/>
      <c r="Y159"/>
      <c r="Z159"/>
      <c r="AA159"/>
      <c r="AB159"/>
      <c r="AC159"/>
      <c r="AD159"/>
      <c r="AE159"/>
      <c r="AF159"/>
      <c r="BI159"/>
    </row>
    <row r="160" spans="1:61" s="3" customFormat="1" ht="12.75">
      <c r="A160" s="8"/>
      <c r="B160" s="3" t="s">
        <v>22</v>
      </c>
      <c r="C160" s="1" t="s">
        <v>183</v>
      </c>
      <c r="D160" s="3" t="s">
        <v>10</v>
      </c>
      <c r="E160" s="1" t="s">
        <v>185</v>
      </c>
      <c r="F160" s="2" t="s">
        <v>3</v>
      </c>
      <c r="G160" s="3">
        <v>3.85</v>
      </c>
      <c r="H160" s="2" t="s">
        <v>3</v>
      </c>
      <c r="J160" s="2" t="s">
        <v>3</v>
      </c>
      <c r="K160" s="3">
        <v>3.19</v>
      </c>
      <c r="L160" s="2" t="s">
        <v>3</v>
      </c>
      <c r="N160" s="2"/>
      <c r="P160" s="2"/>
      <c r="R160" s="2" t="s">
        <v>3</v>
      </c>
      <c r="T160" s="2" t="s">
        <v>3</v>
      </c>
      <c r="U160" s="3">
        <f t="shared" si="7"/>
        <v>3.52</v>
      </c>
      <c r="V160"/>
      <c r="W160"/>
      <c r="X160"/>
      <c r="Y160"/>
      <c r="Z160"/>
      <c r="AA160"/>
      <c r="AB160"/>
      <c r="AC160"/>
      <c r="AD160"/>
      <c r="AE160"/>
      <c r="AF160"/>
      <c r="BI160"/>
    </row>
    <row r="161" spans="1:61" s="3" customFormat="1" ht="12.75">
      <c r="A161" s="8"/>
      <c r="B161" s="3" t="s">
        <v>23</v>
      </c>
      <c r="C161" s="1" t="s">
        <v>183</v>
      </c>
      <c r="D161" s="3" t="s">
        <v>10</v>
      </c>
      <c r="E161" s="1" t="s">
        <v>185</v>
      </c>
      <c r="F161" s="2" t="s">
        <v>3</v>
      </c>
      <c r="G161" s="3">
        <v>1.51</v>
      </c>
      <c r="H161" s="2" t="s">
        <v>3</v>
      </c>
      <c r="J161" s="2" t="s">
        <v>11</v>
      </c>
      <c r="K161" s="3">
        <v>2.92</v>
      </c>
      <c r="L161" s="2" t="s">
        <v>3</v>
      </c>
      <c r="N161" s="2"/>
      <c r="P161" s="2"/>
      <c r="R161" s="2" t="s">
        <v>3</v>
      </c>
      <c r="T161" s="2" t="s">
        <v>3</v>
      </c>
      <c r="U161" s="3">
        <f t="shared" si="7"/>
        <v>2.215</v>
      </c>
      <c r="V161"/>
      <c r="W161"/>
      <c r="X161"/>
      <c r="Y161"/>
      <c r="Z161"/>
      <c r="AA161"/>
      <c r="AB161"/>
      <c r="AC161"/>
      <c r="AD161"/>
      <c r="AE161"/>
      <c r="AF161"/>
      <c r="BI161"/>
    </row>
    <row r="162" spans="1:61" s="3" customFormat="1" ht="12.75">
      <c r="A162" s="8"/>
      <c r="B162" s="3" t="s">
        <v>24</v>
      </c>
      <c r="C162" s="1" t="s">
        <v>183</v>
      </c>
      <c r="D162" s="3" t="s">
        <v>10</v>
      </c>
      <c r="E162" s="1" t="s">
        <v>185</v>
      </c>
      <c r="F162" s="2" t="s">
        <v>3</v>
      </c>
      <c r="G162" s="3">
        <v>0.283</v>
      </c>
      <c r="H162" s="2" t="s">
        <v>3</v>
      </c>
      <c r="J162" s="2"/>
      <c r="K162" s="3">
        <v>0.41</v>
      </c>
      <c r="L162" s="2" t="s">
        <v>3</v>
      </c>
      <c r="N162" s="2"/>
      <c r="P162" s="2"/>
      <c r="R162" s="2" t="s">
        <v>3</v>
      </c>
      <c r="T162" s="2" t="s">
        <v>3</v>
      </c>
      <c r="U162" s="3">
        <f t="shared" si="7"/>
        <v>0.3465</v>
      </c>
      <c r="V162"/>
      <c r="W162"/>
      <c r="X162"/>
      <c r="Y162"/>
      <c r="Z162"/>
      <c r="AA162"/>
      <c r="AB162"/>
      <c r="AC162"/>
      <c r="AD162"/>
      <c r="AE162"/>
      <c r="AF162"/>
      <c r="BI162"/>
    </row>
    <row r="163" spans="1:61" s="3" customFormat="1" ht="12.75">
      <c r="A163" s="8"/>
      <c r="B163" s="3" t="s">
        <v>25</v>
      </c>
      <c r="C163" s="1" t="s">
        <v>183</v>
      </c>
      <c r="D163" s="3" t="s">
        <v>10</v>
      </c>
      <c r="E163" s="1" t="s">
        <v>185</v>
      </c>
      <c r="F163" s="2" t="s">
        <v>3</v>
      </c>
      <c r="G163" s="3">
        <v>160</v>
      </c>
      <c r="H163" s="2" t="s">
        <v>3</v>
      </c>
      <c r="J163" s="2" t="s">
        <v>3</v>
      </c>
      <c r="K163" s="3">
        <v>58.8</v>
      </c>
      <c r="L163" s="2" t="s">
        <v>3</v>
      </c>
      <c r="N163" s="2"/>
      <c r="P163" s="2"/>
      <c r="R163" s="2" t="s">
        <v>3</v>
      </c>
      <c r="T163" s="2" t="s">
        <v>3</v>
      </c>
      <c r="U163" s="3">
        <f t="shared" si="7"/>
        <v>109.4</v>
      </c>
      <c r="V163"/>
      <c r="W163"/>
      <c r="X163"/>
      <c r="Y163"/>
      <c r="Z163"/>
      <c r="AA163"/>
      <c r="AB163"/>
      <c r="AC163"/>
      <c r="AD163"/>
      <c r="AE163"/>
      <c r="AF163"/>
      <c r="BI163"/>
    </row>
    <row r="164" spans="1:61" s="3" customFormat="1" ht="12.75">
      <c r="A164" s="8"/>
      <c r="B164" s="3" t="s">
        <v>67</v>
      </c>
      <c r="C164" s="1" t="s">
        <v>183</v>
      </c>
      <c r="D164" s="3" t="s">
        <v>10</v>
      </c>
      <c r="E164" s="1" t="s">
        <v>185</v>
      </c>
      <c r="F164" s="2"/>
      <c r="G164" s="3">
        <f>G153+G157</f>
        <v>32.13</v>
      </c>
      <c r="H164" s="2"/>
      <c r="J164" s="2"/>
      <c r="K164" s="3">
        <f>K153+K157</f>
        <v>40.82999999999992</v>
      </c>
      <c r="L164" s="2"/>
      <c r="N164" s="2"/>
      <c r="P164" s="2"/>
      <c r="R164" s="2"/>
      <c r="T164" s="2"/>
      <c r="U164" s="3">
        <f t="shared" si="7"/>
        <v>36.47999999999996</v>
      </c>
      <c r="V164"/>
      <c r="W164"/>
      <c r="X164"/>
      <c r="Y164"/>
      <c r="Z164"/>
      <c r="AA164"/>
      <c r="AB164"/>
      <c r="AC164"/>
      <c r="AD164"/>
      <c r="AE164"/>
      <c r="AF164"/>
      <c r="BI164"/>
    </row>
    <row r="165" spans="1:61" s="3" customFormat="1" ht="12.75">
      <c r="A165" s="8"/>
      <c r="B165" s="9" t="s">
        <v>68</v>
      </c>
      <c r="C165" s="1" t="s">
        <v>183</v>
      </c>
      <c r="D165" s="3" t="s">
        <v>10</v>
      </c>
      <c r="E165" s="1" t="s">
        <v>185</v>
      </c>
      <c r="F165" s="2"/>
      <c r="G165" s="3">
        <f>G150+G154+G152</f>
        <v>2.727</v>
      </c>
      <c r="H165" s="2"/>
      <c r="J165" s="2"/>
      <c r="K165" s="3">
        <f>K150+K154+K152</f>
        <v>8.818999999999999</v>
      </c>
      <c r="L165" s="2"/>
      <c r="N165" s="2"/>
      <c r="P165" s="2"/>
      <c r="R165" s="2"/>
      <c r="T165" s="2"/>
      <c r="U165" s="3">
        <f t="shared" si="7"/>
        <v>5.773</v>
      </c>
      <c r="V165"/>
      <c r="W165"/>
      <c r="X165"/>
      <c r="Y165"/>
      <c r="Z165"/>
      <c r="AA165"/>
      <c r="AB165"/>
      <c r="AC165"/>
      <c r="AD165"/>
      <c r="AE165"/>
      <c r="AF165"/>
      <c r="BI165"/>
    </row>
    <row r="166" spans="1:61" s="3" customFormat="1" ht="12.75">
      <c r="A166" s="8"/>
      <c r="F166" s="2"/>
      <c r="H166" s="2"/>
      <c r="J166" s="2"/>
      <c r="L166" s="2"/>
      <c r="N166" s="2"/>
      <c r="P166" s="2"/>
      <c r="R166" s="2"/>
      <c r="T166" s="2"/>
      <c r="V166"/>
      <c r="W166"/>
      <c r="X166"/>
      <c r="Y166"/>
      <c r="Z166"/>
      <c r="AA166"/>
      <c r="AB166"/>
      <c r="AC166"/>
      <c r="AD166"/>
      <c r="AE166"/>
      <c r="AF166"/>
      <c r="BI166"/>
    </row>
    <row r="167" spans="1:61" s="3" customFormat="1" ht="12.75">
      <c r="A167" s="8"/>
      <c r="B167" s="3" t="s">
        <v>53</v>
      </c>
      <c r="C167" s="4" t="s">
        <v>36</v>
      </c>
      <c r="D167" s="3" t="s">
        <v>183</v>
      </c>
      <c r="F167" s="2"/>
      <c r="H167" s="2"/>
      <c r="J167" s="2"/>
      <c r="L167" s="2"/>
      <c r="N167" s="2"/>
      <c r="P167" s="2"/>
      <c r="R167" s="2"/>
      <c r="T167" s="2"/>
      <c r="V167"/>
      <c r="W167"/>
      <c r="X167"/>
      <c r="Y167"/>
      <c r="Z167"/>
      <c r="AA167"/>
      <c r="AB167"/>
      <c r="AC167"/>
      <c r="AD167"/>
      <c r="AE167"/>
      <c r="AF167"/>
      <c r="BI167"/>
    </row>
    <row r="168" spans="1:61" s="4" customFormat="1" ht="12.75">
      <c r="A168" s="8"/>
      <c r="B168" s="26" t="s">
        <v>189</v>
      </c>
      <c r="C168" s="26"/>
      <c r="D168" s="26" t="s">
        <v>190</v>
      </c>
      <c r="G168" s="2">
        <v>64532</v>
      </c>
      <c r="H168" s="2"/>
      <c r="I168" s="2">
        <v>63776</v>
      </c>
      <c r="J168" s="2"/>
      <c r="K168" s="2">
        <v>60919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/>
      <c r="W168"/>
      <c r="X168"/>
      <c r="Y168"/>
      <c r="Z168"/>
      <c r="AA168"/>
      <c r="AB168"/>
      <c r="AC168"/>
      <c r="AD168"/>
      <c r="AE168"/>
      <c r="AF168"/>
      <c r="AG168" s="2"/>
      <c r="AH168" s="2"/>
      <c r="AI168" s="2"/>
      <c r="AJ168" s="2"/>
      <c r="AK168" s="2"/>
      <c r="AL168" s="2"/>
      <c r="AM168" s="2"/>
      <c r="AN168" s="2"/>
      <c r="AO168" s="2"/>
      <c r="BI168"/>
    </row>
    <row r="169" spans="1:61" s="4" customFormat="1" ht="12.75">
      <c r="A169" s="8"/>
      <c r="B169" s="26" t="s">
        <v>191</v>
      </c>
      <c r="C169" s="26"/>
      <c r="D169" s="26" t="s">
        <v>192</v>
      </c>
      <c r="G169" s="2">
        <v>8.75</v>
      </c>
      <c r="H169" s="2"/>
      <c r="I169" s="2">
        <v>9.7</v>
      </c>
      <c r="J169" s="2"/>
      <c r="K169" s="2">
        <v>9.65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/>
      <c r="W169"/>
      <c r="X169"/>
      <c r="Y169"/>
      <c r="Z169"/>
      <c r="AA169"/>
      <c r="AB169"/>
      <c r="AC169"/>
      <c r="AD169"/>
      <c r="AE169"/>
      <c r="AF169"/>
      <c r="AG169" s="2"/>
      <c r="AH169" s="2"/>
      <c r="AI169" s="2"/>
      <c r="AJ169" s="2"/>
      <c r="AK169" s="2"/>
      <c r="AL169" s="2"/>
      <c r="AM169" s="2"/>
      <c r="AN169" s="2"/>
      <c r="AO169" s="2"/>
      <c r="BI169"/>
    </row>
    <row r="170" spans="1:61" s="4" customFormat="1" ht="12.75">
      <c r="A170" s="8"/>
      <c r="B170" s="26" t="s">
        <v>193</v>
      </c>
      <c r="C170" s="26"/>
      <c r="D170" s="26" t="s">
        <v>192</v>
      </c>
      <c r="G170" s="2">
        <v>0</v>
      </c>
      <c r="H170" s="2"/>
      <c r="I170" s="2">
        <v>0</v>
      </c>
      <c r="J170" s="2"/>
      <c r="K170" s="2"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/>
      <c r="W170"/>
      <c r="X170"/>
      <c r="Y170"/>
      <c r="Z170"/>
      <c r="AA170"/>
      <c r="AB170"/>
      <c r="AC170"/>
      <c r="AD170"/>
      <c r="AE170"/>
      <c r="AF170"/>
      <c r="AG170" s="2"/>
      <c r="AH170" s="2"/>
      <c r="AI170" s="2"/>
      <c r="AJ170" s="2"/>
      <c r="AK170" s="2"/>
      <c r="AL170" s="2"/>
      <c r="AM170" s="2"/>
      <c r="AN170" s="2"/>
      <c r="AO170" s="2"/>
      <c r="BI170"/>
    </row>
    <row r="171" spans="1:61" s="4" customFormat="1" ht="12.75">
      <c r="A171" s="8"/>
      <c r="B171" s="26" t="s">
        <v>194</v>
      </c>
      <c r="C171" s="26"/>
      <c r="D171" s="26" t="s">
        <v>195</v>
      </c>
      <c r="G171" s="2">
        <v>0</v>
      </c>
      <c r="H171" s="2"/>
      <c r="I171" s="2">
        <v>0</v>
      </c>
      <c r="J171" s="2"/>
      <c r="K171" s="2"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/>
      <c r="W171"/>
      <c r="X171"/>
      <c r="Y171"/>
      <c r="Z171"/>
      <c r="AA171"/>
      <c r="AB171"/>
      <c r="AC171"/>
      <c r="AD171"/>
      <c r="AE171"/>
      <c r="AF171"/>
      <c r="AG171" s="2"/>
      <c r="AH171" s="2"/>
      <c r="AI171" s="2"/>
      <c r="AJ171" s="2"/>
      <c r="AK171" s="2"/>
      <c r="AL171" s="2"/>
      <c r="AM171" s="2"/>
      <c r="AN171" s="2"/>
      <c r="AO171" s="2"/>
      <c r="BI171"/>
    </row>
    <row r="172" spans="1:61" s="3" customFormat="1" ht="12.75">
      <c r="A172" s="8"/>
      <c r="F172" s="2"/>
      <c r="H172" s="2"/>
      <c r="J172" s="2"/>
      <c r="L172" s="2"/>
      <c r="N172" s="2"/>
      <c r="P172" s="2"/>
      <c r="R172" s="2"/>
      <c r="T172" s="2"/>
      <c r="V172"/>
      <c r="W172"/>
      <c r="X172"/>
      <c r="Y172"/>
      <c r="Z172"/>
      <c r="AA172"/>
      <c r="AB172"/>
      <c r="AC172"/>
      <c r="AD172"/>
      <c r="AE172"/>
      <c r="AF172"/>
      <c r="BI172"/>
    </row>
    <row r="173" spans="1:61" s="3" customFormat="1" ht="12.75">
      <c r="A173" s="8" t="s">
        <v>197</v>
      </c>
      <c r="B173" s="5" t="s">
        <v>26</v>
      </c>
      <c r="F173" s="2"/>
      <c r="G173" s="23" t="s">
        <v>54</v>
      </c>
      <c r="H173" s="23"/>
      <c r="I173" s="23" t="s">
        <v>55</v>
      </c>
      <c r="J173" s="23"/>
      <c r="K173" s="23" t="s">
        <v>56</v>
      </c>
      <c r="L173" s="23"/>
      <c r="M173" s="23" t="s">
        <v>57</v>
      </c>
      <c r="N173" s="23"/>
      <c r="O173" s="23" t="s">
        <v>58</v>
      </c>
      <c r="P173" s="23"/>
      <c r="Q173" s="23" t="s">
        <v>59</v>
      </c>
      <c r="R173" s="23"/>
      <c r="S173" s="23" t="s">
        <v>60</v>
      </c>
      <c r="T173" s="23"/>
      <c r="U173" s="23" t="s">
        <v>61</v>
      </c>
      <c r="V173"/>
      <c r="W173"/>
      <c r="X173"/>
      <c r="Y173"/>
      <c r="Z173"/>
      <c r="AA173"/>
      <c r="AB173"/>
      <c r="AC173"/>
      <c r="AD173"/>
      <c r="AE173"/>
      <c r="AF173"/>
      <c r="BI173"/>
    </row>
    <row r="174" spans="1:61" s="3" customFormat="1" ht="12.75">
      <c r="A174" s="8"/>
      <c r="F174" s="2"/>
      <c r="H174" s="2"/>
      <c r="J174" s="2"/>
      <c r="L174" s="2"/>
      <c r="N174" s="2"/>
      <c r="P174" s="2"/>
      <c r="R174" s="2"/>
      <c r="T174" s="2"/>
      <c r="V174"/>
      <c r="W174"/>
      <c r="X174"/>
      <c r="Y174"/>
      <c r="Z174"/>
      <c r="AA174"/>
      <c r="AB174"/>
      <c r="AC174"/>
      <c r="AD174"/>
      <c r="AE174"/>
      <c r="AF174"/>
      <c r="BI174"/>
    </row>
    <row r="175" spans="1:61" s="1" customFormat="1" ht="12.75">
      <c r="A175" s="8"/>
      <c r="B175" s="1" t="s">
        <v>1</v>
      </c>
      <c r="C175" s="1" t="s">
        <v>183</v>
      </c>
      <c r="D175" s="1" t="s">
        <v>2</v>
      </c>
      <c r="E175" s="1" t="s">
        <v>185</v>
      </c>
      <c r="F175" s="2" t="s">
        <v>3</v>
      </c>
      <c r="G175" s="1">
        <f>0.016*(21-7)/(21-G201)</f>
        <v>0.018666666666666668</v>
      </c>
      <c r="H175" s="2" t="s">
        <v>3</v>
      </c>
      <c r="J175" s="2" t="s">
        <v>3</v>
      </c>
      <c r="K175" s="1">
        <f>0.02*(21-7)/(21-K201)</f>
        <v>0.021875000000000002</v>
      </c>
      <c r="L175" s="2" t="s">
        <v>3</v>
      </c>
      <c r="N175" s="2" t="s">
        <v>3</v>
      </c>
      <c r="P175" s="2" t="s">
        <v>3</v>
      </c>
      <c r="R175" s="2" t="s">
        <v>3</v>
      </c>
      <c r="T175" s="2" t="s">
        <v>3</v>
      </c>
      <c r="U175" s="1">
        <f>AVERAGE(G175,K175)</f>
        <v>0.020270833333333335</v>
      </c>
      <c r="V175"/>
      <c r="W175"/>
      <c r="X175"/>
      <c r="Y175"/>
      <c r="Z175"/>
      <c r="AA175"/>
      <c r="AB175"/>
      <c r="AC175"/>
      <c r="AD175"/>
      <c r="AE175"/>
      <c r="AF175"/>
      <c r="BI175"/>
    </row>
    <row r="176" spans="1:61" s="3" customFormat="1" ht="12.75">
      <c r="A176" s="8"/>
      <c r="B176" s="3" t="s">
        <v>4</v>
      </c>
      <c r="C176" s="1" t="s">
        <v>183</v>
      </c>
      <c r="D176" s="3" t="s">
        <v>5</v>
      </c>
      <c r="E176" s="1" t="s">
        <v>185</v>
      </c>
      <c r="F176" s="2" t="s">
        <v>3</v>
      </c>
      <c r="G176" s="3">
        <v>157.46</v>
      </c>
      <c r="H176" s="2" t="s">
        <v>3</v>
      </c>
      <c r="I176" s="3">
        <v>46.86</v>
      </c>
      <c r="J176" s="2" t="s">
        <v>3</v>
      </c>
      <c r="K176" s="3">
        <v>246.14</v>
      </c>
      <c r="L176" s="2" t="s">
        <v>3</v>
      </c>
      <c r="N176" s="2" t="s">
        <v>3</v>
      </c>
      <c r="P176" s="2" t="s">
        <v>3</v>
      </c>
      <c r="R176" s="2" t="s">
        <v>3</v>
      </c>
      <c r="T176" s="2" t="s">
        <v>3</v>
      </c>
      <c r="U176" s="3">
        <f>AVERAGE(G176,I176,K176)</f>
        <v>150.15333333333334</v>
      </c>
      <c r="V176"/>
      <c r="W176"/>
      <c r="X176"/>
      <c r="Y176"/>
      <c r="Z176"/>
      <c r="AA176"/>
      <c r="AB176"/>
      <c r="AC176"/>
      <c r="AD176"/>
      <c r="AE176"/>
      <c r="AF176"/>
      <c r="BI176"/>
    </row>
    <row r="177" spans="1:61" s="3" customFormat="1" ht="12.75">
      <c r="A177" s="8"/>
      <c r="B177" s="3" t="s">
        <v>6</v>
      </c>
      <c r="C177" s="1" t="s">
        <v>183</v>
      </c>
      <c r="D177" s="3" t="s">
        <v>5</v>
      </c>
      <c r="E177" s="1" t="s">
        <v>185</v>
      </c>
      <c r="F177" s="2" t="s">
        <v>3</v>
      </c>
      <c r="G177" s="3">
        <v>6.48</v>
      </c>
      <c r="H177" s="2" t="s">
        <v>3</v>
      </c>
      <c r="I177" s="3">
        <v>5.73</v>
      </c>
      <c r="J177" s="2" t="s">
        <v>3</v>
      </c>
      <c r="K177" s="3">
        <v>7.37</v>
      </c>
      <c r="L177" s="2" t="s">
        <v>3</v>
      </c>
      <c r="N177" s="2" t="s">
        <v>3</v>
      </c>
      <c r="P177" s="2" t="s">
        <v>3</v>
      </c>
      <c r="R177" s="2" t="s">
        <v>3</v>
      </c>
      <c r="T177" s="2" t="s">
        <v>3</v>
      </c>
      <c r="U177" s="3">
        <f>AVERAGE(G177,I177,K177)</f>
        <v>6.526666666666667</v>
      </c>
      <c r="V177"/>
      <c r="W177"/>
      <c r="X177"/>
      <c r="Y177"/>
      <c r="Z177"/>
      <c r="AA177"/>
      <c r="AB177"/>
      <c r="AC177"/>
      <c r="AD177"/>
      <c r="AE177"/>
      <c r="AF177"/>
      <c r="BI177"/>
    </row>
    <row r="178" spans="1:61" s="3" customFormat="1" ht="12.75">
      <c r="A178" s="8"/>
      <c r="B178" s="3" t="s">
        <v>7</v>
      </c>
      <c r="C178" s="1" t="s">
        <v>183</v>
      </c>
      <c r="D178" s="3" t="s">
        <v>5</v>
      </c>
      <c r="E178" s="1" t="s">
        <v>185</v>
      </c>
      <c r="F178" s="2" t="s">
        <v>3</v>
      </c>
      <c r="G178" s="3">
        <v>93.48</v>
      </c>
      <c r="H178" s="2" t="s">
        <v>3</v>
      </c>
      <c r="I178" s="3">
        <v>62.46</v>
      </c>
      <c r="J178" s="2" t="s">
        <v>3</v>
      </c>
      <c r="K178" s="3">
        <v>94.12</v>
      </c>
      <c r="L178" s="2" t="s">
        <v>3</v>
      </c>
      <c r="N178" s="2" t="s">
        <v>3</v>
      </c>
      <c r="P178" s="2" t="s">
        <v>3</v>
      </c>
      <c r="R178" s="2" t="s">
        <v>3</v>
      </c>
      <c r="T178" s="2" t="s">
        <v>3</v>
      </c>
      <c r="U178" s="3">
        <f>AVERAGE(G178,I178,K178)</f>
        <v>83.35333333333334</v>
      </c>
      <c r="V178"/>
      <c r="W178"/>
      <c r="X178"/>
      <c r="Y178"/>
      <c r="Z178"/>
      <c r="AA178"/>
      <c r="AB178"/>
      <c r="AC178"/>
      <c r="AD178"/>
      <c r="AE178"/>
      <c r="AF178"/>
      <c r="BI178"/>
    </row>
    <row r="179" spans="1:61" s="3" customFormat="1" ht="12.75">
      <c r="A179" s="8"/>
      <c r="B179" s="3" t="s">
        <v>8</v>
      </c>
      <c r="C179" s="1" t="s">
        <v>183</v>
      </c>
      <c r="D179" s="3" t="s">
        <v>5</v>
      </c>
      <c r="E179" s="1" t="s">
        <v>185</v>
      </c>
      <c r="F179" s="2" t="s">
        <v>3</v>
      </c>
      <c r="G179" s="3">
        <v>0.13</v>
      </c>
      <c r="H179" s="2" t="s">
        <v>3</v>
      </c>
      <c r="I179" s="3">
        <v>1.26</v>
      </c>
      <c r="J179" s="2" t="s">
        <v>3</v>
      </c>
      <c r="K179" s="10">
        <v>0.000472</v>
      </c>
      <c r="L179" s="2" t="s">
        <v>3</v>
      </c>
      <c r="N179" s="2" t="s">
        <v>3</v>
      </c>
      <c r="P179" s="2" t="s">
        <v>3</v>
      </c>
      <c r="R179" s="2" t="s">
        <v>3</v>
      </c>
      <c r="T179" s="2" t="s">
        <v>3</v>
      </c>
      <c r="U179" s="3">
        <f>AVERAGE(G179,I179,K179)</f>
        <v>0.4634906666666667</v>
      </c>
      <c r="V179"/>
      <c r="W179"/>
      <c r="X179"/>
      <c r="Y179"/>
      <c r="Z179"/>
      <c r="AA179"/>
      <c r="AB179"/>
      <c r="AC179"/>
      <c r="AD179"/>
      <c r="AE179"/>
      <c r="AF179"/>
      <c r="BI179"/>
    </row>
    <row r="180" spans="1:61" s="3" customFormat="1" ht="12.75">
      <c r="A180" s="8"/>
      <c r="B180" s="3" t="s">
        <v>184</v>
      </c>
      <c r="C180" s="1" t="s">
        <v>183</v>
      </c>
      <c r="D180" s="3" t="s">
        <v>5</v>
      </c>
      <c r="E180" s="1" t="s">
        <v>185</v>
      </c>
      <c r="F180" s="2"/>
      <c r="G180" s="3">
        <f>G178+2*G179</f>
        <v>93.74000000000001</v>
      </c>
      <c r="H180" s="2"/>
      <c r="I180" s="3">
        <f>I178+2*I179</f>
        <v>64.98</v>
      </c>
      <c r="J180" s="2"/>
      <c r="K180" s="3">
        <f>K178+2*K179</f>
        <v>94.12094400000001</v>
      </c>
      <c r="L180" s="2"/>
      <c r="N180" s="2"/>
      <c r="P180" s="2"/>
      <c r="R180" s="2"/>
      <c r="T180" s="2"/>
      <c r="U180" s="3">
        <f>AVERAGE(G180,I180,K180)</f>
        <v>84.28031466666668</v>
      </c>
      <c r="V180"/>
      <c r="W180"/>
      <c r="X180"/>
      <c r="Y180"/>
      <c r="Z180"/>
      <c r="AA180"/>
      <c r="AB180"/>
      <c r="AC180"/>
      <c r="AD180"/>
      <c r="AE180"/>
      <c r="AF180"/>
      <c r="BI180"/>
    </row>
    <row r="181" spans="1:61" s="3" customFormat="1" ht="12.75">
      <c r="A181" s="8"/>
      <c r="B181" s="3" t="s">
        <v>9</v>
      </c>
      <c r="C181" s="1" t="s">
        <v>183</v>
      </c>
      <c r="D181" s="3" t="s">
        <v>10</v>
      </c>
      <c r="E181" s="1" t="s">
        <v>185</v>
      </c>
      <c r="F181" s="2" t="s">
        <v>11</v>
      </c>
      <c r="G181" s="3">
        <v>3.57</v>
      </c>
      <c r="H181" s="2" t="s">
        <v>11</v>
      </c>
      <c r="I181" s="3">
        <v>3.29</v>
      </c>
      <c r="J181" s="2"/>
      <c r="K181" s="3">
        <v>9.65</v>
      </c>
      <c r="L181" s="2" t="s">
        <v>3</v>
      </c>
      <c r="N181" s="2" t="s">
        <v>3</v>
      </c>
      <c r="P181" s="2" t="s">
        <v>3</v>
      </c>
      <c r="R181" s="2" t="s">
        <v>3</v>
      </c>
      <c r="T181" s="2" t="s">
        <v>3</v>
      </c>
      <c r="U181" s="3">
        <f aca="true" t="shared" si="8" ref="U181:U189">AVERAGE(G181,I181,K181)</f>
        <v>5.503333333333333</v>
      </c>
      <c r="V181"/>
      <c r="W181"/>
      <c r="X181"/>
      <c r="Y181"/>
      <c r="Z181"/>
      <c r="AA181"/>
      <c r="AB181"/>
      <c r="AC181"/>
      <c r="AD181"/>
      <c r="AE181"/>
      <c r="AF181"/>
      <c r="BI181"/>
    </row>
    <row r="182" spans="1:61" s="3" customFormat="1" ht="12.75">
      <c r="A182" s="8"/>
      <c r="B182" s="3" t="s">
        <v>12</v>
      </c>
      <c r="C182" s="1" t="s">
        <v>183</v>
      </c>
      <c r="D182" s="3" t="s">
        <v>10</v>
      </c>
      <c r="E182" s="1" t="s">
        <v>185</v>
      </c>
      <c r="F182" s="2" t="s">
        <v>3</v>
      </c>
      <c r="G182" s="3">
        <v>0.984</v>
      </c>
      <c r="H182" s="2"/>
      <c r="I182" s="3">
        <v>0.31300000000000006</v>
      </c>
      <c r="J182" s="2" t="s">
        <v>3</v>
      </c>
      <c r="K182" s="3">
        <v>0.953</v>
      </c>
      <c r="L182" s="2" t="s">
        <v>3</v>
      </c>
      <c r="N182" s="2" t="s">
        <v>3</v>
      </c>
      <c r="P182" s="2" t="s">
        <v>3</v>
      </c>
      <c r="R182" s="2" t="s">
        <v>3</v>
      </c>
      <c r="T182" s="2" t="s">
        <v>3</v>
      </c>
      <c r="U182" s="3">
        <f t="shared" si="8"/>
        <v>0.75</v>
      </c>
      <c r="V182"/>
      <c r="W182"/>
      <c r="X182"/>
      <c r="Y182"/>
      <c r="Z182"/>
      <c r="AA182"/>
      <c r="AB182"/>
      <c r="AC182"/>
      <c r="AD182"/>
      <c r="AE182"/>
      <c r="AF182"/>
      <c r="BI182"/>
    </row>
    <row r="183" spans="1:61" s="3" customFormat="1" ht="12.75">
      <c r="A183" s="8"/>
      <c r="B183" s="3" t="s">
        <v>13</v>
      </c>
      <c r="C183" s="1" t="s">
        <v>183</v>
      </c>
      <c r="D183" s="3" t="s">
        <v>10</v>
      </c>
      <c r="E183" s="1" t="s">
        <v>185</v>
      </c>
      <c r="F183" s="2" t="s">
        <v>3</v>
      </c>
      <c r="G183" s="3">
        <v>70.9</v>
      </c>
      <c r="H183" s="2" t="s">
        <v>3</v>
      </c>
      <c r="I183" s="3">
        <v>64.7</v>
      </c>
      <c r="J183" s="2" t="s">
        <v>3</v>
      </c>
      <c r="K183" s="3">
        <v>89.1</v>
      </c>
      <c r="L183" s="2" t="s">
        <v>3</v>
      </c>
      <c r="N183" s="2" t="s">
        <v>3</v>
      </c>
      <c r="P183" s="2" t="s">
        <v>3</v>
      </c>
      <c r="R183" s="2" t="s">
        <v>3</v>
      </c>
      <c r="T183" s="2" t="s">
        <v>3</v>
      </c>
      <c r="U183" s="3">
        <f t="shared" si="8"/>
        <v>74.9</v>
      </c>
      <c r="V183"/>
      <c r="W183"/>
      <c r="X183"/>
      <c r="Y183"/>
      <c r="Z183"/>
      <c r="AA183"/>
      <c r="AB183"/>
      <c r="AC183"/>
      <c r="AD183"/>
      <c r="AE183"/>
      <c r="AF183"/>
      <c r="BI183"/>
    </row>
    <row r="184" spans="1:61" s="3" customFormat="1" ht="12.75">
      <c r="A184" s="8"/>
      <c r="B184" s="3" t="s">
        <v>14</v>
      </c>
      <c r="C184" s="1" t="s">
        <v>183</v>
      </c>
      <c r="D184" s="3" t="s">
        <v>10</v>
      </c>
      <c r="E184" s="1" t="s">
        <v>185</v>
      </c>
      <c r="F184" s="2" t="s">
        <v>11</v>
      </c>
      <c r="G184" s="3">
        <v>0.02</v>
      </c>
      <c r="H184" s="2" t="s">
        <v>11</v>
      </c>
      <c r="I184" s="3">
        <v>0.018</v>
      </c>
      <c r="J184" s="2"/>
      <c r="K184" s="3">
        <v>0.022000000000000002</v>
      </c>
      <c r="L184" s="2" t="s">
        <v>3</v>
      </c>
      <c r="N184" s="2" t="s">
        <v>3</v>
      </c>
      <c r="P184" s="2" t="s">
        <v>3</v>
      </c>
      <c r="R184" s="2" t="s">
        <v>3</v>
      </c>
      <c r="T184" s="2" t="s">
        <v>3</v>
      </c>
      <c r="U184" s="3">
        <f t="shared" si="8"/>
        <v>0.02</v>
      </c>
      <c r="V184"/>
      <c r="W184"/>
      <c r="X184"/>
      <c r="Y184"/>
      <c r="Z184"/>
      <c r="AA184"/>
      <c r="AB184"/>
      <c r="AC184"/>
      <c r="AD184"/>
      <c r="AE184"/>
      <c r="AF184"/>
      <c r="BI184"/>
    </row>
    <row r="185" spans="1:61" s="3" customFormat="1" ht="12.75">
      <c r="A185" s="8"/>
      <c r="B185" s="3" t="s">
        <v>15</v>
      </c>
      <c r="C185" s="1" t="s">
        <v>183</v>
      </c>
      <c r="D185" s="3" t="s">
        <v>10</v>
      </c>
      <c r="E185" s="1" t="s">
        <v>185</v>
      </c>
      <c r="F185" s="2" t="s">
        <v>3</v>
      </c>
      <c r="G185" s="3">
        <v>2.06</v>
      </c>
      <c r="H185" s="2" t="s">
        <v>3</v>
      </c>
      <c r="I185" s="3">
        <v>1.25</v>
      </c>
      <c r="J185" s="2" t="s">
        <v>3</v>
      </c>
      <c r="K185" s="3">
        <v>2.22</v>
      </c>
      <c r="L185" s="2" t="s">
        <v>3</v>
      </c>
      <c r="N185" s="2" t="s">
        <v>3</v>
      </c>
      <c r="P185" s="2" t="s">
        <v>3</v>
      </c>
      <c r="R185" s="2" t="s">
        <v>3</v>
      </c>
      <c r="T185" s="2" t="s">
        <v>3</v>
      </c>
      <c r="U185" s="3">
        <f t="shared" si="8"/>
        <v>1.8433333333333335</v>
      </c>
      <c r="V185"/>
      <c r="W185"/>
      <c r="X185"/>
      <c r="Y185"/>
      <c r="Z185"/>
      <c r="AA185"/>
      <c r="AB185"/>
      <c r="AC185"/>
      <c r="AD185"/>
      <c r="AE185"/>
      <c r="AF185"/>
      <c r="BI185"/>
    </row>
    <row r="186" spans="1:61" s="3" customFormat="1" ht="12.75">
      <c r="A186" s="8"/>
      <c r="B186" s="3" t="s">
        <v>16</v>
      </c>
      <c r="C186" s="1" t="s">
        <v>183</v>
      </c>
      <c r="D186" s="3" t="s">
        <v>10</v>
      </c>
      <c r="E186" s="1" t="s">
        <v>185</v>
      </c>
      <c r="F186" s="2" t="s">
        <v>3</v>
      </c>
      <c r="G186" s="3">
        <v>3.34</v>
      </c>
      <c r="H186" s="2" t="s">
        <v>3</v>
      </c>
      <c r="I186" s="3">
        <v>2</v>
      </c>
      <c r="J186" s="2" t="s">
        <v>3</v>
      </c>
      <c r="K186" s="3">
        <v>5.35</v>
      </c>
      <c r="L186" s="2" t="s">
        <v>3</v>
      </c>
      <c r="N186" s="2" t="s">
        <v>3</v>
      </c>
      <c r="P186" s="2" t="s">
        <v>3</v>
      </c>
      <c r="R186" s="2" t="s">
        <v>3</v>
      </c>
      <c r="T186" s="2" t="s">
        <v>3</v>
      </c>
      <c r="U186" s="3">
        <f t="shared" si="8"/>
        <v>3.563333333333333</v>
      </c>
      <c r="V186"/>
      <c r="W186"/>
      <c r="X186"/>
      <c r="Y186"/>
      <c r="Z186"/>
      <c r="AA186"/>
      <c r="AB186"/>
      <c r="AC186"/>
      <c r="AD186"/>
      <c r="AE186"/>
      <c r="AF186"/>
      <c r="BI186"/>
    </row>
    <row r="187" spans="1:61" s="3" customFormat="1" ht="12.75">
      <c r="A187" s="8"/>
      <c r="B187" s="3" t="s">
        <v>17</v>
      </c>
      <c r="C187" s="1" t="s">
        <v>183</v>
      </c>
      <c r="D187" s="3" t="s">
        <v>10</v>
      </c>
      <c r="E187" s="1" t="s">
        <v>185</v>
      </c>
      <c r="F187" s="2" t="s">
        <v>3</v>
      </c>
      <c r="G187" s="3">
        <v>12.1</v>
      </c>
      <c r="H187" s="2" t="s">
        <v>3</v>
      </c>
      <c r="I187" s="3">
        <v>7.73</v>
      </c>
      <c r="J187" s="2" t="s">
        <v>3</v>
      </c>
      <c r="K187" s="3">
        <v>12.5</v>
      </c>
      <c r="L187" s="2" t="s">
        <v>3</v>
      </c>
      <c r="N187" s="2" t="s">
        <v>3</v>
      </c>
      <c r="P187" s="2" t="s">
        <v>3</v>
      </c>
      <c r="R187" s="2" t="s">
        <v>3</v>
      </c>
      <c r="T187" s="2" t="s">
        <v>3</v>
      </c>
      <c r="U187" s="3">
        <f t="shared" si="8"/>
        <v>10.776666666666666</v>
      </c>
      <c r="V187"/>
      <c r="W187"/>
      <c r="X187"/>
      <c r="Y187"/>
      <c r="Z187"/>
      <c r="AA187"/>
      <c r="AB187"/>
      <c r="AC187"/>
      <c r="AD187"/>
      <c r="AE187"/>
      <c r="AF187"/>
      <c r="BI187"/>
    </row>
    <row r="188" spans="1:61" s="3" customFormat="1" ht="12.75">
      <c r="A188" s="8"/>
      <c r="B188" s="3" t="s">
        <v>18</v>
      </c>
      <c r="C188" s="1" t="s">
        <v>183</v>
      </c>
      <c r="D188" s="3" t="s">
        <v>10</v>
      </c>
      <c r="E188" s="1" t="s">
        <v>185</v>
      </c>
      <c r="F188" s="2" t="s">
        <v>3</v>
      </c>
      <c r="G188" s="3">
        <v>6138</v>
      </c>
      <c r="H188" s="2" t="s">
        <v>3</v>
      </c>
      <c r="I188" s="3">
        <v>260</v>
      </c>
      <c r="J188" s="2" t="s">
        <v>3</v>
      </c>
      <c r="K188" s="3">
        <v>6154</v>
      </c>
      <c r="L188" s="2" t="s">
        <v>3</v>
      </c>
      <c r="N188" s="2" t="s">
        <v>3</v>
      </c>
      <c r="P188" s="2" t="s">
        <v>3</v>
      </c>
      <c r="R188" s="2" t="s">
        <v>3</v>
      </c>
      <c r="T188" s="2" t="s">
        <v>3</v>
      </c>
      <c r="U188" s="3">
        <f t="shared" si="8"/>
        <v>4184</v>
      </c>
      <c r="V188"/>
      <c r="W188"/>
      <c r="X188"/>
      <c r="Y188"/>
      <c r="Z188"/>
      <c r="AA188"/>
      <c r="AB188"/>
      <c r="AC188"/>
      <c r="AD188"/>
      <c r="AE188"/>
      <c r="AF188"/>
      <c r="BI188"/>
    </row>
    <row r="189" spans="1:61" s="3" customFormat="1" ht="12.75">
      <c r="A189" s="8"/>
      <c r="B189" s="3" t="s">
        <v>19</v>
      </c>
      <c r="C189" s="1" t="s">
        <v>183</v>
      </c>
      <c r="D189" s="3" t="s">
        <v>10</v>
      </c>
      <c r="E189" s="1" t="s">
        <v>185</v>
      </c>
      <c r="F189" s="2" t="s">
        <v>3</v>
      </c>
      <c r="G189" s="3">
        <v>258</v>
      </c>
      <c r="H189" s="2" t="s">
        <v>3</v>
      </c>
      <c r="I189" s="3">
        <v>51.1</v>
      </c>
      <c r="J189" s="2" t="s">
        <v>3</v>
      </c>
      <c r="K189" s="3">
        <v>152</v>
      </c>
      <c r="L189" s="2" t="s">
        <v>3</v>
      </c>
      <c r="N189" s="2" t="s">
        <v>3</v>
      </c>
      <c r="P189" s="2" t="s">
        <v>3</v>
      </c>
      <c r="R189" s="2" t="s">
        <v>3</v>
      </c>
      <c r="T189" s="2" t="s">
        <v>3</v>
      </c>
      <c r="U189" s="3">
        <f t="shared" si="8"/>
        <v>153.70000000000002</v>
      </c>
      <c r="V189"/>
      <c r="W189"/>
      <c r="X189"/>
      <c r="Y189"/>
      <c r="Z189"/>
      <c r="AA189"/>
      <c r="AB189"/>
      <c r="AC189"/>
      <c r="AD189"/>
      <c r="AE189"/>
      <c r="AF189"/>
      <c r="BI189"/>
    </row>
    <row r="190" spans="1:61" s="3" customFormat="1" ht="12.75">
      <c r="A190" s="8"/>
      <c r="B190" s="3" t="s">
        <v>20</v>
      </c>
      <c r="C190" s="1" t="s">
        <v>183</v>
      </c>
      <c r="D190" s="3" t="s">
        <v>10</v>
      </c>
      <c r="E190" s="1" t="s">
        <v>185</v>
      </c>
      <c r="F190" s="2" t="s">
        <v>3</v>
      </c>
      <c r="G190" s="3">
        <v>62.9</v>
      </c>
      <c r="H190" s="2" t="s">
        <v>3</v>
      </c>
      <c r="I190" s="3">
        <v>67.4</v>
      </c>
      <c r="J190" s="2" t="s">
        <v>3</v>
      </c>
      <c r="K190" s="3">
        <v>57.6</v>
      </c>
      <c r="L190" s="2" t="s">
        <v>3</v>
      </c>
      <c r="N190" s="2" t="s">
        <v>3</v>
      </c>
      <c r="P190" s="2" t="s">
        <v>3</v>
      </c>
      <c r="R190" s="2" t="s">
        <v>3</v>
      </c>
      <c r="T190" s="2" t="s">
        <v>3</v>
      </c>
      <c r="U190" s="3">
        <f aca="true" t="shared" si="9" ref="U190:U197">AVERAGE(G190,I190,K190)</f>
        <v>62.63333333333333</v>
      </c>
      <c r="V190"/>
      <c r="W190"/>
      <c r="X190"/>
      <c r="Y190"/>
      <c r="Z190"/>
      <c r="AA190"/>
      <c r="AB190"/>
      <c r="AC190"/>
      <c r="AD190"/>
      <c r="AE190"/>
      <c r="AF190"/>
      <c r="BI190"/>
    </row>
    <row r="191" spans="1:61" s="3" customFormat="1" ht="12.75">
      <c r="A191" s="8"/>
      <c r="B191" s="3" t="s">
        <v>21</v>
      </c>
      <c r="C191" s="1" t="s">
        <v>183</v>
      </c>
      <c r="D191" s="3" t="s">
        <v>10</v>
      </c>
      <c r="E191" s="1" t="s">
        <v>185</v>
      </c>
      <c r="F191" s="2" t="s">
        <v>3</v>
      </c>
      <c r="G191" s="3">
        <v>4.68</v>
      </c>
      <c r="H191" s="2" t="s">
        <v>3</v>
      </c>
      <c r="I191" s="3">
        <v>7.05</v>
      </c>
      <c r="J191" s="2" t="s">
        <v>3</v>
      </c>
      <c r="K191" s="3">
        <v>10.9</v>
      </c>
      <c r="L191" s="2" t="s">
        <v>3</v>
      </c>
      <c r="N191" s="2" t="s">
        <v>3</v>
      </c>
      <c r="P191" s="2" t="s">
        <v>3</v>
      </c>
      <c r="R191" s="2" t="s">
        <v>3</v>
      </c>
      <c r="T191" s="2" t="s">
        <v>3</v>
      </c>
      <c r="U191" s="3">
        <f t="shared" si="9"/>
        <v>7.543333333333334</v>
      </c>
      <c r="V191"/>
      <c r="W191"/>
      <c r="X191"/>
      <c r="Y191"/>
      <c r="Z191"/>
      <c r="AA191"/>
      <c r="AB191"/>
      <c r="AC191"/>
      <c r="AD191"/>
      <c r="AE191"/>
      <c r="AF191"/>
      <c r="BI191"/>
    </row>
    <row r="192" spans="1:61" s="3" customFormat="1" ht="12.75">
      <c r="A192" s="8"/>
      <c r="B192" s="3" t="s">
        <v>22</v>
      </c>
      <c r="C192" s="1" t="s">
        <v>183</v>
      </c>
      <c r="D192" s="3" t="s">
        <v>10</v>
      </c>
      <c r="E192" s="1" t="s">
        <v>185</v>
      </c>
      <c r="F192" s="2" t="s">
        <v>3</v>
      </c>
      <c r="G192" s="3">
        <v>5.32</v>
      </c>
      <c r="H192" s="2"/>
      <c r="I192" s="3">
        <v>0.8240000000000001</v>
      </c>
      <c r="J192" s="2" t="s">
        <v>3</v>
      </c>
      <c r="K192" s="3">
        <v>7.25</v>
      </c>
      <c r="L192" s="2" t="s">
        <v>3</v>
      </c>
      <c r="N192" s="2" t="s">
        <v>3</v>
      </c>
      <c r="P192" s="2" t="s">
        <v>3</v>
      </c>
      <c r="R192" s="2" t="s">
        <v>3</v>
      </c>
      <c r="T192" s="2" t="s">
        <v>3</v>
      </c>
      <c r="U192" s="3">
        <f t="shared" si="9"/>
        <v>4.464666666666667</v>
      </c>
      <c r="V192"/>
      <c r="W192"/>
      <c r="X192"/>
      <c r="Y192"/>
      <c r="Z192"/>
      <c r="AA192"/>
      <c r="AB192"/>
      <c r="AC192"/>
      <c r="AD192"/>
      <c r="AE192"/>
      <c r="AF192"/>
      <c r="BI192"/>
    </row>
    <row r="193" spans="1:61" s="3" customFormat="1" ht="12.75">
      <c r="A193" s="8"/>
      <c r="B193" s="3" t="s">
        <v>23</v>
      </c>
      <c r="C193" s="1" t="s">
        <v>183</v>
      </c>
      <c r="D193" s="3" t="s">
        <v>10</v>
      </c>
      <c r="E193" s="1" t="s">
        <v>185</v>
      </c>
      <c r="F193" s="2" t="s">
        <v>3</v>
      </c>
      <c r="G193" s="3">
        <v>0.5830000000000001</v>
      </c>
      <c r="H193" s="2" t="s">
        <v>11</v>
      </c>
      <c r="I193" s="3">
        <v>0.24899999999999997</v>
      </c>
      <c r="J193" s="2"/>
      <c r="K193" s="3">
        <v>0.788</v>
      </c>
      <c r="L193" s="2" t="s">
        <v>3</v>
      </c>
      <c r="N193" s="2" t="s">
        <v>3</v>
      </c>
      <c r="P193" s="2" t="s">
        <v>3</v>
      </c>
      <c r="R193" s="2" t="s">
        <v>3</v>
      </c>
      <c r="T193" s="2" t="s">
        <v>3</v>
      </c>
      <c r="U193" s="3">
        <f t="shared" si="9"/>
        <v>0.54</v>
      </c>
      <c r="V193"/>
      <c r="W193"/>
      <c r="X193"/>
      <c r="Y193"/>
      <c r="Z193"/>
      <c r="AA193"/>
      <c r="AB193"/>
      <c r="AC193"/>
      <c r="AD193"/>
      <c r="AE193"/>
      <c r="AF193"/>
      <c r="BI193"/>
    </row>
    <row r="194" spans="1:61" s="3" customFormat="1" ht="12.75">
      <c r="A194" s="8"/>
      <c r="B194" s="3" t="s">
        <v>24</v>
      </c>
      <c r="C194" s="1" t="s">
        <v>183</v>
      </c>
      <c r="D194" s="3" t="s">
        <v>10</v>
      </c>
      <c r="E194" s="1" t="s">
        <v>185</v>
      </c>
      <c r="F194" s="2" t="s">
        <v>3</v>
      </c>
      <c r="G194" s="3">
        <v>0.216</v>
      </c>
      <c r="H194" s="2"/>
      <c r="I194" s="3">
        <v>0.096</v>
      </c>
      <c r="J194" s="2" t="s">
        <v>3</v>
      </c>
      <c r="K194" s="3">
        <v>0.188</v>
      </c>
      <c r="L194" s="2" t="s">
        <v>3</v>
      </c>
      <c r="N194" s="2" t="s">
        <v>3</v>
      </c>
      <c r="P194" s="2" t="s">
        <v>3</v>
      </c>
      <c r="R194" s="2" t="s">
        <v>3</v>
      </c>
      <c r="T194" s="2" t="s">
        <v>3</v>
      </c>
      <c r="U194" s="3">
        <f t="shared" si="9"/>
        <v>0.16666666666666666</v>
      </c>
      <c r="V194"/>
      <c r="W194"/>
      <c r="X194"/>
      <c r="Y194"/>
      <c r="Z194"/>
      <c r="AA194"/>
      <c r="AB194"/>
      <c r="AC194"/>
      <c r="AD194"/>
      <c r="AE194"/>
      <c r="AF194"/>
      <c r="BI194"/>
    </row>
    <row r="195" spans="1:61" s="3" customFormat="1" ht="12.75">
      <c r="A195" s="8"/>
      <c r="B195" s="3" t="s">
        <v>25</v>
      </c>
      <c r="C195" s="1" t="s">
        <v>183</v>
      </c>
      <c r="D195" s="3" t="s">
        <v>10</v>
      </c>
      <c r="E195" s="1" t="s">
        <v>185</v>
      </c>
      <c r="F195" s="2" t="s">
        <v>3</v>
      </c>
      <c r="G195" s="3">
        <v>55.1</v>
      </c>
      <c r="H195" s="2" t="s">
        <v>3</v>
      </c>
      <c r="I195" s="3">
        <v>40</v>
      </c>
      <c r="J195" s="2" t="s">
        <v>3</v>
      </c>
      <c r="K195" s="3">
        <v>53.4</v>
      </c>
      <c r="L195" s="2" t="s">
        <v>3</v>
      </c>
      <c r="N195" s="2" t="s">
        <v>3</v>
      </c>
      <c r="P195" s="2" t="s">
        <v>3</v>
      </c>
      <c r="R195" s="2" t="s">
        <v>3</v>
      </c>
      <c r="T195" s="2" t="s">
        <v>3</v>
      </c>
      <c r="U195" s="3">
        <f t="shared" si="9"/>
        <v>49.5</v>
      </c>
      <c r="V195"/>
      <c r="W195"/>
      <c r="X195"/>
      <c r="Y195"/>
      <c r="Z195"/>
      <c r="AA195"/>
      <c r="AB195"/>
      <c r="AC195"/>
      <c r="AD195"/>
      <c r="AE195"/>
      <c r="AF195"/>
      <c r="BI195"/>
    </row>
    <row r="196" spans="1:61" s="3" customFormat="1" ht="12.75">
      <c r="A196" s="8"/>
      <c r="B196" s="3" t="s">
        <v>67</v>
      </c>
      <c r="C196" s="1" t="s">
        <v>183</v>
      </c>
      <c r="D196" s="3" t="s">
        <v>10</v>
      </c>
      <c r="E196" s="1" t="s">
        <v>185</v>
      </c>
      <c r="F196" s="2"/>
      <c r="G196" s="3">
        <f>G185+G189</f>
        <v>260.06</v>
      </c>
      <c r="H196" s="2"/>
      <c r="I196" s="3">
        <f>I185+I189</f>
        <v>52.35</v>
      </c>
      <c r="J196" s="2"/>
      <c r="K196" s="3">
        <f>K185+K189</f>
        <v>154.22</v>
      </c>
      <c r="L196" s="2"/>
      <c r="N196" s="2" t="s">
        <v>3</v>
      </c>
      <c r="P196" s="2" t="s">
        <v>3</v>
      </c>
      <c r="R196" s="2"/>
      <c r="T196" s="2"/>
      <c r="U196" s="3">
        <f t="shared" si="9"/>
        <v>155.54333333333332</v>
      </c>
      <c r="V196"/>
      <c r="W196"/>
      <c r="X196"/>
      <c r="Y196"/>
      <c r="Z196"/>
      <c r="AA196"/>
      <c r="AB196"/>
      <c r="AC196"/>
      <c r="AD196"/>
      <c r="AE196"/>
      <c r="AF196"/>
      <c r="BI196"/>
    </row>
    <row r="197" spans="1:61" s="3" customFormat="1" ht="12.75">
      <c r="A197" s="8"/>
      <c r="B197" s="3" t="s">
        <v>68</v>
      </c>
      <c r="C197" s="1" t="s">
        <v>183</v>
      </c>
      <c r="D197" s="3" t="s">
        <v>10</v>
      </c>
      <c r="E197" s="1" t="s">
        <v>185</v>
      </c>
      <c r="F197" s="2">
        <v>0.46040515653775327</v>
      </c>
      <c r="G197" s="3">
        <v>4.343999999999999</v>
      </c>
      <c r="H197" s="2">
        <v>0.7722007722007721</v>
      </c>
      <c r="I197" s="3">
        <v>2.331</v>
      </c>
      <c r="J197" s="2">
        <v>0</v>
      </c>
      <c r="K197" s="3">
        <v>6.325</v>
      </c>
      <c r="L197" s="2"/>
      <c r="N197" s="2" t="s">
        <v>3</v>
      </c>
      <c r="P197" s="2" t="s">
        <v>3</v>
      </c>
      <c r="R197" s="2"/>
      <c r="T197" s="2">
        <v>0.29230769230769227</v>
      </c>
      <c r="U197" s="3">
        <v>4.333333333</v>
      </c>
      <c r="V197"/>
      <c r="W197"/>
      <c r="X197"/>
      <c r="Y197"/>
      <c r="Z197"/>
      <c r="AA197"/>
      <c r="AB197"/>
      <c r="AC197"/>
      <c r="AD197"/>
      <c r="AE197"/>
      <c r="AF197"/>
      <c r="BI197"/>
    </row>
    <row r="198" spans="1:61" s="3" customFormat="1" ht="12.75">
      <c r="A198" s="8"/>
      <c r="F198" s="2"/>
      <c r="H198" s="2"/>
      <c r="J198" s="2"/>
      <c r="L198" s="2"/>
      <c r="N198" s="2"/>
      <c r="P198" s="2"/>
      <c r="R198" s="2"/>
      <c r="T198" s="2"/>
      <c r="V198"/>
      <c r="W198"/>
      <c r="X198"/>
      <c r="Y198"/>
      <c r="Z198"/>
      <c r="AA198"/>
      <c r="AB198"/>
      <c r="AC198"/>
      <c r="AD198"/>
      <c r="AE198"/>
      <c r="AF198"/>
      <c r="BI198"/>
    </row>
    <row r="199" spans="1:61" s="3" customFormat="1" ht="12.75">
      <c r="A199" s="8"/>
      <c r="B199" s="3" t="s">
        <v>53</v>
      </c>
      <c r="C199" s="4" t="s">
        <v>38</v>
      </c>
      <c r="D199" s="3" t="s">
        <v>183</v>
      </c>
      <c r="F199" s="2"/>
      <c r="H199" s="2"/>
      <c r="J199" s="2"/>
      <c r="L199" s="2"/>
      <c r="N199" s="2"/>
      <c r="P199" s="2"/>
      <c r="R199" s="2"/>
      <c r="T199" s="2"/>
      <c r="V199"/>
      <c r="W199"/>
      <c r="X199"/>
      <c r="Y199"/>
      <c r="Z199"/>
      <c r="AA199"/>
      <c r="AB199"/>
      <c r="AC199"/>
      <c r="AD199"/>
      <c r="AE199"/>
      <c r="AF199"/>
      <c r="BI199"/>
    </row>
    <row r="200" spans="1:61" s="4" customFormat="1" ht="12.75">
      <c r="A200" s="8"/>
      <c r="B200" s="26" t="s">
        <v>189</v>
      </c>
      <c r="C200" s="26"/>
      <c r="D200" s="26" t="s">
        <v>190</v>
      </c>
      <c r="G200" s="2">
        <v>50799</v>
      </c>
      <c r="H200" s="2"/>
      <c r="I200" s="2">
        <v>56471</v>
      </c>
      <c r="J200" s="2"/>
      <c r="K200" s="2">
        <v>55990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/>
      <c r="W200"/>
      <c r="X200"/>
      <c r="Y200"/>
      <c r="Z200"/>
      <c r="AA200"/>
      <c r="AB200"/>
      <c r="AC200"/>
      <c r="AD200"/>
      <c r="AE200"/>
      <c r="AF200"/>
      <c r="AG200" s="2"/>
      <c r="AH200" s="2"/>
      <c r="AI200" s="2"/>
      <c r="AJ200" s="2"/>
      <c r="AK200" s="2"/>
      <c r="AL200" s="2"/>
      <c r="AM200" s="2"/>
      <c r="AN200" s="2"/>
      <c r="AO200" s="2"/>
      <c r="BI200"/>
    </row>
    <row r="201" spans="1:61" s="4" customFormat="1" ht="12.75">
      <c r="A201" s="8"/>
      <c r="B201" s="26" t="s">
        <v>191</v>
      </c>
      <c r="C201" s="26"/>
      <c r="D201" s="26" t="s">
        <v>192</v>
      </c>
      <c r="G201" s="2">
        <v>9</v>
      </c>
      <c r="H201" s="2"/>
      <c r="I201" s="2">
        <v>9</v>
      </c>
      <c r="J201" s="2"/>
      <c r="K201" s="2">
        <v>8.2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/>
      <c r="W201"/>
      <c r="X201"/>
      <c r="Y201"/>
      <c r="Z201"/>
      <c r="AA201"/>
      <c r="AB201"/>
      <c r="AC201"/>
      <c r="AD201"/>
      <c r="AE201"/>
      <c r="AF201"/>
      <c r="AG201" s="2"/>
      <c r="AH201" s="2"/>
      <c r="AI201" s="2"/>
      <c r="AJ201" s="2"/>
      <c r="AK201" s="2"/>
      <c r="AL201" s="2"/>
      <c r="AM201" s="2"/>
      <c r="AN201" s="2"/>
      <c r="AO201" s="2"/>
      <c r="BI201"/>
    </row>
    <row r="202" spans="1:61" s="4" customFormat="1" ht="12.75">
      <c r="A202" s="8"/>
      <c r="B202" s="26" t="s">
        <v>193</v>
      </c>
      <c r="C202" s="26"/>
      <c r="D202" s="26" t="s">
        <v>192</v>
      </c>
      <c r="G202" s="2">
        <v>0</v>
      </c>
      <c r="H202" s="2"/>
      <c r="I202" s="2">
        <v>0</v>
      </c>
      <c r="J202" s="2"/>
      <c r="K202" s="2">
        <v>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/>
      <c r="W202"/>
      <c r="X202"/>
      <c r="Y202"/>
      <c r="Z202"/>
      <c r="AA202"/>
      <c r="AB202"/>
      <c r="AC202"/>
      <c r="AD202"/>
      <c r="AE202"/>
      <c r="AF202"/>
      <c r="AG202" s="2"/>
      <c r="AH202" s="2"/>
      <c r="AI202" s="2"/>
      <c r="AJ202" s="2"/>
      <c r="AK202" s="2"/>
      <c r="AL202" s="2"/>
      <c r="AM202" s="2"/>
      <c r="AN202" s="2"/>
      <c r="AO202" s="2"/>
      <c r="BI202"/>
    </row>
    <row r="203" spans="1:61" s="4" customFormat="1" ht="12.75">
      <c r="A203" s="8"/>
      <c r="B203" s="26" t="s">
        <v>194</v>
      </c>
      <c r="C203" s="26"/>
      <c r="D203" s="26" t="s">
        <v>195</v>
      </c>
      <c r="G203" s="2">
        <v>0</v>
      </c>
      <c r="H203" s="2"/>
      <c r="I203" s="2">
        <v>0</v>
      </c>
      <c r="J203" s="2"/>
      <c r="K203" s="2">
        <v>0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/>
      <c r="W203"/>
      <c r="X203"/>
      <c r="Y203"/>
      <c r="Z203"/>
      <c r="AA203"/>
      <c r="AB203"/>
      <c r="AC203"/>
      <c r="AD203"/>
      <c r="AE203"/>
      <c r="AF203"/>
      <c r="AG203" s="2"/>
      <c r="AH203" s="2"/>
      <c r="AI203" s="2"/>
      <c r="AJ203" s="2"/>
      <c r="AK203" s="2"/>
      <c r="AL203" s="2"/>
      <c r="AM203" s="2"/>
      <c r="AN203" s="2"/>
      <c r="AO203" s="2"/>
      <c r="BI203"/>
    </row>
    <row r="204" spans="1:61" s="3" customFormat="1" ht="12.75">
      <c r="A204" s="8"/>
      <c r="F204" s="2"/>
      <c r="H204" s="2"/>
      <c r="J204" s="2"/>
      <c r="L204" s="2"/>
      <c r="N204" s="2"/>
      <c r="P204" s="2"/>
      <c r="R204" s="2"/>
      <c r="T204" s="2"/>
      <c r="V204"/>
      <c r="W204"/>
      <c r="X204"/>
      <c r="Y204"/>
      <c r="Z204"/>
      <c r="AA204"/>
      <c r="AB204"/>
      <c r="AC204"/>
      <c r="AD204"/>
      <c r="AE204"/>
      <c r="AF204"/>
      <c r="BI204"/>
    </row>
    <row r="205" spans="1:61" s="3" customFormat="1" ht="12.75">
      <c r="A205" s="8" t="s">
        <v>198</v>
      </c>
      <c r="B205" s="5" t="s">
        <v>27</v>
      </c>
      <c r="F205" s="2"/>
      <c r="G205" s="23" t="s">
        <v>54</v>
      </c>
      <c r="H205" s="23"/>
      <c r="I205" s="23" t="s">
        <v>55</v>
      </c>
      <c r="J205" s="23"/>
      <c r="K205" s="23" t="s">
        <v>56</v>
      </c>
      <c r="L205" s="23"/>
      <c r="M205" s="23" t="s">
        <v>57</v>
      </c>
      <c r="N205" s="23"/>
      <c r="O205" s="23" t="s">
        <v>58</v>
      </c>
      <c r="P205" s="23"/>
      <c r="Q205" s="23" t="s">
        <v>59</v>
      </c>
      <c r="R205" s="23"/>
      <c r="S205" s="23" t="s">
        <v>60</v>
      </c>
      <c r="T205" s="23"/>
      <c r="U205" s="23" t="s">
        <v>61</v>
      </c>
      <c r="V205"/>
      <c r="W205"/>
      <c r="X205"/>
      <c r="Y205"/>
      <c r="Z205"/>
      <c r="AA205"/>
      <c r="AB205"/>
      <c r="AC205"/>
      <c r="AD205"/>
      <c r="AE205"/>
      <c r="AF205"/>
      <c r="BI205"/>
    </row>
    <row r="206" spans="1:61" s="3" customFormat="1" ht="12.75">
      <c r="A206" s="8"/>
      <c r="F206" s="2"/>
      <c r="H206" s="2"/>
      <c r="J206" s="2"/>
      <c r="L206" s="2"/>
      <c r="N206" s="2"/>
      <c r="P206" s="2"/>
      <c r="R206" s="2"/>
      <c r="T206" s="2"/>
      <c r="V206"/>
      <c r="W206"/>
      <c r="X206"/>
      <c r="Y206"/>
      <c r="Z206"/>
      <c r="AA206"/>
      <c r="AB206"/>
      <c r="AC206"/>
      <c r="AD206"/>
      <c r="AE206"/>
      <c r="AF206"/>
      <c r="BI206"/>
    </row>
    <row r="207" spans="1:61" s="1" customFormat="1" ht="12.75">
      <c r="A207" s="8"/>
      <c r="B207" s="1" t="s">
        <v>1</v>
      </c>
      <c r="C207" s="1" t="s">
        <v>183</v>
      </c>
      <c r="D207" s="1" t="s">
        <v>2</v>
      </c>
      <c r="E207" s="1" t="s">
        <v>185</v>
      </c>
      <c r="F207" s="2" t="s">
        <v>3</v>
      </c>
      <c r="G207" s="1">
        <v>0.02900028768</v>
      </c>
      <c r="H207" s="2" t="s">
        <v>3</v>
      </c>
      <c r="I207" s="1">
        <v>0.02900028768</v>
      </c>
      <c r="J207" s="2" t="s">
        <v>3</v>
      </c>
      <c r="K207" s="1">
        <v>0.0200001984</v>
      </c>
      <c r="L207" s="2" t="s">
        <v>3</v>
      </c>
      <c r="N207" s="2" t="s">
        <v>3</v>
      </c>
      <c r="P207" s="2" t="s">
        <v>3</v>
      </c>
      <c r="R207" s="2" t="s">
        <v>3</v>
      </c>
      <c r="T207" s="2" t="s">
        <v>3</v>
      </c>
      <c r="U207" s="1">
        <f aca="true" t="shared" si="10" ref="U207:U214">AVERAGE(G207,I207,K207)</f>
        <v>0.026000257920000002</v>
      </c>
      <c r="V207"/>
      <c r="W207"/>
      <c r="X207"/>
      <c r="Y207"/>
      <c r="Z207"/>
      <c r="AA207"/>
      <c r="AB207"/>
      <c r="AC207"/>
      <c r="AD207"/>
      <c r="AE207"/>
      <c r="AF207"/>
      <c r="BI207"/>
    </row>
    <row r="208" spans="1:61" s="3" customFormat="1" ht="12.75">
      <c r="A208" s="8"/>
      <c r="B208" s="3" t="s">
        <v>28</v>
      </c>
      <c r="C208" s="1" t="s">
        <v>183</v>
      </c>
      <c r="D208" s="3" t="s">
        <v>5</v>
      </c>
      <c r="E208" s="1" t="s">
        <v>185</v>
      </c>
      <c r="F208" s="2" t="s">
        <v>3</v>
      </c>
      <c r="G208" s="3">
        <v>546</v>
      </c>
      <c r="H208" s="2" t="s">
        <v>3</v>
      </c>
      <c r="I208" s="3">
        <v>215</v>
      </c>
      <c r="J208" s="2" t="s">
        <v>3</v>
      </c>
      <c r="K208" s="3">
        <v>141</v>
      </c>
      <c r="L208" s="2" t="s">
        <v>3</v>
      </c>
      <c r="N208" s="2" t="s">
        <v>3</v>
      </c>
      <c r="P208" s="2" t="s">
        <v>3</v>
      </c>
      <c r="R208" s="2" t="s">
        <v>3</v>
      </c>
      <c r="T208" s="2" t="s">
        <v>3</v>
      </c>
      <c r="U208" s="3">
        <f t="shared" si="10"/>
        <v>300.6666666666667</v>
      </c>
      <c r="V208"/>
      <c r="W208"/>
      <c r="X208"/>
      <c r="Y208"/>
      <c r="Z208"/>
      <c r="AA208"/>
      <c r="AB208"/>
      <c r="AC208"/>
      <c r="AD208"/>
      <c r="AE208"/>
      <c r="AF208"/>
      <c r="BI208"/>
    </row>
    <row r="209" spans="1:61" s="3" customFormat="1" ht="12.75">
      <c r="A209" s="8"/>
      <c r="B209" s="3" t="s">
        <v>4</v>
      </c>
      <c r="C209" s="1" t="s">
        <v>183</v>
      </c>
      <c r="D209" s="3" t="s">
        <v>5</v>
      </c>
      <c r="E209" s="1" t="s">
        <v>185</v>
      </c>
      <c r="F209" s="2" t="s">
        <v>3</v>
      </c>
      <c r="G209" s="3">
        <v>216</v>
      </c>
      <c r="H209" s="2" t="s">
        <v>3</v>
      </c>
      <c r="I209" s="3">
        <v>178</v>
      </c>
      <c r="J209" s="2" t="s">
        <v>3</v>
      </c>
      <c r="K209" s="3">
        <v>115</v>
      </c>
      <c r="L209" s="2" t="s">
        <v>3</v>
      </c>
      <c r="N209" s="2" t="s">
        <v>3</v>
      </c>
      <c r="P209" s="2" t="s">
        <v>3</v>
      </c>
      <c r="R209" s="2" t="s">
        <v>3</v>
      </c>
      <c r="T209" s="2" t="s">
        <v>3</v>
      </c>
      <c r="U209" s="3">
        <f t="shared" si="10"/>
        <v>169.66666666666666</v>
      </c>
      <c r="V209"/>
      <c r="W209"/>
      <c r="X209"/>
      <c r="Y209"/>
      <c r="Z209"/>
      <c r="AA209"/>
      <c r="AB209"/>
      <c r="AC209"/>
      <c r="AD209"/>
      <c r="AE209"/>
      <c r="AF209"/>
      <c r="BI209"/>
    </row>
    <row r="210" spans="1:61" s="3" customFormat="1" ht="12.75">
      <c r="A210" s="8"/>
      <c r="B210" s="3" t="s">
        <v>29</v>
      </c>
      <c r="C210" s="1" t="s">
        <v>183</v>
      </c>
      <c r="D210" s="3" t="s">
        <v>5</v>
      </c>
      <c r="E210" s="1" t="s">
        <v>185</v>
      </c>
      <c r="F210" s="2" t="s">
        <v>3</v>
      </c>
      <c r="G210" s="3">
        <v>3.6</v>
      </c>
      <c r="H210" s="2" t="s">
        <v>3</v>
      </c>
      <c r="I210" s="3">
        <v>3.4</v>
      </c>
      <c r="J210" s="2" t="s">
        <v>3</v>
      </c>
      <c r="K210" s="3">
        <v>3.2</v>
      </c>
      <c r="L210" s="2" t="s">
        <v>3</v>
      </c>
      <c r="N210" s="2" t="s">
        <v>3</v>
      </c>
      <c r="P210" s="2" t="s">
        <v>3</v>
      </c>
      <c r="R210" s="2" t="s">
        <v>3</v>
      </c>
      <c r="T210" s="2" t="s">
        <v>3</v>
      </c>
      <c r="U210" s="3">
        <f t="shared" si="10"/>
        <v>3.4</v>
      </c>
      <c r="V210"/>
      <c r="W210"/>
      <c r="X210"/>
      <c r="Y210"/>
      <c r="Z210"/>
      <c r="AA210"/>
      <c r="AB210"/>
      <c r="AC210"/>
      <c r="AD210"/>
      <c r="AE210"/>
      <c r="AF210"/>
      <c r="BI210"/>
    </row>
    <row r="211" spans="1:61" s="3" customFormat="1" ht="12.75">
      <c r="A211" s="8"/>
      <c r="B211" s="3" t="s">
        <v>6</v>
      </c>
      <c r="C211" s="1" t="s">
        <v>183</v>
      </c>
      <c r="D211" s="3" t="s">
        <v>5</v>
      </c>
      <c r="E211" s="1" t="s">
        <v>185</v>
      </c>
      <c r="F211" s="2" t="s">
        <v>3</v>
      </c>
      <c r="G211" s="3">
        <v>3.5</v>
      </c>
      <c r="H211" s="2" t="s">
        <v>3</v>
      </c>
      <c r="I211" s="3">
        <v>3.3</v>
      </c>
      <c r="J211" s="2" t="s">
        <v>3</v>
      </c>
      <c r="K211" s="3">
        <v>3.1</v>
      </c>
      <c r="L211" s="2" t="s">
        <v>3</v>
      </c>
      <c r="N211" s="2" t="s">
        <v>3</v>
      </c>
      <c r="P211" s="2" t="s">
        <v>3</v>
      </c>
      <c r="R211" s="2" t="s">
        <v>3</v>
      </c>
      <c r="T211" s="2" t="s">
        <v>3</v>
      </c>
      <c r="U211" s="3">
        <f t="shared" si="10"/>
        <v>3.3000000000000003</v>
      </c>
      <c r="V211"/>
      <c r="W211"/>
      <c r="X211"/>
      <c r="Y211"/>
      <c r="Z211"/>
      <c r="AA211"/>
      <c r="AB211"/>
      <c r="AC211"/>
      <c r="AD211"/>
      <c r="AE211"/>
      <c r="AF211"/>
      <c r="BI211"/>
    </row>
    <row r="212" spans="1:61" s="3" customFormat="1" ht="12.75">
      <c r="A212" s="8"/>
      <c r="B212" s="3" t="s">
        <v>7</v>
      </c>
      <c r="C212" s="1" t="s">
        <v>183</v>
      </c>
      <c r="D212" s="3" t="s">
        <v>5</v>
      </c>
      <c r="E212" s="1" t="s">
        <v>185</v>
      </c>
      <c r="F212" s="2" t="s">
        <v>3</v>
      </c>
      <c r="G212" s="3">
        <v>36.24416596593085</v>
      </c>
      <c r="H212" s="2" t="s">
        <v>3</v>
      </c>
      <c r="I212" s="3">
        <v>30.89136063343989</v>
      </c>
      <c r="J212" s="2" t="s">
        <v>3</v>
      </c>
      <c r="K212" s="3">
        <v>24.48037914025744</v>
      </c>
      <c r="L212" s="2" t="s">
        <v>3</v>
      </c>
      <c r="N212" s="2" t="s">
        <v>3</v>
      </c>
      <c r="P212" s="2" t="s">
        <v>3</v>
      </c>
      <c r="R212" s="2" t="s">
        <v>3</v>
      </c>
      <c r="T212" s="2" t="s">
        <v>3</v>
      </c>
      <c r="U212" s="3">
        <f t="shared" si="10"/>
        <v>30.538635246542725</v>
      </c>
      <c r="V212"/>
      <c r="W212"/>
      <c r="X212"/>
      <c r="Y212"/>
      <c r="Z212"/>
      <c r="AA212"/>
      <c r="AB212"/>
      <c r="AC212"/>
      <c r="AD212"/>
      <c r="AE212"/>
      <c r="AF212"/>
      <c r="BI212"/>
    </row>
    <row r="213" spans="1:61" s="3" customFormat="1" ht="12.75">
      <c r="A213" s="8"/>
      <c r="B213" s="3" t="s">
        <v>8</v>
      </c>
      <c r="C213" s="1" t="s">
        <v>183</v>
      </c>
      <c r="D213" s="3" t="s">
        <v>5</v>
      </c>
      <c r="E213" s="1" t="s">
        <v>185</v>
      </c>
      <c r="F213" s="2" t="s">
        <v>3</v>
      </c>
      <c r="G213" s="3">
        <v>0.00037644800509788</v>
      </c>
      <c r="H213" s="2" t="s">
        <v>3</v>
      </c>
      <c r="I213" s="3">
        <v>7.63390854426597E-05</v>
      </c>
      <c r="J213" s="2" t="s">
        <v>3</v>
      </c>
      <c r="K213" s="3">
        <v>0.00015585494767285</v>
      </c>
      <c r="L213" s="2" t="s">
        <v>3</v>
      </c>
      <c r="N213" s="2" t="s">
        <v>3</v>
      </c>
      <c r="P213" s="2" t="s">
        <v>3</v>
      </c>
      <c r="R213" s="2" t="s">
        <v>3</v>
      </c>
      <c r="T213" s="2" t="s">
        <v>3</v>
      </c>
      <c r="U213" s="3">
        <f t="shared" si="10"/>
        <v>0.00020288067940446323</v>
      </c>
      <c r="V213"/>
      <c r="W213"/>
      <c r="X213"/>
      <c r="Y213"/>
      <c r="Z213"/>
      <c r="AA213"/>
      <c r="AB213"/>
      <c r="AC213"/>
      <c r="AD213"/>
      <c r="AE213"/>
      <c r="AF213"/>
      <c r="BI213"/>
    </row>
    <row r="214" spans="1:61" s="3" customFormat="1" ht="12.75">
      <c r="A214" s="8"/>
      <c r="B214" s="3" t="s">
        <v>184</v>
      </c>
      <c r="C214" s="1" t="s">
        <v>183</v>
      </c>
      <c r="D214" s="3" t="s">
        <v>5</v>
      </c>
      <c r="E214" s="1" t="s">
        <v>185</v>
      </c>
      <c r="F214" s="2"/>
      <c r="G214" s="3">
        <f>G212+2*G213</f>
        <v>36.244918861941045</v>
      </c>
      <c r="H214" s="2"/>
      <c r="I214" s="3">
        <f>I212+2*I213</f>
        <v>30.891513311610776</v>
      </c>
      <c r="J214" s="2"/>
      <c r="K214" s="3">
        <f>K212+2*K213</f>
        <v>24.480690850152786</v>
      </c>
      <c r="L214" s="2"/>
      <c r="N214" s="2"/>
      <c r="P214" s="2"/>
      <c r="R214" s="2"/>
      <c r="T214" s="2"/>
      <c r="U214" s="3">
        <f t="shared" si="10"/>
        <v>30.539041007901535</v>
      </c>
      <c r="V214"/>
      <c r="W214"/>
      <c r="X214"/>
      <c r="Y214"/>
      <c r="Z214"/>
      <c r="AA214"/>
      <c r="AB214"/>
      <c r="AC214"/>
      <c r="AD214"/>
      <c r="AE214"/>
      <c r="AF214"/>
      <c r="BI214"/>
    </row>
    <row r="215" spans="1:61" s="3" customFormat="1" ht="12.75">
      <c r="A215" s="8"/>
      <c r="B215" s="3" t="s">
        <v>9</v>
      </c>
      <c r="C215" s="1" t="s">
        <v>186</v>
      </c>
      <c r="D215" s="3" t="s">
        <v>10</v>
      </c>
      <c r="E215" s="1" t="s">
        <v>185</v>
      </c>
      <c r="F215" s="2" t="s">
        <v>3</v>
      </c>
      <c r="G215" s="3">
        <v>1.34</v>
      </c>
      <c r="H215" s="2" t="s">
        <v>11</v>
      </c>
      <c r="I215" s="3">
        <v>2.11</v>
      </c>
      <c r="J215" s="2" t="s">
        <v>11</v>
      </c>
      <c r="K215" s="3">
        <v>2.85</v>
      </c>
      <c r="L215" s="2" t="s">
        <v>3</v>
      </c>
      <c r="N215" s="2" t="s">
        <v>3</v>
      </c>
      <c r="P215" s="2" t="s">
        <v>3</v>
      </c>
      <c r="R215" s="2" t="s">
        <v>3</v>
      </c>
      <c r="T215" s="2" t="s">
        <v>3</v>
      </c>
      <c r="U215" s="3">
        <f aca="true" t="shared" si="11" ref="U215:U221">AVERAGE(G215,I215,K215)</f>
        <v>2.1</v>
      </c>
      <c r="V215"/>
      <c r="W215"/>
      <c r="X215"/>
      <c r="Y215"/>
      <c r="Z215"/>
      <c r="AA215"/>
      <c r="AB215"/>
      <c r="AC215"/>
      <c r="AD215"/>
      <c r="AE215"/>
      <c r="AF215"/>
      <c r="BI215"/>
    </row>
    <row r="216" spans="1:61" s="3" customFormat="1" ht="12.75">
      <c r="A216" s="8"/>
      <c r="B216" s="3" t="s">
        <v>12</v>
      </c>
      <c r="C216" s="1" t="s">
        <v>186</v>
      </c>
      <c r="D216" s="3" t="s">
        <v>10</v>
      </c>
      <c r="E216" s="1" t="s">
        <v>185</v>
      </c>
      <c r="F216" s="2" t="s">
        <v>3</v>
      </c>
      <c r="G216" s="3">
        <v>1.0568465336934192</v>
      </c>
      <c r="H216" s="2" t="s">
        <v>3</v>
      </c>
      <c r="I216" s="3">
        <v>1.792048905444944</v>
      </c>
      <c r="J216" s="2" t="s">
        <v>3</v>
      </c>
      <c r="K216" s="3">
        <v>1.1111833303665348</v>
      </c>
      <c r="L216" s="2" t="s">
        <v>3</v>
      </c>
      <c r="N216" s="2" t="s">
        <v>3</v>
      </c>
      <c r="P216" s="2" t="s">
        <v>3</v>
      </c>
      <c r="R216" s="2" t="s">
        <v>3</v>
      </c>
      <c r="T216" s="2" t="s">
        <v>3</v>
      </c>
      <c r="U216" s="3">
        <f t="shared" si="11"/>
        <v>1.3200262565016327</v>
      </c>
      <c r="V216"/>
      <c r="W216"/>
      <c r="X216"/>
      <c r="Y216"/>
      <c r="Z216"/>
      <c r="AA216"/>
      <c r="AB216"/>
      <c r="AC216"/>
      <c r="AD216"/>
      <c r="AE216"/>
      <c r="AF216"/>
      <c r="BI216"/>
    </row>
    <row r="217" spans="1:61" s="3" customFormat="1" ht="12.75">
      <c r="A217" s="8"/>
      <c r="B217" s="3" t="s">
        <v>13</v>
      </c>
      <c r="C217" s="1" t="s">
        <v>186</v>
      </c>
      <c r="D217" s="3" t="s">
        <v>10</v>
      </c>
      <c r="E217" s="1" t="s">
        <v>185</v>
      </c>
      <c r="F217" s="2" t="s">
        <v>3</v>
      </c>
      <c r="G217" s="3">
        <v>72.9</v>
      </c>
      <c r="H217" s="2" t="s">
        <v>3</v>
      </c>
      <c r="I217" s="3">
        <v>108</v>
      </c>
      <c r="J217" s="2" t="s">
        <v>3</v>
      </c>
      <c r="K217" s="3">
        <v>71.5</v>
      </c>
      <c r="L217" s="2" t="s">
        <v>3</v>
      </c>
      <c r="N217" s="2" t="s">
        <v>3</v>
      </c>
      <c r="P217" s="2" t="s">
        <v>3</v>
      </c>
      <c r="R217" s="2" t="s">
        <v>3</v>
      </c>
      <c r="T217" s="2" t="s">
        <v>3</v>
      </c>
      <c r="U217" s="3">
        <f t="shared" si="11"/>
        <v>84.13333333333334</v>
      </c>
      <c r="V217"/>
      <c r="W217"/>
      <c r="X217"/>
      <c r="Y217"/>
      <c r="Z217"/>
      <c r="AA217"/>
      <c r="AB217"/>
      <c r="AC217"/>
      <c r="AD217"/>
      <c r="AE217"/>
      <c r="AF217"/>
      <c r="BI217"/>
    </row>
    <row r="218" spans="1:61" s="3" customFormat="1" ht="12.75">
      <c r="A218" s="8"/>
      <c r="B218" s="3" t="s">
        <v>14</v>
      </c>
      <c r="C218" s="1" t="s">
        <v>186</v>
      </c>
      <c r="D218" s="3" t="s">
        <v>10</v>
      </c>
      <c r="E218" s="1" t="s">
        <v>185</v>
      </c>
      <c r="F218" s="2" t="s">
        <v>3</v>
      </c>
      <c r="G218" s="3">
        <v>0.42273861347736774</v>
      </c>
      <c r="H218" s="2" t="s">
        <v>3</v>
      </c>
      <c r="I218" s="3">
        <v>0.6720183395418539</v>
      </c>
      <c r="J218" s="2" t="s">
        <v>3</v>
      </c>
      <c r="K218" s="3">
        <v>0.22223666607330694</v>
      </c>
      <c r="L218" s="2" t="s">
        <v>3</v>
      </c>
      <c r="N218" s="2" t="s">
        <v>3</v>
      </c>
      <c r="P218" s="2" t="s">
        <v>3</v>
      </c>
      <c r="R218" s="2" t="s">
        <v>3</v>
      </c>
      <c r="T218" s="2" t="s">
        <v>3</v>
      </c>
      <c r="U218" s="3">
        <f t="shared" si="11"/>
        <v>0.4389978730308428</v>
      </c>
      <c r="V218"/>
      <c r="W218"/>
      <c r="X218"/>
      <c r="Y218"/>
      <c r="Z218"/>
      <c r="AA218"/>
      <c r="AB218"/>
      <c r="AC218"/>
      <c r="AD218"/>
      <c r="AE218"/>
      <c r="AF218"/>
      <c r="BI218"/>
    </row>
    <row r="219" spans="1:61" s="3" customFormat="1" ht="12.75">
      <c r="A219" s="8"/>
      <c r="B219" s="3" t="s">
        <v>15</v>
      </c>
      <c r="C219" s="1" t="s">
        <v>186</v>
      </c>
      <c r="D219" s="3" t="s">
        <v>10</v>
      </c>
      <c r="E219" s="1" t="s">
        <v>185</v>
      </c>
      <c r="F219" s="2" t="s">
        <v>3</v>
      </c>
      <c r="G219" s="3">
        <v>43.33070788143018</v>
      </c>
      <c r="H219" s="2" t="s">
        <v>3</v>
      </c>
      <c r="I219" s="3">
        <v>48.72132961678441</v>
      </c>
      <c r="J219" s="2" t="s">
        <v>3</v>
      </c>
      <c r="K219" s="3">
        <v>33.113263244922734</v>
      </c>
      <c r="L219" s="2" t="s">
        <v>3</v>
      </c>
      <c r="N219" s="2" t="s">
        <v>3</v>
      </c>
      <c r="P219" s="2" t="s">
        <v>3</v>
      </c>
      <c r="R219" s="2" t="s">
        <v>3</v>
      </c>
      <c r="T219" s="2" t="s">
        <v>3</v>
      </c>
      <c r="U219" s="3">
        <f t="shared" si="11"/>
        <v>41.72176691437911</v>
      </c>
      <c r="V219"/>
      <c r="W219"/>
      <c r="X219"/>
      <c r="Y219"/>
      <c r="Z219"/>
      <c r="AA219"/>
      <c r="AB219"/>
      <c r="AC219"/>
      <c r="AD219"/>
      <c r="AE219"/>
      <c r="AF219"/>
      <c r="BI219"/>
    </row>
    <row r="220" spans="1:61" s="3" customFormat="1" ht="12.75">
      <c r="A220" s="8"/>
      <c r="B220" s="3" t="s">
        <v>16</v>
      </c>
      <c r="C220" s="1" t="s">
        <v>186</v>
      </c>
      <c r="D220" s="3" t="s">
        <v>10</v>
      </c>
      <c r="E220" s="1" t="s">
        <v>185</v>
      </c>
      <c r="F220" s="2" t="s">
        <v>3</v>
      </c>
      <c r="G220" s="3">
        <v>4.016016828035</v>
      </c>
      <c r="H220" s="2" t="s">
        <v>3</v>
      </c>
      <c r="I220" s="3">
        <v>6.384174225647612</v>
      </c>
      <c r="J220" s="2" t="s">
        <v>3</v>
      </c>
      <c r="K220" s="3">
        <v>3.444668324136257</v>
      </c>
      <c r="L220" s="2" t="s">
        <v>3</v>
      </c>
      <c r="N220" s="2" t="s">
        <v>3</v>
      </c>
      <c r="P220" s="2" t="s">
        <v>3</v>
      </c>
      <c r="R220" s="2" t="s">
        <v>3</v>
      </c>
      <c r="T220" s="2" t="s">
        <v>3</v>
      </c>
      <c r="U220" s="3">
        <f t="shared" si="11"/>
        <v>4.614953125939623</v>
      </c>
      <c r="V220"/>
      <c r="W220"/>
      <c r="X220"/>
      <c r="Y220"/>
      <c r="Z220"/>
      <c r="AA220"/>
      <c r="AB220"/>
      <c r="AC220"/>
      <c r="AD220"/>
      <c r="AE220"/>
      <c r="AF220"/>
      <c r="BI220"/>
    </row>
    <row r="221" spans="1:61" s="3" customFormat="1" ht="12.75">
      <c r="A221" s="8"/>
      <c r="B221" s="3" t="s">
        <v>19</v>
      </c>
      <c r="C221" s="1" t="s">
        <v>186</v>
      </c>
      <c r="D221" s="3" t="s">
        <v>10</v>
      </c>
      <c r="E221" s="1" t="s">
        <v>185</v>
      </c>
      <c r="F221" s="2" t="s">
        <v>3</v>
      </c>
      <c r="G221" s="3">
        <v>443.87554415123606</v>
      </c>
      <c r="H221" s="2" t="s">
        <v>3</v>
      </c>
      <c r="I221" s="3">
        <v>470.41283767929775</v>
      </c>
      <c r="J221" s="2" t="s">
        <v>3</v>
      </c>
      <c r="K221" s="3">
        <v>333.35499910996</v>
      </c>
      <c r="L221" s="2" t="s">
        <v>3</v>
      </c>
      <c r="N221" s="2" t="s">
        <v>3</v>
      </c>
      <c r="P221" s="2" t="s">
        <v>3</v>
      </c>
      <c r="R221" s="2" t="s">
        <v>3</v>
      </c>
      <c r="T221" s="2" t="s">
        <v>3</v>
      </c>
      <c r="U221" s="3">
        <f t="shared" si="11"/>
        <v>415.88112698016465</v>
      </c>
      <c r="V221"/>
      <c r="W221"/>
      <c r="X221"/>
      <c r="Y221"/>
      <c r="Z221"/>
      <c r="AA221"/>
      <c r="AB221"/>
      <c r="AC221"/>
      <c r="AD221"/>
      <c r="AE221"/>
      <c r="AF221"/>
      <c r="BI221"/>
    </row>
    <row r="222" spans="1:61" s="3" customFormat="1" ht="12.75">
      <c r="A222" s="8"/>
      <c r="B222" s="3" t="s">
        <v>20</v>
      </c>
      <c r="C222" s="1" t="s">
        <v>186</v>
      </c>
      <c r="D222" s="3" t="s">
        <v>10</v>
      </c>
      <c r="E222" s="1" t="s">
        <v>185</v>
      </c>
      <c r="F222" s="2" t="s">
        <v>3</v>
      </c>
      <c r="G222" s="3">
        <v>30.4</v>
      </c>
      <c r="H222" s="2" t="s">
        <v>3</v>
      </c>
      <c r="I222" s="3">
        <v>40.4</v>
      </c>
      <c r="J222" s="2" t="s">
        <v>3</v>
      </c>
      <c r="K222" s="3">
        <v>36.4</v>
      </c>
      <c r="L222" s="2" t="s">
        <v>3</v>
      </c>
      <c r="N222" s="2" t="s">
        <v>3</v>
      </c>
      <c r="P222" s="2" t="s">
        <v>3</v>
      </c>
      <c r="R222" s="2" t="s">
        <v>3</v>
      </c>
      <c r="T222" s="2" t="s">
        <v>3</v>
      </c>
      <c r="U222" s="3">
        <f aca="true" t="shared" si="12" ref="U222:U228">AVERAGE(G222,I222,K222)</f>
        <v>35.73333333333333</v>
      </c>
      <c r="V222"/>
      <c r="W222"/>
      <c r="X222"/>
      <c r="Y222"/>
      <c r="Z222"/>
      <c r="AA222"/>
      <c r="AB222"/>
      <c r="AC222"/>
      <c r="AD222"/>
      <c r="AE222"/>
      <c r="AF222"/>
      <c r="BI222"/>
    </row>
    <row r="223" spans="1:61" s="3" customFormat="1" ht="12.75">
      <c r="A223" s="8"/>
      <c r="B223" s="3" t="s">
        <v>21</v>
      </c>
      <c r="C223" s="1" t="s">
        <v>186</v>
      </c>
      <c r="D223" s="3" t="s">
        <v>10</v>
      </c>
      <c r="E223" s="1" t="s">
        <v>185</v>
      </c>
      <c r="F223" s="2" t="s">
        <v>3</v>
      </c>
      <c r="G223" s="3">
        <v>5.93</v>
      </c>
      <c r="H223" s="2" t="s">
        <v>3</v>
      </c>
      <c r="I223" s="3">
        <v>6.2</v>
      </c>
      <c r="J223" s="2" t="s">
        <v>3</v>
      </c>
      <c r="K223" s="3">
        <v>2.98</v>
      </c>
      <c r="L223" s="2" t="s">
        <v>3</v>
      </c>
      <c r="N223" s="2" t="s">
        <v>3</v>
      </c>
      <c r="P223" s="2" t="s">
        <v>3</v>
      </c>
      <c r="R223" s="2" t="s">
        <v>3</v>
      </c>
      <c r="T223" s="2" t="s">
        <v>3</v>
      </c>
      <c r="U223" s="3">
        <f t="shared" si="12"/>
        <v>5.036666666666666</v>
      </c>
      <c r="V223"/>
      <c r="W223"/>
      <c r="X223"/>
      <c r="Y223"/>
      <c r="Z223"/>
      <c r="AA223"/>
      <c r="AB223"/>
      <c r="AC223"/>
      <c r="AD223"/>
      <c r="AE223"/>
      <c r="AF223"/>
      <c r="BI223"/>
    </row>
    <row r="224" spans="1:61" s="3" customFormat="1" ht="12.75">
      <c r="A224" s="8"/>
      <c r="B224" s="3" t="s">
        <v>22</v>
      </c>
      <c r="C224" s="1" t="s">
        <v>186</v>
      </c>
      <c r="D224" s="3" t="s">
        <v>10</v>
      </c>
      <c r="E224" s="1" t="s">
        <v>185</v>
      </c>
      <c r="F224" s="2" t="s">
        <v>3</v>
      </c>
      <c r="G224" s="3">
        <v>33.3</v>
      </c>
      <c r="H224" s="2" t="s">
        <v>3</v>
      </c>
      <c r="I224" s="3">
        <v>70.9</v>
      </c>
      <c r="J224" s="2" t="s">
        <v>3</v>
      </c>
      <c r="K224" s="3">
        <v>91.9</v>
      </c>
      <c r="L224" s="2" t="s">
        <v>3</v>
      </c>
      <c r="N224" s="2" t="s">
        <v>3</v>
      </c>
      <c r="P224" s="2" t="s">
        <v>3</v>
      </c>
      <c r="R224" s="2" t="s">
        <v>3</v>
      </c>
      <c r="T224" s="2" t="s">
        <v>3</v>
      </c>
      <c r="U224" s="3">
        <f t="shared" si="12"/>
        <v>65.36666666666667</v>
      </c>
      <c r="V224"/>
      <c r="W224"/>
      <c r="X224"/>
      <c r="Y224"/>
      <c r="Z224"/>
      <c r="AA224"/>
      <c r="AB224"/>
      <c r="AC224"/>
      <c r="AD224"/>
      <c r="AE224"/>
      <c r="AF224"/>
      <c r="BI224"/>
    </row>
    <row r="225" spans="1:61" s="3" customFormat="1" ht="12.75">
      <c r="A225" s="8"/>
      <c r="B225" s="3" t="s">
        <v>23</v>
      </c>
      <c r="C225" s="1" t="s">
        <v>186</v>
      </c>
      <c r="D225" s="3" t="s">
        <v>10</v>
      </c>
      <c r="E225" s="1" t="s">
        <v>185</v>
      </c>
      <c r="F225" s="2" t="s">
        <v>3</v>
      </c>
      <c r="G225" s="3">
        <v>0.278</v>
      </c>
      <c r="H225" s="2" t="s">
        <v>3</v>
      </c>
      <c r="I225" s="3">
        <v>0.906</v>
      </c>
      <c r="J225" s="2" t="s">
        <v>3</v>
      </c>
      <c r="K225" s="3">
        <v>0.314</v>
      </c>
      <c r="L225" s="2" t="s">
        <v>3</v>
      </c>
      <c r="N225" s="2" t="s">
        <v>3</v>
      </c>
      <c r="P225" s="2" t="s">
        <v>3</v>
      </c>
      <c r="R225" s="2" t="s">
        <v>3</v>
      </c>
      <c r="T225" s="2" t="s">
        <v>3</v>
      </c>
      <c r="U225" s="3">
        <f t="shared" si="12"/>
        <v>0.4993333333333334</v>
      </c>
      <c r="V225"/>
      <c r="W225"/>
      <c r="X225"/>
      <c r="Y225"/>
      <c r="Z225"/>
      <c r="AA225"/>
      <c r="AB225"/>
      <c r="AC225"/>
      <c r="AD225"/>
      <c r="AE225"/>
      <c r="AF225"/>
      <c r="BI225"/>
    </row>
    <row r="226" spans="1:61" s="3" customFormat="1" ht="12.75">
      <c r="A226" s="8"/>
      <c r="B226" s="3" t="s">
        <v>24</v>
      </c>
      <c r="C226" s="1" t="s">
        <v>186</v>
      </c>
      <c r="D226" s="3" t="s">
        <v>10</v>
      </c>
      <c r="E226" s="1" t="s">
        <v>185</v>
      </c>
      <c r="F226" s="2" t="s">
        <v>11</v>
      </c>
      <c r="G226" s="3">
        <v>0.453</v>
      </c>
      <c r="H226" s="2" t="s">
        <v>3</v>
      </c>
      <c r="I226" s="3">
        <v>0.555</v>
      </c>
      <c r="J226" s="2" t="s">
        <v>11</v>
      </c>
      <c r="K226" s="3">
        <v>0.408</v>
      </c>
      <c r="L226" s="2" t="s">
        <v>3</v>
      </c>
      <c r="N226" s="2" t="s">
        <v>3</v>
      </c>
      <c r="P226" s="2" t="s">
        <v>3</v>
      </c>
      <c r="R226" s="2" t="s">
        <v>3</v>
      </c>
      <c r="T226" s="2" t="s">
        <v>3</v>
      </c>
      <c r="U226" s="3">
        <f t="shared" si="12"/>
        <v>0.472</v>
      </c>
      <c r="V226"/>
      <c r="W226"/>
      <c r="X226"/>
      <c r="Y226"/>
      <c r="Z226"/>
      <c r="AA226"/>
      <c r="AB226"/>
      <c r="AC226"/>
      <c r="AD226"/>
      <c r="AE226"/>
      <c r="AF226"/>
      <c r="BI226"/>
    </row>
    <row r="227" spans="1:61" s="3" customFormat="1" ht="12.75">
      <c r="A227" s="8"/>
      <c r="B227" s="3" t="s">
        <v>67</v>
      </c>
      <c r="C227" s="1" t="s">
        <v>186</v>
      </c>
      <c r="D227" s="3" t="s">
        <v>10</v>
      </c>
      <c r="E227" s="1" t="s">
        <v>185</v>
      </c>
      <c r="F227" s="2"/>
      <c r="G227" s="3">
        <f>G219+G221</f>
        <v>487.2062520326662</v>
      </c>
      <c r="H227" s="2"/>
      <c r="I227" s="3">
        <f>I219+I221</f>
        <v>519.1341672960822</v>
      </c>
      <c r="J227" s="2"/>
      <c r="K227" s="3">
        <f>K219+K221</f>
        <v>366.4682623548827</v>
      </c>
      <c r="L227" s="2"/>
      <c r="N227" s="2"/>
      <c r="P227" s="2"/>
      <c r="R227" s="2"/>
      <c r="T227" s="2"/>
      <c r="U227" s="3">
        <f t="shared" si="12"/>
        <v>457.6028938945437</v>
      </c>
      <c r="V227"/>
      <c r="W227"/>
      <c r="X227"/>
      <c r="Y227"/>
      <c r="Z227"/>
      <c r="AA227"/>
      <c r="AB227"/>
      <c r="AC227"/>
      <c r="AD227"/>
      <c r="AE227"/>
      <c r="AF227"/>
      <c r="BI227"/>
    </row>
    <row r="228" spans="1:61" s="3" customFormat="1" ht="12.75">
      <c r="A228" s="8"/>
      <c r="B228" s="3" t="s">
        <v>68</v>
      </c>
      <c r="C228" s="1" t="s">
        <v>186</v>
      </c>
      <c r="D228" s="3" t="s">
        <v>10</v>
      </c>
      <c r="E228" s="1" t="s">
        <v>185</v>
      </c>
      <c r="F228" s="2"/>
      <c r="G228" s="3">
        <f>G216+G220+G218</f>
        <v>5.495601975205787</v>
      </c>
      <c r="H228" s="2"/>
      <c r="I228" s="3">
        <f>I216+I220+I218</f>
        <v>8.84824147063441</v>
      </c>
      <c r="J228" s="2"/>
      <c r="K228" s="3">
        <f>K216+K220+K218</f>
        <v>4.778088320576099</v>
      </c>
      <c r="L228" s="2"/>
      <c r="N228" s="2"/>
      <c r="P228" s="2"/>
      <c r="R228" s="2"/>
      <c r="T228" s="2"/>
      <c r="U228" s="3">
        <f t="shared" si="12"/>
        <v>6.373977255472099</v>
      </c>
      <c r="V228"/>
      <c r="W228"/>
      <c r="X228"/>
      <c r="Y228"/>
      <c r="Z228"/>
      <c r="AA228"/>
      <c r="AB228"/>
      <c r="AC228"/>
      <c r="AD228"/>
      <c r="AE228"/>
      <c r="AF228"/>
      <c r="BI228"/>
    </row>
    <row r="229" spans="1:61" s="4" customFormat="1" ht="12.75">
      <c r="A229" s="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/>
      <c r="W229"/>
      <c r="X229"/>
      <c r="Y229"/>
      <c r="Z229"/>
      <c r="AA229"/>
      <c r="AB229"/>
      <c r="AC229"/>
      <c r="AD229"/>
      <c r="AE229"/>
      <c r="AF229"/>
      <c r="AG229" s="2"/>
      <c r="AH229" s="2"/>
      <c r="AI229" s="2"/>
      <c r="AJ229" s="2"/>
      <c r="AK229" s="2"/>
      <c r="AL229" s="2"/>
      <c r="AM229" s="2"/>
      <c r="AN229" s="2"/>
      <c r="AO229" s="2"/>
      <c r="BI229"/>
    </row>
    <row r="230" spans="1:61" s="4" customFormat="1" ht="12.75">
      <c r="A230" s="8"/>
      <c r="B230" s="3" t="s">
        <v>53</v>
      </c>
      <c r="C230" s="4" t="s">
        <v>40</v>
      </c>
      <c r="D230" s="4" t="s">
        <v>183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/>
      <c r="W230"/>
      <c r="X230"/>
      <c r="Y230"/>
      <c r="Z230"/>
      <c r="AA230"/>
      <c r="AB230"/>
      <c r="AC230"/>
      <c r="AD230"/>
      <c r="AE230"/>
      <c r="AF230"/>
      <c r="AG230" s="2"/>
      <c r="AH230" s="2"/>
      <c r="AI230" s="2"/>
      <c r="AJ230" s="2"/>
      <c r="AK230" s="2"/>
      <c r="AL230" s="2"/>
      <c r="AM230" s="2"/>
      <c r="AN230" s="2"/>
      <c r="AO230" s="2"/>
      <c r="BI230"/>
    </row>
    <row r="231" spans="1:61" s="4" customFormat="1" ht="12.75">
      <c r="A231" s="8"/>
      <c r="B231" s="26" t="s">
        <v>189</v>
      </c>
      <c r="C231" s="26"/>
      <c r="D231" s="26" t="s">
        <v>190</v>
      </c>
      <c r="G231" s="2">
        <v>58588</v>
      </c>
      <c r="H231" s="2"/>
      <c r="I231" s="2">
        <v>58170</v>
      </c>
      <c r="J231" s="2"/>
      <c r="K231" s="2">
        <v>56301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/>
      <c r="W231"/>
      <c r="X231"/>
      <c r="Y231"/>
      <c r="Z231"/>
      <c r="AA231"/>
      <c r="AB231"/>
      <c r="AC231"/>
      <c r="AD231"/>
      <c r="AE231"/>
      <c r="AF231"/>
      <c r="AG231" s="2"/>
      <c r="AH231" s="2"/>
      <c r="AI231" s="2"/>
      <c r="AJ231" s="2"/>
      <c r="AK231" s="2"/>
      <c r="AL231" s="2"/>
      <c r="AM231" s="2"/>
      <c r="AN231" s="2"/>
      <c r="AO231" s="2"/>
      <c r="BI231"/>
    </row>
    <row r="232" spans="1:61" s="4" customFormat="1" ht="12.75">
      <c r="A232" s="8"/>
      <c r="B232" s="26" t="s">
        <v>191</v>
      </c>
      <c r="C232" s="26"/>
      <c r="D232" s="26" t="s">
        <v>192</v>
      </c>
      <c r="G232" s="2">
        <v>7.6</v>
      </c>
      <c r="H232" s="2"/>
      <c r="I232" s="2">
        <v>7.5</v>
      </c>
      <c r="J232" s="2"/>
      <c r="K232" s="2">
        <v>7.4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/>
      <c r="W232"/>
      <c r="X232"/>
      <c r="Y232"/>
      <c r="Z232"/>
      <c r="AA232"/>
      <c r="AB232"/>
      <c r="AC232"/>
      <c r="AD232"/>
      <c r="AE232"/>
      <c r="AF232"/>
      <c r="AG232" s="2"/>
      <c r="AH232" s="2"/>
      <c r="AI232" s="2"/>
      <c r="AJ232" s="2"/>
      <c r="AK232" s="2"/>
      <c r="AL232" s="2"/>
      <c r="AM232" s="2"/>
      <c r="AN232" s="2"/>
      <c r="AO232" s="2"/>
      <c r="BI232"/>
    </row>
    <row r="233" spans="1:61" s="4" customFormat="1" ht="12.75">
      <c r="A233" s="8"/>
      <c r="B233" s="26" t="s">
        <v>193</v>
      </c>
      <c r="C233" s="26"/>
      <c r="D233" s="26" t="s">
        <v>192</v>
      </c>
      <c r="G233" s="2">
        <v>33.8</v>
      </c>
      <c r="H233" s="2"/>
      <c r="I233" s="2">
        <v>33.4</v>
      </c>
      <c r="J233" s="2"/>
      <c r="K233" s="2">
        <v>34.2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/>
      <c r="W233"/>
      <c r="X233"/>
      <c r="Y233"/>
      <c r="Z233"/>
      <c r="AA233"/>
      <c r="AB233"/>
      <c r="AC233"/>
      <c r="AD233"/>
      <c r="AE233"/>
      <c r="AF233"/>
      <c r="AG233" s="2"/>
      <c r="AH233" s="2"/>
      <c r="AI233" s="2"/>
      <c r="AJ233" s="2"/>
      <c r="AK233" s="2"/>
      <c r="AL233" s="2"/>
      <c r="AM233" s="2"/>
      <c r="AN233" s="2"/>
      <c r="AO233" s="2"/>
      <c r="BI233"/>
    </row>
    <row r="234" spans="1:61" s="4" customFormat="1" ht="12.75">
      <c r="A234" s="8"/>
      <c r="B234" s="26" t="s">
        <v>194</v>
      </c>
      <c r="C234" s="26"/>
      <c r="D234" s="26" t="s">
        <v>195</v>
      </c>
      <c r="G234" s="2">
        <v>385.6</v>
      </c>
      <c r="H234" s="2"/>
      <c r="I234" s="2">
        <v>399.54</v>
      </c>
      <c r="J234" s="2"/>
      <c r="K234" s="2">
        <v>396.21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/>
      <c r="W234"/>
      <c r="X234"/>
      <c r="Y234"/>
      <c r="Z234"/>
      <c r="AA234"/>
      <c r="AB234"/>
      <c r="AC234"/>
      <c r="AD234"/>
      <c r="AE234"/>
      <c r="AF234"/>
      <c r="AG234" s="2"/>
      <c r="AH234" s="2"/>
      <c r="AI234" s="2"/>
      <c r="AJ234" s="2"/>
      <c r="AK234" s="2"/>
      <c r="AL234" s="2"/>
      <c r="AM234" s="2"/>
      <c r="AN234" s="2"/>
      <c r="AO234" s="2"/>
      <c r="BI234"/>
    </row>
    <row r="235" spans="1:61" s="4" customFormat="1" ht="12.75">
      <c r="A235" s="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/>
      <c r="W235"/>
      <c r="X235"/>
      <c r="Y235"/>
      <c r="Z235"/>
      <c r="AA235"/>
      <c r="AB235"/>
      <c r="AC235"/>
      <c r="AD235"/>
      <c r="AE235"/>
      <c r="AF235"/>
      <c r="AG235" s="2"/>
      <c r="AH235" s="2"/>
      <c r="AI235" s="2"/>
      <c r="AJ235" s="2"/>
      <c r="AK235" s="2"/>
      <c r="AL235" s="2"/>
      <c r="AM235" s="2"/>
      <c r="AN235" s="2"/>
      <c r="AO235" s="2"/>
      <c r="BI235"/>
    </row>
    <row r="236" spans="1:61" s="4" customFormat="1" ht="12.75">
      <c r="A236" s="8"/>
      <c r="B236" s="3" t="s">
        <v>53</v>
      </c>
      <c r="C236" s="4" t="s">
        <v>36</v>
      </c>
      <c r="D236" s="4" t="s">
        <v>186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/>
      <c r="W236"/>
      <c r="X236"/>
      <c r="Y236"/>
      <c r="Z236"/>
      <c r="AA236"/>
      <c r="AB236"/>
      <c r="AC236"/>
      <c r="AD236"/>
      <c r="AE236"/>
      <c r="AF236"/>
      <c r="AG236" s="2"/>
      <c r="AH236" s="2"/>
      <c r="AI236" s="2"/>
      <c r="AJ236" s="2"/>
      <c r="AK236" s="2"/>
      <c r="AL236" s="2"/>
      <c r="AM236" s="2"/>
      <c r="AN236" s="2"/>
      <c r="AO236" s="2"/>
      <c r="BI236"/>
    </row>
    <row r="237" spans="1:61" s="4" customFormat="1" ht="12.75">
      <c r="A237" s="8"/>
      <c r="B237" s="26" t="s">
        <v>189</v>
      </c>
      <c r="C237" s="26"/>
      <c r="D237" s="26" t="s">
        <v>190</v>
      </c>
      <c r="G237" s="2">
        <v>58184</v>
      </c>
      <c r="H237" s="2"/>
      <c r="I237" s="2">
        <v>54495</v>
      </c>
      <c r="J237" s="2"/>
      <c r="K237" s="2">
        <v>54525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/>
      <c r="W237"/>
      <c r="X237"/>
      <c r="Y237"/>
      <c r="Z237"/>
      <c r="AA237"/>
      <c r="AB237"/>
      <c r="AC237"/>
      <c r="AD237"/>
      <c r="AE237"/>
      <c r="AF237"/>
      <c r="AG237" s="2"/>
      <c r="AH237" s="2"/>
      <c r="AI237" s="2"/>
      <c r="AJ237" s="2"/>
      <c r="AK237" s="2"/>
      <c r="AL237" s="2"/>
      <c r="AM237" s="2"/>
      <c r="AN237" s="2"/>
      <c r="AO237" s="2"/>
      <c r="BI237"/>
    </row>
    <row r="238" spans="1:61" s="4" customFormat="1" ht="12.75">
      <c r="A238" s="8"/>
      <c r="B238" s="26" t="s">
        <v>191</v>
      </c>
      <c r="C238" s="26"/>
      <c r="D238" s="26" t="s">
        <v>192</v>
      </c>
      <c r="G238" s="2">
        <v>7.6</v>
      </c>
      <c r="H238" s="2"/>
      <c r="I238" s="2">
        <v>7.5</v>
      </c>
      <c r="J238" s="2"/>
      <c r="K238" s="2">
        <v>7.4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/>
      <c r="W238"/>
      <c r="X238"/>
      <c r="Y238"/>
      <c r="Z238"/>
      <c r="AA238"/>
      <c r="AB238"/>
      <c r="AC238"/>
      <c r="AD238"/>
      <c r="AE238"/>
      <c r="AF238"/>
      <c r="AG238" s="2"/>
      <c r="AH238" s="2"/>
      <c r="AI238" s="2"/>
      <c r="AJ238" s="2"/>
      <c r="AK238" s="2"/>
      <c r="AL238" s="2"/>
      <c r="AM238" s="2"/>
      <c r="AN238" s="2"/>
      <c r="AO238" s="2"/>
      <c r="BI238"/>
    </row>
    <row r="239" spans="1:61" s="4" customFormat="1" ht="12.75">
      <c r="A239" s="8"/>
      <c r="B239" s="26" t="s">
        <v>193</v>
      </c>
      <c r="C239" s="26"/>
      <c r="D239" s="26" t="s">
        <v>192</v>
      </c>
      <c r="G239" s="2">
        <v>32.5</v>
      </c>
      <c r="H239" s="2"/>
      <c r="I239" s="2">
        <v>33.6</v>
      </c>
      <c r="J239" s="2"/>
      <c r="K239" s="2">
        <v>33.9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/>
      <c r="W239"/>
      <c r="X239"/>
      <c r="Y239"/>
      <c r="Z239"/>
      <c r="AA239"/>
      <c r="AB239"/>
      <c r="AC239"/>
      <c r="AD239"/>
      <c r="AE239"/>
      <c r="AF239"/>
      <c r="AG239" s="2"/>
      <c r="AH239" s="2"/>
      <c r="AI239" s="2"/>
      <c r="AJ239" s="2"/>
      <c r="AK239" s="2"/>
      <c r="AL239" s="2"/>
      <c r="AM239" s="2"/>
      <c r="AN239" s="2"/>
      <c r="AO239" s="2"/>
      <c r="BI239"/>
    </row>
    <row r="240" spans="1:61" s="4" customFormat="1" ht="12.75">
      <c r="A240" s="8"/>
      <c r="B240" s="26" t="s">
        <v>194</v>
      </c>
      <c r="C240" s="26"/>
      <c r="D240" s="26" t="s">
        <v>195</v>
      </c>
      <c r="G240" s="2">
        <v>391.8</v>
      </c>
      <c r="H240" s="2"/>
      <c r="I240" s="2">
        <v>401.54</v>
      </c>
      <c r="J240" s="2"/>
      <c r="K240" s="2">
        <v>400.92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/>
      <c r="W240"/>
      <c r="X240"/>
      <c r="Y240"/>
      <c r="Z240"/>
      <c r="AA240"/>
      <c r="AB240"/>
      <c r="AC240"/>
      <c r="AD240"/>
      <c r="AE240"/>
      <c r="AF240"/>
      <c r="AG240" s="2"/>
      <c r="AH240" s="2"/>
      <c r="AI240" s="2"/>
      <c r="AJ240" s="2"/>
      <c r="AK240" s="2"/>
      <c r="AL240" s="2"/>
      <c r="AM240" s="2"/>
      <c r="AN240" s="2"/>
      <c r="AO240" s="2"/>
      <c r="BI240"/>
    </row>
    <row r="241" spans="1:61" s="3" customFormat="1" ht="12.75">
      <c r="A241" s="8"/>
      <c r="F241" s="2"/>
      <c r="H241" s="2"/>
      <c r="J241" s="2"/>
      <c r="L241" s="2"/>
      <c r="N241" s="2"/>
      <c r="P241" s="2"/>
      <c r="R241" s="2"/>
      <c r="T241" s="2"/>
      <c r="V241"/>
      <c r="W241"/>
      <c r="X241"/>
      <c r="Y241"/>
      <c r="Z241"/>
      <c r="AA241"/>
      <c r="AB241"/>
      <c r="AC241"/>
      <c r="AD241"/>
      <c r="AE241"/>
      <c r="AF241"/>
      <c r="BI241"/>
    </row>
    <row r="242" spans="1:61" s="3" customFormat="1" ht="12.75">
      <c r="A242" s="8"/>
      <c r="B242" s="3" t="s">
        <v>53</v>
      </c>
      <c r="C242" s="4" t="s">
        <v>39</v>
      </c>
      <c r="D242" s="3" t="s">
        <v>187</v>
      </c>
      <c r="F242" s="2"/>
      <c r="H242" s="2"/>
      <c r="J242" s="2"/>
      <c r="L242" s="2"/>
      <c r="N242" s="2"/>
      <c r="P242" s="2"/>
      <c r="R242" s="2"/>
      <c r="T242" s="2"/>
      <c r="V242"/>
      <c r="W242"/>
      <c r="X242"/>
      <c r="Y242"/>
      <c r="Z242"/>
      <c r="AA242"/>
      <c r="AB242"/>
      <c r="AC242"/>
      <c r="AD242"/>
      <c r="AE242"/>
      <c r="AF242"/>
      <c r="BI242"/>
    </row>
    <row r="243" spans="1:61" s="4" customFormat="1" ht="12.75">
      <c r="A243" s="8"/>
      <c r="B243" s="26" t="s">
        <v>189</v>
      </c>
      <c r="C243" s="26"/>
      <c r="D243" s="26" t="s">
        <v>190</v>
      </c>
      <c r="G243" s="2"/>
      <c r="H243" s="2"/>
      <c r="I243" s="2"/>
      <c r="J243" s="2"/>
      <c r="K243" s="2"/>
      <c r="L243" s="2"/>
      <c r="M243" s="2">
        <v>54078</v>
      </c>
      <c r="N243" s="2"/>
      <c r="O243" s="2">
        <v>57788</v>
      </c>
      <c r="P243" s="2"/>
      <c r="Q243" s="2">
        <v>55889</v>
      </c>
      <c r="R243" s="2"/>
      <c r="S243" s="2"/>
      <c r="T243" s="2"/>
      <c r="U243" s="2"/>
      <c r="V243"/>
      <c r="W243"/>
      <c r="X243"/>
      <c r="Y243"/>
      <c r="Z243"/>
      <c r="AA243"/>
      <c r="AB243"/>
      <c r="AC243"/>
      <c r="AD243"/>
      <c r="AE243"/>
      <c r="AF243"/>
      <c r="AG243" s="2"/>
      <c r="AH243" s="2"/>
      <c r="AI243" s="2"/>
      <c r="AJ243" s="2"/>
      <c r="AK243" s="2"/>
      <c r="AL243" s="2"/>
      <c r="AM243" s="2"/>
      <c r="AN243" s="2"/>
      <c r="AO243" s="2"/>
      <c r="BI243"/>
    </row>
    <row r="244" spans="1:61" s="4" customFormat="1" ht="12.75">
      <c r="A244" s="8"/>
      <c r="B244" s="26" t="s">
        <v>191</v>
      </c>
      <c r="C244" s="26"/>
      <c r="D244" s="26" t="s">
        <v>192</v>
      </c>
      <c r="G244" s="2"/>
      <c r="H244" s="2"/>
      <c r="I244" s="2"/>
      <c r="J244" s="2"/>
      <c r="K244" s="2"/>
      <c r="L244" s="2"/>
      <c r="M244" s="2">
        <v>7.9</v>
      </c>
      <c r="N244" s="2"/>
      <c r="O244" s="2">
        <v>7.6</v>
      </c>
      <c r="P244" s="2"/>
      <c r="Q244" s="2">
        <v>7.6</v>
      </c>
      <c r="R244" s="2"/>
      <c r="S244" s="2"/>
      <c r="T244" s="2"/>
      <c r="U244" s="2"/>
      <c r="V244"/>
      <c r="W244"/>
      <c r="X244"/>
      <c r="Y244"/>
      <c r="Z244"/>
      <c r="AA244"/>
      <c r="AB244"/>
      <c r="AC244"/>
      <c r="AD244"/>
      <c r="AE244"/>
      <c r="AF244"/>
      <c r="AG244" s="2"/>
      <c r="AH244" s="2"/>
      <c r="AI244" s="2"/>
      <c r="AJ244" s="2"/>
      <c r="AK244" s="2"/>
      <c r="AL244" s="2"/>
      <c r="AM244" s="2"/>
      <c r="AN244" s="2"/>
      <c r="AO244" s="2"/>
      <c r="BI244"/>
    </row>
    <row r="245" spans="1:61" s="4" customFormat="1" ht="12.75">
      <c r="A245" s="8"/>
      <c r="B245" s="26" t="s">
        <v>193</v>
      </c>
      <c r="C245" s="26"/>
      <c r="D245" s="26" t="s">
        <v>192</v>
      </c>
      <c r="G245" s="2"/>
      <c r="H245" s="2"/>
      <c r="I245" s="2"/>
      <c r="J245" s="2"/>
      <c r="K245" s="2"/>
      <c r="L245" s="2"/>
      <c r="M245" s="2">
        <v>34.9</v>
      </c>
      <c r="N245" s="2"/>
      <c r="O245" s="2">
        <v>35</v>
      </c>
      <c r="P245" s="2"/>
      <c r="Q245" s="2">
        <v>32.8</v>
      </c>
      <c r="R245" s="2"/>
      <c r="S245" s="2"/>
      <c r="T245" s="2"/>
      <c r="U245" s="2"/>
      <c r="V245"/>
      <c r="W245"/>
      <c r="X245"/>
      <c r="Y245"/>
      <c r="Z245"/>
      <c r="AA245"/>
      <c r="AB245"/>
      <c r="AC245"/>
      <c r="AD245"/>
      <c r="AE245"/>
      <c r="AF245"/>
      <c r="AG245" s="2"/>
      <c r="AH245" s="2"/>
      <c r="AI245" s="2"/>
      <c r="AJ245" s="2"/>
      <c r="AK245" s="2"/>
      <c r="AL245" s="2"/>
      <c r="AM245" s="2"/>
      <c r="AN245" s="2"/>
      <c r="AO245" s="2"/>
      <c r="BI245"/>
    </row>
    <row r="246" spans="1:61" s="4" customFormat="1" ht="12.75">
      <c r="A246" s="8"/>
      <c r="B246" s="26" t="s">
        <v>194</v>
      </c>
      <c r="C246" s="26"/>
      <c r="D246" s="26" t="s">
        <v>195</v>
      </c>
      <c r="G246" s="2"/>
      <c r="H246" s="2"/>
      <c r="I246" s="2"/>
      <c r="J246" s="2"/>
      <c r="K246" s="2"/>
      <c r="L246" s="2"/>
      <c r="M246" s="2">
        <v>367.96</v>
      </c>
      <c r="N246" s="2"/>
      <c r="O246" s="2">
        <v>394.48</v>
      </c>
      <c r="P246" s="2"/>
      <c r="Q246" s="2">
        <v>404.6</v>
      </c>
      <c r="R246" s="2"/>
      <c r="S246" s="2"/>
      <c r="T246" s="2"/>
      <c r="U246" s="2"/>
      <c r="V246"/>
      <c r="W246"/>
      <c r="X246"/>
      <c r="Y246"/>
      <c r="Z246"/>
      <c r="AA246"/>
      <c r="AB246"/>
      <c r="AC246"/>
      <c r="AD246"/>
      <c r="AE246"/>
      <c r="AF246"/>
      <c r="AG246" s="2"/>
      <c r="AH246" s="2"/>
      <c r="AI246" s="2"/>
      <c r="AJ246" s="2"/>
      <c r="AK246" s="2"/>
      <c r="AL246" s="2"/>
      <c r="AM246" s="2"/>
      <c r="AN246" s="2"/>
      <c r="AO246" s="2"/>
      <c r="BI246"/>
    </row>
    <row r="247" spans="1:61" s="3" customFormat="1" ht="12.75">
      <c r="A247" s="8"/>
      <c r="F247" s="2"/>
      <c r="H247" s="2"/>
      <c r="J247" s="2"/>
      <c r="L247" s="2"/>
      <c r="N247" s="2"/>
      <c r="P247" s="2"/>
      <c r="R247" s="2"/>
      <c r="T247" s="2"/>
      <c r="V247"/>
      <c r="W247"/>
      <c r="X247"/>
      <c r="Y247"/>
      <c r="Z247"/>
      <c r="AA247"/>
      <c r="AB247"/>
      <c r="AC247"/>
      <c r="AD247"/>
      <c r="AE247"/>
      <c r="AF247"/>
      <c r="BI247"/>
    </row>
    <row r="248" spans="1:61" s="3" customFormat="1" ht="12.75">
      <c r="A248" s="8" t="s">
        <v>199</v>
      </c>
      <c r="B248" s="5" t="s">
        <v>30</v>
      </c>
      <c r="F248" s="2"/>
      <c r="G248" s="23" t="s">
        <v>54</v>
      </c>
      <c r="H248" s="23"/>
      <c r="I248" s="23" t="s">
        <v>55</v>
      </c>
      <c r="J248" s="23"/>
      <c r="K248" s="23" t="s">
        <v>56</v>
      </c>
      <c r="L248" s="23"/>
      <c r="M248" s="23" t="s">
        <v>57</v>
      </c>
      <c r="N248" s="23"/>
      <c r="O248" s="23" t="s">
        <v>58</v>
      </c>
      <c r="P248" s="23"/>
      <c r="Q248" s="23" t="s">
        <v>59</v>
      </c>
      <c r="R248" s="23"/>
      <c r="S248" s="23" t="s">
        <v>60</v>
      </c>
      <c r="T248" s="23"/>
      <c r="U248" s="23" t="s">
        <v>61</v>
      </c>
      <c r="V248"/>
      <c r="W248"/>
      <c r="X248"/>
      <c r="Y248"/>
      <c r="Z248"/>
      <c r="AA248"/>
      <c r="AB248"/>
      <c r="AC248"/>
      <c r="AD248"/>
      <c r="AE248"/>
      <c r="AF248"/>
      <c r="BI248"/>
    </row>
    <row r="249" spans="1:61" s="3" customFormat="1" ht="12.75">
      <c r="A249" s="8"/>
      <c r="F249" s="2"/>
      <c r="H249" s="2"/>
      <c r="J249" s="2"/>
      <c r="L249" s="2"/>
      <c r="N249" s="2"/>
      <c r="P249" s="2"/>
      <c r="R249" s="2"/>
      <c r="T249" s="2"/>
      <c r="V249"/>
      <c r="W249"/>
      <c r="X249"/>
      <c r="Y249"/>
      <c r="Z249"/>
      <c r="AA249"/>
      <c r="AB249"/>
      <c r="AC249"/>
      <c r="AD249"/>
      <c r="AE249"/>
      <c r="AF249"/>
      <c r="BI249"/>
    </row>
    <row r="250" spans="1:61" s="3" customFormat="1" ht="12.75">
      <c r="A250" s="8"/>
      <c r="B250" s="3" t="s">
        <v>28</v>
      </c>
      <c r="C250" s="3" t="s">
        <v>183</v>
      </c>
      <c r="D250" s="3" t="s">
        <v>5</v>
      </c>
      <c r="E250" s="3" t="s">
        <v>185</v>
      </c>
      <c r="F250" s="2" t="s">
        <v>3</v>
      </c>
      <c r="G250" s="34">
        <v>817</v>
      </c>
      <c r="H250" s="34" t="s">
        <v>3</v>
      </c>
      <c r="I250" s="34">
        <v>660</v>
      </c>
      <c r="J250" s="34" t="s">
        <v>3</v>
      </c>
      <c r="K250" s="34">
        <v>1409</v>
      </c>
      <c r="L250" s="2" t="s">
        <v>3</v>
      </c>
      <c r="N250" s="2" t="s">
        <v>3</v>
      </c>
      <c r="P250" s="2" t="s">
        <v>3</v>
      </c>
      <c r="R250" s="2" t="s">
        <v>3</v>
      </c>
      <c r="T250" s="2" t="s">
        <v>3</v>
      </c>
      <c r="U250" s="34">
        <f>AVERAGE(G250,I250,K250)</f>
        <v>962</v>
      </c>
      <c r="V250"/>
      <c r="W250"/>
      <c r="X250"/>
      <c r="Y250"/>
      <c r="Z250"/>
      <c r="AA250"/>
      <c r="AB250"/>
      <c r="AC250"/>
      <c r="AD250"/>
      <c r="AE250"/>
      <c r="AF250"/>
      <c r="BI250"/>
    </row>
    <row r="251" spans="1:61" s="3" customFormat="1" ht="12.75">
      <c r="A251" s="8"/>
      <c r="B251" s="3" t="s">
        <v>4</v>
      </c>
      <c r="C251" s="3" t="s">
        <v>183</v>
      </c>
      <c r="D251" s="3" t="s">
        <v>5</v>
      </c>
      <c r="E251" s="3" t="s">
        <v>185</v>
      </c>
      <c r="F251" s="2" t="s">
        <v>3</v>
      </c>
      <c r="G251" s="34">
        <v>676</v>
      </c>
      <c r="H251" s="34" t="s">
        <v>3</v>
      </c>
      <c r="I251" s="34">
        <v>407</v>
      </c>
      <c r="J251" s="34" t="s">
        <v>3</v>
      </c>
      <c r="K251" s="34">
        <v>734</v>
      </c>
      <c r="L251" s="2" t="s">
        <v>3</v>
      </c>
      <c r="N251" s="2" t="s">
        <v>3</v>
      </c>
      <c r="P251" s="2" t="s">
        <v>3</v>
      </c>
      <c r="R251" s="2" t="s">
        <v>3</v>
      </c>
      <c r="T251" s="2" t="s">
        <v>3</v>
      </c>
      <c r="U251" s="34">
        <f>AVERAGE(G251,I251,K251)</f>
        <v>605.6666666666666</v>
      </c>
      <c r="V251"/>
      <c r="W251"/>
      <c r="X251"/>
      <c r="Y251"/>
      <c r="Z251"/>
      <c r="AA251"/>
      <c r="AB251"/>
      <c r="AC251"/>
      <c r="AD251"/>
      <c r="AE251"/>
      <c r="AF251"/>
      <c r="BI251"/>
    </row>
    <row r="252" spans="1:61" s="3" customFormat="1" ht="12.75">
      <c r="A252" s="8"/>
      <c r="B252" s="3" t="s">
        <v>29</v>
      </c>
      <c r="C252" s="3" t="s">
        <v>183</v>
      </c>
      <c r="D252" s="3" t="s">
        <v>5</v>
      </c>
      <c r="E252" s="3" t="s">
        <v>185</v>
      </c>
      <c r="F252" s="2" t="s">
        <v>3</v>
      </c>
      <c r="G252" s="34">
        <v>3</v>
      </c>
      <c r="H252" s="34" t="s">
        <v>3</v>
      </c>
      <c r="I252" s="34">
        <v>3.5</v>
      </c>
      <c r="J252" s="34" t="s">
        <v>3</v>
      </c>
      <c r="K252" s="34">
        <v>3.4</v>
      </c>
      <c r="L252" s="2" t="s">
        <v>3</v>
      </c>
      <c r="N252" s="2" t="s">
        <v>3</v>
      </c>
      <c r="P252" s="2" t="s">
        <v>3</v>
      </c>
      <c r="R252" s="2" t="s">
        <v>3</v>
      </c>
      <c r="T252" s="2" t="s">
        <v>3</v>
      </c>
      <c r="U252" s="34">
        <f>AVERAGE(G252,I252,K252)</f>
        <v>3.3000000000000003</v>
      </c>
      <c r="V252"/>
      <c r="W252"/>
      <c r="X252"/>
      <c r="Y252"/>
      <c r="Z252"/>
      <c r="AA252"/>
      <c r="AB252"/>
      <c r="AC252"/>
      <c r="AD252"/>
      <c r="AE252"/>
      <c r="AF252"/>
      <c r="BI252"/>
    </row>
    <row r="253" spans="1:61" s="3" customFormat="1" ht="12.75">
      <c r="A253" s="8"/>
      <c r="B253" s="3" t="s">
        <v>6</v>
      </c>
      <c r="C253" s="3" t="s">
        <v>183</v>
      </c>
      <c r="D253" s="3" t="s">
        <v>5</v>
      </c>
      <c r="E253" s="3" t="s">
        <v>185</v>
      </c>
      <c r="F253" s="2" t="s">
        <v>3</v>
      </c>
      <c r="G253" s="34">
        <v>2.9</v>
      </c>
      <c r="H253" s="34" t="s">
        <v>3</v>
      </c>
      <c r="I253" s="34">
        <v>2.8</v>
      </c>
      <c r="J253" s="34" t="s">
        <v>3</v>
      </c>
      <c r="K253" s="34">
        <v>3</v>
      </c>
      <c r="L253" s="2" t="s">
        <v>3</v>
      </c>
      <c r="N253" s="2" t="s">
        <v>3</v>
      </c>
      <c r="P253" s="2" t="s">
        <v>3</v>
      </c>
      <c r="R253" s="2" t="s">
        <v>3</v>
      </c>
      <c r="T253" s="2" t="s">
        <v>3</v>
      </c>
      <c r="U253" s="34">
        <f>AVERAGE(G253,I253,K253)</f>
        <v>2.9</v>
      </c>
      <c r="V253"/>
      <c r="W253"/>
      <c r="X253"/>
      <c r="Y253"/>
      <c r="Z253"/>
      <c r="AA253"/>
      <c r="AB253"/>
      <c r="AC253"/>
      <c r="AD253"/>
      <c r="AE253"/>
      <c r="AF253"/>
      <c r="BI253"/>
    </row>
    <row r="254" spans="1:61" s="4" customFormat="1" ht="12.75">
      <c r="A254" s="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/>
      <c r="W254"/>
      <c r="X254"/>
      <c r="Y254"/>
      <c r="Z254"/>
      <c r="AA254"/>
      <c r="AB254"/>
      <c r="AC254"/>
      <c r="AD254"/>
      <c r="AE254"/>
      <c r="AF254"/>
      <c r="AG254" s="2"/>
      <c r="AH254" s="2"/>
      <c r="AI254" s="2"/>
      <c r="AJ254" s="2"/>
      <c r="AK254" s="2"/>
      <c r="AL254" s="2"/>
      <c r="AM254" s="2"/>
      <c r="AN254" s="2"/>
      <c r="AO254" s="2"/>
      <c r="BI254"/>
    </row>
    <row r="255" spans="1:61" s="4" customFormat="1" ht="12.75">
      <c r="A255" s="8"/>
      <c r="B255" s="3" t="s">
        <v>53</v>
      </c>
      <c r="C255" s="4" t="s">
        <v>42</v>
      </c>
      <c r="D255" s="3" t="s">
        <v>183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/>
      <c r="W255"/>
      <c r="X255"/>
      <c r="Y255"/>
      <c r="Z255"/>
      <c r="AA255"/>
      <c r="AB255"/>
      <c r="AC255"/>
      <c r="AD255"/>
      <c r="AE255"/>
      <c r="AF255"/>
      <c r="AG255" s="2"/>
      <c r="AH255" s="2"/>
      <c r="AI255" s="2"/>
      <c r="AJ255" s="2"/>
      <c r="AK255" s="2"/>
      <c r="AL255" s="2"/>
      <c r="AM255" s="2"/>
      <c r="AN255" s="2"/>
      <c r="AO255" s="2"/>
      <c r="BI255"/>
    </row>
    <row r="256" spans="1:61" s="4" customFormat="1" ht="12.75">
      <c r="A256" s="8"/>
      <c r="B256" s="26" t="s">
        <v>189</v>
      </c>
      <c r="C256" s="26"/>
      <c r="D256" s="26" t="s">
        <v>190</v>
      </c>
      <c r="G256" s="2">
        <v>51022</v>
      </c>
      <c r="H256" s="2"/>
      <c r="I256" s="2">
        <v>50928</v>
      </c>
      <c r="J256" s="2"/>
      <c r="K256" s="2">
        <v>54947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/>
      <c r="W256"/>
      <c r="X256"/>
      <c r="Y256"/>
      <c r="Z256"/>
      <c r="AA256"/>
      <c r="AB256"/>
      <c r="AC256"/>
      <c r="AD256"/>
      <c r="AE256"/>
      <c r="AF256"/>
      <c r="AG256" s="2"/>
      <c r="AH256" s="2"/>
      <c r="AI256" s="2"/>
      <c r="AJ256" s="2"/>
      <c r="AK256" s="2"/>
      <c r="AL256" s="2"/>
      <c r="AM256" s="2"/>
      <c r="AN256" s="2"/>
      <c r="AO256" s="2"/>
      <c r="BI256"/>
    </row>
    <row r="257" spans="1:61" s="4" customFormat="1" ht="12.75">
      <c r="A257" s="8"/>
      <c r="B257" s="26" t="s">
        <v>191</v>
      </c>
      <c r="C257" s="26"/>
      <c r="D257" s="26" t="s">
        <v>192</v>
      </c>
      <c r="G257" s="2">
        <v>7.1</v>
      </c>
      <c r="H257" s="2"/>
      <c r="I257" s="2">
        <v>7.9</v>
      </c>
      <c r="J257" s="2"/>
      <c r="K257" s="2">
        <v>7.9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/>
      <c r="W257"/>
      <c r="X257"/>
      <c r="Y257"/>
      <c r="Z257"/>
      <c r="AA257"/>
      <c r="AB257"/>
      <c r="AC257"/>
      <c r="AD257"/>
      <c r="AE257"/>
      <c r="AF257"/>
      <c r="AG257" s="2"/>
      <c r="AH257" s="2"/>
      <c r="AI257" s="2"/>
      <c r="AJ257" s="2"/>
      <c r="AK257" s="2"/>
      <c r="AL257" s="2"/>
      <c r="AM257" s="2"/>
      <c r="AN257" s="2"/>
      <c r="AO257" s="2"/>
      <c r="BI257"/>
    </row>
    <row r="258" spans="1:61" s="4" customFormat="1" ht="12.75">
      <c r="A258" s="8"/>
      <c r="B258" s="26" t="s">
        <v>193</v>
      </c>
      <c r="C258" s="26"/>
      <c r="D258" s="26" t="s">
        <v>192</v>
      </c>
      <c r="G258" s="2">
        <v>36.4</v>
      </c>
      <c r="H258" s="2"/>
      <c r="I258" s="2">
        <v>35.3</v>
      </c>
      <c r="J258" s="2"/>
      <c r="K258" s="2">
        <v>35.3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/>
      <c r="W258"/>
      <c r="X258"/>
      <c r="Y258"/>
      <c r="Z258"/>
      <c r="AA258"/>
      <c r="AB258"/>
      <c r="AC258"/>
      <c r="AD258"/>
      <c r="AE258"/>
      <c r="AF258"/>
      <c r="AG258" s="2"/>
      <c r="AH258" s="2"/>
      <c r="AI258" s="2"/>
      <c r="AJ258" s="2"/>
      <c r="AK258" s="2"/>
      <c r="AL258" s="2"/>
      <c r="AM258" s="2"/>
      <c r="AN258" s="2"/>
      <c r="AO258" s="2"/>
      <c r="BI258"/>
    </row>
    <row r="259" spans="1:61" s="4" customFormat="1" ht="12.75">
      <c r="A259" s="8"/>
      <c r="B259" s="26" t="s">
        <v>194</v>
      </c>
      <c r="C259" s="26"/>
      <c r="D259" s="26" t="s">
        <v>195</v>
      </c>
      <c r="G259" s="2">
        <v>365.11</v>
      </c>
      <c r="H259" s="2"/>
      <c r="I259" s="2">
        <v>363.63</v>
      </c>
      <c r="J259" s="2"/>
      <c r="K259" s="2">
        <v>359.35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/>
      <c r="W259"/>
      <c r="X259"/>
      <c r="Y259"/>
      <c r="Z259"/>
      <c r="AA259"/>
      <c r="AB259"/>
      <c r="AC259"/>
      <c r="AD259"/>
      <c r="AE259"/>
      <c r="AF259"/>
      <c r="AG259" s="2"/>
      <c r="AH259" s="2"/>
      <c r="AI259" s="2"/>
      <c r="AJ259" s="2"/>
      <c r="AK259" s="2"/>
      <c r="AL259" s="2"/>
      <c r="AM259" s="2"/>
      <c r="AN259" s="2"/>
      <c r="AO259" s="2"/>
      <c r="BI259"/>
    </row>
    <row r="260" spans="1:61" s="4" customFormat="1" ht="12.75">
      <c r="A260" s="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/>
      <c r="W260"/>
      <c r="X260"/>
      <c r="Y260"/>
      <c r="Z260"/>
      <c r="AA260"/>
      <c r="AB260"/>
      <c r="AC260"/>
      <c r="AD260"/>
      <c r="AE260"/>
      <c r="AF260"/>
      <c r="AG260" s="2"/>
      <c r="AH260" s="2"/>
      <c r="AI260" s="2"/>
      <c r="AJ260" s="2"/>
      <c r="AK260" s="2"/>
      <c r="AL260" s="2"/>
      <c r="AM260" s="2"/>
      <c r="AN260" s="2"/>
      <c r="AO260" s="2"/>
      <c r="BI260"/>
    </row>
    <row r="261" spans="1:61" s="4" customFormat="1" ht="12.75">
      <c r="A261" s="8"/>
      <c r="B261" s="3" t="s">
        <v>53</v>
      </c>
      <c r="C261" s="4" t="s">
        <v>39</v>
      </c>
      <c r="D261" s="4" t="s">
        <v>186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/>
      <c r="W261"/>
      <c r="X261"/>
      <c r="Y261"/>
      <c r="Z261"/>
      <c r="AA261"/>
      <c r="AB261"/>
      <c r="AC261"/>
      <c r="AD261"/>
      <c r="AE261"/>
      <c r="AF261"/>
      <c r="AG261" s="2"/>
      <c r="AH261" s="2"/>
      <c r="AI261" s="2"/>
      <c r="AJ261" s="2"/>
      <c r="AK261" s="2"/>
      <c r="AL261" s="2"/>
      <c r="AM261" s="2"/>
      <c r="AN261" s="2"/>
      <c r="AO261" s="2"/>
      <c r="BI261"/>
    </row>
    <row r="262" spans="1:61" s="4" customFormat="1" ht="12.75">
      <c r="A262" s="8"/>
      <c r="B262" s="26" t="s">
        <v>189</v>
      </c>
      <c r="C262" s="26"/>
      <c r="D262" s="26" t="s">
        <v>190</v>
      </c>
      <c r="G262" s="2"/>
      <c r="H262" s="2"/>
      <c r="I262" s="2"/>
      <c r="J262" s="2"/>
      <c r="K262" s="2"/>
      <c r="L262" s="2"/>
      <c r="M262" s="2">
        <v>51154</v>
      </c>
      <c r="N262" s="2"/>
      <c r="O262" s="2">
        <v>50779</v>
      </c>
      <c r="P262" s="2"/>
      <c r="Q262" s="2"/>
      <c r="R262" s="2"/>
      <c r="S262" s="2"/>
      <c r="T262" s="2"/>
      <c r="U262" s="2"/>
      <c r="V262"/>
      <c r="W262"/>
      <c r="X262"/>
      <c r="Y262"/>
      <c r="Z262"/>
      <c r="AA262"/>
      <c r="AB262"/>
      <c r="AC262"/>
      <c r="AD262"/>
      <c r="AE262"/>
      <c r="AF262"/>
      <c r="AG262" s="2"/>
      <c r="AH262" s="2"/>
      <c r="AI262" s="2"/>
      <c r="AJ262" s="2"/>
      <c r="AK262" s="2"/>
      <c r="AL262" s="2"/>
      <c r="AM262" s="2"/>
      <c r="AN262" s="2"/>
      <c r="AO262" s="2"/>
      <c r="BI262"/>
    </row>
    <row r="263" spans="1:61" s="4" customFormat="1" ht="12.75">
      <c r="A263" s="8"/>
      <c r="B263" s="26" t="s">
        <v>191</v>
      </c>
      <c r="C263" s="26"/>
      <c r="D263" s="26" t="s">
        <v>192</v>
      </c>
      <c r="G263" s="2"/>
      <c r="H263" s="2"/>
      <c r="I263" s="2"/>
      <c r="J263" s="2"/>
      <c r="K263" s="2"/>
      <c r="L263" s="2"/>
      <c r="M263" s="2">
        <v>7.1</v>
      </c>
      <c r="N263" s="2"/>
      <c r="O263" s="2">
        <v>8</v>
      </c>
      <c r="P263" s="2"/>
      <c r="Q263" s="2"/>
      <c r="R263" s="2"/>
      <c r="S263" s="2"/>
      <c r="T263" s="2"/>
      <c r="U263" s="2"/>
      <c r="V263"/>
      <c r="W263"/>
      <c r="X263"/>
      <c r="Y263"/>
      <c r="Z263"/>
      <c r="AA263"/>
      <c r="AB263"/>
      <c r="AC263"/>
      <c r="AD263"/>
      <c r="AE263"/>
      <c r="AF263"/>
      <c r="AG263" s="2"/>
      <c r="AH263" s="2"/>
      <c r="AI263" s="2"/>
      <c r="AJ263" s="2"/>
      <c r="AK263" s="2"/>
      <c r="AL263" s="2"/>
      <c r="AM263" s="2"/>
      <c r="AN263" s="2"/>
      <c r="AO263" s="2"/>
      <c r="BI263"/>
    </row>
    <row r="264" spans="1:61" s="4" customFormat="1" ht="12.75">
      <c r="A264" s="8"/>
      <c r="B264" s="26" t="s">
        <v>193</v>
      </c>
      <c r="C264" s="26"/>
      <c r="D264" s="26" t="s">
        <v>192</v>
      </c>
      <c r="G264" s="2"/>
      <c r="H264" s="2"/>
      <c r="I264" s="2"/>
      <c r="J264" s="2"/>
      <c r="K264" s="2"/>
      <c r="L264" s="2"/>
      <c r="M264" s="2">
        <v>35.4</v>
      </c>
      <c r="N264" s="2"/>
      <c r="O264" s="2">
        <v>34.4</v>
      </c>
      <c r="P264" s="2"/>
      <c r="Q264" s="2"/>
      <c r="R264" s="2"/>
      <c r="S264" s="2"/>
      <c r="T264" s="2"/>
      <c r="U264" s="2"/>
      <c r="V264"/>
      <c r="W264"/>
      <c r="X264"/>
      <c r="Y264"/>
      <c r="Z264"/>
      <c r="AA264"/>
      <c r="AB264"/>
      <c r="AC264"/>
      <c r="AD264"/>
      <c r="AE264"/>
      <c r="AF264"/>
      <c r="AG264" s="2"/>
      <c r="AH264" s="2"/>
      <c r="AI264" s="2"/>
      <c r="AJ264" s="2"/>
      <c r="AK264" s="2"/>
      <c r="AL264" s="2"/>
      <c r="AM264" s="2"/>
      <c r="AN264" s="2"/>
      <c r="AO264" s="2"/>
      <c r="BI264"/>
    </row>
    <row r="265" spans="1:61" s="4" customFormat="1" ht="12.75">
      <c r="A265" s="8"/>
      <c r="B265" s="26" t="s">
        <v>194</v>
      </c>
      <c r="C265" s="26"/>
      <c r="D265" s="26" t="s">
        <v>195</v>
      </c>
      <c r="G265" s="2"/>
      <c r="H265" s="2"/>
      <c r="I265" s="2"/>
      <c r="J265" s="2"/>
      <c r="K265" s="2"/>
      <c r="L265" s="2"/>
      <c r="M265" s="2">
        <v>364.37</v>
      </c>
      <c r="N265" s="2"/>
      <c r="O265" s="2">
        <v>359.88</v>
      </c>
      <c r="P265" s="2"/>
      <c r="Q265" s="2"/>
      <c r="R265" s="2"/>
      <c r="S265" s="2"/>
      <c r="T265" s="2"/>
      <c r="U265" s="2"/>
      <c r="V265"/>
      <c r="W265"/>
      <c r="X265"/>
      <c r="Y265"/>
      <c r="Z265"/>
      <c r="AA265"/>
      <c r="AB265"/>
      <c r="AC265"/>
      <c r="AD265"/>
      <c r="AE265"/>
      <c r="AF265"/>
      <c r="AG265" s="2"/>
      <c r="AH265" s="2"/>
      <c r="AI265" s="2"/>
      <c r="AJ265" s="2"/>
      <c r="AK265" s="2"/>
      <c r="AL265" s="2"/>
      <c r="AM265" s="2"/>
      <c r="AN265" s="2"/>
      <c r="AO265" s="2"/>
      <c r="BI265"/>
    </row>
    <row r="266" spans="1:61" s="3" customFormat="1" ht="12.75">
      <c r="A266" s="8"/>
      <c r="F266" s="2"/>
      <c r="H266" s="2"/>
      <c r="J266" s="2"/>
      <c r="L266" s="2"/>
      <c r="N266" s="2"/>
      <c r="P266" s="2"/>
      <c r="R266" s="2"/>
      <c r="T266" s="2"/>
      <c r="V266"/>
      <c r="W266"/>
      <c r="X266"/>
      <c r="Y266"/>
      <c r="Z266"/>
      <c r="AA266"/>
      <c r="AB266"/>
      <c r="AC266"/>
      <c r="AD266"/>
      <c r="AE266"/>
      <c r="AF266"/>
      <c r="BI266"/>
    </row>
    <row r="267" spans="1:61" s="3" customFormat="1" ht="12.75">
      <c r="A267" s="8"/>
      <c r="B267" s="3" t="s">
        <v>53</v>
      </c>
      <c r="C267" s="4" t="s">
        <v>41</v>
      </c>
      <c r="D267" s="3" t="s">
        <v>187</v>
      </c>
      <c r="F267" s="2"/>
      <c r="H267" s="2"/>
      <c r="J267" s="2"/>
      <c r="L267" s="2"/>
      <c r="N267" s="2"/>
      <c r="P267" s="2"/>
      <c r="R267" s="2"/>
      <c r="T267" s="2"/>
      <c r="V267"/>
      <c r="W267"/>
      <c r="X267"/>
      <c r="Y267"/>
      <c r="Z267"/>
      <c r="AA267"/>
      <c r="AB267"/>
      <c r="AC267"/>
      <c r="AD267"/>
      <c r="AE267"/>
      <c r="AF267"/>
      <c r="BI267"/>
    </row>
    <row r="268" spans="1:61" s="4" customFormat="1" ht="12.75">
      <c r="A268" s="8"/>
      <c r="B268" s="26" t="s">
        <v>189</v>
      </c>
      <c r="C268" s="26"/>
      <c r="D268" s="26" t="s">
        <v>190</v>
      </c>
      <c r="G268" s="2"/>
      <c r="H268" s="2"/>
      <c r="I268" s="2"/>
      <c r="J268" s="2"/>
      <c r="K268" s="2"/>
      <c r="L268" s="2"/>
      <c r="M268" s="2">
        <v>51451</v>
      </c>
      <c r="N268" s="2"/>
      <c r="O268" s="2">
        <v>51638</v>
      </c>
      <c r="P268" s="2"/>
      <c r="Q268" s="2"/>
      <c r="R268" s="2"/>
      <c r="S268" s="2"/>
      <c r="T268" s="2"/>
      <c r="U268" s="2"/>
      <c r="V268"/>
      <c r="W268"/>
      <c r="X268"/>
      <c r="Y268"/>
      <c r="Z268"/>
      <c r="AA268"/>
      <c r="AB268"/>
      <c r="AC268"/>
      <c r="AD268"/>
      <c r="AE268"/>
      <c r="AF268"/>
      <c r="AG268" s="2"/>
      <c r="AH268" s="2"/>
      <c r="AI268" s="2"/>
      <c r="AJ268" s="2"/>
      <c r="AK268" s="2"/>
      <c r="AL268" s="2"/>
      <c r="AM268" s="2"/>
      <c r="AN268" s="2"/>
      <c r="AO268" s="2"/>
      <c r="BI268"/>
    </row>
    <row r="269" spans="1:61" s="4" customFormat="1" ht="12.75">
      <c r="A269" s="8"/>
      <c r="B269" s="26" t="s">
        <v>191</v>
      </c>
      <c r="C269" s="26"/>
      <c r="D269" s="26" t="s">
        <v>192</v>
      </c>
      <c r="G269" s="2"/>
      <c r="H269" s="2"/>
      <c r="I269" s="2"/>
      <c r="J269" s="2"/>
      <c r="K269" s="2"/>
      <c r="L269" s="2"/>
      <c r="M269" s="2">
        <v>7.1</v>
      </c>
      <c r="N269" s="2"/>
      <c r="O269" s="2">
        <v>7.9</v>
      </c>
      <c r="P269" s="2"/>
      <c r="Q269" s="2"/>
      <c r="R269" s="2"/>
      <c r="S269" s="2"/>
      <c r="T269" s="2"/>
      <c r="U269" s="2"/>
      <c r="V269"/>
      <c r="W269"/>
      <c r="X269"/>
      <c r="Y269"/>
      <c r="Z269"/>
      <c r="AA269"/>
      <c r="AB269"/>
      <c r="AC269"/>
      <c r="AD269"/>
      <c r="AE269"/>
      <c r="AF269"/>
      <c r="AG269" s="2"/>
      <c r="AH269" s="2"/>
      <c r="AI269" s="2"/>
      <c r="AJ269" s="2"/>
      <c r="AK269" s="2"/>
      <c r="AL269" s="2"/>
      <c r="AM269" s="2"/>
      <c r="AN269" s="2"/>
      <c r="AO269" s="2"/>
      <c r="BI269"/>
    </row>
    <row r="270" spans="1:61" s="4" customFormat="1" ht="12.75">
      <c r="A270" s="8"/>
      <c r="B270" s="26" t="s">
        <v>193</v>
      </c>
      <c r="C270" s="26"/>
      <c r="D270" s="26" t="s">
        <v>192</v>
      </c>
      <c r="G270" s="2"/>
      <c r="H270" s="2"/>
      <c r="I270" s="2"/>
      <c r="J270" s="2"/>
      <c r="K270" s="2"/>
      <c r="L270" s="2"/>
      <c r="M270" s="2">
        <v>34.9</v>
      </c>
      <c r="N270" s="2"/>
      <c r="O270" s="2">
        <v>34.6</v>
      </c>
      <c r="P270" s="2"/>
      <c r="Q270" s="2"/>
      <c r="R270" s="2"/>
      <c r="S270" s="2"/>
      <c r="T270" s="2"/>
      <c r="U270" s="2"/>
      <c r="V270"/>
      <c r="W270"/>
      <c r="X270"/>
      <c r="Y270"/>
      <c r="Z270"/>
      <c r="AA270"/>
      <c r="AB270"/>
      <c r="AC270"/>
      <c r="AD270"/>
      <c r="AE270"/>
      <c r="AF270"/>
      <c r="AG270" s="2"/>
      <c r="AH270" s="2"/>
      <c r="AI270" s="2"/>
      <c r="AJ270" s="2"/>
      <c r="AK270" s="2"/>
      <c r="AL270" s="2"/>
      <c r="AM270" s="2"/>
      <c r="AN270" s="2"/>
      <c r="AO270" s="2"/>
      <c r="BI270"/>
    </row>
    <row r="271" spans="1:61" s="4" customFormat="1" ht="12.75">
      <c r="A271" s="8"/>
      <c r="B271" s="26" t="s">
        <v>194</v>
      </c>
      <c r="C271" s="26"/>
      <c r="D271" s="26" t="s">
        <v>195</v>
      </c>
      <c r="G271" s="2"/>
      <c r="H271" s="2"/>
      <c r="I271" s="2"/>
      <c r="J271" s="2"/>
      <c r="K271" s="2"/>
      <c r="L271" s="2"/>
      <c r="M271" s="2">
        <v>370.96</v>
      </c>
      <c r="N271" s="2"/>
      <c r="O271" s="2">
        <v>364.21</v>
      </c>
      <c r="P271" s="2"/>
      <c r="Q271" s="2"/>
      <c r="R271" s="2"/>
      <c r="S271" s="2"/>
      <c r="T271" s="2"/>
      <c r="U271" s="2"/>
      <c r="V271"/>
      <c r="W271"/>
      <c r="X271"/>
      <c r="Y271"/>
      <c r="Z271"/>
      <c r="AA271"/>
      <c r="AB271"/>
      <c r="AC271"/>
      <c r="AD271"/>
      <c r="AE271"/>
      <c r="AF271"/>
      <c r="AG271" s="2"/>
      <c r="AH271" s="2"/>
      <c r="AI271" s="2"/>
      <c r="AJ271" s="2"/>
      <c r="AK271" s="2"/>
      <c r="AL271" s="2"/>
      <c r="AM271" s="2"/>
      <c r="AN271" s="2"/>
      <c r="AO271" s="2"/>
      <c r="BI271"/>
    </row>
    <row r="272" spans="1:61" s="3" customFormat="1" ht="12.75">
      <c r="A272" s="8"/>
      <c r="F272" s="2"/>
      <c r="H272" s="2"/>
      <c r="J272" s="2"/>
      <c r="L272" s="2"/>
      <c r="N272" s="2"/>
      <c r="P272" s="2"/>
      <c r="R272" s="2"/>
      <c r="T272" s="2"/>
      <c r="V272"/>
      <c r="W272"/>
      <c r="X272"/>
      <c r="Y272"/>
      <c r="Z272"/>
      <c r="AA272"/>
      <c r="AB272"/>
      <c r="AC272"/>
      <c r="AD272"/>
      <c r="AE272"/>
      <c r="AF272"/>
      <c r="BI272"/>
    </row>
    <row r="273" spans="1:61" s="3" customFormat="1" ht="12.75">
      <c r="A273" s="8"/>
      <c r="B273" s="5" t="s">
        <v>31</v>
      </c>
      <c r="F273" s="2"/>
      <c r="G273" s="23" t="s">
        <v>54</v>
      </c>
      <c r="H273" s="23"/>
      <c r="I273" s="23" t="s">
        <v>55</v>
      </c>
      <c r="J273" s="23"/>
      <c r="K273" s="23" t="s">
        <v>56</v>
      </c>
      <c r="L273" s="23"/>
      <c r="M273" s="23" t="s">
        <v>57</v>
      </c>
      <c r="N273" s="23"/>
      <c r="O273" s="23" t="s">
        <v>58</v>
      </c>
      <c r="P273" s="23"/>
      <c r="Q273" s="23" t="s">
        <v>59</v>
      </c>
      <c r="R273" s="23"/>
      <c r="S273" s="23" t="s">
        <v>60</v>
      </c>
      <c r="T273" s="23"/>
      <c r="U273" s="23" t="s">
        <v>61</v>
      </c>
      <c r="V273"/>
      <c r="W273"/>
      <c r="X273"/>
      <c r="Y273"/>
      <c r="Z273"/>
      <c r="AA273"/>
      <c r="AB273"/>
      <c r="AC273"/>
      <c r="AD273"/>
      <c r="AE273"/>
      <c r="AF273"/>
      <c r="BI273"/>
    </row>
    <row r="274" spans="1:61" s="3" customFormat="1" ht="12.75">
      <c r="A274" s="8"/>
      <c r="F274" s="2"/>
      <c r="H274" s="2"/>
      <c r="J274" s="2"/>
      <c r="L274" s="2"/>
      <c r="N274" s="2"/>
      <c r="P274" s="2"/>
      <c r="R274" s="2"/>
      <c r="T274" s="2"/>
      <c r="V274"/>
      <c r="W274"/>
      <c r="X274"/>
      <c r="Y274"/>
      <c r="Z274"/>
      <c r="AA274"/>
      <c r="AB274"/>
      <c r="AC274"/>
      <c r="AD274"/>
      <c r="AE274"/>
      <c r="AF274"/>
      <c r="BI274"/>
    </row>
    <row r="275" spans="1:61" s="3" customFormat="1" ht="12.75">
      <c r="A275" s="8"/>
      <c r="B275" s="3" t="s">
        <v>28</v>
      </c>
      <c r="C275" s="3" t="s">
        <v>183</v>
      </c>
      <c r="D275" s="3" t="s">
        <v>5</v>
      </c>
      <c r="F275" s="2" t="s">
        <v>3</v>
      </c>
      <c r="G275" s="34">
        <v>179</v>
      </c>
      <c r="H275" s="34" t="s">
        <v>3</v>
      </c>
      <c r="I275" s="34">
        <v>195</v>
      </c>
      <c r="J275" s="34" t="s">
        <v>3</v>
      </c>
      <c r="K275" s="34">
        <v>308</v>
      </c>
      <c r="L275" s="2" t="s">
        <v>3</v>
      </c>
      <c r="N275" s="2" t="s">
        <v>3</v>
      </c>
      <c r="P275" s="2" t="s">
        <v>3</v>
      </c>
      <c r="R275" s="2" t="s">
        <v>3</v>
      </c>
      <c r="T275" s="2" t="s">
        <v>3</v>
      </c>
      <c r="U275" s="34">
        <f>AVERAGE(G275,I275,K275)</f>
        <v>227.33333333333334</v>
      </c>
      <c r="V275"/>
      <c r="W275"/>
      <c r="X275"/>
      <c r="Y275"/>
      <c r="Z275"/>
      <c r="AA275"/>
      <c r="AB275"/>
      <c r="AC275"/>
      <c r="AD275"/>
      <c r="AE275"/>
      <c r="AF275"/>
      <c r="BI275"/>
    </row>
    <row r="276" spans="1:61" s="3" customFormat="1" ht="12.75">
      <c r="A276" s="8"/>
      <c r="B276" s="3" t="s">
        <v>4</v>
      </c>
      <c r="C276" s="3" t="s">
        <v>183</v>
      </c>
      <c r="D276" s="3" t="s">
        <v>5</v>
      </c>
      <c r="F276" s="2" t="s">
        <v>3</v>
      </c>
      <c r="G276" s="34">
        <v>127</v>
      </c>
      <c r="H276" s="34" t="s">
        <v>3</v>
      </c>
      <c r="I276" s="34">
        <v>138</v>
      </c>
      <c r="J276" s="34" t="s">
        <v>3</v>
      </c>
      <c r="K276" s="34">
        <v>232</v>
      </c>
      <c r="L276" s="2" t="s">
        <v>3</v>
      </c>
      <c r="N276" s="2" t="s">
        <v>3</v>
      </c>
      <c r="P276" s="2" t="s">
        <v>3</v>
      </c>
      <c r="R276" s="2" t="s">
        <v>3</v>
      </c>
      <c r="T276" s="2" t="s">
        <v>3</v>
      </c>
      <c r="U276" s="34">
        <f>AVERAGE(G276,I276,K276)</f>
        <v>165.66666666666666</v>
      </c>
      <c r="V276"/>
      <c r="W276"/>
      <c r="X276"/>
      <c r="Y276"/>
      <c r="Z276"/>
      <c r="AA276"/>
      <c r="AB276"/>
      <c r="AC276"/>
      <c r="AD276"/>
      <c r="AE276"/>
      <c r="AF276"/>
      <c r="BI276"/>
    </row>
    <row r="277" spans="1:61" s="3" customFormat="1" ht="12.75">
      <c r="A277" s="8"/>
      <c r="B277" s="3" t="s">
        <v>29</v>
      </c>
      <c r="C277" s="3" t="s">
        <v>183</v>
      </c>
      <c r="D277" s="3" t="s">
        <v>5</v>
      </c>
      <c r="F277" s="2" t="s">
        <v>3</v>
      </c>
      <c r="G277" s="34">
        <v>2.4</v>
      </c>
      <c r="H277" s="34" t="s">
        <v>3</v>
      </c>
      <c r="I277" s="34">
        <v>3.6</v>
      </c>
      <c r="J277" s="34" t="s">
        <v>3</v>
      </c>
      <c r="K277" s="34">
        <v>4.2</v>
      </c>
      <c r="L277" s="2" t="s">
        <v>3</v>
      </c>
      <c r="N277" s="2" t="s">
        <v>3</v>
      </c>
      <c r="P277" s="2" t="s">
        <v>3</v>
      </c>
      <c r="R277" s="2" t="s">
        <v>3</v>
      </c>
      <c r="T277" s="2" t="s">
        <v>3</v>
      </c>
      <c r="U277" s="34">
        <f>AVERAGE(G277,I277,K277)</f>
        <v>3.4</v>
      </c>
      <c r="V277"/>
      <c r="W277"/>
      <c r="X277"/>
      <c r="Y277"/>
      <c r="Z277"/>
      <c r="AA277"/>
      <c r="AB277"/>
      <c r="AC277"/>
      <c r="AD277"/>
      <c r="AE277"/>
      <c r="AF277"/>
      <c r="BI277"/>
    </row>
    <row r="278" spans="1:61" s="3" customFormat="1" ht="12.75">
      <c r="A278" s="8"/>
      <c r="B278" s="3" t="s">
        <v>6</v>
      </c>
      <c r="C278" s="3" t="s">
        <v>183</v>
      </c>
      <c r="D278" s="3" t="s">
        <v>5</v>
      </c>
      <c r="F278" s="2" t="s">
        <v>3</v>
      </c>
      <c r="G278" s="34">
        <v>2.3</v>
      </c>
      <c r="H278" s="34" t="s">
        <v>3</v>
      </c>
      <c r="I278" s="34">
        <v>3.3</v>
      </c>
      <c r="J278" s="34" t="s">
        <v>3</v>
      </c>
      <c r="K278" s="34">
        <v>3.6</v>
      </c>
      <c r="L278" s="2" t="s">
        <v>3</v>
      </c>
      <c r="N278" s="2" t="s">
        <v>3</v>
      </c>
      <c r="P278" s="2" t="s">
        <v>3</v>
      </c>
      <c r="R278" s="2" t="s">
        <v>3</v>
      </c>
      <c r="T278" s="2" t="s">
        <v>3</v>
      </c>
      <c r="U278" s="34">
        <f>AVERAGE(G278,I278,K278)</f>
        <v>3.0666666666666664</v>
      </c>
      <c r="V278"/>
      <c r="W278"/>
      <c r="X278"/>
      <c r="Y278"/>
      <c r="Z278"/>
      <c r="AA278"/>
      <c r="AB278"/>
      <c r="AC278"/>
      <c r="AD278"/>
      <c r="AE278"/>
      <c r="AF278"/>
      <c r="BI278"/>
    </row>
    <row r="280" spans="2:4" ht="12.75">
      <c r="B280" s="3" t="s">
        <v>53</v>
      </c>
      <c r="C280" s="4" t="s">
        <v>42</v>
      </c>
      <c r="D280" s="3" t="s">
        <v>183</v>
      </c>
    </row>
    <row r="281" spans="1:61" s="4" customFormat="1" ht="12.75">
      <c r="A281" s="8"/>
      <c r="B281" s="26" t="s">
        <v>189</v>
      </c>
      <c r="C281" s="26"/>
      <c r="D281" s="26" t="s">
        <v>190</v>
      </c>
      <c r="G281" s="2">
        <v>55226</v>
      </c>
      <c r="H281" s="2"/>
      <c r="I281" s="2">
        <v>51890</v>
      </c>
      <c r="J281" s="2"/>
      <c r="K281" s="2">
        <v>51650</v>
      </c>
      <c r="L281" s="2"/>
      <c r="M281" s="2"/>
      <c r="N281" s="2"/>
      <c r="O281" s="2"/>
      <c r="P281" s="2"/>
      <c r="Q281" s="2"/>
      <c r="R281" s="2"/>
      <c r="S281" s="2"/>
      <c r="T281" s="2"/>
      <c r="U281" s="2"/>
      <c r="V281"/>
      <c r="W281"/>
      <c r="X281"/>
      <c r="Y281"/>
      <c r="Z281"/>
      <c r="AA281"/>
      <c r="AB281"/>
      <c r="AC281"/>
      <c r="AD281"/>
      <c r="AE281"/>
      <c r="AF281"/>
      <c r="AG281" s="2"/>
      <c r="AH281" s="2"/>
      <c r="AI281" s="2"/>
      <c r="AJ281" s="2"/>
      <c r="AK281" s="2"/>
      <c r="AL281" s="2"/>
      <c r="AM281" s="2"/>
      <c r="AN281" s="2"/>
      <c r="AO281" s="2"/>
      <c r="BI281"/>
    </row>
    <row r="282" spans="1:61" s="4" customFormat="1" ht="12.75">
      <c r="A282" s="8"/>
      <c r="B282" s="26" t="s">
        <v>191</v>
      </c>
      <c r="C282" s="26"/>
      <c r="D282" s="26" t="s">
        <v>192</v>
      </c>
      <c r="G282" s="2">
        <v>8</v>
      </c>
      <c r="H282" s="2"/>
      <c r="I282" s="2">
        <v>7.7</v>
      </c>
      <c r="J282" s="2"/>
      <c r="K282" s="2">
        <v>8</v>
      </c>
      <c r="L282" s="2"/>
      <c r="M282" s="2"/>
      <c r="N282" s="2"/>
      <c r="O282" s="2"/>
      <c r="P282" s="2"/>
      <c r="Q282" s="2"/>
      <c r="R282" s="2"/>
      <c r="S282" s="2"/>
      <c r="T282" s="2"/>
      <c r="U282" s="2"/>
      <c r="V282"/>
      <c r="W282"/>
      <c r="X282"/>
      <c r="Y282"/>
      <c r="Z282"/>
      <c r="AA282"/>
      <c r="AB282"/>
      <c r="AC282"/>
      <c r="AD282"/>
      <c r="AE282"/>
      <c r="AF282"/>
      <c r="AG282" s="2"/>
      <c r="AH282" s="2"/>
      <c r="AI282" s="2"/>
      <c r="AJ282" s="2"/>
      <c r="AK282" s="2"/>
      <c r="AL282" s="2"/>
      <c r="AM282" s="2"/>
      <c r="AN282" s="2"/>
      <c r="AO282" s="2"/>
      <c r="BI282"/>
    </row>
    <row r="283" spans="1:61" s="4" customFormat="1" ht="12.75">
      <c r="A283" s="8"/>
      <c r="B283" s="26" t="s">
        <v>193</v>
      </c>
      <c r="C283" s="26"/>
      <c r="D283" s="26" t="s">
        <v>192</v>
      </c>
      <c r="G283" s="2">
        <v>33.2</v>
      </c>
      <c r="H283" s="2"/>
      <c r="I283" s="2">
        <v>33.4</v>
      </c>
      <c r="J283" s="2"/>
      <c r="K283" s="2">
        <v>35.6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/>
      <c r="W283"/>
      <c r="X283"/>
      <c r="Y283"/>
      <c r="Z283"/>
      <c r="AA283"/>
      <c r="AB283"/>
      <c r="AC283"/>
      <c r="AD283"/>
      <c r="AE283"/>
      <c r="AF283"/>
      <c r="AG283" s="2"/>
      <c r="AH283" s="2"/>
      <c r="AI283" s="2"/>
      <c r="AJ283" s="2"/>
      <c r="AK283" s="2"/>
      <c r="AL283" s="2"/>
      <c r="AM283" s="2"/>
      <c r="AN283" s="2"/>
      <c r="AO283" s="2"/>
      <c r="BI283"/>
    </row>
    <row r="284" spans="1:61" s="4" customFormat="1" ht="12.75">
      <c r="A284" s="8"/>
      <c r="B284" s="26" t="s">
        <v>194</v>
      </c>
      <c r="C284" s="26"/>
      <c r="D284" s="26" t="s">
        <v>195</v>
      </c>
      <c r="G284" s="2">
        <v>369.46</v>
      </c>
      <c r="H284" s="2"/>
      <c r="I284" s="2">
        <v>373.79</v>
      </c>
      <c r="J284" s="2"/>
      <c r="K284" s="2">
        <v>363.33</v>
      </c>
      <c r="L284" s="2"/>
      <c r="M284" s="2"/>
      <c r="N284" s="2"/>
      <c r="O284" s="2"/>
      <c r="P284" s="2"/>
      <c r="Q284" s="2"/>
      <c r="R284" s="2"/>
      <c r="S284" s="2"/>
      <c r="T284" s="2"/>
      <c r="U284" s="2"/>
      <c r="V284"/>
      <c r="W284"/>
      <c r="X284"/>
      <c r="Y284"/>
      <c r="Z284"/>
      <c r="AA284"/>
      <c r="AB284"/>
      <c r="AC284"/>
      <c r="AD284"/>
      <c r="AE284"/>
      <c r="AF284"/>
      <c r="AG284" s="2"/>
      <c r="AH284" s="2"/>
      <c r="AI284" s="2"/>
      <c r="AJ284" s="2"/>
      <c r="AK284" s="2"/>
      <c r="AL284" s="2"/>
      <c r="AM284" s="2"/>
      <c r="AN284" s="2"/>
      <c r="AO284" s="2"/>
      <c r="BI28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J258"/>
  <sheetViews>
    <sheetView zoomScale="75" zoomScaleNormal="75" workbookViewId="0" topLeftCell="BB1">
      <selection activeCell="B2" sqref="B2"/>
    </sheetView>
  </sheetViews>
  <sheetFormatPr defaultColWidth="9.140625" defaultRowHeight="12.75"/>
  <cols>
    <col min="1" max="1" width="9.140625" style="4" hidden="1" customWidth="1"/>
    <col min="2" max="2" width="20.8515625" style="4" customWidth="1"/>
    <col min="3" max="3" width="3.7109375" style="4" customWidth="1"/>
    <col min="4" max="4" width="12.00390625" style="4" customWidth="1"/>
    <col min="5" max="5" width="3.7109375" style="4" customWidth="1"/>
    <col min="6" max="6" width="13.8515625" style="4" customWidth="1"/>
    <col min="7" max="7" width="4.00390625" style="4" customWidth="1"/>
    <col min="8" max="8" width="11.57421875" style="4" customWidth="1"/>
    <col min="9" max="9" width="3.8515625" style="4" customWidth="1"/>
    <col min="10" max="10" width="12.7109375" style="4" customWidth="1"/>
    <col min="11" max="11" width="4.00390625" style="4" customWidth="1"/>
    <col min="12" max="12" width="12.57421875" style="4" customWidth="1"/>
    <col min="13" max="13" width="4.28125" style="4" customWidth="1"/>
    <col min="14" max="14" width="13.00390625" style="4" customWidth="1"/>
    <col min="15" max="15" width="3.8515625" style="4" customWidth="1"/>
    <col min="16" max="16" width="13.421875" style="4" customWidth="1"/>
    <col min="17" max="17" width="3.140625" style="4" customWidth="1"/>
    <col min="18" max="18" width="13.7109375" style="4" customWidth="1"/>
    <col min="19" max="19" width="3.140625" style="4" customWidth="1"/>
    <col min="20" max="20" width="13.140625" style="4" customWidth="1"/>
    <col min="21" max="21" width="3.140625" style="4" customWidth="1"/>
    <col min="22" max="22" width="12.28125" style="4" customWidth="1"/>
    <col min="23" max="23" width="4.140625" style="4" customWidth="1"/>
    <col min="24" max="24" width="11.28125" style="4" customWidth="1"/>
    <col min="25" max="25" width="3.8515625" style="4" customWidth="1"/>
    <col min="26" max="26" width="12.00390625" style="4" bestFit="1" customWidth="1"/>
    <col min="27" max="27" width="3.8515625" style="4" customWidth="1"/>
    <col min="28" max="28" width="12.00390625" style="4" bestFit="1" customWidth="1"/>
    <col min="29" max="29" width="2.57421875" style="4" customWidth="1"/>
    <col min="30" max="30" width="12.00390625" style="4" bestFit="1" customWidth="1"/>
    <col min="31" max="31" width="2.57421875" style="4" customWidth="1"/>
    <col min="32" max="32" width="12.00390625" style="4" bestFit="1" customWidth="1"/>
    <col min="33" max="33" width="2.57421875" style="4" customWidth="1"/>
    <col min="34" max="34" width="12.00390625" style="4" bestFit="1" customWidth="1"/>
    <col min="35" max="35" width="3.7109375" style="4" customWidth="1"/>
    <col min="36" max="36" width="12.00390625" style="4" bestFit="1" customWidth="1"/>
    <col min="37" max="37" width="4.28125" style="4" customWidth="1"/>
    <col min="38" max="38" width="12.00390625" style="4" bestFit="1" customWidth="1"/>
    <col min="39" max="39" width="4.7109375" style="4" customWidth="1"/>
    <col min="40" max="40" width="12.00390625" style="4" bestFit="1" customWidth="1"/>
    <col min="41" max="41" width="2.00390625" style="4" customWidth="1"/>
    <col min="42" max="42" width="12.00390625" style="4" customWidth="1"/>
    <col min="43" max="43" width="2.57421875" style="4" customWidth="1"/>
    <col min="44" max="44" width="11.7109375" style="4" bestFit="1" customWidth="1"/>
    <col min="45" max="45" width="3.421875" style="4" customWidth="1"/>
    <col min="46" max="46" width="11.7109375" style="4" bestFit="1" customWidth="1"/>
    <col min="47" max="47" width="3.421875" style="4" customWidth="1"/>
    <col min="48" max="48" width="11.7109375" style="4" bestFit="1" customWidth="1"/>
    <col min="49" max="49" width="3.28125" style="4" customWidth="1"/>
    <col min="50" max="50" width="11.7109375" style="4" bestFit="1" customWidth="1"/>
    <col min="51" max="51" width="2.8515625" style="4" customWidth="1"/>
    <col min="52" max="52" width="11.7109375" style="4" bestFit="1" customWidth="1"/>
    <col min="53" max="53" width="4.140625" style="4" customWidth="1"/>
    <col min="54" max="54" width="12.00390625" style="4" bestFit="1" customWidth="1"/>
    <col min="55" max="55" width="3.57421875" style="4" customWidth="1"/>
    <col min="56" max="56" width="12.00390625" style="4" bestFit="1" customWidth="1"/>
    <col min="57" max="57" width="4.7109375" style="4" customWidth="1"/>
    <col min="58" max="58" width="12.00390625" style="4" bestFit="1" customWidth="1"/>
    <col min="59" max="59" width="4.00390625" style="4" customWidth="1"/>
    <col min="60" max="60" width="12.00390625" style="4" customWidth="1"/>
    <col min="61" max="61" width="4.00390625" style="4" customWidth="1"/>
    <col min="62" max="62" width="12.00390625" style="4" customWidth="1"/>
    <col min="63" max="63" width="3.7109375" style="4" customWidth="1"/>
    <col min="64" max="64" width="11.421875" style="4" customWidth="1"/>
    <col min="65" max="65" width="3.57421875" style="4" customWidth="1"/>
    <col min="66" max="66" width="12.00390625" style="4" bestFit="1" customWidth="1"/>
    <col min="67" max="67" width="3.8515625" style="4" customWidth="1"/>
    <col min="68" max="68" width="12.00390625" style="4" bestFit="1" customWidth="1"/>
    <col min="69" max="69" width="4.28125" style="4" customWidth="1"/>
    <col min="70" max="70" width="17.28125" style="4" customWidth="1"/>
    <col min="71" max="71" width="2.57421875" style="4" customWidth="1"/>
    <col min="72" max="72" width="15.140625" style="4" customWidth="1"/>
    <col min="73" max="73" width="2.28125" style="4" customWidth="1"/>
    <col min="74" max="74" width="15.00390625" style="4" customWidth="1"/>
    <col min="75" max="75" width="2.140625" style="4" customWidth="1"/>
    <col min="76" max="76" width="14.28125" style="4" customWidth="1"/>
    <col min="77" max="77" width="3.7109375" style="4" customWidth="1"/>
    <col min="78" max="78" width="17.00390625" style="4" customWidth="1"/>
    <col min="79" max="79" width="4.28125" style="4" customWidth="1"/>
    <col min="80" max="80" width="16.421875" style="4" customWidth="1"/>
    <col min="81" max="81" width="3.7109375" style="4" customWidth="1"/>
    <col min="82" max="82" width="17.421875" style="4" customWidth="1"/>
    <col min="83" max="83" width="4.00390625" style="4" customWidth="1"/>
    <col min="84" max="84" width="8.8515625" style="4" customWidth="1"/>
    <col min="85" max="85" width="3.7109375" style="4" customWidth="1"/>
    <col min="86" max="86" width="9.00390625" style="4" customWidth="1"/>
    <col min="87" max="87" width="3.57421875" style="4" customWidth="1"/>
    <col min="88" max="88" width="9.28125" style="4" customWidth="1"/>
    <col min="89" max="89" width="3.7109375" style="4" customWidth="1"/>
    <col min="90" max="90" width="9.8515625" style="4" customWidth="1"/>
    <col min="91" max="91" width="3.7109375" style="4" customWidth="1"/>
    <col min="92" max="92" width="9.57421875" style="4" customWidth="1"/>
    <col min="93" max="93" width="3.8515625" style="4" customWidth="1"/>
    <col min="94" max="94" width="9.421875" style="4" customWidth="1"/>
    <col min="95" max="95" width="4.7109375" style="4" customWidth="1"/>
    <col min="96" max="96" width="9.28125" style="4" customWidth="1"/>
    <col min="97" max="97" width="3.7109375" style="4" customWidth="1"/>
    <col min="98" max="98" width="9.421875" style="4" customWidth="1"/>
    <col min="99" max="99" width="3.7109375" style="4" customWidth="1"/>
    <col min="100" max="100" width="8.7109375" style="4" customWidth="1"/>
    <col min="101" max="101" width="4.140625" style="4" customWidth="1"/>
    <col min="102" max="102" width="10.7109375" style="4" customWidth="1"/>
    <col min="103" max="103" width="9.140625" style="4" hidden="1" customWidth="1"/>
    <col min="104" max="107" width="0" style="4" hidden="1" customWidth="1"/>
    <col min="108" max="108" width="2.140625" style="4" customWidth="1"/>
    <col min="109" max="109" width="9.140625" style="4" customWidth="1"/>
    <col min="110" max="110" width="1.57421875" style="4" customWidth="1"/>
    <col min="111" max="111" width="9.140625" style="4" customWidth="1"/>
    <col min="112" max="112" width="0.9921875" style="4" customWidth="1"/>
    <col min="113" max="113" width="9.140625" style="4" customWidth="1"/>
    <col min="114" max="114" width="1.8515625" style="4" customWidth="1"/>
    <col min="115" max="16384" width="9.140625" style="4" customWidth="1"/>
  </cols>
  <sheetData>
    <row r="1" spans="2:107" ht="12.75">
      <c r="B1" s="7" t="s">
        <v>182</v>
      </c>
      <c r="C1" s="7"/>
      <c r="F1" s="4"/>
      <c r="R1" s="4"/>
      <c r="AD1" s="4"/>
      <c r="BB1" s="4"/>
      <c r="BN1" s="4"/>
      <c r="BZ1" s="4"/>
      <c r="CZ1" t="s">
        <v>117</v>
      </c>
      <c r="DA1" t="s">
        <v>118</v>
      </c>
      <c r="DB1" t="s">
        <v>119</v>
      </c>
      <c r="DC1" t="s">
        <v>66</v>
      </c>
    </row>
    <row r="2" spans="5:82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2:102" ht="12.75">
      <c r="B3" s="6" t="s">
        <v>32</v>
      </c>
      <c r="C3" s="6"/>
      <c r="D3" s="6"/>
      <c r="E3" s="2"/>
      <c r="F3" s="24" t="s">
        <v>54</v>
      </c>
      <c r="G3" s="24"/>
      <c r="H3" s="24" t="s">
        <v>55</v>
      </c>
      <c r="I3" s="24"/>
      <c r="J3" s="24" t="s">
        <v>56</v>
      </c>
      <c r="K3" s="24"/>
      <c r="L3" s="24" t="s">
        <v>57</v>
      </c>
      <c r="M3" s="24"/>
      <c r="N3" s="24" t="s">
        <v>58</v>
      </c>
      <c r="O3" s="24"/>
      <c r="P3" s="24" t="s">
        <v>59</v>
      </c>
      <c r="Q3" s="24"/>
      <c r="R3" s="24" t="s">
        <v>54</v>
      </c>
      <c r="S3" s="24"/>
      <c r="T3" s="24" t="s">
        <v>55</v>
      </c>
      <c r="U3" s="24"/>
      <c r="V3" s="24" t="s">
        <v>56</v>
      </c>
      <c r="W3" s="24"/>
      <c r="X3" s="24" t="s">
        <v>57</v>
      </c>
      <c r="Y3" s="24"/>
      <c r="Z3" s="24" t="s">
        <v>58</v>
      </c>
      <c r="AA3" s="24"/>
      <c r="AB3" s="24" t="s">
        <v>59</v>
      </c>
      <c r="AC3" s="24"/>
      <c r="AD3" s="24" t="s">
        <v>54</v>
      </c>
      <c r="AE3" s="24"/>
      <c r="AF3" s="24" t="s">
        <v>55</v>
      </c>
      <c r="AG3" s="24"/>
      <c r="AH3" s="24" t="s">
        <v>56</v>
      </c>
      <c r="AI3" s="24"/>
      <c r="AJ3" s="24" t="s">
        <v>57</v>
      </c>
      <c r="AK3" s="24"/>
      <c r="AL3" s="24" t="s">
        <v>58</v>
      </c>
      <c r="AM3" s="24"/>
      <c r="AN3" s="24" t="s">
        <v>59</v>
      </c>
      <c r="AO3" s="24"/>
      <c r="AP3" s="24" t="s">
        <v>54</v>
      </c>
      <c r="AQ3" s="24"/>
      <c r="AR3" s="24" t="s">
        <v>55</v>
      </c>
      <c r="AS3" s="24"/>
      <c r="AT3" s="24" t="s">
        <v>56</v>
      </c>
      <c r="AU3" s="24"/>
      <c r="AV3" s="24" t="s">
        <v>57</v>
      </c>
      <c r="AW3" s="24"/>
      <c r="AX3" s="24" t="s">
        <v>58</v>
      </c>
      <c r="AY3" s="24"/>
      <c r="AZ3" s="24" t="s">
        <v>59</v>
      </c>
      <c r="BA3" s="24"/>
      <c r="BB3" s="24" t="s">
        <v>54</v>
      </c>
      <c r="BC3" s="24"/>
      <c r="BD3" s="24" t="s">
        <v>55</v>
      </c>
      <c r="BE3" s="24"/>
      <c r="BF3" s="24" t="s">
        <v>56</v>
      </c>
      <c r="BG3" s="24"/>
      <c r="BH3" s="24" t="s">
        <v>57</v>
      </c>
      <c r="BI3" s="24"/>
      <c r="BJ3" s="24" t="s">
        <v>58</v>
      </c>
      <c r="BK3" s="24"/>
      <c r="BL3" s="24" t="s">
        <v>59</v>
      </c>
      <c r="BM3" s="24"/>
      <c r="BN3" s="24" t="s">
        <v>54</v>
      </c>
      <c r="BO3" s="24"/>
      <c r="BP3" s="24" t="s">
        <v>55</v>
      </c>
      <c r="BQ3" s="24"/>
      <c r="BR3" s="24" t="s">
        <v>56</v>
      </c>
      <c r="BS3" s="24"/>
      <c r="BT3" s="24" t="s">
        <v>57</v>
      </c>
      <c r="BU3" s="24"/>
      <c r="BV3" s="24" t="s">
        <v>58</v>
      </c>
      <c r="BW3" s="24"/>
      <c r="BX3" s="24" t="s">
        <v>59</v>
      </c>
      <c r="BY3" s="24"/>
      <c r="BZ3" s="24" t="s">
        <v>54</v>
      </c>
      <c r="CA3" s="24"/>
      <c r="CB3" s="24" t="s">
        <v>55</v>
      </c>
      <c r="CC3" s="24"/>
      <c r="CD3" s="24" t="s">
        <v>56</v>
      </c>
      <c r="CE3" s="24"/>
      <c r="CF3" s="24" t="s">
        <v>57</v>
      </c>
      <c r="CG3" s="24"/>
      <c r="CH3" s="24" t="s">
        <v>58</v>
      </c>
      <c r="CI3" s="24"/>
      <c r="CJ3" s="24" t="s">
        <v>59</v>
      </c>
      <c r="CK3" s="24"/>
      <c r="CL3" s="24" t="s">
        <v>54</v>
      </c>
      <c r="CM3" s="24"/>
      <c r="CN3" s="24" t="s">
        <v>55</v>
      </c>
      <c r="CO3" s="24"/>
      <c r="CP3" s="24" t="s">
        <v>56</v>
      </c>
      <c r="CQ3" s="24"/>
      <c r="CR3" s="24" t="s">
        <v>57</v>
      </c>
      <c r="CS3" s="24"/>
      <c r="CT3" s="24" t="s">
        <v>58</v>
      </c>
      <c r="CU3" s="24"/>
      <c r="CV3" s="24" t="s">
        <v>59</v>
      </c>
      <c r="CW3" s="24"/>
      <c r="CX3" s="24" t="s">
        <v>61</v>
      </c>
    </row>
    <row r="4" spans="2:102" ht="12.75">
      <c r="B4" s="6"/>
      <c r="C4" s="6"/>
      <c r="D4" s="6"/>
      <c r="E4" s="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2:102" ht="12.75">
      <c r="B5" s="30" t="s">
        <v>230</v>
      </c>
      <c r="C5" s="30"/>
      <c r="D5" s="6"/>
      <c r="E5" s="2"/>
      <c r="F5" s="24" t="s">
        <v>236</v>
      </c>
      <c r="G5" s="24"/>
      <c r="H5" s="24" t="s">
        <v>236</v>
      </c>
      <c r="I5" s="24"/>
      <c r="J5" s="24" t="s">
        <v>236</v>
      </c>
      <c r="K5" s="24"/>
      <c r="L5" s="24" t="s">
        <v>236</v>
      </c>
      <c r="M5" s="24"/>
      <c r="N5" s="24" t="s">
        <v>236</v>
      </c>
      <c r="O5" s="24"/>
      <c r="P5" s="24" t="s">
        <v>236</v>
      </c>
      <c r="Q5" s="24"/>
      <c r="R5" s="24" t="s">
        <v>237</v>
      </c>
      <c r="S5" s="24"/>
      <c r="T5" s="24" t="s">
        <v>237</v>
      </c>
      <c r="U5" s="24"/>
      <c r="V5" s="24" t="s">
        <v>237</v>
      </c>
      <c r="W5" s="24"/>
      <c r="X5" s="24" t="s">
        <v>237</v>
      </c>
      <c r="Y5" s="24"/>
      <c r="Z5" s="24" t="s">
        <v>237</v>
      </c>
      <c r="AA5" s="24"/>
      <c r="AB5" s="24" t="s">
        <v>237</v>
      </c>
      <c r="AC5" s="24"/>
      <c r="AD5" s="24" t="s">
        <v>238</v>
      </c>
      <c r="AE5" s="24"/>
      <c r="AF5" s="24" t="s">
        <v>238</v>
      </c>
      <c r="AG5" s="24"/>
      <c r="AH5" s="24" t="s">
        <v>238</v>
      </c>
      <c r="AI5" s="24"/>
      <c r="AJ5" s="24" t="s">
        <v>238</v>
      </c>
      <c r="AK5" s="24"/>
      <c r="AL5" s="24" t="s">
        <v>238</v>
      </c>
      <c r="AM5" s="24"/>
      <c r="AN5" s="24" t="s">
        <v>238</v>
      </c>
      <c r="AO5" s="24"/>
      <c r="AP5" s="24" t="s">
        <v>240</v>
      </c>
      <c r="AQ5" s="24"/>
      <c r="AR5" s="24" t="s">
        <v>240</v>
      </c>
      <c r="AS5" s="24"/>
      <c r="AT5" s="24" t="s">
        <v>240</v>
      </c>
      <c r="AU5" s="24"/>
      <c r="AV5" s="24" t="s">
        <v>240</v>
      </c>
      <c r="AW5" s="24"/>
      <c r="AX5" s="24" t="s">
        <v>240</v>
      </c>
      <c r="AY5" s="24"/>
      <c r="AZ5" s="24" t="s">
        <v>240</v>
      </c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 t="s">
        <v>241</v>
      </c>
      <c r="BO5" s="24"/>
      <c r="BP5" s="24" t="s">
        <v>241</v>
      </c>
      <c r="BQ5" s="24"/>
      <c r="BR5" s="24" t="s">
        <v>241</v>
      </c>
      <c r="BS5" s="24"/>
      <c r="BT5" s="24" t="s">
        <v>241</v>
      </c>
      <c r="BU5" s="24"/>
      <c r="BV5" s="24" t="s">
        <v>241</v>
      </c>
      <c r="BW5" s="24"/>
      <c r="BX5" s="24" t="s">
        <v>241</v>
      </c>
      <c r="BY5" s="24"/>
      <c r="BZ5" s="24" t="s">
        <v>242</v>
      </c>
      <c r="CA5" s="24"/>
      <c r="CB5" s="24" t="s">
        <v>242</v>
      </c>
      <c r="CC5" s="24"/>
      <c r="CD5" s="24" t="s">
        <v>242</v>
      </c>
      <c r="CE5" s="24"/>
      <c r="CF5" s="24" t="s">
        <v>242</v>
      </c>
      <c r="CG5" s="24"/>
      <c r="CH5" s="24" t="s">
        <v>242</v>
      </c>
      <c r="CI5" s="24"/>
      <c r="CJ5" s="24" t="s">
        <v>242</v>
      </c>
      <c r="CK5" s="24"/>
      <c r="CL5" s="24" t="s">
        <v>243</v>
      </c>
      <c r="CM5" s="24"/>
      <c r="CN5" s="24" t="s">
        <v>243</v>
      </c>
      <c r="CO5" s="24"/>
      <c r="CP5" s="24" t="s">
        <v>243</v>
      </c>
      <c r="CQ5" s="24"/>
      <c r="CR5" s="24" t="s">
        <v>243</v>
      </c>
      <c r="CS5" s="24"/>
      <c r="CT5" s="24" t="s">
        <v>243</v>
      </c>
      <c r="CU5" s="24"/>
      <c r="CV5" s="24" t="s">
        <v>243</v>
      </c>
      <c r="CW5" s="24"/>
      <c r="CX5" s="24" t="s">
        <v>243</v>
      </c>
    </row>
    <row r="6" spans="2:102" ht="12.75">
      <c r="B6" s="30" t="s">
        <v>231</v>
      </c>
      <c r="C6" s="30"/>
      <c r="E6" s="2"/>
      <c r="F6" s="2" t="s">
        <v>235</v>
      </c>
      <c r="G6" s="2"/>
      <c r="H6" s="2" t="s">
        <v>235</v>
      </c>
      <c r="I6" s="2"/>
      <c r="J6" s="2" t="s">
        <v>235</v>
      </c>
      <c r="K6" s="2"/>
      <c r="L6" s="2" t="s">
        <v>235</v>
      </c>
      <c r="M6" s="2"/>
      <c r="N6" s="2" t="s">
        <v>235</v>
      </c>
      <c r="O6" s="2"/>
      <c r="P6" s="2" t="s">
        <v>235</v>
      </c>
      <c r="Q6" s="2"/>
      <c r="R6" s="2" t="s">
        <v>249</v>
      </c>
      <c r="S6" s="2"/>
      <c r="T6" s="2" t="s">
        <v>249</v>
      </c>
      <c r="U6" s="2"/>
      <c r="V6" s="2" t="s">
        <v>249</v>
      </c>
      <c r="W6" s="2"/>
      <c r="X6" s="2" t="s">
        <v>249</v>
      </c>
      <c r="Y6" s="2"/>
      <c r="Z6" s="2" t="s">
        <v>249</v>
      </c>
      <c r="AA6" s="2"/>
      <c r="AB6" s="2" t="s">
        <v>249</v>
      </c>
      <c r="AC6" s="2"/>
      <c r="AD6" s="2" t="s">
        <v>239</v>
      </c>
      <c r="AE6" s="2"/>
      <c r="AF6" s="2" t="s">
        <v>239</v>
      </c>
      <c r="AG6" s="2"/>
      <c r="AH6" s="2" t="s">
        <v>239</v>
      </c>
      <c r="AI6" s="2"/>
      <c r="AJ6" s="2" t="s">
        <v>239</v>
      </c>
      <c r="AK6" s="2"/>
      <c r="AL6" s="2" t="s">
        <v>239</v>
      </c>
      <c r="AM6" s="2"/>
      <c r="AN6" s="2" t="s">
        <v>239</v>
      </c>
      <c r="AO6" s="2"/>
      <c r="AP6" s="2" t="s">
        <v>118</v>
      </c>
      <c r="AQ6" s="2"/>
      <c r="AR6" s="2" t="s">
        <v>118</v>
      </c>
      <c r="AS6" s="2"/>
      <c r="AT6" s="2" t="s">
        <v>118</v>
      </c>
      <c r="AU6" s="2"/>
      <c r="AV6" s="2" t="s">
        <v>118</v>
      </c>
      <c r="AW6" s="2"/>
      <c r="AX6" s="2" t="s">
        <v>118</v>
      </c>
      <c r="AY6" s="2"/>
      <c r="AZ6" s="2" t="s">
        <v>118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" t="s">
        <v>65</v>
      </c>
      <c r="BO6" s="2"/>
      <c r="BP6" s="4" t="s">
        <v>65</v>
      </c>
      <c r="BQ6" s="2"/>
      <c r="BR6" s="4" t="s">
        <v>65</v>
      </c>
      <c r="BS6" s="2"/>
      <c r="BT6" s="4" t="s">
        <v>65</v>
      </c>
      <c r="BU6" s="2"/>
      <c r="BV6" s="4" t="s">
        <v>65</v>
      </c>
      <c r="BW6" s="2"/>
      <c r="BX6" s="4" t="s">
        <v>65</v>
      </c>
      <c r="BY6" s="2"/>
      <c r="BZ6" s="2" t="s">
        <v>235</v>
      </c>
      <c r="CA6" s="2"/>
      <c r="CB6" s="2" t="s">
        <v>235</v>
      </c>
      <c r="CC6" s="2"/>
      <c r="CD6" s="2" t="s">
        <v>235</v>
      </c>
      <c r="CF6" s="2" t="s">
        <v>235</v>
      </c>
      <c r="CH6" s="2" t="s">
        <v>235</v>
      </c>
      <c r="CJ6" s="2" t="s">
        <v>235</v>
      </c>
      <c r="CL6" s="4" t="s">
        <v>66</v>
      </c>
      <c r="CN6" s="4" t="s">
        <v>66</v>
      </c>
      <c r="CP6" s="4" t="s">
        <v>66</v>
      </c>
      <c r="CR6" s="4" t="s">
        <v>66</v>
      </c>
      <c r="CT6" s="4" t="s">
        <v>66</v>
      </c>
      <c r="CV6" s="4" t="s">
        <v>66</v>
      </c>
      <c r="CX6" s="4" t="s">
        <v>66</v>
      </c>
    </row>
    <row r="7" spans="2:102" ht="12.75">
      <c r="B7" s="30" t="s">
        <v>246</v>
      </c>
      <c r="C7" s="30"/>
      <c r="E7" s="2"/>
      <c r="F7" s="32" t="s">
        <v>247</v>
      </c>
      <c r="G7" s="2"/>
      <c r="H7" s="32" t="s">
        <v>247</v>
      </c>
      <c r="I7" s="2"/>
      <c r="J7" s="32" t="s">
        <v>247</v>
      </c>
      <c r="K7" s="2"/>
      <c r="L7" s="32" t="s">
        <v>247</v>
      </c>
      <c r="M7" s="2"/>
      <c r="N7" s="32" t="s">
        <v>247</v>
      </c>
      <c r="O7" s="2"/>
      <c r="P7" s="32" t="s">
        <v>247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118</v>
      </c>
      <c r="AQ7" s="2"/>
      <c r="AR7" s="2" t="s">
        <v>118</v>
      </c>
      <c r="AS7" s="2"/>
      <c r="AT7" s="2" t="s">
        <v>118</v>
      </c>
      <c r="AU7" s="2"/>
      <c r="AV7" s="2" t="s">
        <v>118</v>
      </c>
      <c r="AW7" s="2"/>
      <c r="AX7" s="2" t="s">
        <v>118</v>
      </c>
      <c r="AY7" s="2"/>
      <c r="AZ7" s="2" t="s">
        <v>118</v>
      </c>
      <c r="BA7" s="2"/>
      <c r="BB7" s="32" t="s">
        <v>117</v>
      </c>
      <c r="BC7" s="2"/>
      <c r="BD7" s="32" t="s">
        <v>117</v>
      </c>
      <c r="BE7" s="2"/>
      <c r="BF7" s="32" t="s">
        <v>117</v>
      </c>
      <c r="BG7" s="2"/>
      <c r="BH7" s="32" t="s">
        <v>117</v>
      </c>
      <c r="BI7" s="2"/>
      <c r="BJ7" s="32" t="s">
        <v>117</v>
      </c>
      <c r="BK7" s="2"/>
      <c r="BL7" s="32" t="s">
        <v>117</v>
      </c>
      <c r="BM7" s="2"/>
      <c r="BN7" s="4" t="s">
        <v>65</v>
      </c>
      <c r="BO7" s="2"/>
      <c r="BP7" s="4" t="s">
        <v>65</v>
      </c>
      <c r="BQ7" s="2"/>
      <c r="BR7" s="4" t="s">
        <v>65</v>
      </c>
      <c r="BS7" s="2"/>
      <c r="BT7" s="4" t="s">
        <v>65</v>
      </c>
      <c r="BU7" s="2"/>
      <c r="BV7" s="4" t="s">
        <v>65</v>
      </c>
      <c r="BW7" s="2"/>
      <c r="BX7" s="4" t="s">
        <v>65</v>
      </c>
      <c r="BY7" s="2"/>
      <c r="BZ7" s="2"/>
      <c r="CA7" s="2"/>
      <c r="CB7" s="2"/>
      <c r="CC7" s="2"/>
      <c r="CD7" s="2"/>
      <c r="CF7" s="2"/>
      <c r="CH7" s="2"/>
      <c r="CJ7" s="2"/>
      <c r="CL7" s="24" t="s">
        <v>66</v>
      </c>
      <c r="CN7" s="4" t="s">
        <v>66</v>
      </c>
      <c r="CP7" s="4" t="s">
        <v>66</v>
      </c>
      <c r="CR7" s="4" t="s">
        <v>66</v>
      </c>
      <c r="CT7" s="4" t="s">
        <v>66</v>
      </c>
      <c r="CV7" s="4" t="s">
        <v>66</v>
      </c>
      <c r="CX7" s="4" t="s">
        <v>66</v>
      </c>
    </row>
    <row r="8" spans="2:102" ht="12.75">
      <c r="B8" s="30" t="s">
        <v>232</v>
      </c>
      <c r="C8" s="30"/>
      <c r="F8" s="4" t="s">
        <v>62</v>
      </c>
      <c r="H8" s="4" t="s">
        <v>62</v>
      </c>
      <c r="J8" s="4" t="s">
        <v>62</v>
      </c>
      <c r="L8" s="4" t="s">
        <v>62</v>
      </c>
      <c r="N8" s="4" t="s">
        <v>62</v>
      </c>
      <c r="P8" s="4" t="s">
        <v>62</v>
      </c>
      <c r="R8" s="4" t="s">
        <v>248</v>
      </c>
      <c r="S8" s="4" t="s">
        <v>250</v>
      </c>
      <c r="T8" s="4" t="s">
        <v>248</v>
      </c>
      <c r="U8" s="4" t="s">
        <v>250</v>
      </c>
      <c r="V8" s="4" t="s">
        <v>248</v>
      </c>
      <c r="W8" s="4" t="s">
        <v>250</v>
      </c>
      <c r="X8" s="4" t="s">
        <v>248</v>
      </c>
      <c r="Y8" s="4" t="s">
        <v>250</v>
      </c>
      <c r="Z8" s="4" t="s">
        <v>248</v>
      </c>
      <c r="AA8" s="4" t="s">
        <v>250</v>
      </c>
      <c r="AB8" s="4" t="s">
        <v>248</v>
      </c>
      <c r="AC8" s="4" t="s">
        <v>250</v>
      </c>
      <c r="AD8" s="4" t="s">
        <v>251</v>
      </c>
      <c r="AF8" s="4" t="s">
        <v>251</v>
      </c>
      <c r="AH8" s="4" t="s">
        <v>251</v>
      </c>
      <c r="AJ8" s="4" t="s">
        <v>251</v>
      </c>
      <c r="AL8" s="4" t="s">
        <v>251</v>
      </c>
      <c r="AN8" s="4" t="s">
        <v>251</v>
      </c>
      <c r="AP8" s="24" t="s">
        <v>118</v>
      </c>
      <c r="AR8" s="24" t="s">
        <v>118</v>
      </c>
      <c r="AT8" s="24" t="s">
        <v>118</v>
      </c>
      <c r="AV8" s="24" t="s">
        <v>118</v>
      </c>
      <c r="AX8" s="24" t="s">
        <v>118</v>
      </c>
      <c r="AZ8" s="24" t="s">
        <v>118</v>
      </c>
      <c r="BN8" s="4" t="s">
        <v>65</v>
      </c>
      <c r="BP8" s="4" t="s">
        <v>65</v>
      </c>
      <c r="BR8" s="4" t="s">
        <v>65</v>
      </c>
      <c r="BT8" s="4" t="s">
        <v>65</v>
      </c>
      <c r="BV8" s="4" t="s">
        <v>65</v>
      </c>
      <c r="BX8" s="4" t="s">
        <v>65</v>
      </c>
      <c r="BZ8" s="4" t="s">
        <v>120</v>
      </c>
      <c r="CB8" s="4" t="s">
        <v>120</v>
      </c>
      <c r="CD8" s="4" t="s">
        <v>120</v>
      </c>
      <c r="CF8" s="4" t="s">
        <v>120</v>
      </c>
      <c r="CH8" s="4" t="s">
        <v>120</v>
      </c>
      <c r="CJ8" s="4" t="s">
        <v>120</v>
      </c>
      <c r="CL8" s="4" t="s">
        <v>66</v>
      </c>
      <c r="CN8" s="4" t="s">
        <v>66</v>
      </c>
      <c r="CP8" s="4" t="s">
        <v>66</v>
      </c>
      <c r="CR8" s="4" t="s">
        <v>66</v>
      </c>
      <c r="CT8" s="4" t="s">
        <v>66</v>
      </c>
      <c r="CV8" s="4" t="s">
        <v>66</v>
      </c>
      <c r="CX8" s="4" t="s">
        <v>66</v>
      </c>
    </row>
    <row r="9" spans="1:82" ht="12.75">
      <c r="A9" s="4" t="s">
        <v>32</v>
      </c>
      <c r="B9" s="30" t="s">
        <v>233</v>
      </c>
      <c r="C9" s="30"/>
      <c r="D9" s="4" t="s">
        <v>69</v>
      </c>
      <c r="E9" s="2"/>
      <c r="F9">
        <v>152400</v>
      </c>
      <c r="H9">
        <v>153200</v>
      </c>
      <c r="J9">
        <v>154800</v>
      </c>
      <c r="L9">
        <v>162000</v>
      </c>
      <c r="M9" s="2"/>
      <c r="N9">
        <v>162000</v>
      </c>
      <c r="O9" s="2"/>
      <c r="P9">
        <v>162000</v>
      </c>
      <c r="Q9" s="2"/>
      <c r="R9" s="2">
        <v>1200</v>
      </c>
      <c r="S9" s="2"/>
      <c r="T9" s="2">
        <v>600</v>
      </c>
      <c r="U9" s="2"/>
      <c r="V9" s="2">
        <v>1000</v>
      </c>
      <c r="W9" s="2"/>
      <c r="X9" s="2">
        <v>1000</v>
      </c>
      <c r="Y9" s="2"/>
      <c r="Z9" s="2">
        <v>600</v>
      </c>
      <c r="AA9" s="2"/>
      <c r="AB9" s="2">
        <v>1000</v>
      </c>
      <c r="AC9" s="2"/>
      <c r="AD9" s="2">
        <v>15800</v>
      </c>
      <c r="AE9" s="2"/>
      <c r="AF9" s="2">
        <v>15400</v>
      </c>
      <c r="AG9" s="2"/>
      <c r="AH9" s="2">
        <v>16200</v>
      </c>
      <c r="AI9" s="2"/>
      <c r="AJ9" s="2">
        <v>16200</v>
      </c>
      <c r="AK9" s="2"/>
      <c r="AL9" s="2">
        <v>16200</v>
      </c>
      <c r="AM9" s="2"/>
      <c r="AN9" s="2">
        <v>15800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12.75">
      <c r="A10" s="4" t="s">
        <v>32</v>
      </c>
      <c r="B10" s="30" t="s">
        <v>234</v>
      </c>
      <c r="C10" s="30"/>
      <c r="D10" s="4" t="s">
        <v>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6500</v>
      </c>
      <c r="S10" s="2"/>
      <c r="T10" s="2">
        <v>6800</v>
      </c>
      <c r="U10" s="2"/>
      <c r="V10" s="2">
        <v>7000</v>
      </c>
      <c r="W10" s="2"/>
      <c r="X10" s="2">
        <v>7000</v>
      </c>
      <c r="Y10" s="2"/>
      <c r="Z10" s="8">
        <v>6900</v>
      </c>
      <c r="AA10" s="2"/>
      <c r="AB10" s="2">
        <v>7500</v>
      </c>
      <c r="AC10" s="2"/>
      <c r="AD10" s="2">
        <v>13500</v>
      </c>
      <c r="AE10" s="2"/>
      <c r="AF10" s="2">
        <v>11600</v>
      </c>
      <c r="AG10" s="2"/>
      <c r="AH10" s="2">
        <v>12000</v>
      </c>
      <c r="AI10" s="2"/>
      <c r="AJ10" s="2">
        <v>12050</v>
      </c>
      <c r="AK10" s="2"/>
      <c r="AL10" s="2">
        <v>13200</v>
      </c>
      <c r="AM10" s="2"/>
      <c r="AN10" s="2">
        <v>12100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12.75">
      <c r="A11" s="4" t="s">
        <v>32</v>
      </c>
      <c r="B11" s="4" t="s">
        <v>51</v>
      </c>
      <c r="D11" s="4" t="s">
        <v>69</v>
      </c>
      <c r="E11" s="2" t="s">
        <v>11</v>
      </c>
      <c r="F11" s="2">
        <v>15.24</v>
      </c>
      <c r="G11" s="2" t="s">
        <v>11</v>
      </c>
      <c r="H11" s="2">
        <v>15.32</v>
      </c>
      <c r="I11" s="2" t="s">
        <v>11</v>
      </c>
      <c r="J11" s="2">
        <v>15.48</v>
      </c>
      <c r="K11" s="2" t="s">
        <v>11</v>
      </c>
      <c r="L11" s="2">
        <v>16.2</v>
      </c>
      <c r="M11" s="2" t="s">
        <v>11</v>
      </c>
      <c r="N11" s="2">
        <v>16.2</v>
      </c>
      <c r="O11" s="2" t="s">
        <v>11</v>
      </c>
      <c r="P11" s="2">
        <v>16.2</v>
      </c>
      <c r="Q11" s="2"/>
      <c r="R11" s="3">
        <f>2020/453.6</f>
        <v>4.453262786596119</v>
      </c>
      <c r="S11" s="3"/>
      <c r="T11" s="3">
        <f>1200/453.6</f>
        <v>2.6455026455026456</v>
      </c>
      <c r="U11" s="3"/>
      <c r="V11" s="3">
        <f>1720/453.6</f>
        <v>3.7918871252204585</v>
      </c>
      <c r="W11" s="3"/>
      <c r="X11" s="3">
        <f>1160/453.6</f>
        <v>2.5573192239858904</v>
      </c>
      <c r="Y11" s="3"/>
      <c r="Z11" s="3">
        <f>1040/453.6</f>
        <v>2.292768959435626</v>
      </c>
      <c r="AA11" s="3"/>
      <c r="AB11" s="3">
        <f>1590/453.6</f>
        <v>3.505291005291005</v>
      </c>
      <c r="AC11" s="2"/>
      <c r="AD11" s="8">
        <f>422000/453.6</f>
        <v>930.3350970017636</v>
      </c>
      <c r="AE11" s="8"/>
      <c r="AF11" s="8">
        <f>300000/453.6</f>
        <v>661.3756613756614</v>
      </c>
      <c r="AG11" s="8"/>
      <c r="AH11" s="8">
        <f>340000/453.6</f>
        <v>749.5590828924162</v>
      </c>
      <c r="AI11" s="8"/>
      <c r="AJ11" s="8">
        <f>354000/453.6</f>
        <v>780.4232804232804</v>
      </c>
      <c r="AK11" s="8"/>
      <c r="AL11" s="8">
        <f>315000/453.6</f>
        <v>694.4444444444445</v>
      </c>
      <c r="AM11" s="8"/>
      <c r="AN11" s="8">
        <f>332000/453.6</f>
        <v>731.9223985890652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12.75">
      <c r="A12" s="4" t="s">
        <v>32</v>
      </c>
      <c r="B12" s="4" t="s">
        <v>9</v>
      </c>
      <c r="D12" s="4" t="s">
        <v>69</v>
      </c>
      <c r="E12" s="2"/>
      <c r="F12" s="2"/>
      <c r="G12" s="2"/>
      <c r="H12" s="2"/>
      <c r="I12" s="2"/>
      <c r="J12" s="2"/>
      <c r="K12" s="2" t="s">
        <v>11</v>
      </c>
      <c r="L12" s="2">
        <v>1.134</v>
      </c>
      <c r="M12" s="2" t="s">
        <v>11</v>
      </c>
      <c r="N12" s="2">
        <v>1.134</v>
      </c>
      <c r="O12" s="2" t="s">
        <v>11</v>
      </c>
      <c r="P12" s="2">
        <v>1.134</v>
      </c>
      <c r="Q12" s="2"/>
      <c r="R12" s="2"/>
      <c r="S12" s="2"/>
      <c r="T12" s="2"/>
      <c r="U12" s="2"/>
      <c r="V12" s="2"/>
      <c r="W12" s="2" t="s">
        <v>11</v>
      </c>
      <c r="X12" s="15">
        <f>46/453.6</f>
        <v>0.10141093474426807</v>
      </c>
      <c r="Y12" s="2" t="s">
        <v>11</v>
      </c>
      <c r="Z12" s="15">
        <f>28/453.6</f>
        <v>0.06172839506172839</v>
      </c>
      <c r="AA12" s="2" t="s">
        <v>11</v>
      </c>
      <c r="AB12" s="15">
        <f>42/453.6</f>
        <v>0.09259259259259259</v>
      </c>
      <c r="AC12" s="2"/>
      <c r="AD12" s="2"/>
      <c r="AE12" s="2"/>
      <c r="AF12" s="2"/>
      <c r="AG12" s="2"/>
      <c r="AH12" s="2"/>
      <c r="AI12" s="2"/>
      <c r="AJ12" s="15">
        <f>155/453.6</f>
        <v>0.34171075837742504</v>
      </c>
      <c r="AK12" s="15"/>
      <c r="AL12" s="15">
        <f>146/453.6</f>
        <v>0.3218694885361552</v>
      </c>
      <c r="AM12" s="15"/>
      <c r="AN12" s="15">
        <f>143/453.6</f>
        <v>0.3152557319223986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ht="12.75">
      <c r="A13" s="4" t="s">
        <v>32</v>
      </c>
      <c r="B13" s="4" t="s">
        <v>12</v>
      </c>
      <c r="D13" s="4" t="s">
        <v>69</v>
      </c>
      <c r="E13" s="2"/>
      <c r="F13" s="2"/>
      <c r="G13" s="2"/>
      <c r="H13" s="2"/>
      <c r="I13" s="2"/>
      <c r="J13" s="2"/>
      <c r="K13" s="2" t="s">
        <v>11</v>
      </c>
      <c r="L13" s="2">
        <v>0.6318</v>
      </c>
      <c r="M13" s="2" t="s">
        <v>11</v>
      </c>
      <c r="N13" s="2">
        <v>0.5994</v>
      </c>
      <c r="O13" s="2" t="s">
        <v>11</v>
      </c>
      <c r="P13" s="2">
        <v>0.1458</v>
      </c>
      <c r="Q13" s="2"/>
      <c r="R13" s="2"/>
      <c r="S13" s="2"/>
      <c r="T13" s="2"/>
      <c r="U13" s="2"/>
      <c r="V13" s="2"/>
      <c r="W13" s="2"/>
      <c r="X13" s="10">
        <f>2/453.6</f>
        <v>0.004409171075837742</v>
      </c>
      <c r="Y13" s="10"/>
      <c r="Z13" s="10">
        <f>1.2/453.6</f>
        <v>0.0026455026455026454</v>
      </c>
      <c r="AA13" s="10"/>
      <c r="AB13" s="10">
        <f>1.6/453.6</f>
        <v>0.003527336860670194</v>
      </c>
      <c r="AC13" s="2"/>
      <c r="AD13" s="2"/>
      <c r="AE13" s="2"/>
      <c r="AF13" s="2"/>
      <c r="AG13" s="2"/>
      <c r="AH13" s="2"/>
      <c r="AI13" s="2"/>
      <c r="AJ13" s="15">
        <f>22/453.6</f>
        <v>0.048500881834215165</v>
      </c>
      <c r="AK13" s="2"/>
      <c r="AL13" s="15">
        <f>26/453.6</f>
        <v>0.05731922398589065</v>
      </c>
      <c r="AM13" s="2"/>
      <c r="AN13" s="15">
        <f>17/453.6</f>
        <v>0.03747795414462081</v>
      </c>
      <c r="AO13" s="2"/>
      <c r="AP13" s="2"/>
      <c r="AQ13" s="2"/>
      <c r="AR13" s="2"/>
      <c r="AS13" s="2"/>
      <c r="AU13" s="2"/>
      <c r="AV13" s="3">
        <f>6400/453.6</f>
        <v>14.109347442680775</v>
      </c>
      <c r="AW13" s="2"/>
      <c r="AX13" s="3">
        <f>3350/453.6</f>
        <v>7.385361552028218</v>
      </c>
      <c r="AY13" s="3"/>
      <c r="AZ13" s="3">
        <f>8530/453.6</f>
        <v>18.80511463844797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2.75">
      <c r="A14" s="4" t="s">
        <v>32</v>
      </c>
      <c r="B14" s="4" t="s">
        <v>13</v>
      </c>
      <c r="D14" s="4" t="s">
        <v>69</v>
      </c>
      <c r="E14" s="2"/>
      <c r="F14" s="2"/>
      <c r="G14" s="2"/>
      <c r="H14" s="2"/>
      <c r="I14" s="2"/>
      <c r="J14" s="2"/>
      <c r="K14" s="2"/>
      <c r="L14" s="2">
        <v>7.533</v>
      </c>
      <c r="M14" s="2"/>
      <c r="N14" s="2">
        <v>8.1</v>
      </c>
      <c r="O14" s="2"/>
      <c r="P14" s="2">
        <v>8.262</v>
      </c>
      <c r="Q14" s="2"/>
      <c r="R14" s="2"/>
      <c r="S14" s="2"/>
      <c r="T14" s="2"/>
      <c r="U14" s="2"/>
      <c r="V14" s="2"/>
      <c r="W14" s="2"/>
      <c r="X14" s="3">
        <f>12100/453.6</f>
        <v>26.67548500881834</v>
      </c>
      <c r="Y14" s="3"/>
      <c r="Z14" s="3">
        <f>10000/453.6</f>
        <v>22.045855379188712</v>
      </c>
      <c r="AA14" s="3"/>
      <c r="AB14" s="3">
        <f>9700/453.6</f>
        <v>21.38447971781305</v>
      </c>
      <c r="AC14" s="2"/>
      <c r="AD14" s="2"/>
      <c r="AE14" s="2"/>
      <c r="AF14" s="2"/>
      <c r="AG14" s="2"/>
      <c r="AH14" s="2"/>
      <c r="AI14" s="2"/>
      <c r="AJ14" s="15">
        <f>3030/453.6</f>
        <v>6.6798941798941796</v>
      </c>
      <c r="AK14" s="15"/>
      <c r="AL14" s="15">
        <f>3290/453.6</f>
        <v>7.253086419753086</v>
      </c>
      <c r="AM14" s="15"/>
      <c r="AN14" s="15">
        <f>2720/453.6</f>
        <v>5.99647266313933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2.75">
      <c r="A15" s="4" t="s">
        <v>32</v>
      </c>
      <c r="B15" s="4" t="s">
        <v>14</v>
      </c>
      <c r="D15" s="4" t="s">
        <v>69</v>
      </c>
      <c r="E15" s="2"/>
      <c r="F15" s="2"/>
      <c r="G15" s="2"/>
      <c r="H15" s="2"/>
      <c r="I15" s="2"/>
      <c r="J15" s="2"/>
      <c r="K15" s="2" t="s">
        <v>11</v>
      </c>
      <c r="L15" s="2">
        <v>0.0324</v>
      </c>
      <c r="M15" s="2" t="s">
        <v>11</v>
      </c>
      <c r="N15" s="2">
        <v>0.3078</v>
      </c>
      <c r="O15" s="2" t="s">
        <v>11</v>
      </c>
      <c r="P15" s="2">
        <v>0.324</v>
      </c>
      <c r="Q15" s="2"/>
      <c r="R15" s="2"/>
      <c r="S15" s="2"/>
      <c r="T15" s="2"/>
      <c r="U15" s="2"/>
      <c r="V15" s="2"/>
      <c r="W15" s="2"/>
      <c r="X15" s="10">
        <f>0.5/453.6</f>
        <v>0.0011022927689594356</v>
      </c>
      <c r="Y15" s="10"/>
      <c r="Z15" s="10">
        <f>0.3/453.6</f>
        <v>0.0006613756613756613</v>
      </c>
      <c r="AA15" s="10"/>
      <c r="AB15" s="10">
        <f>0.5/453.6</f>
        <v>0.0011022927689594356</v>
      </c>
      <c r="AC15" s="2"/>
      <c r="AD15" s="2"/>
      <c r="AE15" s="2"/>
      <c r="AF15" s="2"/>
      <c r="AG15" s="2"/>
      <c r="AH15" s="2"/>
      <c r="AI15" s="2"/>
      <c r="AJ15" s="10">
        <f>0.3/453.6</f>
        <v>0.0006613756613756613</v>
      </c>
      <c r="AK15" s="10"/>
      <c r="AL15" s="10">
        <f>0.2/453.6</f>
        <v>0.0004409171075837742</v>
      </c>
      <c r="AM15" s="10"/>
      <c r="AN15" s="10">
        <f>1.1/453.6</f>
        <v>0.0024250440917107582</v>
      </c>
      <c r="AO15" s="2"/>
      <c r="AP15" s="2"/>
      <c r="AQ15" s="2"/>
      <c r="AR15" s="2"/>
      <c r="AS15" s="2"/>
      <c r="AT15" s="2"/>
      <c r="AU15" s="2"/>
      <c r="AV15" s="3">
        <f>571/453.6</f>
        <v>1.2588183421516754</v>
      </c>
      <c r="AW15" s="3"/>
      <c r="AX15" s="3">
        <f>488/453.6</f>
        <v>1.0758377425044092</v>
      </c>
      <c r="AY15" s="3"/>
      <c r="AZ15" s="3">
        <f>445/453.6</f>
        <v>0.9810405643738976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12.75">
      <c r="A16" s="4" t="s">
        <v>32</v>
      </c>
      <c r="B16" s="4" t="s">
        <v>15</v>
      </c>
      <c r="D16" s="4" t="s">
        <v>69</v>
      </c>
      <c r="E16" s="2"/>
      <c r="F16" s="2"/>
      <c r="G16" s="2"/>
      <c r="H16" s="2"/>
      <c r="I16" s="2"/>
      <c r="J16" s="2"/>
      <c r="K16" s="2" t="s">
        <v>11</v>
      </c>
      <c r="L16" s="2">
        <v>0.0324</v>
      </c>
      <c r="M16" s="2" t="s">
        <v>11</v>
      </c>
      <c r="N16" s="2">
        <v>0.0486</v>
      </c>
      <c r="O16" s="2" t="s">
        <v>11</v>
      </c>
      <c r="P16" s="2">
        <v>0.0648</v>
      </c>
      <c r="Q16" s="2"/>
      <c r="R16" s="2"/>
      <c r="S16" s="2"/>
      <c r="T16" s="2"/>
      <c r="U16" s="2"/>
      <c r="V16" s="2"/>
      <c r="W16" s="2"/>
      <c r="X16" s="10">
        <f>0.5/453.6</f>
        <v>0.0011022927689594356</v>
      </c>
      <c r="Y16" s="10"/>
      <c r="Z16" s="10">
        <f>1.3/453.6</f>
        <v>0.0028659611992945325</v>
      </c>
      <c r="AA16" s="10"/>
      <c r="AB16" s="10">
        <f>0.9/453.6</f>
        <v>0.001984126984126984</v>
      </c>
      <c r="AC16" s="2"/>
      <c r="AD16" s="2"/>
      <c r="AE16" s="2"/>
      <c r="AF16" s="2"/>
      <c r="AG16" s="2"/>
      <c r="AH16" s="2"/>
      <c r="AI16" s="2"/>
      <c r="AJ16" s="15">
        <f>81/453.6</f>
        <v>0.17857142857142858</v>
      </c>
      <c r="AK16" s="15"/>
      <c r="AL16" s="15">
        <f>95/453.6</f>
        <v>0.20943562610229277</v>
      </c>
      <c r="AM16" s="15"/>
      <c r="AN16" s="15">
        <f>71/453.6</f>
        <v>0.15652557319223986</v>
      </c>
      <c r="AO16" s="2"/>
      <c r="AP16" s="2"/>
      <c r="AQ16" s="2"/>
      <c r="AR16" s="2"/>
      <c r="AS16" s="2"/>
      <c r="AT16" s="2"/>
      <c r="AU16" s="2"/>
      <c r="AV16" s="3">
        <f>1070/453.6</f>
        <v>2.3589065255731922</v>
      </c>
      <c r="AW16" s="3"/>
      <c r="AX16" s="3">
        <f>1070/453.6</f>
        <v>2.3589065255731922</v>
      </c>
      <c r="AY16" s="3"/>
      <c r="AZ16" s="3">
        <f>940/453.6</f>
        <v>2.072310405643739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2.75">
      <c r="A17" s="4" t="s">
        <v>32</v>
      </c>
      <c r="B17" s="4" t="s">
        <v>16</v>
      </c>
      <c r="D17" s="4" t="s">
        <v>69</v>
      </c>
      <c r="E17" s="2"/>
      <c r="F17" s="2"/>
      <c r="G17" s="2"/>
      <c r="H17" s="2"/>
      <c r="I17" s="2"/>
      <c r="J17" s="2"/>
      <c r="K17" s="2"/>
      <c r="L17" s="2">
        <v>2.106</v>
      </c>
      <c r="M17" s="2"/>
      <c r="N17" s="2">
        <v>1.944</v>
      </c>
      <c r="O17" s="2"/>
      <c r="P17" s="2">
        <v>2.268</v>
      </c>
      <c r="Q17" s="2"/>
      <c r="R17" s="2"/>
      <c r="S17" s="2"/>
      <c r="T17" s="2"/>
      <c r="U17" s="2"/>
      <c r="V17" s="2"/>
      <c r="W17" s="2"/>
      <c r="X17" s="15">
        <f>417/453.6</f>
        <v>0.9193121693121693</v>
      </c>
      <c r="Y17" s="15"/>
      <c r="Z17" s="15">
        <f>242/453.6</f>
        <v>0.5335097001763668</v>
      </c>
      <c r="AA17" s="15"/>
      <c r="AB17" s="15">
        <f>671/453.6</f>
        <v>1.4792768959435625</v>
      </c>
      <c r="AC17" s="2"/>
      <c r="AD17" s="2"/>
      <c r="AE17" s="2"/>
      <c r="AF17" s="2"/>
      <c r="AG17" s="2"/>
      <c r="AH17" s="2"/>
      <c r="AI17" s="2"/>
      <c r="AJ17" s="3">
        <f>1696/453.6</f>
        <v>3.7389770723104054</v>
      </c>
      <c r="AK17" s="3"/>
      <c r="AL17" s="3">
        <f>1826/453.6</f>
        <v>4.025573192239858</v>
      </c>
      <c r="AM17" s="3"/>
      <c r="AN17" s="3">
        <f>1500/453.6</f>
        <v>3.3068783068783065</v>
      </c>
      <c r="AO17" s="2"/>
      <c r="AP17" s="2"/>
      <c r="AQ17" s="2"/>
      <c r="AR17" s="2"/>
      <c r="AS17" s="2"/>
      <c r="AT17" s="2"/>
      <c r="AU17" s="2"/>
      <c r="AV17" s="3">
        <f>10600/453.6</f>
        <v>23.368606701940035</v>
      </c>
      <c r="AW17" s="3"/>
      <c r="AX17" s="3">
        <f>7710/453.6</f>
        <v>16.997354497354497</v>
      </c>
      <c r="AY17" s="3"/>
      <c r="AZ17" s="3">
        <f>12600/453.6</f>
        <v>27.777777777777775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2.75">
      <c r="A18" s="4" t="s">
        <v>32</v>
      </c>
      <c r="B18" s="4" t="s">
        <v>19</v>
      </c>
      <c r="D18" s="4" t="s">
        <v>69</v>
      </c>
      <c r="E18" s="2"/>
      <c r="F18" s="2"/>
      <c r="G18" s="2"/>
      <c r="H18" s="2"/>
      <c r="I18" s="2"/>
      <c r="J18" s="2"/>
      <c r="K18" s="2"/>
      <c r="L18" s="2">
        <v>1.1178</v>
      </c>
      <c r="M18" s="2"/>
      <c r="N18" s="2">
        <v>1.1988</v>
      </c>
      <c r="O18" s="2"/>
      <c r="P18" s="2">
        <v>0.8424</v>
      </c>
      <c r="Q18" s="2"/>
      <c r="R18" s="2"/>
      <c r="S18" s="2"/>
      <c r="T18" s="2"/>
      <c r="U18" s="2"/>
      <c r="V18" s="2"/>
      <c r="W18" s="2"/>
      <c r="X18" s="3">
        <f>967/453.6</f>
        <v>2.1318342151675482</v>
      </c>
      <c r="Y18" s="3"/>
      <c r="Z18" s="3">
        <f>338/453.6</f>
        <v>0.7451499118165784</v>
      </c>
      <c r="AA18" s="3"/>
      <c r="AB18" s="3">
        <f>1220/453.6</f>
        <v>2.689594356261023</v>
      </c>
      <c r="AC18" s="2"/>
      <c r="AD18" s="2"/>
      <c r="AE18" s="2"/>
      <c r="AF18" s="2"/>
      <c r="AG18" s="2"/>
      <c r="AH18" s="2"/>
      <c r="AI18" s="2"/>
      <c r="AJ18" s="3">
        <f>5530/453.6</f>
        <v>12.191358024691358</v>
      </c>
      <c r="AK18" s="3"/>
      <c r="AL18" s="3">
        <f>5920/453.6</f>
        <v>13.051146384479717</v>
      </c>
      <c r="AM18" s="3"/>
      <c r="AN18" s="3">
        <f>4140/453.6</f>
        <v>9.126984126984127</v>
      </c>
      <c r="AO18" s="2"/>
      <c r="AP18" s="2"/>
      <c r="AQ18" s="2"/>
      <c r="AR18" s="2"/>
      <c r="AS18" s="2"/>
      <c r="AT18" s="2"/>
      <c r="AU18" s="2"/>
      <c r="AV18" s="3">
        <f>11550/453.6</f>
        <v>25.462962962962962</v>
      </c>
      <c r="AW18" s="3"/>
      <c r="AX18" s="3">
        <f>8820/453.6</f>
        <v>19.444444444444443</v>
      </c>
      <c r="AY18" s="3"/>
      <c r="AZ18" s="3">
        <f>9990/453.6</f>
        <v>22.023809523809522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ht="12.75">
      <c r="A19" s="4" t="s">
        <v>32</v>
      </c>
      <c r="B19" s="4" t="s">
        <v>20</v>
      </c>
      <c r="D19" s="4" t="s">
        <v>69</v>
      </c>
      <c r="E19" s="2"/>
      <c r="F19" s="2"/>
      <c r="G19" s="2"/>
      <c r="H19" s="2"/>
      <c r="I19" s="2"/>
      <c r="J19" s="2"/>
      <c r="K19" s="2" t="s">
        <v>11</v>
      </c>
      <c r="L19" s="1">
        <v>0.006156</v>
      </c>
      <c r="M19" s="1" t="s">
        <v>11</v>
      </c>
      <c r="N19" s="1">
        <v>0.005022</v>
      </c>
      <c r="O19" s="1" t="s">
        <v>11</v>
      </c>
      <c r="P19" s="1">
        <v>0.005184</v>
      </c>
      <c r="Q19" s="2"/>
      <c r="R19" s="2"/>
      <c r="S19" s="2"/>
      <c r="T19" s="2"/>
      <c r="U19" s="2"/>
      <c r="V19" s="2"/>
      <c r="W19" s="2"/>
      <c r="X19" s="33">
        <f>0.04/453.6</f>
        <v>8.818342151675484E-05</v>
      </c>
      <c r="Y19" s="2"/>
      <c r="Z19" s="10">
        <f>0.76/453.6</f>
        <v>0.001675485008818342</v>
      </c>
      <c r="AA19" s="10"/>
      <c r="AB19" s="10">
        <f>0.92/453.6</f>
        <v>0.0020282186948853615</v>
      </c>
      <c r="AC19" s="2"/>
      <c r="AD19" s="2"/>
      <c r="AE19" s="2"/>
      <c r="AF19" s="2"/>
      <c r="AG19" s="2"/>
      <c r="AH19" s="2"/>
      <c r="AI19" s="2"/>
      <c r="AJ19" s="15">
        <f>0.43/453.6</f>
        <v>0.0009479717813051146</v>
      </c>
      <c r="AK19" s="2"/>
      <c r="AL19" s="10">
        <f>0.73/453.6</f>
        <v>0.0016093474426807758</v>
      </c>
      <c r="AM19" s="10"/>
      <c r="AN19" s="10">
        <f>2.43/453.6</f>
        <v>0.005357142857142857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2.75">
      <c r="A20" s="4" t="s">
        <v>32</v>
      </c>
      <c r="B20" s="4" t="s">
        <v>23</v>
      </c>
      <c r="D20" s="4" t="s">
        <v>69</v>
      </c>
      <c r="E20" s="2"/>
      <c r="F20" s="2"/>
      <c r="G20" s="2"/>
      <c r="H20" s="2"/>
      <c r="I20" s="2"/>
      <c r="J20" s="2"/>
      <c r="K20" s="2" t="s">
        <v>11</v>
      </c>
      <c r="L20" s="2">
        <v>3.402</v>
      </c>
      <c r="M20" s="2" t="s">
        <v>11</v>
      </c>
      <c r="N20" s="2">
        <v>3.24</v>
      </c>
      <c r="O20" s="2" t="s">
        <v>11</v>
      </c>
      <c r="P20" s="2">
        <v>3.402</v>
      </c>
      <c r="Q20" s="2"/>
      <c r="R20" s="2"/>
      <c r="S20" s="2"/>
      <c r="T20" s="2"/>
      <c r="U20" s="2"/>
      <c r="V20" s="2"/>
      <c r="W20" s="2" t="s">
        <v>11</v>
      </c>
      <c r="X20" s="15">
        <f>9/453.6</f>
        <v>0.01984126984126984</v>
      </c>
      <c r="Y20" s="2" t="s">
        <v>11</v>
      </c>
      <c r="Z20" s="15">
        <f>6/453.6</f>
        <v>0.013227513227513227</v>
      </c>
      <c r="AA20" s="2" t="s">
        <v>11</v>
      </c>
      <c r="AB20" s="15">
        <f>9/453.6</f>
        <v>0.01984126984126984</v>
      </c>
      <c r="AC20" s="2"/>
      <c r="AD20" s="2"/>
      <c r="AE20" s="2"/>
      <c r="AF20" s="2"/>
      <c r="AG20" s="2"/>
      <c r="AH20" s="2"/>
      <c r="AI20" s="2" t="s">
        <v>11</v>
      </c>
      <c r="AJ20" s="15">
        <f>34/453.6</f>
        <v>0.07495590828924162</v>
      </c>
      <c r="AK20" s="2" t="s">
        <v>11</v>
      </c>
      <c r="AL20" s="15">
        <f>32/453.6</f>
        <v>0.07054673721340388</v>
      </c>
      <c r="AM20" s="2" t="s">
        <v>11</v>
      </c>
      <c r="AN20" s="15">
        <f>32/453.6</f>
        <v>0.07054673721340388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2.75">
      <c r="A21" s="4" t="s">
        <v>32</v>
      </c>
      <c r="B21" s="4" t="s">
        <v>24</v>
      </c>
      <c r="D21" s="4" t="s">
        <v>69</v>
      </c>
      <c r="E21" s="2"/>
      <c r="F21" s="2"/>
      <c r="G21" s="2"/>
      <c r="H21" s="2"/>
      <c r="I21" s="2"/>
      <c r="J21" s="2"/>
      <c r="K21" s="2" t="s">
        <v>11</v>
      </c>
      <c r="L21" s="2">
        <v>0.81</v>
      </c>
      <c r="M21" s="2" t="s">
        <v>11</v>
      </c>
      <c r="N21" s="2">
        <v>0.81</v>
      </c>
      <c r="O21" s="2" t="s">
        <v>11</v>
      </c>
      <c r="P21" s="2">
        <v>0.81</v>
      </c>
      <c r="Q21" s="2"/>
      <c r="R21" s="2"/>
      <c r="S21" s="2"/>
      <c r="T21" s="2"/>
      <c r="U21" s="2"/>
      <c r="V21" s="2"/>
      <c r="W21" s="2"/>
      <c r="X21" s="3">
        <f>49/453.6</f>
        <v>0.10802469135802469</v>
      </c>
      <c r="Y21" s="2" t="s">
        <v>11</v>
      </c>
      <c r="Z21" s="3">
        <f>28/453.6</f>
        <v>0.06172839506172839</v>
      </c>
      <c r="AA21" s="2" t="s">
        <v>11</v>
      </c>
      <c r="AB21" s="3">
        <f>42/453.6</f>
        <v>0.09259259259259259</v>
      </c>
      <c r="AC21" s="2"/>
      <c r="AD21" s="2"/>
      <c r="AE21" s="2"/>
      <c r="AF21" s="2"/>
      <c r="AG21" s="2"/>
      <c r="AH21" s="2"/>
      <c r="AI21" s="2" t="s">
        <v>11</v>
      </c>
      <c r="AJ21" s="15">
        <f>155/453.6</f>
        <v>0.34171075837742504</v>
      </c>
      <c r="AK21" s="2" t="s">
        <v>11</v>
      </c>
      <c r="AL21" s="15">
        <f>146/453.6</f>
        <v>0.3218694885361552</v>
      </c>
      <c r="AM21" s="2" t="s">
        <v>11</v>
      </c>
      <c r="AN21" s="15">
        <f>143/453.6</f>
        <v>0.3152557319223986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5:82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2:88" ht="12.75">
      <c r="B23" s="30" t="s">
        <v>244</v>
      </c>
      <c r="C23" s="30"/>
      <c r="D23" s="30" t="s">
        <v>190</v>
      </c>
      <c r="E23" s="2"/>
      <c r="F23" s="2">
        <f>'emiss 2'!$G$24</f>
        <v>53679</v>
      </c>
      <c r="G23" s="2"/>
      <c r="H23" s="2">
        <f>'emiss 2'!$I$24</f>
        <v>52014</v>
      </c>
      <c r="I23" s="2"/>
      <c r="J23" s="2">
        <f>'emiss 2'!$K$24</f>
        <v>55548</v>
      </c>
      <c r="K23" s="2"/>
      <c r="L23" s="2">
        <f>'emiss 2'!$M$30</f>
        <v>54432</v>
      </c>
      <c r="M23" s="2"/>
      <c r="N23" s="2">
        <f>'emiss 2'!$O$30</f>
        <v>52815</v>
      </c>
      <c r="O23" s="2"/>
      <c r="P23" s="2">
        <f>'emiss 2'!$Q$30</f>
        <v>53511</v>
      </c>
      <c r="Q23" s="2"/>
      <c r="R23" s="2">
        <f>'emiss 2'!$G$24</f>
        <v>53679</v>
      </c>
      <c r="S23" s="2"/>
      <c r="T23" s="2">
        <f>'emiss 2'!$I$24</f>
        <v>52014</v>
      </c>
      <c r="U23" s="2"/>
      <c r="V23" s="2">
        <f>'emiss 2'!$K$24</f>
        <v>55548</v>
      </c>
      <c r="W23" s="2"/>
      <c r="X23" s="2">
        <f>'emiss 2'!$M$30</f>
        <v>54432</v>
      </c>
      <c r="Y23" s="2"/>
      <c r="Z23" s="2">
        <f>'emiss 2'!$O$30</f>
        <v>52815</v>
      </c>
      <c r="AA23" s="2"/>
      <c r="AB23" s="2">
        <f>'emiss 2'!$Q$30</f>
        <v>53511</v>
      </c>
      <c r="AC23" s="2"/>
      <c r="AD23" s="2">
        <f>'emiss 2'!$G$24</f>
        <v>53679</v>
      </c>
      <c r="AE23" s="2"/>
      <c r="AF23" s="2">
        <f>'emiss 2'!$I$24</f>
        <v>52014</v>
      </c>
      <c r="AG23" s="2"/>
      <c r="AH23" s="2">
        <f>'emiss 2'!$K$24</f>
        <v>55548</v>
      </c>
      <c r="AI23" s="2"/>
      <c r="AJ23" s="2">
        <f>'emiss 2'!$M$30</f>
        <v>54432</v>
      </c>
      <c r="AK23" s="2"/>
      <c r="AL23" s="2">
        <f>'emiss 2'!$O$30</f>
        <v>52815</v>
      </c>
      <c r="AM23" s="2"/>
      <c r="AN23" s="2">
        <f>'emiss 2'!$Q$30</f>
        <v>53511</v>
      </c>
      <c r="AO23" s="2"/>
      <c r="AP23" s="2">
        <f>'emiss 2'!$G$24</f>
        <v>53679</v>
      </c>
      <c r="AQ23" s="2"/>
      <c r="AR23" s="2">
        <f>'emiss 2'!$I$24</f>
        <v>52014</v>
      </c>
      <c r="AS23" s="2"/>
      <c r="AT23" s="2">
        <f>'emiss 2'!$K$24</f>
        <v>55548</v>
      </c>
      <c r="AU23" s="2"/>
      <c r="AV23" s="2">
        <f>'emiss 2'!$M$30</f>
        <v>54432</v>
      </c>
      <c r="AW23" s="2"/>
      <c r="AX23" s="2">
        <f>'emiss 2'!$O$30</f>
        <v>52815</v>
      </c>
      <c r="AY23" s="2"/>
      <c r="AZ23" s="2">
        <f>'emiss 2'!$Q$30</f>
        <v>53511</v>
      </c>
      <c r="BA23" s="2"/>
      <c r="BB23" s="2">
        <f>'emiss 2'!$G$24</f>
        <v>53679</v>
      </c>
      <c r="BC23" s="2"/>
      <c r="BD23" s="2">
        <f>'emiss 2'!$I$24</f>
        <v>52014</v>
      </c>
      <c r="BE23" s="2"/>
      <c r="BF23" s="2">
        <f>'emiss 2'!$K$24</f>
        <v>55548</v>
      </c>
      <c r="BG23" s="2"/>
      <c r="BH23" s="2">
        <f>'emiss 2'!$M$30</f>
        <v>54432</v>
      </c>
      <c r="BI23" s="2"/>
      <c r="BJ23" s="2">
        <f>'emiss 2'!$O$30</f>
        <v>52815</v>
      </c>
      <c r="BK23" s="2"/>
      <c r="BL23" s="2">
        <f>'emiss 2'!$Q$30</f>
        <v>53511</v>
      </c>
      <c r="BM23" s="2"/>
      <c r="BN23" s="2">
        <f>'emiss 2'!$G$24</f>
        <v>53679</v>
      </c>
      <c r="BO23" s="2"/>
      <c r="BP23" s="2">
        <f>'emiss 2'!$I$24</f>
        <v>52014</v>
      </c>
      <c r="BQ23" s="2"/>
      <c r="BR23" s="2">
        <f>'emiss 2'!$K$24</f>
        <v>55548</v>
      </c>
      <c r="BS23" s="2"/>
      <c r="BT23" s="2">
        <f>'emiss 2'!$M$30</f>
        <v>54432</v>
      </c>
      <c r="BU23" s="2"/>
      <c r="BV23" s="2">
        <f>'emiss 2'!$O$30</f>
        <v>52815</v>
      </c>
      <c r="BW23" s="2"/>
      <c r="BX23" s="2">
        <f>'emiss 2'!$Q$30</f>
        <v>53511</v>
      </c>
      <c r="BY23" s="2"/>
      <c r="BZ23" s="2">
        <f>'emiss 2'!$G$24</f>
        <v>53679</v>
      </c>
      <c r="CA23" s="2"/>
      <c r="CB23" s="2">
        <f>'emiss 2'!$I$24</f>
        <v>52014</v>
      </c>
      <c r="CC23" s="2"/>
      <c r="CD23" s="2">
        <f>'emiss 2'!$K$24</f>
        <v>55548</v>
      </c>
      <c r="CE23" s="2"/>
      <c r="CF23" s="2">
        <f>'emiss 2'!$M$30</f>
        <v>54432</v>
      </c>
      <c r="CG23" s="2"/>
      <c r="CH23" s="2">
        <f>'emiss 2'!$O$30</f>
        <v>52815</v>
      </c>
      <c r="CI23" s="2"/>
      <c r="CJ23" s="2">
        <f>'emiss 2'!$Q$30</f>
        <v>53511</v>
      </c>
    </row>
    <row r="24" spans="2:88" ht="12.75">
      <c r="B24" s="30" t="s">
        <v>37</v>
      </c>
      <c r="C24" s="30"/>
      <c r="D24" s="30" t="s">
        <v>192</v>
      </c>
      <c r="E24" s="2"/>
      <c r="F24" s="2">
        <f>'emiss 2'!$G$25</f>
        <v>5.6</v>
      </c>
      <c r="G24" s="2"/>
      <c r="H24" s="2">
        <f>'emiss 2'!$I$25</f>
        <v>5.6</v>
      </c>
      <c r="I24" s="2"/>
      <c r="J24" s="2">
        <f>'emiss 2'!$K$25</f>
        <v>5.6</v>
      </c>
      <c r="K24" s="2"/>
      <c r="L24" s="2">
        <f>'emiss 2'!$M$31</f>
        <v>5.6</v>
      </c>
      <c r="M24" s="2"/>
      <c r="N24" s="2">
        <f>'emiss 2'!$O$31</f>
        <v>5.6</v>
      </c>
      <c r="O24" s="2"/>
      <c r="P24" s="2">
        <f>'emiss 2'!$Q$31</f>
        <v>5.6</v>
      </c>
      <c r="Q24" s="2"/>
      <c r="R24" s="2">
        <f>'emiss 2'!$G$25</f>
        <v>5.6</v>
      </c>
      <c r="S24" s="2"/>
      <c r="T24" s="2">
        <f>'emiss 2'!$I$25</f>
        <v>5.6</v>
      </c>
      <c r="U24" s="2"/>
      <c r="V24" s="2">
        <f>'emiss 2'!$K$25</f>
        <v>5.6</v>
      </c>
      <c r="W24" s="2"/>
      <c r="X24" s="2">
        <f>'emiss 2'!$M$31</f>
        <v>5.6</v>
      </c>
      <c r="Y24" s="2"/>
      <c r="Z24" s="2">
        <f>'emiss 2'!$O$31</f>
        <v>5.6</v>
      </c>
      <c r="AA24" s="2"/>
      <c r="AB24" s="2">
        <f>'emiss 2'!$Q$31</f>
        <v>5.6</v>
      </c>
      <c r="AC24" s="2"/>
      <c r="AD24" s="2">
        <f>'emiss 2'!$G$25</f>
        <v>5.6</v>
      </c>
      <c r="AE24" s="2"/>
      <c r="AF24" s="2">
        <f>'emiss 2'!$I$25</f>
        <v>5.6</v>
      </c>
      <c r="AG24" s="2"/>
      <c r="AH24" s="2">
        <f>'emiss 2'!$K$25</f>
        <v>5.6</v>
      </c>
      <c r="AI24" s="2"/>
      <c r="AJ24" s="2">
        <f>'emiss 2'!$M$31</f>
        <v>5.6</v>
      </c>
      <c r="AK24" s="2"/>
      <c r="AL24" s="2">
        <f>'emiss 2'!$O$31</f>
        <v>5.6</v>
      </c>
      <c r="AM24" s="2"/>
      <c r="AN24" s="2">
        <f>'emiss 2'!$Q$31</f>
        <v>5.6</v>
      </c>
      <c r="AO24" s="2"/>
      <c r="AP24" s="2">
        <f>'emiss 2'!$G$25</f>
        <v>5.6</v>
      </c>
      <c r="AQ24" s="2"/>
      <c r="AR24" s="2">
        <f>'emiss 2'!$I$25</f>
        <v>5.6</v>
      </c>
      <c r="AS24" s="2"/>
      <c r="AT24" s="2">
        <f>'emiss 2'!$K$25</f>
        <v>5.6</v>
      </c>
      <c r="AU24" s="2"/>
      <c r="AV24" s="2">
        <f>'emiss 2'!$M$31</f>
        <v>5.6</v>
      </c>
      <c r="AW24" s="2"/>
      <c r="AX24" s="2">
        <f>'emiss 2'!$O$31</f>
        <v>5.6</v>
      </c>
      <c r="AY24" s="2"/>
      <c r="AZ24" s="2">
        <f>'emiss 2'!$Q$31</f>
        <v>5.6</v>
      </c>
      <c r="BA24" s="2"/>
      <c r="BB24" s="2">
        <f>'emiss 2'!$G$25</f>
        <v>5.6</v>
      </c>
      <c r="BC24" s="2"/>
      <c r="BD24" s="2">
        <f>'emiss 2'!$I$25</f>
        <v>5.6</v>
      </c>
      <c r="BE24" s="2"/>
      <c r="BF24" s="2">
        <f>'emiss 2'!$K$25</f>
        <v>5.6</v>
      </c>
      <c r="BG24" s="2"/>
      <c r="BH24" s="2">
        <f>'emiss 2'!$M$31</f>
        <v>5.6</v>
      </c>
      <c r="BI24" s="2"/>
      <c r="BJ24" s="2">
        <f>'emiss 2'!$O$31</f>
        <v>5.6</v>
      </c>
      <c r="BK24" s="2"/>
      <c r="BL24" s="2">
        <f>'emiss 2'!$Q$31</f>
        <v>5.6</v>
      </c>
      <c r="BM24" s="2"/>
      <c r="BN24" s="2">
        <f>'emiss 2'!$G$25</f>
        <v>5.6</v>
      </c>
      <c r="BO24" s="2"/>
      <c r="BP24" s="2">
        <f>'emiss 2'!$I$25</f>
        <v>5.6</v>
      </c>
      <c r="BQ24" s="2"/>
      <c r="BR24" s="2">
        <f>'emiss 2'!$K$25</f>
        <v>5.6</v>
      </c>
      <c r="BS24" s="2"/>
      <c r="BT24" s="2">
        <f>'emiss 2'!$M$31</f>
        <v>5.6</v>
      </c>
      <c r="BU24" s="2"/>
      <c r="BV24" s="2">
        <f>'emiss 2'!$O$31</f>
        <v>5.6</v>
      </c>
      <c r="BW24" s="2"/>
      <c r="BX24" s="2">
        <f>'emiss 2'!$Q$31</f>
        <v>5.6</v>
      </c>
      <c r="BY24" s="2"/>
      <c r="BZ24" s="2">
        <f>'emiss 2'!$G$25</f>
        <v>5.6</v>
      </c>
      <c r="CA24" s="2"/>
      <c r="CB24" s="2">
        <f>'emiss 2'!$I$25</f>
        <v>5.6</v>
      </c>
      <c r="CC24" s="2"/>
      <c r="CD24" s="2">
        <f>'emiss 2'!$K$25</f>
        <v>5.6</v>
      </c>
      <c r="CE24" s="2"/>
      <c r="CF24" s="2">
        <f>'emiss 2'!$M$31</f>
        <v>5.6</v>
      </c>
      <c r="CG24" s="2"/>
      <c r="CH24" s="2">
        <f>'emiss 2'!$O$31</f>
        <v>5.6</v>
      </c>
      <c r="CI24" s="2"/>
      <c r="CJ24" s="2">
        <f>'emiss 2'!$Q$31</f>
        <v>5.6</v>
      </c>
    </row>
    <row r="25" spans="5:100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V25" s="8"/>
    </row>
    <row r="26" spans="2:102" ht="12.75">
      <c r="B26" s="4" t="s">
        <v>252</v>
      </c>
      <c r="D26" s="4" t="s">
        <v>253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R9*R10/1000000</f>
        <v>7.8</v>
      </c>
      <c r="S26" s="2"/>
      <c r="T26" s="2">
        <f>T9*T10/1000000</f>
        <v>4.08</v>
      </c>
      <c r="U26" s="2"/>
      <c r="V26" s="2">
        <f>V9*V10/1000000</f>
        <v>7</v>
      </c>
      <c r="W26" s="2"/>
      <c r="X26" s="2">
        <f>X9*X10/1000000</f>
        <v>7</v>
      </c>
      <c r="Y26" s="2"/>
      <c r="Z26" s="2">
        <f>Z9*Z10/1000000</f>
        <v>4.14</v>
      </c>
      <c r="AA26" s="2"/>
      <c r="AB26" s="2">
        <f>AB9*AB10/1000000</f>
        <v>7.5</v>
      </c>
      <c r="AC26" s="2"/>
      <c r="AD26" s="2">
        <f>AD9*AD10/1000000</f>
        <v>213.3</v>
      </c>
      <c r="AE26" s="2"/>
      <c r="AF26" s="2">
        <f>AF9*AF10/1000000</f>
        <v>178.64</v>
      </c>
      <c r="AG26" s="2"/>
      <c r="AH26" s="2">
        <f>AH9*AH10/1000000</f>
        <v>194.4</v>
      </c>
      <c r="AI26" s="2"/>
      <c r="AJ26" s="2">
        <f>AJ9*AJ10/1000000</f>
        <v>195.21</v>
      </c>
      <c r="AK26" s="2"/>
      <c r="AL26" s="2">
        <f>AL9*AL10/1000000</f>
        <v>213.84</v>
      </c>
      <c r="AM26" s="2"/>
      <c r="AN26" s="2">
        <f>AN9*AN10/1000000</f>
        <v>191.18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8">
        <f>AD26+R26</f>
        <v>221.10000000000002</v>
      </c>
      <c r="BC26" s="2"/>
      <c r="BD26" s="8">
        <f>AF26+T26</f>
        <v>182.72</v>
      </c>
      <c r="BE26" s="2"/>
      <c r="BF26" s="8">
        <f>AH26+V26</f>
        <v>201.4</v>
      </c>
      <c r="BG26" s="2"/>
      <c r="BH26" s="8">
        <f>AJ26+X26</f>
        <v>202.21</v>
      </c>
      <c r="BI26" s="2"/>
      <c r="BJ26" s="8">
        <f>AL26+Z26</f>
        <v>217.98</v>
      </c>
      <c r="BK26" s="2"/>
      <c r="BL26" s="8">
        <f>AN26+AB26</f>
        <v>198.68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L26" s="8">
        <f>F26+AP26+BB26+BN26</f>
        <v>221.10000000000002</v>
      </c>
      <c r="CN26" s="8">
        <f>H26+AR26+BD26+BP26</f>
        <v>182.72</v>
      </c>
      <c r="CP26" s="8">
        <f>J26+AT26+BF26+BR26</f>
        <v>201.4</v>
      </c>
      <c r="CR26" s="8">
        <f>L26+AV26+BH26+BT26</f>
        <v>202.21</v>
      </c>
      <c r="CT26" s="8">
        <f>N26+AX26+BJ26+BV26</f>
        <v>217.98</v>
      </c>
      <c r="CV26" s="8">
        <f>P26+AZ26+BL26+BX26</f>
        <v>198.68</v>
      </c>
      <c r="CX26" s="8">
        <f>AVERAGE(CL26,CN26,CP26,CR26,CT26,CV26)</f>
        <v>204.01500000000001</v>
      </c>
    </row>
    <row r="27" spans="2:102" ht="12.75">
      <c r="B27" s="4" t="s">
        <v>254</v>
      </c>
      <c r="D27" s="4" t="s">
        <v>253</v>
      </c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8"/>
      <c r="BC27" s="2"/>
      <c r="BD27" s="8"/>
      <c r="BE27" s="2"/>
      <c r="BF27" s="8"/>
      <c r="BG27" s="2"/>
      <c r="BH27" s="8"/>
      <c r="BI27" s="2"/>
      <c r="BJ27" s="8"/>
      <c r="BK27" s="2"/>
      <c r="BL27" s="8"/>
      <c r="BM27" s="2"/>
      <c r="BN27" s="8"/>
      <c r="BO27" s="2"/>
      <c r="BP27" s="8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L27" s="8">
        <f>F23*60/9000*(21-F24)/21</f>
        <v>262.4306666666667</v>
      </c>
      <c r="CN27" s="8">
        <f>H23*60/9000*(21-H24)/21</f>
        <v>254.29066666666668</v>
      </c>
      <c r="CP27" s="8">
        <f>J23*60/9000*(21-J24)/21</f>
        <v>271.568</v>
      </c>
      <c r="CR27" s="8">
        <f>L23*60/9000*(21-L24)/21</f>
        <v>266.11199999999997</v>
      </c>
      <c r="CT27" s="8">
        <f>N23*60/9000*(21-N24)/21</f>
        <v>258.20666666666665</v>
      </c>
      <c r="CV27" s="8">
        <f>P23*60/9000*(21-P24)/21</f>
        <v>261.6093333333333</v>
      </c>
      <c r="CX27" s="8">
        <f>AVERAGE(CL27,CN27,CP27,CR27,CT27,CV27)</f>
        <v>262.36955555555556</v>
      </c>
    </row>
    <row r="28" spans="5:100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V28" s="8"/>
    </row>
    <row r="29" spans="2:107" ht="12.75">
      <c r="B29" s="4" t="s">
        <v>51</v>
      </c>
      <c r="D29" s="4" t="s">
        <v>10</v>
      </c>
      <c r="E29" s="2">
        <v>100</v>
      </c>
      <c r="F29" s="8">
        <f>F11*454*1000000/0.0283/60/F$23*14/(21-F$24)</f>
        <v>69009.04735085503</v>
      </c>
      <c r="G29" s="2">
        <v>100</v>
      </c>
      <c r="H29" s="8">
        <f>H11*454*1000000/0.0283/60/H$23*14/(21-H$24)</f>
        <v>71591.9173589105</v>
      </c>
      <c r="I29" s="2">
        <v>100</v>
      </c>
      <c r="J29" s="8">
        <f>J11*454*1000000/0.0283/60/J$23*14/(21-J$24)</f>
        <v>67737.32021001691</v>
      </c>
      <c r="K29" s="2">
        <v>100</v>
      </c>
      <c r="L29" s="8">
        <f>L11*454*1000000/0.0283/60/L$23*14/(21-L$24)</f>
        <v>72341.2825886324</v>
      </c>
      <c r="M29" s="2">
        <v>100</v>
      </c>
      <c r="N29" s="8">
        <f>N11*454*1000000/0.0283/60/N$23*14/(21-N$24)</f>
        <v>74556.10515695236</v>
      </c>
      <c r="O29" s="2">
        <v>100</v>
      </c>
      <c r="P29" s="8">
        <f aca="true" t="shared" si="0" ref="P29:P39">P11*454*1000000/0.0283/60/P$23*14/(21-P$24)</f>
        <v>73586.37838695668</v>
      </c>
      <c r="Q29" s="2"/>
      <c r="R29" s="8">
        <f>R11*454*1000000/0.0283/60/R$23*14/(21-R$24)</f>
        <v>20165.05397021077</v>
      </c>
      <c r="S29" s="2"/>
      <c r="T29" s="8">
        <f>T11*454*1000000/0.0283/60/T$23*14/(21-T$24)</f>
        <v>12362.702791749643</v>
      </c>
      <c r="U29" s="2"/>
      <c r="V29" s="8">
        <f>V11*454*1000000/0.0283/60/V$23*14/(21-V$24)</f>
        <v>16592.52405693144</v>
      </c>
      <c r="W29" s="2"/>
      <c r="X29" s="8">
        <f aca="true" t="shared" si="1" ref="X29:X39">X11*454*1000000/0.0283/60/X$23*14/(21-X$24)</f>
        <v>11419.73781800651</v>
      </c>
      <c r="Y29" s="2"/>
      <c r="Z29" s="8">
        <f aca="true" t="shared" si="2" ref="Z29:Z39">Z11*454*1000000/0.0283/60/Z$23*14/(21-Z$24)</f>
        <v>10551.847138288816</v>
      </c>
      <c r="AA29" s="2"/>
      <c r="AB29" s="8">
        <f aca="true" t="shared" si="3" ref="AB29:AB39">AB11*454*1000000/0.0283/60/AB$23*14/(21-AB$24)</f>
        <v>15922.325325416032</v>
      </c>
      <c r="AC29" s="2"/>
      <c r="AD29" s="8">
        <f>AD11*454*1000000/0.0283/60/AD$23*14/(21-AD$24)</f>
        <v>4212699.393776707</v>
      </c>
      <c r="AE29" s="2"/>
      <c r="AF29" s="8">
        <f>AF11*454*1000000/0.0283/60/AF$23*14/(21-AF$24)</f>
        <v>3090675.69793741</v>
      </c>
      <c r="AG29" s="2"/>
      <c r="AH29" s="8">
        <f>AH11*454*1000000/0.0283/60/AH$23*14/(21-AH$24)</f>
        <v>3279917.54613761</v>
      </c>
      <c r="AI29" s="2"/>
      <c r="AJ29" s="8">
        <f aca="true" t="shared" si="4" ref="AJ29:AJ39">AJ11*454*1000000/0.0283/60/AJ$23*14/(21-AJ$24)</f>
        <v>3484988.954805435</v>
      </c>
      <c r="AK29" s="2"/>
      <c r="AL29" s="8">
        <f aca="true" t="shared" si="5" ref="AL29:AL39">AL11*454*1000000/0.0283/60/AL$23*14/(21-AL$24)</f>
        <v>3195992.1620778632</v>
      </c>
      <c r="AM29" s="2"/>
      <c r="AN29" s="8">
        <f aca="true" t="shared" si="6" ref="AN29:AN39">AN11*454*1000000/0.0283/60/AN$23*14/(21-AN$24)</f>
        <v>3324661.6402755487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"/>
      <c r="BB29" s="8">
        <f>AD29+R29</f>
        <v>4232864.447746919</v>
      </c>
      <c r="BC29" s="2"/>
      <c r="BD29" s="8">
        <f>AF29+T29</f>
        <v>3103038.4007291594</v>
      </c>
      <c r="BE29" s="2"/>
      <c r="BF29" s="8">
        <f>AH29+V29</f>
        <v>3296510.0701945415</v>
      </c>
      <c r="BG29" s="2"/>
      <c r="BH29" s="8">
        <f>AJ29+X29</f>
        <v>3496408.6926234416</v>
      </c>
      <c r="BI29" s="2"/>
      <c r="BJ29" s="8">
        <f>AL29+Z29</f>
        <v>3206544.009216152</v>
      </c>
      <c r="BK29" s="2"/>
      <c r="BL29" s="8">
        <f>AN29+AB29</f>
        <v>3340583.9656009646</v>
      </c>
      <c r="BM29" s="2"/>
      <c r="BN29" s="8">
        <f aca="true" t="shared" si="7" ref="BN29:BN39">BN11*454*1000000/0.0283/60/BN$23*14/(21-BN$24)</f>
        <v>0</v>
      </c>
      <c r="BO29" s="2"/>
      <c r="BP29" s="8">
        <f aca="true" t="shared" si="8" ref="BP29:BP39">BP11*454*1000000/0.0283/60/BP$23*14/(21-BP$24)</f>
        <v>0</v>
      </c>
      <c r="BQ29" s="2"/>
      <c r="BR29" s="8">
        <f aca="true" t="shared" si="9" ref="BR29:BR39">BR11*454*1000000/0.0283/60/BR$23*14/(21-BR$24)</f>
        <v>0</v>
      </c>
      <c r="BS29" s="2"/>
      <c r="BT29" s="8">
        <f aca="true" t="shared" si="10" ref="BT29:BT39">BT11*454*1000000/0.0283/60/BT$23*14/(21-BT$24)</f>
        <v>0</v>
      </c>
      <c r="BU29" s="2"/>
      <c r="BV29" s="8">
        <f aca="true" t="shared" si="11" ref="BV29:BV39">BV11*454*1000000/0.0283/60/BV$23*14/(21-BV$24)</f>
        <v>0</v>
      </c>
      <c r="BW29" s="2"/>
      <c r="BX29" s="8">
        <f aca="true" t="shared" si="12" ref="BX29:BX39">BX11*454*1000000/0.0283/60/BX$23*14/(21-BX$24)</f>
        <v>0</v>
      </c>
      <c r="BY29" s="2"/>
      <c r="BZ29" s="8">
        <f aca="true" t="shared" si="13" ref="BZ29:BZ39">BZ11*454*1000000/0.0283/60/BZ$23*14/(21-BZ$24)</f>
        <v>0</v>
      </c>
      <c r="CA29" s="2"/>
      <c r="CB29" s="8">
        <f aca="true" t="shared" si="14" ref="CB29:CB39">CB11*454*1000000/0.0283/60/CB$23*14/(21-CB$24)</f>
        <v>0</v>
      </c>
      <c r="CC29" s="2"/>
      <c r="CD29" s="8">
        <f aca="true" t="shared" si="15" ref="CD29:CD39">CD11*454*1000000/0.0283/60/CD$23*14/(21-CD$24)</f>
        <v>0</v>
      </c>
      <c r="CF29" s="8">
        <f aca="true" t="shared" si="16" ref="CF29:CF39">CF11*454*1000000/0.0283/60/CF$23*14/(21-CF$24)</f>
        <v>0</v>
      </c>
      <c r="CH29" s="8">
        <f aca="true" t="shared" si="17" ref="CH29:CH39">CH11*454*1000000/0.0283/60/CH$23*14/(21-CH$24)</f>
        <v>0</v>
      </c>
      <c r="CJ29" s="8">
        <f aca="true" t="shared" si="18" ref="CJ29:CJ39">CJ11*454*1000000/0.0283/60/CJ$23*14/(21-CJ$24)</f>
        <v>0</v>
      </c>
      <c r="CK29" s="4">
        <f>SUM((BB29*BA29/100),(F29*E29/100))/CL29*100</f>
        <v>1.6171333628048998</v>
      </c>
      <c r="CL29" s="8">
        <f>F29/2+R29+AD29+AP29+BN29+BZ29</f>
        <v>4267368.971422345</v>
      </c>
      <c r="CM29" s="4">
        <f>SUM((BD29*BC29/100),(H29*G29/100))/CN29*100</f>
        <v>2.2808440701661965</v>
      </c>
      <c r="CN29" s="8">
        <f>H29/2+T29+AF29+AR29+BP29+CB29</f>
        <v>3138834.3594086147</v>
      </c>
      <c r="CO29" s="4">
        <f>SUM((BF29*BE29/100),(J29*I29/100))/CP29*100</f>
        <v>2.0339224363207573</v>
      </c>
      <c r="CP29" s="8">
        <f>J29/2+V29+AH29+AT29+BR29+CD29</f>
        <v>3330378.73029955</v>
      </c>
      <c r="CQ29" s="4">
        <f>SUM((BH29*BG29/100),(L29*K29/100))/CR29*100</f>
        <v>2.0270762337261665</v>
      </c>
      <c r="CR29" s="8">
        <f>L29+X29+AJ29+AV29+BT29+CF29</f>
        <v>3568749.975212074</v>
      </c>
      <c r="CS29" s="4">
        <f>SUM((BJ29*BI29/100),(N29*M29/100))/CT29*100</f>
        <v>2.2722898588297795</v>
      </c>
      <c r="CT29" s="8">
        <f>N29+Z29+AL29+AX29+BV29+CH29</f>
        <v>3281100.1143731046</v>
      </c>
      <c r="CU29" s="4">
        <f>SUM((BL29*BK29/100),(P29*O29/100))/CV29*100</f>
        <v>2.155322405530713</v>
      </c>
      <c r="CV29" s="8">
        <f>P29+AB29+AN29+AZ29+BX29+CJ29</f>
        <v>3414170.3439879213</v>
      </c>
      <c r="CW29" s="4">
        <f>SUM((CV29*CU29/100),(CT29*CS29/100),(CR29*CQ29/100),(CP29*CO29/100),(CN29*CM29/100),(CL29*CK29/100))/CX29/6*100</f>
        <v>2.0419511828790324</v>
      </c>
      <c r="CX29" s="8">
        <f>AVERAGE(CL29,CN29,CP29,CR29,CT29,CV29)</f>
        <v>3500100.4157839343</v>
      </c>
      <c r="CZ29" s="8">
        <f>AVERAGE(BB29,BD29,BF29,BH29,BJ29,BL29)</f>
        <v>3445991.597685196</v>
      </c>
      <c r="DA29" s="8">
        <f>AVERAGE(R29,T29,V29,X29,Z29,AB29)+AVERAGE(AD29,AF29,AH29,AJ29,AL29,AN29)</f>
        <v>3445991.5976851964</v>
      </c>
      <c r="DB29" s="8">
        <f>AVERAGE(F29,H29,J29,L29,N29,P29)/2+AVERAGE(BN29,BP29,BR29,BT29,BV29,BX29)+AVERAGE(BZ29,CB29,CD29,CF29,CH29,CJ29)</f>
        <v>35735.17092102699</v>
      </c>
      <c r="DC29" s="8">
        <f>SUM(CZ29,DA29,DB29)</f>
        <v>6927718.36629142</v>
      </c>
    </row>
    <row r="30" spans="2:107" ht="12.75">
      <c r="B30" s="4" t="s">
        <v>9</v>
      </c>
      <c r="D30" s="4" t="s">
        <v>10</v>
      </c>
      <c r="E30" s="2"/>
      <c r="F30" s="2"/>
      <c r="G30" s="2"/>
      <c r="H30" s="2"/>
      <c r="I30" s="2"/>
      <c r="J30" s="2"/>
      <c r="K30" s="2">
        <v>100</v>
      </c>
      <c r="L30" s="8">
        <f aca="true" t="shared" si="19" ref="L30:N39">L12*454*1000000/0.0283/60/L$23*14/(21-L$24)</f>
        <v>5063.889781204268</v>
      </c>
      <c r="M30" s="2">
        <v>100</v>
      </c>
      <c r="N30" s="8">
        <f t="shared" si="19"/>
        <v>5218.927360986665</v>
      </c>
      <c r="O30" s="2">
        <v>100</v>
      </c>
      <c r="P30" s="8">
        <f t="shared" si="0"/>
        <v>5151.046487086966</v>
      </c>
      <c r="Q30" s="2"/>
      <c r="R30"/>
      <c r="S30"/>
      <c r="T30"/>
      <c r="U30"/>
      <c r="V30"/>
      <c r="W30" s="2">
        <v>100</v>
      </c>
      <c r="X30" s="8">
        <f t="shared" si="1"/>
        <v>452.85167209336157</v>
      </c>
      <c r="Y30" s="2">
        <v>100</v>
      </c>
      <c r="Z30" s="8">
        <f t="shared" si="2"/>
        <v>284.0881921846988</v>
      </c>
      <c r="AA30" s="2">
        <v>100</v>
      </c>
      <c r="AB30" s="8">
        <f t="shared" si="3"/>
        <v>420.5897255770273</v>
      </c>
      <c r="AC30" s="2"/>
      <c r="AD30"/>
      <c r="AE30"/>
      <c r="AF30"/>
      <c r="AG30"/>
      <c r="AH30"/>
      <c r="AI30" s="2"/>
      <c r="AJ30" s="8">
        <f t="shared" si="4"/>
        <v>1525.9132429232836</v>
      </c>
      <c r="AK30" s="2"/>
      <c r="AL30" s="8">
        <f t="shared" si="5"/>
        <v>1481.3170021059298</v>
      </c>
      <c r="AM30" s="2"/>
      <c r="AN30" s="8">
        <f t="shared" si="6"/>
        <v>1432.007875178926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"/>
      <c r="BB30" s="8"/>
      <c r="BC30" s="2"/>
      <c r="BD30" s="8"/>
      <c r="BE30" s="2"/>
      <c r="BF30" s="8"/>
      <c r="BG30" s="2">
        <f>X30/BH30*100</f>
        <v>25.842696629213478</v>
      </c>
      <c r="BH30" s="8">
        <f>AJ30+X30/2</f>
        <v>1752.3390789699645</v>
      </c>
      <c r="BI30" s="2">
        <f>Z30/BJ30*100</f>
        <v>17.499999999999996</v>
      </c>
      <c r="BJ30" s="8">
        <f>AL30+Z30/2</f>
        <v>1623.3610981982793</v>
      </c>
      <c r="BK30" s="2">
        <f>AB30/BL30*100</f>
        <v>25.609756097560982</v>
      </c>
      <c r="BL30" s="8">
        <f>AN30+AB30/2</f>
        <v>1642.3027379674397</v>
      </c>
      <c r="BM30" s="2"/>
      <c r="BN30" s="8">
        <f t="shared" si="7"/>
        <v>0</v>
      </c>
      <c r="BO30" s="2"/>
      <c r="BP30" s="8">
        <f t="shared" si="8"/>
        <v>0</v>
      </c>
      <c r="BQ30" s="2"/>
      <c r="BR30" s="8">
        <f t="shared" si="9"/>
        <v>0</v>
      </c>
      <c r="BS30" s="2"/>
      <c r="BT30" s="8">
        <f t="shared" si="10"/>
        <v>0</v>
      </c>
      <c r="BU30" s="2"/>
      <c r="BV30" s="8">
        <f t="shared" si="11"/>
        <v>0</v>
      </c>
      <c r="BW30" s="2"/>
      <c r="BX30" s="8">
        <f t="shared" si="12"/>
        <v>0</v>
      </c>
      <c r="BY30" s="2"/>
      <c r="BZ30" s="8">
        <f t="shared" si="13"/>
        <v>0</v>
      </c>
      <c r="CA30" s="2"/>
      <c r="CB30" s="8">
        <f t="shared" si="14"/>
        <v>0</v>
      </c>
      <c r="CC30" s="2"/>
      <c r="CD30" s="8">
        <f t="shared" si="15"/>
        <v>0</v>
      </c>
      <c r="CF30" s="8">
        <f t="shared" si="16"/>
        <v>0</v>
      </c>
      <c r="CH30" s="8">
        <f t="shared" si="17"/>
        <v>0</v>
      </c>
      <c r="CJ30" s="8">
        <f t="shared" si="18"/>
        <v>0</v>
      </c>
      <c r="CQ30" s="4">
        <f>SUM((BH30*BG30/100),(L30*K30/100))/CR30*100</f>
        <v>78.33326623635136</v>
      </c>
      <c r="CR30" s="8">
        <f aca="true" t="shared" si="20" ref="CR30:CV39">L30+X30+AJ30+AV30+BT30+CF30</f>
        <v>7042.654696220912</v>
      </c>
      <c r="CS30" s="4">
        <f>SUM((BJ30*BI30/100),(N30*M30/100))/CT30*100</f>
        <v>78.79085810444893</v>
      </c>
      <c r="CT30" s="8">
        <f t="shared" si="20"/>
        <v>6984.332555277293</v>
      </c>
      <c r="CU30" s="4">
        <f>SUM((BL30*BK30/100),(P30*O30/100))/CV30*100</f>
        <v>79.55338881847757</v>
      </c>
      <c r="CV30" s="8">
        <f t="shared" si="20"/>
        <v>7003.644087842919</v>
      </c>
      <c r="CW30" s="4">
        <f>SUM((CV30*CU30/100),(CT30*CS30/100),(CR30*CQ30/100),(CP30*CO30/100),(CN30*CM30/100),(CL30*CK30/100))/CX30/3*100</f>
        <v>78.8915603693559</v>
      </c>
      <c r="CX30" s="8">
        <f>AVERAGE(CR30,CT30,CV30)</f>
        <v>7010.210446447042</v>
      </c>
      <c r="CZ30" s="8"/>
      <c r="DA30" s="8"/>
      <c r="DB30" s="8"/>
      <c r="DC30" s="8"/>
    </row>
    <row r="31" spans="2:102" ht="12.75">
      <c r="B31" s="4" t="s">
        <v>12</v>
      </c>
      <c r="D31" s="4" t="s">
        <v>10</v>
      </c>
      <c r="E31" s="2"/>
      <c r="F31" s="2"/>
      <c r="G31" s="2"/>
      <c r="H31" s="2"/>
      <c r="I31" s="2"/>
      <c r="J31" s="2"/>
      <c r="K31" s="2">
        <v>100</v>
      </c>
      <c r="L31" s="8">
        <f t="shared" si="19"/>
        <v>2821.310020956664</v>
      </c>
      <c r="M31" s="2">
        <v>100</v>
      </c>
      <c r="N31" s="8">
        <f t="shared" si="19"/>
        <v>2758.5758908072376</v>
      </c>
      <c r="O31" s="2">
        <v>100</v>
      </c>
      <c r="P31" s="8">
        <f t="shared" si="0"/>
        <v>662.2774054826103</v>
      </c>
      <c r="Q31" s="2"/>
      <c r="R31"/>
      <c r="S31"/>
      <c r="T31"/>
      <c r="U31"/>
      <c r="V31"/>
      <c r="W31" s="2"/>
      <c r="X31" s="8">
        <f t="shared" si="1"/>
        <v>19.689203134493983</v>
      </c>
      <c r="Y31" s="2"/>
      <c r="Z31" s="8">
        <f t="shared" si="2"/>
        <v>12.175208236487093</v>
      </c>
      <c r="AA31" s="2"/>
      <c r="AB31" s="8">
        <f t="shared" si="3"/>
        <v>16.0224657362677</v>
      </c>
      <c r="AC31" s="2"/>
      <c r="AD31"/>
      <c r="AE31"/>
      <c r="AF31"/>
      <c r="AG31"/>
      <c r="AH31"/>
      <c r="AI31" s="2"/>
      <c r="AJ31" s="8">
        <f t="shared" si="4"/>
        <v>216.5812344794338</v>
      </c>
      <c r="AK31" s="2"/>
      <c r="AL31" s="8">
        <f t="shared" si="5"/>
        <v>263.7961784572203</v>
      </c>
      <c r="AM31" s="2"/>
      <c r="AN31" s="8">
        <f t="shared" si="6"/>
        <v>170.23869844784434</v>
      </c>
      <c r="AO31" s="8"/>
      <c r="AP31" s="8"/>
      <c r="AQ31" s="8"/>
      <c r="AR31" s="8"/>
      <c r="AS31" s="8"/>
      <c r="AT31" s="8"/>
      <c r="AU31" s="8"/>
      <c r="AV31" s="8">
        <f>AV13*454*1000000/0.0283/60/AV$23*14/(21-AV$24)</f>
        <v>63005.45003038074</v>
      </c>
      <c r="AW31" s="8"/>
      <c r="AX31" s="8">
        <f>AX13*454*1000000/0.0283/60/AX$23*14/(21-AX$24)</f>
        <v>33989.12299352647</v>
      </c>
      <c r="AY31" s="8"/>
      <c r="AZ31" s="8">
        <f>AZ13*454*1000000/0.0283/60/AZ$23*14/(21-AZ$24)</f>
        <v>85419.77045647721</v>
      </c>
      <c r="BA31" s="2"/>
      <c r="BB31" s="8"/>
      <c r="BC31" s="2"/>
      <c r="BD31" s="8"/>
      <c r="BE31" s="2"/>
      <c r="BF31" s="8"/>
      <c r="BG31" s="2"/>
      <c r="BH31" s="8">
        <f aca="true" t="shared" si="21" ref="BH31:BH37">AJ31+X31</f>
        <v>236.27043761392778</v>
      </c>
      <c r="BI31" s="2"/>
      <c r="BJ31" s="8">
        <f aca="true" t="shared" si="22" ref="BJ31:BJ37">AL31+Z31</f>
        <v>275.9713866937074</v>
      </c>
      <c r="BK31" s="2"/>
      <c r="BL31" s="8">
        <f aca="true" t="shared" si="23" ref="BL31:BL37">AN31+AB31</f>
        <v>186.26116418411203</v>
      </c>
      <c r="BM31" s="2"/>
      <c r="BN31" s="8">
        <f t="shared" si="7"/>
        <v>0</v>
      </c>
      <c r="BO31" s="2"/>
      <c r="BP31" s="8">
        <f t="shared" si="8"/>
        <v>0</v>
      </c>
      <c r="BQ31" s="2"/>
      <c r="BR31" s="8">
        <f t="shared" si="9"/>
        <v>0</v>
      </c>
      <c r="BS31" s="2"/>
      <c r="BT31" s="8">
        <f t="shared" si="10"/>
        <v>0</v>
      </c>
      <c r="BU31" s="2"/>
      <c r="BV31" s="8">
        <f t="shared" si="11"/>
        <v>0</v>
      </c>
      <c r="BW31" s="2"/>
      <c r="BX31" s="8">
        <f t="shared" si="12"/>
        <v>0</v>
      </c>
      <c r="BY31" s="2"/>
      <c r="BZ31" s="8">
        <f t="shared" si="13"/>
        <v>0</v>
      </c>
      <c r="CA31" s="2"/>
      <c r="CB31" s="8">
        <f t="shared" si="14"/>
        <v>0</v>
      </c>
      <c r="CC31" s="2"/>
      <c r="CD31" s="8">
        <f t="shared" si="15"/>
        <v>0</v>
      </c>
      <c r="CF31" s="8">
        <f t="shared" si="16"/>
        <v>0</v>
      </c>
      <c r="CH31" s="8">
        <f t="shared" si="17"/>
        <v>0</v>
      </c>
      <c r="CJ31" s="8">
        <f t="shared" si="18"/>
        <v>0</v>
      </c>
      <c r="CQ31" s="4">
        <f>SUM((BH31*BG31/100),(L31*K31/100))/CR31*100</f>
        <v>4.2706336661750814</v>
      </c>
      <c r="CR31" s="8">
        <f t="shared" si="20"/>
        <v>66063.03048895134</v>
      </c>
      <c r="CS31" s="4">
        <f>SUM((BJ31*BI31/100),(N31*M31/100))/CT31*100</f>
        <v>7.450843934740687</v>
      </c>
      <c r="CT31" s="8">
        <f t="shared" si="20"/>
        <v>37023.67027102742</v>
      </c>
      <c r="CU31" s="4">
        <f>SUM((BL31*BK31/100),(P31*O31/100))/CV31*100</f>
        <v>0.7676948962589549</v>
      </c>
      <c r="CV31" s="8">
        <f t="shared" si="20"/>
        <v>86268.30902614394</v>
      </c>
      <c r="CW31" s="4">
        <f aca="true" t="shared" si="24" ref="CW31:CW41">SUM((CV31*CU31/100),(CT31*CS31/100),(CR31*CQ31/100),(CP31*CO31/100),(CN31*CM31/100),(CL31*CK31/100))/CX31/3*100</f>
        <v>3.296539829760544</v>
      </c>
      <c r="CX31" s="8">
        <f aca="true" t="shared" si="25" ref="CX31:CX41">AVERAGE(CR31,CT31,CV31)</f>
        <v>63118.33659537424</v>
      </c>
    </row>
    <row r="32" spans="2:102" ht="12.75">
      <c r="B32" s="4" t="s">
        <v>13</v>
      </c>
      <c r="D32" s="4" t="s">
        <v>10</v>
      </c>
      <c r="E32" s="2"/>
      <c r="F32" s="2"/>
      <c r="G32" s="2"/>
      <c r="H32" s="2"/>
      <c r="I32" s="2"/>
      <c r="J32" s="2"/>
      <c r="K32" s="2"/>
      <c r="L32" s="8">
        <f t="shared" si="19"/>
        <v>33638.69640371407</v>
      </c>
      <c r="M32" s="2"/>
      <c r="N32" s="8">
        <f t="shared" si="19"/>
        <v>37278.05257847618</v>
      </c>
      <c r="O32" s="2"/>
      <c r="P32" s="8">
        <f t="shared" si="0"/>
        <v>37529.05297734792</v>
      </c>
      <c r="Q32" s="2"/>
      <c r="R32"/>
      <c r="S32"/>
      <c r="T32"/>
      <c r="U32"/>
      <c r="V32"/>
      <c r="W32" s="2"/>
      <c r="X32" s="8">
        <f t="shared" si="1"/>
        <v>119119.6789636886</v>
      </c>
      <c r="Y32" s="2"/>
      <c r="Z32" s="8">
        <f t="shared" si="2"/>
        <v>101460.06863739243</v>
      </c>
      <c r="AA32" s="2"/>
      <c r="AB32" s="8">
        <f t="shared" si="3"/>
        <v>97136.19852612297</v>
      </c>
      <c r="AC32" s="2"/>
      <c r="AD32"/>
      <c r="AE32"/>
      <c r="AF32"/>
      <c r="AG32"/>
      <c r="AH32"/>
      <c r="AI32" s="2"/>
      <c r="AJ32" s="8">
        <f t="shared" si="4"/>
        <v>29829.142748758382</v>
      </c>
      <c r="AK32" s="2"/>
      <c r="AL32" s="8">
        <f t="shared" si="5"/>
        <v>33380.36258170211</v>
      </c>
      <c r="AM32" s="2"/>
      <c r="AN32" s="8">
        <f t="shared" si="6"/>
        <v>27238.1917516551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"/>
      <c r="BB32" s="8"/>
      <c r="BC32" s="2"/>
      <c r="BD32" s="8"/>
      <c r="BE32" s="2"/>
      <c r="BF32" s="8"/>
      <c r="BG32" s="2"/>
      <c r="BH32" s="8">
        <f t="shared" si="21"/>
        <v>148948.82171244698</v>
      </c>
      <c r="BI32" s="2"/>
      <c r="BJ32" s="8">
        <f t="shared" si="22"/>
        <v>134840.43121909455</v>
      </c>
      <c r="BK32" s="2"/>
      <c r="BL32" s="8">
        <f t="shared" si="23"/>
        <v>124374.39027777807</v>
      </c>
      <c r="BM32" s="2"/>
      <c r="BN32" s="8">
        <f t="shared" si="7"/>
        <v>0</v>
      </c>
      <c r="BO32" s="2"/>
      <c r="BP32" s="8">
        <f t="shared" si="8"/>
        <v>0</v>
      </c>
      <c r="BQ32" s="2"/>
      <c r="BR32" s="8">
        <f t="shared" si="9"/>
        <v>0</v>
      </c>
      <c r="BS32" s="2"/>
      <c r="BT32" s="8">
        <f t="shared" si="10"/>
        <v>0</v>
      </c>
      <c r="BU32" s="2"/>
      <c r="BV32" s="8">
        <f t="shared" si="11"/>
        <v>0</v>
      </c>
      <c r="BW32" s="2"/>
      <c r="BX32" s="8">
        <f t="shared" si="12"/>
        <v>0</v>
      </c>
      <c r="BY32" s="2"/>
      <c r="BZ32" s="8">
        <f t="shared" si="13"/>
        <v>0</v>
      </c>
      <c r="CA32" s="2"/>
      <c r="CB32" s="8">
        <f t="shared" si="14"/>
        <v>0</v>
      </c>
      <c r="CC32" s="2"/>
      <c r="CD32" s="8">
        <f t="shared" si="15"/>
        <v>0</v>
      </c>
      <c r="CF32" s="8">
        <f t="shared" si="16"/>
        <v>0</v>
      </c>
      <c r="CH32" s="8">
        <f t="shared" si="17"/>
        <v>0</v>
      </c>
      <c r="CJ32" s="8">
        <f t="shared" si="18"/>
        <v>0</v>
      </c>
      <c r="CR32" s="8">
        <f t="shared" si="20"/>
        <v>182587.51811616105</v>
      </c>
      <c r="CT32" s="8">
        <f t="shared" si="20"/>
        <v>172118.4837975707</v>
      </c>
      <c r="CV32" s="8">
        <f t="shared" si="20"/>
        <v>161903.44325512598</v>
      </c>
      <c r="CX32" s="8">
        <f t="shared" si="25"/>
        <v>172203.14838961922</v>
      </c>
    </row>
    <row r="33" spans="2:107" ht="12.75">
      <c r="B33" s="4" t="s">
        <v>14</v>
      </c>
      <c r="D33" s="4" t="s">
        <v>10</v>
      </c>
      <c r="E33" s="2"/>
      <c r="F33" s="2"/>
      <c r="G33" s="2"/>
      <c r="H33" s="2"/>
      <c r="I33" s="2"/>
      <c r="J33" s="2"/>
      <c r="K33" s="2">
        <v>100</v>
      </c>
      <c r="L33" s="8">
        <f t="shared" si="19"/>
        <v>144.68256517726485</v>
      </c>
      <c r="M33" s="2">
        <v>100</v>
      </c>
      <c r="N33" s="8">
        <f t="shared" si="19"/>
        <v>1416.5659979820955</v>
      </c>
      <c r="O33" s="2">
        <v>100</v>
      </c>
      <c r="P33" s="8">
        <f t="shared" si="0"/>
        <v>1471.7275677391337</v>
      </c>
      <c r="Q33" s="2"/>
      <c r="R33"/>
      <c r="S33"/>
      <c r="T33"/>
      <c r="U33"/>
      <c r="V33"/>
      <c r="W33" s="2"/>
      <c r="X33" s="8">
        <f t="shared" si="1"/>
        <v>4.922300783623496</v>
      </c>
      <c r="Y33" s="2"/>
      <c r="Z33" s="8">
        <f t="shared" si="2"/>
        <v>3.043802059121773</v>
      </c>
      <c r="AA33" s="2"/>
      <c r="AB33" s="8">
        <f t="shared" si="3"/>
        <v>5.007020542583659</v>
      </c>
      <c r="AC33" s="2"/>
      <c r="AD33"/>
      <c r="AE33"/>
      <c r="AF33"/>
      <c r="AG33"/>
      <c r="AH33"/>
      <c r="AI33" s="2"/>
      <c r="AJ33" s="8">
        <f t="shared" si="4"/>
        <v>2.9533804701740975</v>
      </c>
      <c r="AK33" s="2"/>
      <c r="AL33" s="8">
        <f t="shared" si="5"/>
        <v>2.0292013727478486</v>
      </c>
      <c r="AM33" s="2"/>
      <c r="AN33" s="8">
        <f t="shared" si="6"/>
        <v>11.01544519368405</v>
      </c>
      <c r="AO33" s="8"/>
      <c r="AP33" s="8"/>
      <c r="AQ33" s="8"/>
      <c r="AR33" s="8"/>
      <c r="AS33" s="8"/>
      <c r="AT33" s="8"/>
      <c r="AU33" s="8"/>
      <c r="AV33" s="8">
        <f>AV15*454*1000000/0.0283/60/AV$23*14/(21-AV$24)</f>
        <v>5621.267494898033</v>
      </c>
      <c r="AW33" s="8"/>
      <c r="AX33" s="8">
        <f>AX15*454*1000000/0.0283/60/AX$23*14/(21-AX$24)</f>
        <v>4951.251349504752</v>
      </c>
      <c r="AY33" s="8"/>
      <c r="AZ33" s="8">
        <f>AZ15*454*1000000/0.0283/60/AZ$23*14/(21-AZ$24)</f>
        <v>4456.248282899454</v>
      </c>
      <c r="BA33" s="2"/>
      <c r="BB33" s="8"/>
      <c r="BC33" s="2"/>
      <c r="BD33" s="8"/>
      <c r="BE33" s="2"/>
      <c r="BF33" s="8"/>
      <c r="BG33" s="2"/>
      <c r="BH33" s="8">
        <f t="shared" si="21"/>
        <v>7.875681253797593</v>
      </c>
      <c r="BI33" s="2"/>
      <c r="BJ33" s="8">
        <f t="shared" si="22"/>
        <v>5.073003431869622</v>
      </c>
      <c r="BK33" s="2"/>
      <c r="BL33" s="8">
        <f t="shared" si="23"/>
        <v>16.02246573626771</v>
      </c>
      <c r="BM33" s="2"/>
      <c r="BN33" s="8">
        <f t="shared" si="7"/>
        <v>0</v>
      </c>
      <c r="BO33" s="2"/>
      <c r="BP33" s="8">
        <f t="shared" si="8"/>
        <v>0</v>
      </c>
      <c r="BQ33" s="2"/>
      <c r="BR33" s="8">
        <f t="shared" si="9"/>
        <v>0</v>
      </c>
      <c r="BS33" s="2"/>
      <c r="BT33" s="8">
        <f t="shared" si="10"/>
        <v>0</v>
      </c>
      <c r="BU33" s="2"/>
      <c r="BV33" s="8">
        <f t="shared" si="11"/>
        <v>0</v>
      </c>
      <c r="BW33" s="2"/>
      <c r="BX33" s="8">
        <f t="shared" si="12"/>
        <v>0</v>
      </c>
      <c r="BY33" s="2"/>
      <c r="BZ33" s="8">
        <f t="shared" si="13"/>
        <v>0</v>
      </c>
      <c r="CA33" s="2"/>
      <c r="CB33" s="8">
        <f t="shared" si="14"/>
        <v>0</v>
      </c>
      <c r="CC33" s="2"/>
      <c r="CD33" s="8">
        <f t="shared" si="15"/>
        <v>0</v>
      </c>
      <c r="CF33" s="8">
        <f t="shared" si="16"/>
        <v>0</v>
      </c>
      <c r="CH33" s="8">
        <f t="shared" si="17"/>
        <v>0</v>
      </c>
      <c r="CJ33" s="8">
        <f t="shared" si="18"/>
        <v>0</v>
      </c>
      <c r="CQ33" s="4">
        <f>SUM((BH33*BG33/100),(L33*K33/100))/CR33*100</f>
        <v>2.5058353275476564</v>
      </c>
      <c r="CR33" s="8">
        <f t="shared" si="20"/>
        <v>5773.825741329096</v>
      </c>
      <c r="CS33" s="4">
        <f>SUM((BJ33*BI33/100),(N33*M33/100))/CT33*100</f>
        <v>22.227998913834803</v>
      </c>
      <c r="CT33" s="8">
        <f t="shared" si="20"/>
        <v>6372.890350918718</v>
      </c>
      <c r="CU33" s="4">
        <f>SUM((BL33*BK33/100),(P33*O33/100))/CV33*100</f>
        <v>24.759892069362422</v>
      </c>
      <c r="CV33" s="8">
        <f t="shared" si="20"/>
        <v>5943.998316374856</v>
      </c>
      <c r="CW33" s="4">
        <f t="shared" si="24"/>
        <v>16.7653751111834</v>
      </c>
      <c r="CX33" s="8">
        <f t="shared" si="25"/>
        <v>6030.238136207557</v>
      </c>
      <c r="CZ33" s="8"/>
      <c r="DA33" s="8"/>
      <c r="DB33" s="8"/>
      <c r="DC33" s="8"/>
    </row>
    <row r="34" spans="2:102" ht="12.75">
      <c r="B34" s="4" t="s">
        <v>15</v>
      </c>
      <c r="D34" s="4" t="s">
        <v>10</v>
      </c>
      <c r="E34" s="2"/>
      <c r="F34" s="2"/>
      <c r="G34" s="2"/>
      <c r="H34" s="2"/>
      <c r="I34" s="2"/>
      <c r="J34" s="2"/>
      <c r="K34" s="2">
        <v>100</v>
      </c>
      <c r="L34" s="8">
        <f t="shared" si="19"/>
        <v>144.68256517726485</v>
      </c>
      <c r="M34" s="2">
        <v>100</v>
      </c>
      <c r="N34" s="8">
        <f t="shared" si="19"/>
        <v>223.66831547085712</v>
      </c>
      <c r="O34" s="2">
        <v>100</v>
      </c>
      <c r="P34" s="8">
        <f t="shared" si="0"/>
        <v>294.3455135478268</v>
      </c>
      <c r="Q34" s="2"/>
      <c r="R34"/>
      <c r="S34"/>
      <c r="T34"/>
      <c r="U34"/>
      <c r="V34"/>
      <c r="W34" s="2"/>
      <c r="X34" s="8">
        <f t="shared" si="1"/>
        <v>4.922300783623496</v>
      </c>
      <c r="Y34" s="2"/>
      <c r="Z34" s="8">
        <f t="shared" si="2"/>
        <v>13.189808922861019</v>
      </c>
      <c r="AA34" s="2"/>
      <c r="AB34" s="8">
        <f t="shared" si="3"/>
        <v>9.012636976650585</v>
      </c>
      <c r="AC34" s="2"/>
      <c r="AD34"/>
      <c r="AE34"/>
      <c r="AF34"/>
      <c r="AG34"/>
      <c r="AH34"/>
      <c r="AI34" s="2"/>
      <c r="AJ34" s="8">
        <f t="shared" si="4"/>
        <v>797.4127269470061</v>
      </c>
      <c r="AK34" s="2"/>
      <c r="AL34" s="8">
        <f t="shared" si="5"/>
        <v>963.8706520552284</v>
      </c>
      <c r="AM34" s="2"/>
      <c r="AN34" s="8">
        <f t="shared" si="6"/>
        <v>710.9969170468794</v>
      </c>
      <c r="AO34" s="8"/>
      <c r="AP34" s="8"/>
      <c r="AQ34" s="8"/>
      <c r="AR34" s="8"/>
      <c r="AS34" s="8"/>
      <c r="AT34" s="8"/>
      <c r="AU34" s="8"/>
      <c r="AV34" s="8">
        <f>AV16*454*1000000/0.0283/60/AV$23*14/(21-AV$24)</f>
        <v>10533.72367695428</v>
      </c>
      <c r="AW34" s="8"/>
      <c r="AX34" s="8">
        <f>AX16*454*1000000/0.0283/60/AX$23*14/(21-AX$24)</f>
        <v>10856.227344200992</v>
      </c>
      <c r="AY34" s="8"/>
      <c r="AZ34" s="8">
        <f>AZ16*454*1000000/0.0283/60/AZ$23*14/(21-AZ$24)</f>
        <v>9413.19862005728</v>
      </c>
      <c r="BA34" s="2"/>
      <c r="BB34" s="8"/>
      <c r="BC34" s="2"/>
      <c r="BD34" s="8"/>
      <c r="BE34" s="2"/>
      <c r="BF34" s="8"/>
      <c r="BG34" s="2"/>
      <c r="BH34" s="8">
        <f t="shared" si="21"/>
        <v>802.3350277306297</v>
      </c>
      <c r="BI34" s="2"/>
      <c r="BJ34" s="8">
        <f t="shared" si="22"/>
        <v>977.0604609780895</v>
      </c>
      <c r="BK34" s="2"/>
      <c r="BL34" s="8">
        <f t="shared" si="23"/>
        <v>720.00955402353</v>
      </c>
      <c r="BM34" s="2"/>
      <c r="BN34" s="8">
        <f t="shared" si="7"/>
        <v>0</v>
      </c>
      <c r="BO34" s="2"/>
      <c r="BP34" s="8">
        <f t="shared" si="8"/>
        <v>0</v>
      </c>
      <c r="BQ34" s="2"/>
      <c r="BR34" s="8">
        <f t="shared" si="9"/>
        <v>0</v>
      </c>
      <c r="BS34" s="2"/>
      <c r="BT34" s="8">
        <f t="shared" si="10"/>
        <v>0</v>
      </c>
      <c r="BU34" s="2"/>
      <c r="BV34" s="8">
        <f t="shared" si="11"/>
        <v>0</v>
      </c>
      <c r="BW34" s="2"/>
      <c r="BX34" s="8">
        <f t="shared" si="12"/>
        <v>0</v>
      </c>
      <c r="BY34" s="2"/>
      <c r="BZ34" s="8">
        <f t="shared" si="13"/>
        <v>0</v>
      </c>
      <c r="CA34" s="2"/>
      <c r="CB34" s="8">
        <f t="shared" si="14"/>
        <v>0</v>
      </c>
      <c r="CC34" s="2"/>
      <c r="CD34" s="8">
        <f t="shared" si="15"/>
        <v>0</v>
      </c>
      <c r="CF34" s="8">
        <f t="shared" si="16"/>
        <v>0</v>
      </c>
      <c r="CH34" s="8">
        <f t="shared" si="17"/>
        <v>0</v>
      </c>
      <c r="CJ34" s="8">
        <f t="shared" si="18"/>
        <v>0</v>
      </c>
      <c r="CQ34" s="4">
        <f>SUM((BH34*BG34/100),(L34*K34/100))/CR34*100</f>
        <v>1.260219717319714</v>
      </c>
      <c r="CR34" s="8">
        <f t="shared" si="20"/>
        <v>11480.741269862174</v>
      </c>
      <c r="CS34" s="4">
        <f>SUM((BJ34*BI34/100),(N34*M34/100))/CT34*100</f>
        <v>1.8550976982306553</v>
      </c>
      <c r="CT34" s="8">
        <f t="shared" si="20"/>
        <v>12056.956120649938</v>
      </c>
      <c r="CU34" s="4">
        <f>SUM((BL34*BK34/100),(P34*O34/100))/CV34*100</f>
        <v>2.822766704112409</v>
      </c>
      <c r="CV34" s="8">
        <f t="shared" si="20"/>
        <v>10427.553687628635</v>
      </c>
      <c r="CW34" s="4">
        <f t="shared" si="24"/>
        <v>1.9511011199986241</v>
      </c>
      <c r="CX34" s="8">
        <f t="shared" si="25"/>
        <v>11321.750359380248</v>
      </c>
    </row>
    <row r="35" spans="2:102" ht="12.75">
      <c r="B35" s="4" t="s">
        <v>16</v>
      </c>
      <c r="D35" s="4" t="s">
        <v>10</v>
      </c>
      <c r="E35" s="2"/>
      <c r="F35" s="2"/>
      <c r="G35" s="2"/>
      <c r="H35" s="2"/>
      <c r="I35" s="2"/>
      <c r="J35" s="2"/>
      <c r="K35" s="2"/>
      <c r="L35" s="8">
        <f t="shared" si="19"/>
        <v>9404.366736522212</v>
      </c>
      <c r="M35" s="2"/>
      <c r="N35" s="8">
        <f t="shared" si="19"/>
        <v>8946.732618834285</v>
      </c>
      <c r="O35" s="2"/>
      <c r="P35" s="8">
        <f t="shared" si="0"/>
        <v>10302.092974173933</v>
      </c>
      <c r="Q35" s="2"/>
      <c r="R35"/>
      <c r="S35"/>
      <c r="T35"/>
      <c r="U35"/>
      <c r="V35"/>
      <c r="W35" s="2"/>
      <c r="X35" s="8">
        <f t="shared" si="1"/>
        <v>4105.198853541995</v>
      </c>
      <c r="Y35" s="2"/>
      <c r="Z35" s="8">
        <f t="shared" si="2"/>
        <v>2455.3336610248975</v>
      </c>
      <c r="AA35" s="2"/>
      <c r="AB35" s="8">
        <f t="shared" si="3"/>
        <v>6719.42156814727</v>
      </c>
      <c r="AC35" s="2"/>
      <c r="AD35"/>
      <c r="AE35"/>
      <c r="AF35"/>
      <c r="AG35"/>
      <c r="AH35"/>
      <c r="AI35" s="2"/>
      <c r="AJ35" s="8">
        <f t="shared" si="4"/>
        <v>16696.4442580509</v>
      </c>
      <c r="AK35" s="2"/>
      <c r="AL35" s="8">
        <f t="shared" si="5"/>
        <v>18526.60853318786</v>
      </c>
      <c r="AM35" s="2"/>
      <c r="AN35" s="8">
        <f t="shared" si="6"/>
        <v>15021.06162775097</v>
      </c>
      <c r="AO35" s="8"/>
      <c r="AP35" s="8"/>
      <c r="AQ35" s="8"/>
      <c r="AR35" s="8"/>
      <c r="AS35" s="8"/>
      <c r="AT35" s="8"/>
      <c r="AU35" s="8"/>
      <c r="AV35" s="8">
        <f>AV17*454*1000000/0.0283/60/AV$23*14/(21-AV$24)</f>
        <v>104352.7766128181</v>
      </c>
      <c r="AW35" s="8"/>
      <c r="AX35" s="8">
        <f>AX17*454*1000000/0.0283/60/AX$23*14/(21-AX$24)</f>
        <v>78225.71291942958</v>
      </c>
      <c r="AY35" s="8"/>
      <c r="AZ35" s="8">
        <f>AZ17*454*1000000/0.0283/60/AZ$23*14/(21-AZ$24)</f>
        <v>126176.91767310815</v>
      </c>
      <c r="BA35" s="2"/>
      <c r="BB35" s="8"/>
      <c r="BC35" s="2"/>
      <c r="BD35" s="8"/>
      <c r="BE35" s="2"/>
      <c r="BF35" s="8"/>
      <c r="BG35" s="2"/>
      <c r="BH35" s="8">
        <f t="shared" si="21"/>
        <v>20801.643111592894</v>
      </c>
      <c r="BI35" s="2"/>
      <c r="BJ35" s="8">
        <f t="shared" si="22"/>
        <v>20981.94219421276</v>
      </c>
      <c r="BK35" s="2"/>
      <c r="BL35" s="8">
        <f t="shared" si="23"/>
        <v>21740.48319589824</v>
      </c>
      <c r="BM35" s="2"/>
      <c r="BN35" s="8">
        <f t="shared" si="7"/>
        <v>0</v>
      </c>
      <c r="BO35" s="2"/>
      <c r="BP35" s="8">
        <f t="shared" si="8"/>
        <v>0</v>
      </c>
      <c r="BQ35" s="2"/>
      <c r="BR35" s="8">
        <f t="shared" si="9"/>
        <v>0</v>
      </c>
      <c r="BS35" s="2"/>
      <c r="BT35" s="8">
        <f t="shared" si="10"/>
        <v>0</v>
      </c>
      <c r="BU35" s="2"/>
      <c r="BV35" s="8">
        <f t="shared" si="11"/>
        <v>0</v>
      </c>
      <c r="BW35" s="2"/>
      <c r="BX35" s="8">
        <f t="shared" si="12"/>
        <v>0</v>
      </c>
      <c r="BY35" s="2"/>
      <c r="BZ35" s="8">
        <f t="shared" si="13"/>
        <v>0</v>
      </c>
      <c r="CA35" s="2"/>
      <c r="CB35" s="8">
        <f t="shared" si="14"/>
        <v>0</v>
      </c>
      <c r="CC35" s="2"/>
      <c r="CD35" s="8">
        <f t="shared" si="15"/>
        <v>0</v>
      </c>
      <c r="CF35" s="8">
        <f t="shared" si="16"/>
        <v>0</v>
      </c>
      <c r="CH35" s="8">
        <f t="shared" si="17"/>
        <v>0</v>
      </c>
      <c r="CJ35" s="8">
        <f t="shared" si="18"/>
        <v>0</v>
      </c>
      <c r="CR35" s="8">
        <f t="shared" si="20"/>
        <v>134558.78646093322</v>
      </c>
      <c r="CT35" s="8">
        <f t="shared" si="20"/>
        <v>108154.38773247664</v>
      </c>
      <c r="CV35" s="8">
        <f t="shared" si="20"/>
        <v>158219.49384318033</v>
      </c>
      <c r="CX35" s="8">
        <f t="shared" si="25"/>
        <v>133644.2226788634</v>
      </c>
    </row>
    <row r="36" spans="2:102" ht="12.75">
      <c r="B36" s="4" t="s">
        <v>19</v>
      </c>
      <c r="D36" s="4" t="s">
        <v>10</v>
      </c>
      <c r="E36" s="2"/>
      <c r="F36" s="2"/>
      <c r="G36" s="2"/>
      <c r="H36" s="2"/>
      <c r="I36" s="2"/>
      <c r="J36" s="2"/>
      <c r="K36" s="2"/>
      <c r="L36" s="8">
        <f t="shared" si="19"/>
        <v>4991.548498615635</v>
      </c>
      <c r="M36" s="2"/>
      <c r="N36" s="8">
        <f t="shared" si="19"/>
        <v>5517.151781614475</v>
      </c>
      <c r="O36" s="2"/>
      <c r="P36" s="8">
        <f t="shared" si="0"/>
        <v>3826.4916761217482</v>
      </c>
      <c r="Q36" s="2"/>
      <c r="R36"/>
      <c r="S36"/>
      <c r="T36"/>
      <c r="U36"/>
      <c r="V36"/>
      <c r="W36" s="2"/>
      <c r="X36" s="8">
        <f t="shared" si="1"/>
        <v>9519.729715527841</v>
      </c>
      <c r="Y36" s="2"/>
      <c r="Z36" s="8">
        <f t="shared" si="2"/>
        <v>3429.350319943865</v>
      </c>
      <c r="AA36" s="2"/>
      <c r="AB36" s="8">
        <f t="shared" si="3"/>
        <v>12217.130123904126</v>
      </c>
      <c r="AC36" s="2"/>
      <c r="AD36"/>
      <c r="AE36"/>
      <c r="AF36"/>
      <c r="AG36"/>
      <c r="AH36"/>
      <c r="AI36" s="2"/>
      <c r="AJ36" s="8">
        <f t="shared" si="4"/>
        <v>54440.646666875866</v>
      </c>
      <c r="AK36" s="2"/>
      <c r="AL36" s="8">
        <f t="shared" si="5"/>
        <v>60064.36063333633</v>
      </c>
      <c r="AM36" s="2"/>
      <c r="AN36" s="8">
        <f t="shared" si="6"/>
        <v>41458.130092592684</v>
      </c>
      <c r="AO36" s="8"/>
      <c r="AP36" s="8"/>
      <c r="AQ36" s="8"/>
      <c r="AR36" s="8"/>
      <c r="AS36" s="8"/>
      <c r="AT36" s="8"/>
      <c r="AU36" s="8"/>
      <c r="AV36" s="8">
        <f>AV18*454*1000000/0.0283/60/AV$23*14/(21-AV$24)</f>
        <v>113705.14810170275</v>
      </c>
      <c r="AW36" s="8"/>
      <c r="AX36" s="8">
        <f>AX18*454*1000000/0.0283/60/AX$23*14/(21-AX$24)</f>
        <v>89487.78053818012</v>
      </c>
      <c r="AY36" s="8"/>
      <c r="AZ36" s="8">
        <f>AZ18*454*1000000/0.0283/60/AZ$23*14/(21-AZ$24)</f>
        <v>100040.27044082148</v>
      </c>
      <c r="BA36" s="2"/>
      <c r="BB36" s="8"/>
      <c r="BC36" s="2"/>
      <c r="BD36" s="8"/>
      <c r="BE36" s="2"/>
      <c r="BF36" s="8"/>
      <c r="BG36" s="2"/>
      <c r="BH36" s="8">
        <f t="shared" si="21"/>
        <v>63960.37638240371</v>
      </c>
      <c r="BI36" s="2"/>
      <c r="BJ36" s="8">
        <f t="shared" si="22"/>
        <v>63493.71095328019</v>
      </c>
      <c r="BK36" s="2"/>
      <c r="BL36" s="8">
        <f t="shared" si="23"/>
        <v>53675.26021649681</v>
      </c>
      <c r="BM36" s="2"/>
      <c r="BN36" s="8">
        <f t="shared" si="7"/>
        <v>0</v>
      </c>
      <c r="BO36" s="2"/>
      <c r="BP36" s="8">
        <f t="shared" si="8"/>
        <v>0</v>
      </c>
      <c r="BQ36" s="2"/>
      <c r="BR36" s="8">
        <f t="shared" si="9"/>
        <v>0</v>
      </c>
      <c r="BS36" s="2"/>
      <c r="BT36" s="8">
        <f t="shared" si="10"/>
        <v>0</v>
      </c>
      <c r="BU36" s="2"/>
      <c r="BV36" s="8">
        <f t="shared" si="11"/>
        <v>0</v>
      </c>
      <c r="BW36" s="2"/>
      <c r="BX36" s="8">
        <f t="shared" si="12"/>
        <v>0</v>
      </c>
      <c r="BY36" s="2"/>
      <c r="BZ36" s="8">
        <f t="shared" si="13"/>
        <v>0</v>
      </c>
      <c r="CA36" s="2"/>
      <c r="CB36" s="8">
        <f t="shared" si="14"/>
        <v>0</v>
      </c>
      <c r="CC36" s="2"/>
      <c r="CD36" s="8">
        <f t="shared" si="15"/>
        <v>0</v>
      </c>
      <c r="CF36" s="8">
        <f t="shared" si="16"/>
        <v>0</v>
      </c>
      <c r="CH36" s="8">
        <f t="shared" si="17"/>
        <v>0</v>
      </c>
      <c r="CJ36" s="8">
        <f t="shared" si="18"/>
        <v>0</v>
      </c>
      <c r="CR36" s="8">
        <f t="shared" si="20"/>
        <v>182657.07298272208</v>
      </c>
      <c r="CT36" s="8">
        <f t="shared" si="20"/>
        <v>158498.6432730748</v>
      </c>
      <c r="CV36" s="8">
        <f t="shared" si="20"/>
        <v>157542.02233344002</v>
      </c>
      <c r="CX36" s="8">
        <f t="shared" si="25"/>
        <v>166232.57952974562</v>
      </c>
    </row>
    <row r="37" spans="2:107" ht="12.75">
      <c r="B37" s="4" t="s">
        <v>20</v>
      </c>
      <c r="D37" s="4" t="s">
        <v>10</v>
      </c>
      <c r="E37" s="2"/>
      <c r="F37" s="2"/>
      <c r="G37" s="2"/>
      <c r="H37" s="2"/>
      <c r="I37" s="2"/>
      <c r="J37" s="2"/>
      <c r="K37" s="2">
        <v>100</v>
      </c>
      <c r="L37" s="8">
        <f t="shared" si="19"/>
        <v>27.48968738368032</v>
      </c>
      <c r="M37" s="2">
        <v>100</v>
      </c>
      <c r="N37" s="8">
        <f t="shared" si="19"/>
        <v>23.112392598655244</v>
      </c>
      <c r="O37" s="2">
        <v>100</v>
      </c>
      <c r="P37" s="8">
        <f t="shared" si="0"/>
        <v>23.54764108382614</v>
      </c>
      <c r="Q37" s="2"/>
      <c r="R37"/>
      <c r="S37"/>
      <c r="T37"/>
      <c r="U37"/>
      <c r="V37"/>
      <c r="W37" s="2"/>
      <c r="X37" s="8">
        <f t="shared" si="1"/>
        <v>0.3937840626898796</v>
      </c>
      <c r="Y37" s="2"/>
      <c r="Z37" s="8">
        <f t="shared" si="2"/>
        <v>7.710965216441825</v>
      </c>
      <c r="AA37" s="2"/>
      <c r="AB37" s="8">
        <f t="shared" si="3"/>
        <v>9.21291779835393</v>
      </c>
      <c r="AC37" s="2"/>
      <c r="AD37"/>
      <c r="AE37"/>
      <c r="AF37"/>
      <c r="AG37"/>
      <c r="AH37"/>
      <c r="AI37" s="2"/>
      <c r="AJ37" s="8">
        <f t="shared" si="4"/>
        <v>4.233178673916206</v>
      </c>
      <c r="AK37" s="2"/>
      <c r="AL37" s="8">
        <f t="shared" si="5"/>
        <v>7.406585010529649</v>
      </c>
      <c r="AM37" s="2"/>
      <c r="AN37" s="8">
        <f t="shared" si="6"/>
        <v>24.334119836956578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2"/>
      <c r="BB37" s="8"/>
      <c r="BC37" s="2"/>
      <c r="BD37" s="8"/>
      <c r="BE37" s="2"/>
      <c r="BF37" s="8"/>
      <c r="BG37" s="2"/>
      <c r="BH37" s="8">
        <f t="shared" si="21"/>
        <v>4.626962736606085</v>
      </c>
      <c r="BI37" s="2"/>
      <c r="BJ37" s="8">
        <f t="shared" si="22"/>
        <v>15.117550226971474</v>
      </c>
      <c r="BK37" s="2"/>
      <c r="BL37" s="8">
        <f t="shared" si="23"/>
        <v>33.54703763531051</v>
      </c>
      <c r="BM37" s="2"/>
      <c r="BN37" s="8">
        <f t="shared" si="7"/>
        <v>0</v>
      </c>
      <c r="BO37" s="2"/>
      <c r="BP37" s="8">
        <f t="shared" si="8"/>
        <v>0</v>
      </c>
      <c r="BQ37" s="2"/>
      <c r="BR37" s="8">
        <f t="shared" si="9"/>
        <v>0</v>
      </c>
      <c r="BS37" s="2"/>
      <c r="BT37" s="8">
        <f t="shared" si="10"/>
        <v>0</v>
      </c>
      <c r="BU37" s="2"/>
      <c r="BV37" s="8">
        <f t="shared" si="11"/>
        <v>0</v>
      </c>
      <c r="BW37" s="2"/>
      <c r="BX37" s="8">
        <f t="shared" si="12"/>
        <v>0</v>
      </c>
      <c r="BY37" s="2"/>
      <c r="BZ37" s="8">
        <f t="shared" si="13"/>
        <v>0</v>
      </c>
      <c r="CA37" s="2"/>
      <c r="CB37" s="8">
        <f t="shared" si="14"/>
        <v>0</v>
      </c>
      <c r="CC37" s="2"/>
      <c r="CD37" s="8">
        <f t="shared" si="15"/>
        <v>0</v>
      </c>
      <c r="CF37" s="8">
        <f t="shared" si="16"/>
        <v>0</v>
      </c>
      <c r="CH37" s="8">
        <f t="shared" si="17"/>
        <v>0</v>
      </c>
      <c r="CJ37" s="8">
        <f t="shared" si="18"/>
        <v>0</v>
      </c>
      <c r="CQ37" s="4">
        <f>SUM((BH37*BG37/100),(L37*K37/100))/CR37*100</f>
        <v>85.59325857685428</v>
      </c>
      <c r="CR37" s="8">
        <f t="shared" si="20"/>
        <v>32.1166501202864</v>
      </c>
      <c r="CS37" s="4">
        <f>SUM((BJ37*BI37/100),(N37*M37/100))/CT37*100</f>
        <v>60.45625729568784</v>
      </c>
      <c r="CT37" s="8">
        <f t="shared" si="20"/>
        <v>38.229942825626715</v>
      </c>
      <c r="CU37" s="4">
        <f>SUM((BL37*BK37/100),(P37*O37/100))/CV37*100</f>
        <v>41.24314491664454</v>
      </c>
      <c r="CV37" s="8">
        <f t="shared" si="20"/>
        <v>57.09467871913665</v>
      </c>
      <c r="CW37" s="4">
        <f t="shared" si="24"/>
        <v>58.18344410517754</v>
      </c>
      <c r="CX37" s="8">
        <f t="shared" si="25"/>
        <v>42.480423888349925</v>
      </c>
      <c r="CZ37" s="8">
        <f>AVERAGE(BB37,BD37,BF37,BH37,BJ37,BL37)</f>
        <v>17.763850199629356</v>
      </c>
      <c r="DA37" s="8">
        <f>AVERAGE(R37,T37,V37,X37,Z37,AB37)+AVERAGE(AD37,AF37,AH37,AJ37,AL37,AN37)</f>
        <v>17.763850199629356</v>
      </c>
      <c r="DB37" s="8">
        <f>AVERAGE(F37,H37,J37,L37,N37,P37)/2+AVERAGE(BN37,BP37,BR37,BT37,BV37,BX37)+AVERAGE(BZ37,CB37,CD37,CF37,CH37,CJ37)</f>
        <v>12.358286844360284</v>
      </c>
      <c r="DC37" s="8">
        <f>SUM(CZ37,DA37,DB37)</f>
        <v>47.885987243619</v>
      </c>
    </row>
    <row r="38" spans="2:102" ht="12.75">
      <c r="B38" s="4" t="s">
        <v>23</v>
      </c>
      <c r="D38" s="4" t="s">
        <v>10</v>
      </c>
      <c r="E38" s="2"/>
      <c r="F38" s="2"/>
      <c r="G38" s="2"/>
      <c r="H38" s="2"/>
      <c r="I38" s="2"/>
      <c r="J38" s="2"/>
      <c r="K38" s="2">
        <v>100</v>
      </c>
      <c r="L38" s="8">
        <f t="shared" si="19"/>
        <v>15191.669343612808</v>
      </c>
      <c r="M38" s="2">
        <v>100</v>
      </c>
      <c r="N38" s="8">
        <f t="shared" si="19"/>
        <v>14911.221031390476</v>
      </c>
      <c r="O38" s="2">
        <v>100</v>
      </c>
      <c r="P38" s="8">
        <f t="shared" si="0"/>
        <v>15453.139461260907</v>
      </c>
      <c r="Q38" s="2"/>
      <c r="R38"/>
      <c r="S38"/>
      <c r="T38"/>
      <c r="U38"/>
      <c r="V38"/>
      <c r="W38" s="2">
        <v>100</v>
      </c>
      <c r="X38" s="8">
        <f t="shared" si="1"/>
        <v>88.60141410522293</v>
      </c>
      <c r="Y38" s="2">
        <v>100</v>
      </c>
      <c r="Z38" s="8">
        <f t="shared" si="2"/>
        <v>60.87604118243547</v>
      </c>
      <c r="AA38" s="2">
        <v>100</v>
      </c>
      <c r="AB38" s="8">
        <f t="shared" si="3"/>
        <v>90.12636976650585</v>
      </c>
      <c r="AC38" s="2"/>
      <c r="AD38"/>
      <c r="AE38"/>
      <c r="AF38"/>
      <c r="AG38"/>
      <c r="AH38"/>
      <c r="AI38" s="2">
        <v>100</v>
      </c>
      <c r="AJ38" s="8">
        <f t="shared" si="4"/>
        <v>334.7164532863977</v>
      </c>
      <c r="AK38" s="2">
        <v>100</v>
      </c>
      <c r="AL38" s="8">
        <f t="shared" si="5"/>
        <v>324.67221963965585</v>
      </c>
      <c r="AM38" s="2">
        <v>100</v>
      </c>
      <c r="AN38" s="8">
        <f t="shared" si="6"/>
        <v>320.44931472535416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2"/>
      <c r="BB38" s="8"/>
      <c r="BC38" s="2"/>
      <c r="BD38" s="8"/>
      <c r="BE38" s="2"/>
      <c r="BF38" s="8"/>
      <c r="BG38" s="2">
        <v>100</v>
      </c>
      <c r="BH38" s="8">
        <f>AJ38/2+X38/2</f>
        <v>211.65893369581033</v>
      </c>
      <c r="BI38" s="2">
        <v>100</v>
      </c>
      <c r="BJ38" s="8">
        <f>AL38/2+Z38/2</f>
        <v>192.77413041104566</v>
      </c>
      <c r="BK38" s="2">
        <v>100</v>
      </c>
      <c r="BL38" s="8">
        <f>AN38/2+AB38/2</f>
        <v>205.28784224593</v>
      </c>
      <c r="BM38" s="2"/>
      <c r="BN38" s="8">
        <f t="shared" si="7"/>
        <v>0</v>
      </c>
      <c r="BO38" s="2"/>
      <c r="BP38" s="8">
        <f t="shared" si="8"/>
        <v>0</v>
      </c>
      <c r="BQ38" s="2"/>
      <c r="BR38" s="8">
        <f t="shared" si="9"/>
        <v>0</v>
      </c>
      <c r="BS38" s="2"/>
      <c r="BT38" s="8">
        <f t="shared" si="10"/>
        <v>0</v>
      </c>
      <c r="BU38" s="2"/>
      <c r="BV38" s="8">
        <f t="shared" si="11"/>
        <v>0</v>
      </c>
      <c r="BW38" s="2"/>
      <c r="BX38" s="8">
        <f t="shared" si="12"/>
        <v>0</v>
      </c>
      <c r="BY38" s="2"/>
      <c r="BZ38" s="8">
        <f t="shared" si="13"/>
        <v>0</v>
      </c>
      <c r="CA38" s="2"/>
      <c r="CB38" s="8">
        <f t="shared" si="14"/>
        <v>0</v>
      </c>
      <c r="CC38" s="2"/>
      <c r="CD38" s="8">
        <f t="shared" si="15"/>
        <v>0</v>
      </c>
      <c r="CF38" s="8">
        <f t="shared" si="16"/>
        <v>0</v>
      </c>
      <c r="CH38" s="8">
        <f t="shared" si="17"/>
        <v>0</v>
      </c>
      <c r="CJ38" s="8">
        <f t="shared" si="18"/>
        <v>0</v>
      </c>
      <c r="CQ38" s="4">
        <f>SUM((BH38*BG38/100),(L38*K38/100))/CR38*100</f>
        <v>98.64451420397803</v>
      </c>
      <c r="CR38" s="8">
        <f t="shared" si="20"/>
        <v>15614.987211004429</v>
      </c>
      <c r="CS38" s="4">
        <f>SUM((BJ38*BI38/100),(N38*M38/100))/CT38*100</f>
        <v>98.73977225694848</v>
      </c>
      <c r="CT38" s="8">
        <f t="shared" si="20"/>
        <v>15296.769292212568</v>
      </c>
      <c r="CU38" s="4">
        <f>SUM((BL38*BK38/100),(P38*O38/100))/CV38*100</f>
        <v>98.70592833797264</v>
      </c>
      <c r="CV38" s="8">
        <f t="shared" si="20"/>
        <v>15863.715145752767</v>
      </c>
      <c r="CW38" s="4">
        <f t="shared" si="24"/>
        <v>98.69649437010816</v>
      </c>
      <c r="CX38" s="8">
        <f t="shared" si="25"/>
        <v>15591.82388298992</v>
      </c>
    </row>
    <row r="39" spans="2:102" ht="12.75">
      <c r="B39" s="4" t="s">
        <v>24</v>
      </c>
      <c r="D39" s="4" t="s">
        <v>10</v>
      </c>
      <c r="E39" s="2"/>
      <c r="F39" s="2"/>
      <c r="G39" s="2"/>
      <c r="H39" s="2"/>
      <c r="I39" s="2"/>
      <c r="J39" s="2"/>
      <c r="K39" s="2">
        <v>100</v>
      </c>
      <c r="L39" s="8">
        <f t="shared" si="19"/>
        <v>3617.0641294316206</v>
      </c>
      <c r="M39" s="2">
        <v>100</v>
      </c>
      <c r="N39" s="8">
        <f t="shared" si="19"/>
        <v>3727.805257847619</v>
      </c>
      <c r="O39" s="2">
        <v>100</v>
      </c>
      <c r="P39" s="8">
        <f t="shared" si="0"/>
        <v>3679.318919347835</v>
      </c>
      <c r="Q39" s="2"/>
      <c r="R39"/>
      <c r="S39"/>
      <c r="T39"/>
      <c r="U39"/>
      <c r="V39"/>
      <c r="W39" s="2"/>
      <c r="X39" s="8">
        <f t="shared" si="1"/>
        <v>482.3854767951026</v>
      </c>
      <c r="Y39" s="2">
        <v>100</v>
      </c>
      <c r="Z39" s="8">
        <f t="shared" si="2"/>
        <v>284.0881921846988</v>
      </c>
      <c r="AA39" s="2">
        <v>100</v>
      </c>
      <c r="AB39" s="8">
        <f t="shared" si="3"/>
        <v>420.5897255770273</v>
      </c>
      <c r="AC39" s="2"/>
      <c r="AD39"/>
      <c r="AE39"/>
      <c r="AF39"/>
      <c r="AG39"/>
      <c r="AH39"/>
      <c r="AI39" s="2">
        <v>100</v>
      </c>
      <c r="AJ39" s="8">
        <f t="shared" si="4"/>
        <v>1525.9132429232836</v>
      </c>
      <c r="AK39" s="2">
        <v>100</v>
      </c>
      <c r="AL39" s="8">
        <f t="shared" si="5"/>
        <v>1481.3170021059298</v>
      </c>
      <c r="AM39" s="2">
        <v>100</v>
      </c>
      <c r="AN39" s="8">
        <f t="shared" si="6"/>
        <v>1432.007875178926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"/>
      <c r="BB39" s="8"/>
      <c r="BC39" s="2"/>
      <c r="BD39" s="8"/>
      <c r="BE39" s="2"/>
      <c r="BF39" s="8"/>
      <c r="BG39" s="2">
        <v>100</v>
      </c>
      <c r="BH39" s="8">
        <f>AJ39+X39/2</f>
        <v>1767.1059813208349</v>
      </c>
      <c r="BI39" s="2">
        <v>100</v>
      </c>
      <c r="BJ39" s="8">
        <f>AL39/2+Z39/2</f>
        <v>882.7025971453143</v>
      </c>
      <c r="BK39" s="2">
        <v>100</v>
      </c>
      <c r="BL39" s="8">
        <f>AN39/2+AB39/2</f>
        <v>926.2988003779767</v>
      </c>
      <c r="BM39" s="2"/>
      <c r="BN39" s="8">
        <f t="shared" si="7"/>
        <v>0</v>
      </c>
      <c r="BO39" s="2"/>
      <c r="BP39" s="8">
        <f t="shared" si="8"/>
        <v>0</v>
      </c>
      <c r="BQ39" s="2"/>
      <c r="BR39" s="8">
        <f t="shared" si="9"/>
        <v>0</v>
      </c>
      <c r="BS39" s="2"/>
      <c r="BT39" s="8">
        <f t="shared" si="10"/>
        <v>0</v>
      </c>
      <c r="BU39" s="2"/>
      <c r="BV39" s="8">
        <f t="shared" si="11"/>
        <v>0</v>
      </c>
      <c r="BW39" s="2"/>
      <c r="BX39" s="8">
        <f t="shared" si="12"/>
        <v>0</v>
      </c>
      <c r="BY39" s="2"/>
      <c r="BZ39" s="8">
        <f t="shared" si="13"/>
        <v>0</v>
      </c>
      <c r="CA39" s="2"/>
      <c r="CB39" s="8">
        <f t="shared" si="14"/>
        <v>0</v>
      </c>
      <c r="CC39" s="2"/>
      <c r="CD39" s="8">
        <f t="shared" si="15"/>
        <v>0</v>
      </c>
      <c r="CF39" s="8">
        <f t="shared" si="16"/>
        <v>0</v>
      </c>
      <c r="CH39" s="8">
        <f t="shared" si="17"/>
        <v>0</v>
      </c>
      <c r="CJ39" s="8">
        <f t="shared" si="18"/>
        <v>0</v>
      </c>
      <c r="CQ39" s="4">
        <f>SUM((BH39*BG39/100),(L39*K39/100))/CR39*100</f>
        <v>95.71240567292479</v>
      </c>
      <c r="CR39" s="8">
        <f t="shared" si="20"/>
        <v>5625.362849150008</v>
      </c>
      <c r="CS39" s="4">
        <f>SUM((BJ39*BI39/100),(N39*M39/100))/CT39*100</f>
        <v>83.93102531140563</v>
      </c>
      <c r="CT39" s="8">
        <f t="shared" si="20"/>
        <v>5493.210452138248</v>
      </c>
      <c r="CU39" s="4">
        <f>SUM((BL39*BK39/100),(P39*O39/100))/CV39*100</f>
        <v>83.25537276255575</v>
      </c>
      <c r="CV39" s="8">
        <f t="shared" si="20"/>
        <v>5531.916520103789</v>
      </c>
      <c r="CW39" s="4">
        <f t="shared" si="24"/>
        <v>87.68688394207587</v>
      </c>
      <c r="CX39" s="8">
        <f t="shared" si="25"/>
        <v>5550.163273797349</v>
      </c>
    </row>
    <row r="40" spans="2:107" ht="12.75">
      <c r="B40" s="4" t="s">
        <v>67</v>
      </c>
      <c r="D40" s="4" t="s">
        <v>10</v>
      </c>
      <c r="E40" s="2"/>
      <c r="F40" s="2"/>
      <c r="G40" s="2"/>
      <c r="H40" s="2"/>
      <c r="I40" s="2"/>
      <c r="J40" s="2"/>
      <c r="K40" s="2">
        <f>L34/L40*100</f>
        <v>2.8169014084507054</v>
      </c>
      <c r="L40" s="8">
        <f>L34+L36</f>
        <v>5136.2310637929</v>
      </c>
      <c r="M40" s="2">
        <f>N34/N40*100</f>
        <v>3.8961038961038965</v>
      </c>
      <c r="N40" s="8">
        <f>N34+N36</f>
        <v>5740.820097085332</v>
      </c>
      <c r="O40" s="2">
        <f>P34/P40*100</f>
        <v>7.142857142857142</v>
      </c>
      <c r="P40" s="8">
        <f>P34+P36</f>
        <v>4120.837189669575</v>
      </c>
      <c r="Q40" s="2"/>
      <c r="R40"/>
      <c r="S40"/>
      <c r="T40"/>
      <c r="U40"/>
      <c r="V40"/>
      <c r="W40" s="2"/>
      <c r="X40" s="8">
        <f>X34+X36</f>
        <v>9524.652016311464</v>
      </c>
      <c r="Y40" s="2"/>
      <c r="Z40" s="8">
        <f>Z34+Z36</f>
        <v>3442.5401288667263</v>
      </c>
      <c r="AA40" s="2"/>
      <c r="AB40" s="8">
        <f>AB34+AB36</f>
        <v>12226.142760880777</v>
      </c>
      <c r="AC40" s="2"/>
      <c r="AD40"/>
      <c r="AE40"/>
      <c r="AF40"/>
      <c r="AG40"/>
      <c r="AH40"/>
      <c r="AI40" s="2"/>
      <c r="AJ40" s="8">
        <f>AJ34+AJ36</f>
        <v>55238.05939382287</v>
      </c>
      <c r="AK40" s="2"/>
      <c r="AL40" s="8">
        <f>AL34+AL36</f>
        <v>61028.23128539156</v>
      </c>
      <c r="AM40" s="2"/>
      <c r="AN40" s="8">
        <f>AN34+AN36</f>
        <v>42169.12700963956</v>
      </c>
      <c r="AO40" s="8"/>
      <c r="AP40" s="8"/>
      <c r="AQ40" s="8"/>
      <c r="AR40" s="8"/>
      <c r="AS40" s="8"/>
      <c r="AT40" s="8"/>
      <c r="AU40" s="8"/>
      <c r="AV40" s="8">
        <f>AV34+AV36</f>
        <v>124238.87177865703</v>
      </c>
      <c r="AW40" s="8"/>
      <c r="AX40" s="8">
        <f>AX34+AX36</f>
        <v>100344.0078823811</v>
      </c>
      <c r="AY40" s="8"/>
      <c r="AZ40" s="8">
        <f>AZ34+AZ36</f>
        <v>109453.46906087876</v>
      </c>
      <c r="BA40" s="2"/>
      <c r="BB40" s="8"/>
      <c r="BC40" s="2"/>
      <c r="BD40" s="8"/>
      <c r="BE40" s="2"/>
      <c r="BF40" s="8"/>
      <c r="BG40" s="2"/>
      <c r="BH40" s="8">
        <f>AJ40+X40</f>
        <v>64762.71141013433</v>
      </c>
      <c r="BI40" s="2"/>
      <c r="BJ40" s="8">
        <f>AL40+Z40</f>
        <v>64470.771414258284</v>
      </c>
      <c r="BK40" s="2"/>
      <c r="BL40" s="8">
        <f>AN40+AB40</f>
        <v>54395.26977052034</v>
      </c>
      <c r="BM40" s="2"/>
      <c r="BN40" s="8">
        <f>BN34+BN36</f>
        <v>0</v>
      </c>
      <c r="BO40" s="2"/>
      <c r="BP40" s="8">
        <f>BP34+BP36</f>
        <v>0</v>
      </c>
      <c r="BQ40" s="2"/>
      <c r="BR40" s="8">
        <f>BR34+BR36</f>
        <v>0</v>
      </c>
      <c r="BS40" s="2"/>
      <c r="BT40" s="8">
        <f>BT34+BT36</f>
        <v>0</v>
      </c>
      <c r="BU40" s="2"/>
      <c r="BV40" s="8">
        <f>BV34+BV36</f>
        <v>0</v>
      </c>
      <c r="BW40" s="2"/>
      <c r="BX40" s="8">
        <f>BX34+BX36</f>
        <v>0</v>
      </c>
      <c r="BY40" s="2"/>
      <c r="BZ40" s="8">
        <f>BZ34+BZ36</f>
        <v>0</v>
      </c>
      <c r="CA40" s="2"/>
      <c r="CB40" s="8">
        <f>CB34+CB36</f>
        <v>0</v>
      </c>
      <c r="CC40" s="2"/>
      <c r="CD40" s="8">
        <f>CD34+CD36</f>
        <v>0</v>
      </c>
      <c r="CF40" s="8">
        <f>CF34+CF36</f>
        <v>0</v>
      </c>
      <c r="CH40" s="8">
        <f>CH34+CH36</f>
        <v>0</v>
      </c>
      <c r="CJ40" s="8">
        <f>CJ34+CJ36</f>
        <v>0</v>
      </c>
      <c r="CQ40" s="4">
        <f>SUM((BH40*BG40/100),(L40*K40/100))/CR40*100</f>
        <v>0.07452570007253953</v>
      </c>
      <c r="CR40" s="8">
        <f>L40+X40+AJ40+AV40+BT40+CF40</f>
        <v>194137.81425258427</v>
      </c>
      <c r="CS40" s="4">
        <f>SUM((BJ40*BI40/100),(N40*M40/100))/CT40*100</f>
        <v>0.13114099816478178</v>
      </c>
      <c r="CT40" s="8">
        <f>N40+Z40+AL40+AX40+BV40+CH40</f>
        <v>170555.59939372473</v>
      </c>
      <c r="CU40" s="4">
        <f>SUM((BL40*BK40/100),(P40*O40/100))/CV40*100</f>
        <v>0.1752373974623277</v>
      </c>
      <c r="CV40" s="8">
        <f>P40+AB40+AN40+AZ40+BX40+CJ40</f>
        <v>167969.57602106867</v>
      </c>
      <c r="CW40" s="4">
        <f>SUM((CV40*CU40/100),(CT40*CS40/100),(CR40*CQ40/100),(CP40*CO40/100),(CN40*CM40/100),(CL40*CK40/100))/CX40/3*100</f>
        <v>0.1244119465874231</v>
      </c>
      <c r="CX40" s="8">
        <f t="shared" si="25"/>
        <v>177554.3298891259</v>
      </c>
      <c r="CZ40" s="8">
        <f>AVERAGE(BB40,BD40,BF40,BH40,BJ40,BL40)</f>
        <v>61209.584198304314</v>
      </c>
      <c r="DA40" s="8">
        <f>AVERAGE(R40,T40,V40,X40,Z40,AB40)+AVERAGE(AD40,AF40,AH40,AJ40,AL40,AN40)</f>
        <v>61209.58419830432</v>
      </c>
      <c r="DB40" s="8">
        <f>AVERAGE(F40,H40,J40,L40,N40,P40)+AVERAGE(BN40,BP40,BR40,BT40,BV40,BX40)+AVERAGE(BZ40,CB40,CD40,CF40,CH40,CJ40)</f>
        <v>4999.296116849269</v>
      </c>
      <c r="DC40" s="8">
        <f>SUM(CZ40,DA40,DB40)</f>
        <v>127418.4645134579</v>
      </c>
    </row>
    <row r="41" spans="2:107" ht="12.75">
      <c r="B41" s="4" t="s">
        <v>68</v>
      </c>
      <c r="D41" s="4" t="s">
        <v>10</v>
      </c>
      <c r="E41" s="2"/>
      <c r="F41" s="2"/>
      <c r="G41" s="2"/>
      <c r="H41" s="2"/>
      <c r="I41" s="2"/>
      <c r="J41" s="2"/>
      <c r="K41" s="2">
        <f>SUM(L31,L33)/L41*100</f>
        <v>23.976608187134506</v>
      </c>
      <c r="L41" s="8">
        <f>L31+L33+L35</f>
        <v>12370.35932265614</v>
      </c>
      <c r="M41" s="2">
        <f>SUM(N31,N33)/N41*100</f>
        <v>31.818181818181817</v>
      </c>
      <c r="N41" s="8">
        <f>N31+N33+N35</f>
        <v>13121.87450762362</v>
      </c>
      <c r="O41" s="2">
        <f>SUM(P31,P33)/P41*100</f>
        <v>17.159763313609474</v>
      </c>
      <c r="P41" s="8">
        <f>P31+P33+P35</f>
        <v>12436.097947395676</v>
      </c>
      <c r="Q41" s="2"/>
      <c r="R41"/>
      <c r="S41"/>
      <c r="T41"/>
      <c r="U41"/>
      <c r="V41"/>
      <c r="W41" s="2"/>
      <c r="X41" s="8">
        <f>X31+X33+X35</f>
        <v>4129.810357460113</v>
      </c>
      <c r="Y41" s="2"/>
      <c r="Z41" s="8">
        <f>Z31+Z33+Z35</f>
        <v>2470.5526713205063</v>
      </c>
      <c r="AA41" s="2"/>
      <c r="AB41" s="8">
        <f>AB31+AB33+AB35</f>
        <v>6740.451054426121</v>
      </c>
      <c r="AC41" s="2"/>
      <c r="AD41"/>
      <c r="AE41"/>
      <c r="AF41"/>
      <c r="AG41"/>
      <c r="AH41"/>
      <c r="AI41" s="2"/>
      <c r="AJ41" s="8">
        <f>AJ31+AJ33+AJ35</f>
        <v>16915.978873000506</v>
      </c>
      <c r="AK41" s="2"/>
      <c r="AL41" s="8">
        <f>AL31+AL33+AL35</f>
        <v>18792.433913017827</v>
      </c>
      <c r="AM41" s="2"/>
      <c r="AN41" s="8">
        <f>AN31+AN33+AN35</f>
        <v>15202.3157713925</v>
      </c>
      <c r="AO41" s="8"/>
      <c r="AP41" s="8"/>
      <c r="AQ41" s="8"/>
      <c r="AR41" s="8"/>
      <c r="AS41" s="8"/>
      <c r="AT41" s="8"/>
      <c r="AU41" s="8"/>
      <c r="AV41" s="8">
        <f>AV31+AV33+AV35</f>
        <v>172979.49413809687</v>
      </c>
      <c r="AW41" s="8"/>
      <c r="AX41" s="8">
        <f>AX31+AX33+AX35</f>
        <v>117166.08726246082</v>
      </c>
      <c r="AY41" s="8"/>
      <c r="AZ41" s="8">
        <f>AZ31+AZ33+AZ35</f>
        <v>216052.93641248482</v>
      </c>
      <c r="BA41" s="2"/>
      <c r="BB41" s="8"/>
      <c r="BC41" s="2"/>
      <c r="BD41" s="8"/>
      <c r="BE41" s="2"/>
      <c r="BF41" s="8"/>
      <c r="BG41" s="2"/>
      <c r="BH41" s="8">
        <f>AJ41+X41</f>
        <v>21045.789230460618</v>
      </c>
      <c r="BI41" s="2"/>
      <c r="BJ41" s="8">
        <f>AL41+Z41</f>
        <v>21262.986584338334</v>
      </c>
      <c r="BK41" s="2"/>
      <c r="BL41" s="8">
        <f>AN41+AB41</f>
        <v>21942.76682581862</v>
      </c>
      <c r="BM41" s="2"/>
      <c r="BN41" s="8">
        <f>BN31+BN33+BN35</f>
        <v>0</v>
      </c>
      <c r="BO41" s="2"/>
      <c r="BP41" s="8">
        <f>BP31+BP33+BP35</f>
        <v>0</v>
      </c>
      <c r="BQ41" s="2"/>
      <c r="BR41" s="8">
        <f>BR31+BR33+BR35</f>
        <v>0</v>
      </c>
      <c r="BS41" s="2"/>
      <c r="BT41" s="8">
        <f>BT31+BT33+BT35</f>
        <v>0</v>
      </c>
      <c r="BU41" s="2"/>
      <c r="BV41" s="8">
        <f>BV31+BV33+BV35</f>
        <v>0</v>
      </c>
      <c r="BW41" s="2"/>
      <c r="BX41" s="8">
        <f>BX31+BX33+BX35</f>
        <v>0</v>
      </c>
      <c r="BY41" s="2"/>
      <c r="BZ41" s="8">
        <f>BZ31+BZ33+BZ35</f>
        <v>0</v>
      </c>
      <c r="CA41" s="2"/>
      <c r="CB41" s="8">
        <f>CB31+CB33+CB35</f>
        <v>0</v>
      </c>
      <c r="CC41" s="2"/>
      <c r="CD41" s="8">
        <f>CD31+CD33+CD35</f>
        <v>0</v>
      </c>
      <c r="CF41" s="8">
        <f>CF31+CF33+CF35</f>
        <v>0</v>
      </c>
      <c r="CH41" s="8">
        <f>CH31+CH33+CH35</f>
        <v>0</v>
      </c>
      <c r="CJ41" s="8">
        <f>CJ31+CJ33+CJ35</f>
        <v>0</v>
      </c>
      <c r="CQ41" s="4">
        <f>SUM((BH41*BG41/100),(L41*K41/100))/CR41*100</f>
        <v>1.437042249274283</v>
      </c>
      <c r="CR41" s="8">
        <f>L41+X41+AJ41+AV41+BT41+CF41</f>
        <v>206395.64269121364</v>
      </c>
      <c r="CS41" s="4">
        <f>SUM((BJ41*BI41/100),(N41*M41/100))/CT41*100</f>
        <v>2.7549427661945005</v>
      </c>
      <c r="CT41" s="8">
        <f>N41+Z41+AL41+AX41+BV41+CH41</f>
        <v>151550.94835442276</v>
      </c>
      <c r="CU41" s="4">
        <f>SUM((BL41*BK41/100),(P41*O41/100))/CV41*100</f>
        <v>0.8521301859899756</v>
      </c>
      <c r="CV41" s="8">
        <f>P41+AB41+AN41+AZ41+BX41+CJ41</f>
        <v>250431.80118569912</v>
      </c>
      <c r="CW41" s="4">
        <f t="shared" si="24"/>
        <v>1.5245675333942728</v>
      </c>
      <c r="CX41" s="8">
        <f t="shared" si="25"/>
        <v>202792.79741044517</v>
      </c>
      <c r="CZ41" s="8">
        <f>AVERAGE(BB41,BD41,BF41,BH41,BJ41,BL41)</f>
        <v>21417.180880205855</v>
      </c>
      <c r="DA41" s="8">
        <f>AVERAGE(R41,T41,V41,X41,Z41,AB41)+AVERAGE(AD41,AF41,AH41,AJ41,AL41,AN41)</f>
        <v>21417.180880205862</v>
      </c>
      <c r="DB41" s="8">
        <f>AVERAGE(F41,H41,J41,L41,N41,P41)+AVERAGE(BN41,BP41,BR41,BT41,BV41,BX41)+AVERAGE(BZ41,CB41,CD41,CF41,CH41,CJ41)</f>
        <v>12642.777259225144</v>
      </c>
      <c r="DC41" s="8">
        <f>SUM(CZ41,DA41,DB41)</f>
        <v>55477.13901963686</v>
      </c>
    </row>
    <row r="42" spans="5:82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8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2:102" ht="12.75">
      <c r="B43" s="6" t="s">
        <v>34</v>
      </c>
      <c r="C43" s="6"/>
      <c r="D43" s="6"/>
      <c r="E43" s="2"/>
      <c r="F43" s="24" t="s">
        <v>54</v>
      </c>
      <c r="G43" s="24"/>
      <c r="H43" s="24" t="s">
        <v>55</v>
      </c>
      <c r="I43" s="24"/>
      <c r="J43" s="24" t="s">
        <v>56</v>
      </c>
      <c r="K43" s="24"/>
      <c r="L43" s="24" t="s">
        <v>57</v>
      </c>
      <c r="M43" s="24"/>
      <c r="N43" s="24" t="s">
        <v>58</v>
      </c>
      <c r="O43" s="24"/>
      <c r="P43" s="24" t="s">
        <v>59</v>
      </c>
      <c r="Q43" s="24"/>
      <c r="R43" s="24" t="s">
        <v>54</v>
      </c>
      <c r="S43" s="24"/>
      <c r="T43" s="24" t="s">
        <v>55</v>
      </c>
      <c r="U43" s="24"/>
      <c r="V43" s="24" t="s">
        <v>56</v>
      </c>
      <c r="W43" s="24"/>
      <c r="X43" s="24" t="s">
        <v>57</v>
      </c>
      <c r="Y43" s="24"/>
      <c r="Z43" s="24" t="s">
        <v>58</v>
      </c>
      <c r="AA43" s="24"/>
      <c r="AB43" s="24" t="s">
        <v>59</v>
      </c>
      <c r="AC43" s="24"/>
      <c r="AD43" s="24" t="s">
        <v>54</v>
      </c>
      <c r="AE43" s="24"/>
      <c r="AF43" s="24" t="s">
        <v>55</v>
      </c>
      <c r="AG43" s="24"/>
      <c r="AH43" s="24" t="s">
        <v>56</v>
      </c>
      <c r="AI43" s="24"/>
      <c r="AJ43" s="24" t="s">
        <v>57</v>
      </c>
      <c r="AK43" s="24"/>
      <c r="AL43" s="24" t="s">
        <v>58</v>
      </c>
      <c r="AM43" s="24"/>
      <c r="AN43" s="24" t="s">
        <v>59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 t="s">
        <v>54</v>
      </c>
      <c r="BC43" s="24"/>
      <c r="BD43" s="24" t="s">
        <v>55</v>
      </c>
      <c r="BE43" s="24"/>
      <c r="BF43" s="24" t="s">
        <v>56</v>
      </c>
      <c r="BG43" s="24"/>
      <c r="BH43" s="24" t="s">
        <v>57</v>
      </c>
      <c r="BI43" s="24"/>
      <c r="BJ43" s="24" t="s">
        <v>58</v>
      </c>
      <c r="BK43" s="24"/>
      <c r="BL43" s="24" t="s">
        <v>59</v>
      </c>
      <c r="BM43" s="24"/>
      <c r="BN43" s="24" t="s">
        <v>54</v>
      </c>
      <c r="BO43" s="24"/>
      <c r="BP43" s="24" t="s">
        <v>55</v>
      </c>
      <c r="BQ43" s="24"/>
      <c r="BR43" s="24" t="s">
        <v>56</v>
      </c>
      <c r="BS43" s="24"/>
      <c r="BT43" s="24" t="s">
        <v>57</v>
      </c>
      <c r="BU43" s="24"/>
      <c r="BV43" s="24" t="s">
        <v>58</v>
      </c>
      <c r="BW43" s="24"/>
      <c r="BX43" s="24" t="s">
        <v>59</v>
      </c>
      <c r="BY43" s="24"/>
      <c r="BZ43" s="24" t="s">
        <v>54</v>
      </c>
      <c r="CA43" s="24"/>
      <c r="CB43" s="24" t="s">
        <v>55</v>
      </c>
      <c r="CC43" s="24"/>
      <c r="CD43" s="24" t="s">
        <v>56</v>
      </c>
      <c r="CE43" s="24"/>
      <c r="CF43" s="24" t="s">
        <v>57</v>
      </c>
      <c r="CG43" s="24"/>
      <c r="CH43" s="24" t="s">
        <v>58</v>
      </c>
      <c r="CI43" s="24"/>
      <c r="CJ43" s="24" t="s">
        <v>59</v>
      </c>
      <c r="CK43" s="24"/>
      <c r="CL43" s="24" t="s">
        <v>54</v>
      </c>
      <c r="CM43" s="24"/>
      <c r="CN43" s="24" t="s">
        <v>55</v>
      </c>
      <c r="CO43" s="24"/>
      <c r="CP43" s="24" t="s">
        <v>56</v>
      </c>
      <c r="CQ43" s="24"/>
      <c r="CR43" s="24" t="s">
        <v>57</v>
      </c>
      <c r="CS43" s="24"/>
      <c r="CT43" s="24" t="s">
        <v>58</v>
      </c>
      <c r="CU43" s="24"/>
      <c r="CV43" s="24" t="s">
        <v>59</v>
      </c>
      <c r="CW43" s="24"/>
      <c r="CX43" s="24" t="s">
        <v>61</v>
      </c>
    </row>
    <row r="44" spans="2:102" ht="12.75">
      <c r="B44" s="6"/>
      <c r="C44" s="6"/>
      <c r="D44" s="6"/>
      <c r="E44" s="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2:102" ht="12.75">
      <c r="B45" s="30" t="s">
        <v>230</v>
      </c>
      <c r="C45" s="30"/>
      <c r="D45" s="6"/>
      <c r="E45" s="2"/>
      <c r="F45" s="24" t="s">
        <v>236</v>
      </c>
      <c r="G45" s="24"/>
      <c r="H45" s="24" t="s">
        <v>236</v>
      </c>
      <c r="I45" s="24"/>
      <c r="J45" s="24" t="s">
        <v>236</v>
      </c>
      <c r="K45" s="24"/>
      <c r="L45" s="24" t="s">
        <v>236</v>
      </c>
      <c r="M45" s="24"/>
      <c r="N45" s="24" t="s">
        <v>236</v>
      </c>
      <c r="O45" s="24"/>
      <c r="P45" s="24" t="s">
        <v>236</v>
      </c>
      <c r="Q45" s="24"/>
      <c r="R45" s="24" t="s">
        <v>237</v>
      </c>
      <c r="S45" s="24"/>
      <c r="T45" s="24" t="s">
        <v>237</v>
      </c>
      <c r="U45" s="24"/>
      <c r="V45" s="24" t="s">
        <v>237</v>
      </c>
      <c r="W45" s="24"/>
      <c r="X45" s="24" t="s">
        <v>237</v>
      </c>
      <c r="Y45" s="24"/>
      <c r="Z45" s="24" t="s">
        <v>237</v>
      </c>
      <c r="AA45" s="24"/>
      <c r="AB45" s="24" t="s">
        <v>237</v>
      </c>
      <c r="AC45" s="24"/>
      <c r="AD45" s="24" t="s">
        <v>238</v>
      </c>
      <c r="AE45" s="24"/>
      <c r="AF45" s="24" t="s">
        <v>238</v>
      </c>
      <c r="AG45" s="24"/>
      <c r="AH45" s="24" t="s">
        <v>238</v>
      </c>
      <c r="AI45" s="24"/>
      <c r="AJ45" s="24" t="s">
        <v>238</v>
      </c>
      <c r="AK45" s="24"/>
      <c r="AL45" s="24" t="s">
        <v>238</v>
      </c>
      <c r="AM45" s="24"/>
      <c r="AN45" s="24" t="s">
        <v>238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 t="s">
        <v>240</v>
      </c>
      <c r="BC45" s="24"/>
      <c r="BD45" s="24" t="s">
        <v>240</v>
      </c>
      <c r="BE45" s="24"/>
      <c r="BF45" s="24" t="s">
        <v>240</v>
      </c>
      <c r="BG45" s="24"/>
      <c r="BH45" s="24" t="s">
        <v>240</v>
      </c>
      <c r="BI45" s="24"/>
      <c r="BJ45" s="24" t="s">
        <v>240</v>
      </c>
      <c r="BK45" s="24"/>
      <c r="BL45" s="24" t="s">
        <v>240</v>
      </c>
      <c r="BM45" s="24"/>
      <c r="BN45" s="24" t="s">
        <v>241</v>
      </c>
      <c r="BO45" s="24"/>
      <c r="BP45" s="24" t="s">
        <v>241</v>
      </c>
      <c r="BQ45" s="24"/>
      <c r="BR45" s="24" t="s">
        <v>241</v>
      </c>
      <c r="BS45" s="24"/>
      <c r="BT45" s="24" t="s">
        <v>241</v>
      </c>
      <c r="BU45" s="24"/>
      <c r="BV45" s="24" t="s">
        <v>241</v>
      </c>
      <c r="BW45" s="24"/>
      <c r="BX45" s="24" t="s">
        <v>241</v>
      </c>
      <c r="BY45" s="24"/>
      <c r="BZ45" s="24" t="s">
        <v>242</v>
      </c>
      <c r="CA45" s="24"/>
      <c r="CB45" s="24" t="s">
        <v>242</v>
      </c>
      <c r="CC45" s="24"/>
      <c r="CD45" s="24" t="s">
        <v>242</v>
      </c>
      <c r="CE45" s="24"/>
      <c r="CF45" s="24" t="s">
        <v>242</v>
      </c>
      <c r="CG45" s="24"/>
      <c r="CH45" s="24" t="s">
        <v>242</v>
      </c>
      <c r="CI45" s="24"/>
      <c r="CJ45" s="24" t="s">
        <v>242</v>
      </c>
      <c r="CK45" s="24"/>
      <c r="CL45" s="24" t="s">
        <v>243</v>
      </c>
      <c r="CM45" s="24"/>
      <c r="CN45" s="24" t="s">
        <v>243</v>
      </c>
      <c r="CO45" s="24"/>
      <c r="CP45" s="24" t="s">
        <v>243</v>
      </c>
      <c r="CQ45" s="24"/>
      <c r="CR45" s="24" t="s">
        <v>243</v>
      </c>
      <c r="CS45" s="24"/>
      <c r="CT45" s="24" t="s">
        <v>243</v>
      </c>
      <c r="CU45" s="24"/>
      <c r="CV45" s="24" t="s">
        <v>243</v>
      </c>
      <c r="CW45" s="24"/>
      <c r="CX45" s="24" t="s">
        <v>243</v>
      </c>
    </row>
    <row r="46" spans="2:102" ht="12.75">
      <c r="B46" s="30" t="s">
        <v>231</v>
      </c>
      <c r="C46" s="30"/>
      <c r="E46" s="2"/>
      <c r="F46" s="2" t="s">
        <v>235</v>
      </c>
      <c r="G46" s="2"/>
      <c r="H46" s="2" t="s">
        <v>235</v>
      </c>
      <c r="I46" s="2"/>
      <c r="J46" s="2" t="s">
        <v>235</v>
      </c>
      <c r="K46" s="2"/>
      <c r="L46" s="2" t="s">
        <v>235</v>
      </c>
      <c r="M46" s="2"/>
      <c r="N46" s="2" t="s">
        <v>235</v>
      </c>
      <c r="O46" s="2"/>
      <c r="P46" s="2" t="s">
        <v>235</v>
      </c>
      <c r="Q46" s="2"/>
      <c r="R46" s="2" t="s">
        <v>118</v>
      </c>
      <c r="S46" s="2"/>
      <c r="T46" s="2" t="s">
        <v>118</v>
      </c>
      <c r="U46" s="2"/>
      <c r="V46" s="2" t="s">
        <v>118</v>
      </c>
      <c r="W46" s="2"/>
      <c r="X46" s="2" t="s">
        <v>118</v>
      </c>
      <c r="Y46" s="2"/>
      <c r="Z46" s="2" t="s">
        <v>118</v>
      </c>
      <c r="AA46" s="2"/>
      <c r="AB46" s="2" t="s">
        <v>118</v>
      </c>
      <c r="AC46" s="2"/>
      <c r="AD46" s="2" t="s">
        <v>118</v>
      </c>
      <c r="AE46" s="2"/>
      <c r="AF46" s="2" t="s">
        <v>118</v>
      </c>
      <c r="AG46" s="2"/>
      <c r="AH46" s="2" t="s">
        <v>118</v>
      </c>
      <c r="AI46" s="2"/>
      <c r="AJ46" s="2" t="s">
        <v>118</v>
      </c>
      <c r="AK46" s="2"/>
      <c r="AL46" s="2" t="s">
        <v>118</v>
      </c>
      <c r="AM46" s="2"/>
      <c r="AN46" s="2" t="s">
        <v>118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 t="s">
        <v>239</v>
      </c>
      <c r="BC46" s="2"/>
      <c r="BD46" s="2" t="s">
        <v>239</v>
      </c>
      <c r="BE46" s="2"/>
      <c r="BF46" s="2" t="s">
        <v>239</v>
      </c>
      <c r="BG46" s="2"/>
      <c r="BH46" s="2" t="s">
        <v>239</v>
      </c>
      <c r="BI46" s="2"/>
      <c r="BJ46" s="2" t="s">
        <v>239</v>
      </c>
      <c r="BK46" s="2"/>
      <c r="BL46" s="2" t="s">
        <v>239</v>
      </c>
      <c r="BM46" s="2"/>
      <c r="BN46" s="4" t="s">
        <v>65</v>
      </c>
      <c r="BO46" s="2"/>
      <c r="BP46" s="4" t="s">
        <v>65</v>
      </c>
      <c r="BQ46" s="2"/>
      <c r="BR46" s="4" t="s">
        <v>65</v>
      </c>
      <c r="BS46" s="2"/>
      <c r="BT46" s="4" t="s">
        <v>65</v>
      </c>
      <c r="BU46" s="2"/>
      <c r="BV46" s="4" t="s">
        <v>65</v>
      </c>
      <c r="BW46" s="2"/>
      <c r="BX46" s="4" t="s">
        <v>65</v>
      </c>
      <c r="BY46" s="2"/>
      <c r="BZ46" s="2" t="s">
        <v>235</v>
      </c>
      <c r="CA46" s="2"/>
      <c r="CB46" s="2" t="s">
        <v>235</v>
      </c>
      <c r="CC46" s="2"/>
      <c r="CD46" s="2" t="s">
        <v>235</v>
      </c>
      <c r="CF46" s="2" t="s">
        <v>235</v>
      </c>
      <c r="CH46" s="2" t="s">
        <v>235</v>
      </c>
      <c r="CJ46" s="2" t="s">
        <v>235</v>
      </c>
      <c r="CL46" s="4" t="s">
        <v>66</v>
      </c>
      <c r="CN46" s="4" t="s">
        <v>66</v>
      </c>
      <c r="CP46" s="4" t="s">
        <v>66</v>
      </c>
      <c r="CR46" s="4" t="s">
        <v>66</v>
      </c>
      <c r="CT46" s="4" t="s">
        <v>66</v>
      </c>
      <c r="CV46" s="4" t="s">
        <v>66</v>
      </c>
      <c r="CX46" s="4" t="s">
        <v>66</v>
      </c>
    </row>
    <row r="47" spans="2:102" ht="12.75">
      <c r="B47" s="30" t="s">
        <v>232</v>
      </c>
      <c r="C47" s="30"/>
      <c r="F47" s="4" t="s">
        <v>62</v>
      </c>
      <c r="H47" s="4" t="s">
        <v>62</v>
      </c>
      <c r="J47" s="4" t="s">
        <v>62</v>
      </c>
      <c r="L47" s="4" t="s">
        <v>62</v>
      </c>
      <c r="N47" s="4" t="s">
        <v>62</v>
      </c>
      <c r="P47" s="4" t="s">
        <v>62</v>
      </c>
      <c r="R47" s="4" t="s">
        <v>63</v>
      </c>
      <c r="T47" s="4" t="s">
        <v>63</v>
      </c>
      <c r="V47" s="4" t="s">
        <v>63</v>
      </c>
      <c r="X47" s="4" t="s">
        <v>63</v>
      </c>
      <c r="Z47" s="4" t="s">
        <v>63</v>
      </c>
      <c r="AB47" s="4" t="s">
        <v>63</v>
      </c>
      <c r="AD47" s="4" t="s">
        <v>63</v>
      </c>
      <c r="AF47" s="4" t="s">
        <v>63</v>
      </c>
      <c r="AH47" s="4" t="s">
        <v>63</v>
      </c>
      <c r="AJ47" s="4" t="s">
        <v>63</v>
      </c>
      <c r="AL47" s="4" t="s">
        <v>63</v>
      </c>
      <c r="AN47" s="4" t="s">
        <v>63</v>
      </c>
      <c r="BB47" s="4" t="s">
        <v>64</v>
      </c>
      <c r="BD47" s="4" t="s">
        <v>64</v>
      </c>
      <c r="BF47" s="4" t="s">
        <v>64</v>
      </c>
      <c r="BH47" s="4" t="s">
        <v>64</v>
      </c>
      <c r="BJ47" s="4" t="s">
        <v>64</v>
      </c>
      <c r="BL47" s="4" t="s">
        <v>64</v>
      </c>
      <c r="BN47" s="4" t="s">
        <v>65</v>
      </c>
      <c r="BP47" s="4" t="s">
        <v>65</v>
      </c>
      <c r="BR47" s="4" t="s">
        <v>65</v>
      </c>
      <c r="BT47" s="4" t="s">
        <v>65</v>
      </c>
      <c r="BV47" s="4" t="s">
        <v>65</v>
      </c>
      <c r="BX47" s="4" t="s">
        <v>65</v>
      </c>
      <c r="BZ47" s="4" t="s">
        <v>120</v>
      </c>
      <c r="CB47" s="4" t="s">
        <v>120</v>
      </c>
      <c r="CD47" s="4" t="s">
        <v>120</v>
      </c>
      <c r="CF47" s="4" t="s">
        <v>120</v>
      </c>
      <c r="CH47" s="4" t="s">
        <v>120</v>
      </c>
      <c r="CJ47" s="4" t="s">
        <v>120</v>
      </c>
      <c r="CL47" s="4" t="s">
        <v>66</v>
      </c>
      <c r="CN47" s="4" t="s">
        <v>66</v>
      </c>
      <c r="CP47" s="4" t="s">
        <v>66</v>
      </c>
      <c r="CR47" s="4" t="s">
        <v>66</v>
      </c>
      <c r="CT47" s="4" t="s">
        <v>66</v>
      </c>
      <c r="CV47" s="4" t="s">
        <v>66</v>
      </c>
      <c r="CX47" s="4" t="s">
        <v>66</v>
      </c>
    </row>
    <row r="48" spans="1:82" ht="12.75">
      <c r="A48" s="4" t="s">
        <v>34</v>
      </c>
      <c r="B48" s="4" t="s">
        <v>233</v>
      </c>
      <c r="D48" s="4" t="s">
        <v>69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8">
        <v>8694.9424</v>
      </c>
      <c r="BC48" s="8"/>
      <c r="BD48" s="8">
        <v>9724.4906</v>
      </c>
      <c r="BE48" s="8"/>
      <c r="BF48" s="8">
        <v>14087.394</v>
      </c>
      <c r="BG48" s="2"/>
      <c r="BH48" s="2"/>
      <c r="BI48" s="2"/>
      <c r="BJ48" s="2"/>
      <c r="BK48" s="2"/>
      <c r="BL48" s="2"/>
      <c r="BM48" s="2"/>
      <c r="BN48" s="8">
        <v>5778.2566</v>
      </c>
      <c r="BO48" s="8"/>
      <c r="BP48" s="8">
        <v>4638.4784</v>
      </c>
      <c r="BQ48" s="8"/>
      <c r="BR48" s="8">
        <v>7938.7646</v>
      </c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2.75">
      <c r="A49" s="4" t="s">
        <v>34</v>
      </c>
      <c r="B49" s="4" t="s">
        <v>234</v>
      </c>
      <c r="D49" s="4" t="s">
        <v>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8">
        <v>11730.95752767724</v>
      </c>
      <c r="BC49" s="8"/>
      <c r="BD49" s="8">
        <v>10283.31499441215</v>
      </c>
      <c r="BE49" s="8"/>
      <c r="BF49" s="8">
        <v>10221.90477529059</v>
      </c>
      <c r="BG49" s="2"/>
      <c r="BH49" s="2"/>
      <c r="BI49" s="2"/>
      <c r="BJ49" s="2"/>
      <c r="BK49" s="2"/>
      <c r="BL49" s="2"/>
      <c r="BM49" s="2"/>
      <c r="BN49" s="8">
        <v>12287.443240232704</v>
      </c>
      <c r="BO49" s="8"/>
      <c r="BP49" s="8">
        <v>12288.512543251252</v>
      </c>
      <c r="BQ49" s="8"/>
      <c r="BR49" s="8">
        <v>12218.52578926449</v>
      </c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5:82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2:102" ht="12.75">
      <c r="B51" s="6" t="s">
        <v>35</v>
      </c>
      <c r="C51" s="6"/>
      <c r="D51" s="6"/>
      <c r="E51" s="2"/>
      <c r="F51" s="24" t="s">
        <v>54</v>
      </c>
      <c r="G51" s="24"/>
      <c r="H51" s="24" t="s">
        <v>55</v>
      </c>
      <c r="I51" s="24"/>
      <c r="J51" s="24" t="s">
        <v>56</v>
      </c>
      <c r="K51" s="24"/>
      <c r="L51" s="24" t="s">
        <v>57</v>
      </c>
      <c r="M51" s="24"/>
      <c r="N51" s="24" t="s">
        <v>58</v>
      </c>
      <c r="O51" s="24"/>
      <c r="P51" s="24" t="s">
        <v>59</v>
      </c>
      <c r="Q51" s="24"/>
      <c r="R51" s="24" t="s">
        <v>54</v>
      </c>
      <c r="S51" s="24"/>
      <c r="T51" s="24" t="s">
        <v>55</v>
      </c>
      <c r="U51" s="24"/>
      <c r="V51" s="24" t="s">
        <v>56</v>
      </c>
      <c r="W51" s="24"/>
      <c r="X51" s="24" t="s">
        <v>57</v>
      </c>
      <c r="Y51" s="24"/>
      <c r="Z51" s="24" t="s">
        <v>58</v>
      </c>
      <c r="AA51" s="24"/>
      <c r="AB51" s="24" t="s">
        <v>59</v>
      </c>
      <c r="AC51" s="24"/>
      <c r="AD51" s="24" t="s">
        <v>54</v>
      </c>
      <c r="AE51" s="24"/>
      <c r="AF51" s="24" t="s">
        <v>55</v>
      </c>
      <c r="AG51" s="24"/>
      <c r="AH51" s="24" t="s">
        <v>56</v>
      </c>
      <c r="AI51" s="24"/>
      <c r="AJ51" s="24" t="s">
        <v>57</v>
      </c>
      <c r="AK51" s="24"/>
      <c r="AL51" s="24" t="s">
        <v>58</v>
      </c>
      <c r="AM51" s="24"/>
      <c r="AN51" s="24" t="s">
        <v>59</v>
      </c>
      <c r="AO51" s="24"/>
      <c r="AP51" s="24" t="s">
        <v>54</v>
      </c>
      <c r="AQ51" s="24"/>
      <c r="AR51" s="24" t="s">
        <v>55</v>
      </c>
      <c r="AS51" s="24"/>
      <c r="AT51" s="24" t="s">
        <v>56</v>
      </c>
      <c r="AU51" s="24"/>
      <c r="AV51" s="24" t="s">
        <v>57</v>
      </c>
      <c r="AW51" s="24"/>
      <c r="AX51" s="24" t="s">
        <v>58</v>
      </c>
      <c r="AY51" s="24"/>
      <c r="AZ51" s="24" t="s">
        <v>59</v>
      </c>
      <c r="BA51" s="24"/>
      <c r="BB51" s="24" t="s">
        <v>54</v>
      </c>
      <c r="BC51" s="24"/>
      <c r="BD51" s="24" t="s">
        <v>55</v>
      </c>
      <c r="BE51" s="24"/>
      <c r="BF51" s="24" t="s">
        <v>56</v>
      </c>
      <c r="BG51" s="24"/>
      <c r="BH51" s="24" t="s">
        <v>57</v>
      </c>
      <c r="BI51" s="24"/>
      <c r="BJ51" s="24" t="s">
        <v>58</v>
      </c>
      <c r="BK51" s="24"/>
      <c r="BL51" s="24" t="s">
        <v>59</v>
      </c>
      <c r="BM51" s="24"/>
      <c r="BN51" s="24" t="s">
        <v>54</v>
      </c>
      <c r="BO51" s="24"/>
      <c r="BP51" s="24" t="s">
        <v>55</v>
      </c>
      <c r="BQ51" s="24"/>
      <c r="BR51" s="24" t="s">
        <v>56</v>
      </c>
      <c r="BS51" s="24"/>
      <c r="BT51" s="24" t="s">
        <v>57</v>
      </c>
      <c r="BU51" s="24"/>
      <c r="BV51" s="24" t="s">
        <v>58</v>
      </c>
      <c r="BW51" s="24"/>
      <c r="BX51" s="24" t="s">
        <v>59</v>
      </c>
      <c r="BY51" s="24"/>
      <c r="BZ51" s="24" t="s">
        <v>54</v>
      </c>
      <c r="CA51" s="24"/>
      <c r="CB51" s="24" t="s">
        <v>55</v>
      </c>
      <c r="CC51" s="24"/>
      <c r="CD51" s="24" t="s">
        <v>56</v>
      </c>
      <c r="CE51" s="24"/>
      <c r="CF51" s="24" t="s">
        <v>57</v>
      </c>
      <c r="CG51" s="24"/>
      <c r="CH51" s="24" t="s">
        <v>58</v>
      </c>
      <c r="CI51" s="24"/>
      <c r="CJ51" s="24" t="s">
        <v>59</v>
      </c>
      <c r="CK51" s="24"/>
      <c r="CL51" s="24" t="s">
        <v>54</v>
      </c>
      <c r="CM51" s="24"/>
      <c r="CN51" s="24" t="s">
        <v>55</v>
      </c>
      <c r="CO51" s="24"/>
      <c r="CP51" s="24" t="s">
        <v>56</v>
      </c>
      <c r="CQ51" s="24"/>
      <c r="CR51" s="24" t="s">
        <v>57</v>
      </c>
      <c r="CS51" s="24"/>
      <c r="CT51" s="24" t="s">
        <v>58</v>
      </c>
      <c r="CU51" s="24"/>
      <c r="CV51" s="24" t="s">
        <v>59</v>
      </c>
      <c r="CW51" s="24"/>
      <c r="CX51" s="24" t="s">
        <v>61</v>
      </c>
    </row>
    <row r="52" spans="2:102" ht="12.75">
      <c r="B52" s="6"/>
      <c r="C52" s="6"/>
      <c r="D52" s="6"/>
      <c r="E52" s="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2:102" ht="12.75">
      <c r="B53" s="30" t="s">
        <v>230</v>
      </c>
      <c r="C53" s="30"/>
      <c r="D53" s="6"/>
      <c r="E53" s="2"/>
      <c r="F53" s="24" t="s">
        <v>236</v>
      </c>
      <c r="G53" s="24"/>
      <c r="H53" s="24" t="s">
        <v>236</v>
      </c>
      <c r="I53" s="24"/>
      <c r="J53" s="24" t="s">
        <v>236</v>
      </c>
      <c r="K53" s="24"/>
      <c r="L53" s="24" t="s">
        <v>236</v>
      </c>
      <c r="M53" s="24"/>
      <c r="N53" s="24" t="s">
        <v>236</v>
      </c>
      <c r="O53" s="24"/>
      <c r="P53" s="24" t="s">
        <v>236</v>
      </c>
      <c r="Q53" s="24"/>
      <c r="R53" s="24" t="s">
        <v>237</v>
      </c>
      <c r="S53" s="24"/>
      <c r="T53" s="24" t="s">
        <v>237</v>
      </c>
      <c r="U53" s="24"/>
      <c r="V53" s="24" t="s">
        <v>237</v>
      </c>
      <c r="W53" s="24"/>
      <c r="X53" s="24" t="s">
        <v>237</v>
      </c>
      <c r="Y53" s="24"/>
      <c r="Z53" s="24" t="s">
        <v>237</v>
      </c>
      <c r="AA53" s="24"/>
      <c r="AB53" s="24" t="s">
        <v>237</v>
      </c>
      <c r="AC53" s="24"/>
      <c r="AD53" s="24" t="s">
        <v>238</v>
      </c>
      <c r="AE53" s="24"/>
      <c r="AF53" s="24" t="s">
        <v>238</v>
      </c>
      <c r="AG53" s="24"/>
      <c r="AH53" s="24" t="s">
        <v>238</v>
      </c>
      <c r="AI53" s="24"/>
      <c r="AJ53" s="24" t="s">
        <v>238</v>
      </c>
      <c r="AK53" s="24"/>
      <c r="AL53" s="24" t="s">
        <v>238</v>
      </c>
      <c r="AM53" s="24"/>
      <c r="AN53" s="24" t="s">
        <v>238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 t="s">
        <v>240</v>
      </c>
      <c r="BC53" s="24"/>
      <c r="BD53" s="24" t="s">
        <v>240</v>
      </c>
      <c r="BE53" s="24"/>
      <c r="BF53" s="24" t="s">
        <v>240</v>
      </c>
      <c r="BG53" s="24"/>
      <c r="BH53" s="24" t="s">
        <v>240</v>
      </c>
      <c r="BI53" s="24"/>
      <c r="BJ53" s="24" t="s">
        <v>240</v>
      </c>
      <c r="BK53" s="24"/>
      <c r="BL53" s="24" t="s">
        <v>240</v>
      </c>
      <c r="BM53" s="24"/>
      <c r="BN53" s="24" t="s">
        <v>241</v>
      </c>
      <c r="BO53" s="24"/>
      <c r="BP53" s="24" t="s">
        <v>241</v>
      </c>
      <c r="BQ53" s="24"/>
      <c r="BR53" s="24" t="s">
        <v>241</v>
      </c>
      <c r="BS53" s="24"/>
      <c r="BT53" s="24" t="s">
        <v>241</v>
      </c>
      <c r="BU53" s="24"/>
      <c r="BV53" s="24" t="s">
        <v>241</v>
      </c>
      <c r="BW53" s="24"/>
      <c r="BX53" s="24" t="s">
        <v>241</v>
      </c>
      <c r="BY53" s="24"/>
      <c r="BZ53" s="24" t="s">
        <v>242</v>
      </c>
      <c r="CA53" s="24"/>
      <c r="CB53" s="24" t="s">
        <v>242</v>
      </c>
      <c r="CC53" s="24"/>
      <c r="CD53" s="24" t="s">
        <v>242</v>
      </c>
      <c r="CE53" s="24"/>
      <c r="CF53" s="24" t="s">
        <v>242</v>
      </c>
      <c r="CG53" s="24"/>
      <c r="CH53" s="24" t="s">
        <v>242</v>
      </c>
      <c r="CI53" s="24"/>
      <c r="CJ53" s="24" t="s">
        <v>242</v>
      </c>
      <c r="CK53" s="24"/>
      <c r="CL53" s="24" t="s">
        <v>243</v>
      </c>
      <c r="CM53" s="24"/>
      <c r="CN53" s="24" t="s">
        <v>243</v>
      </c>
      <c r="CO53" s="24"/>
      <c r="CP53" s="24" t="s">
        <v>243</v>
      </c>
      <c r="CQ53" s="24"/>
      <c r="CR53" s="24" t="s">
        <v>243</v>
      </c>
      <c r="CS53" s="24"/>
      <c r="CT53" s="24" t="s">
        <v>243</v>
      </c>
      <c r="CU53" s="24"/>
      <c r="CV53" s="24" t="s">
        <v>243</v>
      </c>
      <c r="CW53" s="24"/>
      <c r="CX53" s="24" t="s">
        <v>243</v>
      </c>
    </row>
    <row r="54" spans="2:102" ht="12.75">
      <c r="B54" s="30" t="s">
        <v>231</v>
      </c>
      <c r="C54" s="30"/>
      <c r="E54" s="2"/>
      <c r="F54" s="2" t="s">
        <v>235</v>
      </c>
      <c r="G54" s="2"/>
      <c r="H54" s="2" t="s">
        <v>235</v>
      </c>
      <c r="I54" s="2"/>
      <c r="J54" s="2" t="s">
        <v>235</v>
      </c>
      <c r="K54" s="2"/>
      <c r="L54" s="2" t="s">
        <v>235</v>
      </c>
      <c r="M54" s="2"/>
      <c r="N54" s="2" t="s">
        <v>235</v>
      </c>
      <c r="O54" s="2"/>
      <c r="P54" s="2" t="s">
        <v>235</v>
      </c>
      <c r="Q54" s="2"/>
      <c r="R54" s="2" t="s">
        <v>118</v>
      </c>
      <c r="S54" s="2"/>
      <c r="T54" s="2" t="s">
        <v>118</v>
      </c>
      <c r="U54" s="2"/>
      <c r="V54" s="2" t="s">
        <v>118</v>
      </c>
      <c r="W54" s="2"/>
      <c r="X54" s="2" t="s">
        <v>118</v>
      </c>
      <c r="Y54" s="2"/>
      <c r="Z54" s="2" t="s">
        <v>118</v>
      </c>
      <c r="AA54" s="2"/>
      <c r="AB54" s="2" t="s">
        <v>118</v>
      </c>
      <c r="AC54" s="2"/>
      <c r="AD54" s="2" t="s">
        <v>118</v>
      </c>
      <c r="AE54" s="2"/>
      <c r="AF54" s="2" t="s">
        <v>118</v>
      </c>
      <c r="AG54" s="2"/>
      <c r="AH54" s="2" t="s">
        <v>118</v>
      </c>
      <c r="AI54" s="2"/>
      <c r="AJ54" s="2" t="s">
        <v>118</v>
      </c>
      <c r="AK54" s="2"/>
      <c r="AL54" s="2" t="s">
        <v>118</v>
      </c>
      <c r="AM54" s="2"/>
      <c r="AN54" s="2" t="s">
        <v>118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 t="s">
        <v>239</v>
      </c>
      <c r="BC54" s="2"/>
      <c r="BD54" s="2" t="s">
        <v>239</v>
      </c>
      <c r="BE54" s="2"/>
      <c r="BF54" s="2" t="s">
        <v>239</v>
      </c>
      <c r="BG54" s="2"/>
      <c r="BH54" s="2" t="s">
        <v>239</v>
      </c>
      <c r="BI54" s="2"/>
      <c r="BJ54" s="2" t="s">
        <v>239</v>
      </c>
      <c r="BK54" s="2"/>
      <c r="BL54" s="2" t="s">
        <v>239</v>
      </c>
      <c r="BM54" s="2"/>
      <c r="BN54" s="4" t="s">
        <v>65</v>
      </c>
      <c r="BO54" s="2"/>
      <c r="BP54" s="4" t="s">
        <v>65</v>
      </c>
      <c r="BQ54" s="2"/>
      <c r="BR54" s="4" t="s">
        <v>65</v>
      </c>
      <c r="BS54" s="2"/>
      <c r="BT54" s="4" t="s">
        <v>65</v>
      </c>
      <c r="BU54" s="2"/>
      <c r="BV54" s="4" t="s">
        <v>65</v>
      </c>
      <c r="BW54" s="2"/>
      <c r="BX54" s="4" t="s">
        <v>65</v>
      </c>
      <c r="BY54" s="2"/>
      <c r="BZ54" s="2" t="s">
        <v>235</v>
      </c>
      <c r="CA54" s="2"/>
      <c r="CB54" s="2" t="s">
        <v>235</v>
      </c>
      <c r="CC54" s="2"/>
      <c r="CD54" s="2" t="s">
        <v>235</v>
      </c>
      <c r="CF54" s="2" t="s">
        <v>235</v>
      </c>
      <c r="CH54" s="2" t="s">
        <v>235</v>
      </c>
      <c r="CJ54" s="2" t="s">
        <v>235</v>
      </c>
      <c r="CL54" s="4" t="s">
        <v>66</v>
      </c>
      <c r="CN54" s="4" t="s">
        <v>66</v>
      </c>
      <c r="CP54" s="4" t="s">
        <v>66</v>
      </c>
      <c r="CR54" s="4" t="s">
        <v>66</v>
      </c>
      <c r="CT54" s="4" t="s">
        <v>66</v>
      </c>
      <c r="CV54" s="4" t="s">
        <v>66</v>
      </c>
      <c r="CX54" s="4" t="s">
        <v>66</v>
      </c>
    </row>
    <row r="55" spans="2:102" ht="12.75">
      <c r="B55" s="30" t="s">
        <v>246</v>
      </c>
      <c r="C55" s="30"/>
      <c r="E55" s="2"/>
      <c r="F55" s="32" t="s">
        <v>247</v>
      </c>
      <c r="G55" s="2"/>
      <c r="H55" s="32" t="s">
        <v>247</v>
      </c>
      <c r="I55" s="2"/>
      <c r="J55" s="32" t="s">
        <v>247</v>
      </c>
      <c r="K55" s="2"/>
      <c r="L55" s="32" t="s">
        <v>247</v>
      </c>
      <c r="M55" s="2"/>
      <c r="N55" s="32" t="s">
        <v>247</v>
      </c>
      <c r="O55" s="2"/>
      <c r="P55" s="32" t="s">
        <v>247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118</v>
      </c>
      <c r="AQ55" s="2"/>
      <c r="AR55" s="2" t="s">
        <v>118</v>
      </c>
      <c r="AS55" s="2"/>
      <c r="AT55" s="2" t="s">
        <v>118</v>
      </c>
      <c r="AU55" s="2"/>
      <c r="AV55" s="2" t="s">
        <v>118</v>
      </c>
      <c r="AW55" s="2"/>
      <c r="AX55" s="2" t="s">
        <v>118</v>
      </c>
      <c r="AY55" s="2"/>
      <c r="AZ55" s="2" t="s">
        <v>118</v>
      </c>
      <c r="BA55" s="2"/>
      <c r="BB55" s="32" t="s">
        <v>117</v>
      </c>
      <c r="BC55" s="2"/>
      <c r="BD55" s="32" t="s">
        <v>117</v>
      </c>
      <c r="BE55" s="2"/>
      <c r="BF55" s="32" t="s">
        <v>117</v>
      </c>
      <c r="BG55" s="2"/>
      <c r="BH55" s="32" t="s">
        <v>117</v>
      </c>
      <c r="BI55" s="2"/>
      <c r="BJ55" s="32" t="s">
        <v>117</v>
      </c>
      <c r="BK55" s="2"/>
      <c r="BL55" s="32" t="s">
        <v>117</v>
      </c>
      <c r="BM55" s="2"/>
      <c r="BN55" s="4" t="s">
        <v>65</v>
      </c>
      <c r="BO55" s="2"/>
      <c r="BP55" s="4" t="s">
        <v>65</v>
      </c>
      <c r="BQ55" s="2"/>
      <c r="BR55" s="4" t="s">
        <v>65</v>
      </c>
      <c r="BS55" s="2"/>
      <c r="BT55" s="4" t="s">
        <v>65</v>
      </c>
      <c r="BU55" s="2"/>
      <c r="BV55" s="4" t="s">
        <v>65</v>
      </c>
      <c r="BW55" s="2"/>
      <c r="BX55" s="4" t="s">
        <v>65</v>
      </c>
      <c r="BY55" s="2"/>
      <c r="BZ55" s="2"/>
      <c r="CA55" s="2"/>
      <c r="CB55" s="2"/>
      <c r="CC55" s="2"/>
      <c r="CD55" s="2"/>
      <c r="CF55" s="2"/>
      <c r="CH55" s="2"/>
      <c r="CJ55" s="2"/>
      <c r="CL55" s="24" t="s">
        <v>66</v>
      </c>
      <c r="CN55" s="4" t="s">
        <v>66</v>
      </c>
      <c r="CP55" s="4" t="s">
        <v>66</v>
      </c>
      <c r="CR55" s="4" t="s">
        <v>66</v>
      </c>
      <c r="CT55" s="4" t="s">
        <v>66</v>
      </c>
      <c r="CV55" s="4" t="s">
        <v>66</v>
      </c>
      <c r="CX55" s="4" t="s">
        <v>66</v>
      </c>
    </row>
    <row r="56" spans="2:102" ht="12.75">
      <c r="B56" s="30" t="s">
        <v>232</v>
      </c>
      <c r="C56" s="30"/>
      <c r="F56" s="4" t="s">
        <v>62</v>
      </c>
      <c r="H56" s="4" t="s">
        <v>62</v>
      </c>
      <c r="J56" s="4" t="s">
        <v>62</v>
      </c>
      <c r="L56" s="4" t="s">
        <v>62</v>
      </c>
      <c r="N56" s="4" t="s">
        <v>62</v>
      </c>
      <c r="P56" s="4" t="s">
        <v>62</v>
      </c>
      <c r="R56" s="4" t="s">
        <v>63</v>
      </c>
      <c r="T56" s="4" t="s">
        <v>63</v>
      </c>
      <c r="V56" s="4" t="s">
        <v>63</v>
      </c>
      <c r="X56" s="4" t="s">
        <v>63</v>
      </c>
      <c r="Z56" s="4" t="s">
        <v>63</v>
      </c>
      <c r="AB56" s="4" t="s">
        <v>63</v>
      </c>
      <c r="AD56" s="4" t="s">
        <v>63</v>
      </c>
      <c r="AF56" s="4" t="s">
        <v>63</v>
      </c>
      <c r="AH56" s="4" t="s">
        <v>63</v>
      </c>
      <c r="AJ56" s="4" t="s">
        <v>63</v>
      </c>
      <c r="AL56" s="4" t="s">
        <v>63</v>
      </c>
      <c r="AN56" s="4" t="s">
        <v>63</v>
      </c>
      <c r="BB56" s="4" t="s">
        <v>64</v>
      </c>
      <c r="BD56" s="4" t="s">
        <v>64</v>
      </c>
      <c r="BF56" s="4" t="s">
        <v>64</v>
      </c>
      <c r="BH56" s="4" t="s">
        <v>64</v>
      </c>
      <c r="BJ56" s="4" t="s">
        <v>64</v>
      </c>
      <c r="BL56" s="4" t="s">
        <v>64</v>
      </c>
      <c r="BN56" s="4" t="s">
        <v>65</v>
      </c>
      <c r="BP56" s="4" t="s">
        <v>65</v>
      </c>
      <c r="BR56" s="4" t="s">
        <v>65</v>
      </c>
      <c r="BT56" s="4" t="s">
        <v>65</v>
      </c>
      <c r="BV56" s="4" t="s">
        <v>65</v>
      </c>
      <c r="BX56" s="4" t="s">
        <v>65</v>
      </c>
      <c r="BZ56" s="4" t="s">
        <v>120</v>
      </c>
      <c r="CB56" s="4" t="s">
        <v>120</v>
      </c>
      <c r="CD56" s="4" t="s">
        <v>120</v>
      </c>
      <c r="CF56" s="4" t="s">
        <v>120</v>
      </c>
      <c r="CH56" s="4" t="s">
        <v>120</v>
      </c>
      <c r="CJ56" s="4" t="s">
        <v>120</v>
      </c>
      <c r="CL56" s="4" t="s">
        <v>66</v>
      </c>
      <c r="CN56" s="4" t="s">
        <v>66</v>
      </c>
      <c r="CP56" s="4" t="s">
        <v>66</v>
      </c>
      <c r="CR56" s="4" t="s">
        <v>66</v>
      </c>
      <c r="CT56" s="4" t="s">
        <v>66</v>
      </c>
      <c r="CV56" s="4" t="s">
        <v>66</v>
      </c>
      <c r="CX56" s="4" t="s">
        <v>66</v>
      </c>
    </row>
    <row r="57" spans="1:82" ht="12.75">
      <c r="A57" s="4" t="s">
        <v>35</v>
      </c>
      <c r="B57" s="4" t="s">
        <v>233</v>
      </c>
      <c r="D57" s="4" t="s">
        <v>69</v>
      </c>
      <c r="E57" s="2"/>
      <c r="F57">
        <v>146200</v>
      </c>
      <c r="H57">
        <v>146400</v>
      </c>
      <c r="I57" s="2"/>
      <c r="J57">
        <v>145800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>
        <v>13600</v>
      </c>
      <c r="BC57" s="2"/>
      <c r="BD57" s="2">
        <v>13600</v>
      </c>
      <c r="BE57" s="2"/>
      <c r="BF57" s="2">
        <v>13600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12.75">
      <c r="A58" s="4" t="s">
        <v>35</v>
      </c>
      <c r="B58" s="4" t="s">
        <v>234</v>
      </c>
      <c r="D58" s="4" t="s">
        <v>52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>
        <v>12500</v>
      </c>
      <c r="BC58" s="2"/>
      <c r="BD58" s="2">
        <v>12500</v>
      </c>
      <c r="BE58" s="2"/>
      <c r="BF58" s="2">
        <v>12500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2:102" ht="12.75">
      <c r="B59" s="26" t="s">
        <v>252</v>
      </c>
      <c r="D59" s="4" t="s">
        <v>253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>
        <f>BB57*BB58/1000000</f>
        <v>170</v>
      </c>
      <c r="BC59" s="2"/>
      <c r="BD59" s="2">
        <f>BD57*BD58/1000000</f>
        <v>170</v>
      </c>
      <c r="BE59" s="2"/>
      <c r="BF59" s="2">
        <f>BF57*BF58/1000000</f>
        <v>170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L59" s="4">
        <f>BB59</f>
        <v>170</v>
      </c>
      <c r="CN59" s="4">
        <f>BD59</f>
        <v>170</v>
      </c>
      <c r="CP59" s="4">
        <f>BF59</f>
        <v>170</v>
      </c>
      <c r="CX59" s="4">
        <f>AVERAGE(CL59,CN59,CP59)</f>
        <v>170</v>
      </c>
    </row>
    <row r="60" spans="1:82" ht="12.75">
      <c r="A60" s="4" t="s">
        <v>35</v>
      </c>
      <c r="B60" s="4" t="s">
        <v>51</v>
      </c>
      <c r="D60" s="4" t="s">
        <v>69</v>
      </c>
      <c r="E60" s="2"/>
      <c r="F60" s="10">
        <v>8.87434</v>
      </c>
      <c r="G60" s="10"/>
      <c r="H60" s="10">
        <v>7.267296</v>
      </c>
      <c r="I60" s="10"/>
      <c r="J60" s="10">
        <v>21.601728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>
        <v>87.448</v>
      </c>
      <c r="BC60" s="2"/>
      <c r="BD60" s="2">
        <v>84.32</v>
      </c>
      <c r="BE60" s="2"/>
      <c r="BF60" s="2">
        <v>95.676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ht="12.75">
      <c r="A61" s="4" t="s">
        <v>35</v>
      </c>
      <c r="B61" s="4" t="s">
        <v>9</v>
      </c>
      <c r="D61" s="4" t="s">
        <v>69</v>
      </c>
      <c r="E61" s="2" t="s">
        <v>11</v>
      </c>
      <c r="F61" s="10">
        <v>4.28366</v>
      </c>
      <c r="G61" s="10" t="s">
        <v>11</v>
      </c>
      <c r="H61" s="10">
        <v>4.29684</v>
      </c>
      <c r="I61" s="10" t="s">
        <v>11</v>
      </c>
      <c r="J61" s="10">
        <v>4.25736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 t="s">
        <v>11</v>
      </c>
      <c r="BB61" s="10">
        <v>0.75888</v>
      </c>
      <c r="BC61" s="10" t="s">
        <v>11</v>
      </c>
      <c r="BD61" s="10">
        <v>0.73576</v>
      </c>
      <c r="BE61" s="10" t="s">
        <v>11</v>
      </c>
      <c r="BF61" s="10">
        <v>0.75752</v>
      </c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2.75">
      <c r="A62" s="4" t="s">
        <v>35</v>
      </c>
      <c r="B62" s="4" t="s">
        <v>12</v>
      </c>
      <c r="D62" s="4" t="s">
        <v>69</v>
      </c>
      <c r="E62" s="2"/>
      <c r="F62" s="10">
        <v>0.852346</v>
      </c>
      <c r="G62" s="10"/>
      <c r="H62" s="10">
        <v>0.8052</v>
      </c>
      <c r="I62" s="10"/>
      <c r="J62" s="10">
        <v>0.905418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 t="s">
        <v>11</v>
      </c>
      <c r="BB62" s="10">
        <v>0.021216</v>
      </c>
      <c r="BC62" s="10" t="s">
        <v>11</v>
      </c>
      <c r="BD62" s="10">
        <v>0.020536</v>
      </c>
      <c r="BE62" s="10" t="s">
        <v>11</v>
      </c>
      <c r="BF62" s="10">
        <v>0.021216</v>
      </c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ht="12.75">
      <c r="A63" s="4" t="s">
        <v>35</v>
      </c>
      <c r="B63" s="4" t="s">
        <v>13</v>
      </c>
      <c r="D63" s="4" t="s">
        <v>69</v>
      </c>
      <c r="E63" s="2"/>
      <c r="F63" s="10">
        <v>6.7252</v>
      </c>
      <c r="G63" s="10"/>
      <c r="H63" s="10">
        <v>5.51196</v>
      </c>
      <c r="I63" s="10"/>
      <c r="J63" s="10">
        <v>7.02756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>
        <v>53.72</v>
      </c>
      <c r="BC63" s="2"/>
      <c r="BD63" s="2">
        <v>70.856</v>
      </c>
      <c r="BE63" s="2"/>
      <c r="BF63" s="2">
        <v>69.564</v>
      </c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2" ht="12.75">
      <c r="A64" s="4" t="s">
        <v>35</v>
      </c>
      <c r="B64" s="4" t="s">
        <v>14</v>
      </c>
      <c r="D64" s="4" t="s">
        <v>69</v>
      </c>
      <c r="E64" s="2"/>
      <c r="F64" s="10">
        <v>0.213452</v>
      </c>
      <c r="G64" s="10"/>
      <c r="H64" s="10">
        <v>0.250344</v>
      </c>
      <c r="I64" s="10"/>
      <c r="J64" s="10">
        <v>0.208494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 t="s">
        <v>11</v>
      </c>
      <c r="BB64" s="35">
        <v>0.0042568</v>
      </c>
      <c r="BC64" s="35" t="s">
        <v>11</v>
      </c>
      <c r="BD64" s="35">
        <v>0.0060248</v>
      </c>
      <c r="BE64" s="35" t="s">
        <v>11</v>
      </c>
      <c r="BF64" s="35">
        <v>0.0066776</v>
      </c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ht="12.75">
      <c r="A65" s="4" t="s">
        <v>35</v>
      </c>
      <c r="B65" s="4" t="s">
        <v>15</v>
      </c>
      <c r="D65" s="4" t="s">
        <v>69</v>
      </c>
      <c r="E65" s="2"/>
      <c r="F65" s="10">
        <v>0.266084</v>
      </c>
      <c r="G65" s="10"/>
      <c r="H65" s="10">
        <v>0.35136</v>
      </c>
      <c r="I65" s="10"/>
      <c r="J65" s="10">
        <v>0.252234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>
        <v>0.040528</v>
      </c>
      <c r="BC65" s="2"/>
      <c r="BD65" s="2">
        <v>0.013736</v>
      </c>
      <c r="BE65" s="2"/>
      <c r="BF65" s="2">
        <v>0.020196</v>
      </c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ht="12.75">
      <c r="A66" s="4" t="s">
        <v>35</v>
      </c>
      <c r="B66" s="4" t="s">
        <v>16</v>
      </c>
      <c r="D66" s="4" t="s">
        <v>69</v>
      </c>
      <c r="E66" s="2"/>
      <c r="F66" s="10">
        <v>5.57022</v>
      </c>
      <c r="G66" s="10"/>
      <c r="H66" s="10">
        <v>5.89992</v>
      </c>
      <c r="I66" s="10"/>
      <c r="J66" s="10">
        <v>6.25482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>
        <v>1.8768</v>
      </c>
      <c r="BC66" s="2"/>
      <c r="BD66" s="2">
        <v>2.4344</v>
      </c>
      <c r="BE66" s="2"/>
      <c r="BF66" s="2">
        <v>2.4752</v>
      </c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ht="12.75">
      <c r="A67" s="4" t="s">
        <v>35</v>
      </c>
      <c r="B67" s="4" t="s">
        <v>17</v>
      </c>
      <c r="D67" s="4" t="s">
        <v>69</v>
      </c>
      <c r="E67" s="2"/>
      <c r="F67" s="10">
        <v>2.22224</v>
      </c>
      <c r="G67" s="10"/>
      <c r="H67" s="10">
        <v>2.48148</v>
      </c>
      <c r="I67" s="10"/>
      <c r="J67" s="10">
        <v>2.3328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>
        <v>4.2704</v>
      </c>
      <c r="BC67" s="2"/>
      <c r="BD67" s="2">
        <v>5.1</v>
      </c>
      <c r="BE67" s="2"/>
      <c r="BF67" s="2">
        <v>5.0796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ht="12.75">
      <c r="A68" s="4" t="s">
        <v>35</v>
      </c>
      <c r="B68" s="4" t="s">
        <v>18</v>
      </c>
      <c r="D68" s="4" t="s">
        <v>69</v>
      </c>
      <c r="E68" s="2"/>
      <c r="F68" s="3">
        <v>1476.62</v>
      </c>
      <c r="G68" s="3"/>
      <c r="H68" s="3">
        <v>1431.06</v>
      </c>
      <c r="I68" s="3"/>
      <c r="J68" s="3">
        <v>1603.8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>
        <v>34.136</v>
      </c>
      <c r="BC68" s="2"/>
      <c r="BD68" s="2">
        <v>48.144</v>
      </c>
      <c r="BE68" s="2"/>
      <c r="BF68" s="2">
        <v>46.784</v>
      </c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12.75">
      <c r="A69" s="4" t="s">
        <v>35</v>
      </c>
      <c r="B69" s="4" t="s">
        <v>19</v>
      </c>
      <c r="D69" s="4" t="s">
        <v>69</v>
      </c>
      <c r="E69" s="2"/>
      <c r="F69" s="10">
        <v>2.35382</v>
      </c>
      <c r="G69" s="10"/>
      <c r="H69" s="10">
        <v>2.4522</v>
      </c>
      <c r="I69" s="10"/>
      <c r="J69" s="10">
        <v>2.36196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>
        <v>3.0872</v>
      </c>
      <c r="BC69" s="2"/>
      <c r="BD69" s="2">
        <v>3.8896</v>
      </c>
      <c r="BE69" s="2"/>
      <c r="BF69" s="2">
        <v>3.8148</v>
      </c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ht="12.75">
      <c r="A70" s="4" t="s">
        <v>35</v>
      </c>
      <c r="B70" s="4" t="s">
        <v>20</v>
      </c>
      <c r="D70" s="4" t="s">
        <v>69</v>
      </c>
      <c r="E70" s="2"/>
      <c r="F70" s="10">
        <v>0.00084796</v>
      </c>
      <c r="G70" s="10" t="s">
        <v>11</v>
      </c>
      <c r="H70" s="10">
        <v>0.000421632</v>
      </c>
      <c r="I70" s="10" t="s">
        <v>11</v>
      </c>
      <c r="J70" s="10">
        <v>0.000535086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35">
        <v>0.0046648</v>
      </c>
      <c r="BC70" s="35"/>
      <c r="BD70" s="35">
        <v>0.0060248</v>
      </c>
      <c r="BE70" s="35"/>
      <c r="BF70" s="35">
        <v>0.0031008</v>
      </c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12.75">
      <c r="A71" s="4" t="s">
        <v>35</v>
      </c>
      <c r="B71" s="4" t="s">
        <v>21</v>
      </c>
      <c r="D71" s="4" t="s">
        <v>69</v>
      </c>
      <c r="E71" s="2"/>
      <c r="F71" s="10">
        <v>3.05558</v>
      </c>
      <c r="G71" s="10"/>
      <c r="H71" s="10">
        <v>2.83284</v>
      </c>
      <c r="I71" s="10"/>
      <c r="J71" s="10">
        <v>2.72646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 t="s">
        <v>11</v>
      </c>
      <c r="BB71" s="2">
        <v>0.14824</v>
      </c>
      <c r="BD71" s="2">
        <v>0.23392</v>
      </c>
      <c r="BF71" s="2">
        <v>0.3808</v>
      </c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12.75">
      <c r="A72" s="4" t="s">
        <v>35</v>
      </c>
      <c r="B72" s="4" t="s">
        <v>22</v>
      </c>
      <c r="D72" s="4" t="s">
        <v>69</v>
      </c>
      <c r="E72" s="2"/>
      <c r="F72" s="10">
        <v>0.214914</v>
      </c>
      <c r="G72" s="10"/>
      <c r="H72" s="10">
        <v>0.131394</v>
      </c>
      <c r="I72" s="10"/>
      <c r="J72" s="10">
        <v>0.1250964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 t="s">
        <v>11</v>
      </c>
      <c r="BB72" s="2">
        <v>0.017816</v>
      </c>
      <c r="BC72" s="2" t="s">
        <v>11</v>
      </c>
      <c r="BD72" s="2">
        <v>0.017272</v>
      </c>
      <c r="BE72" s="2" t="s">
        <v>11</v>
      </c>
      <c r="BF72" s="2">
        <v>0.017816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ht="12.75">
      <c r="A73" s="4" t="s">
        <v>35</v>
      </c>
      <c r="B73" s="4" t="s">
        <v>23</v>
      </c>
      <c r="D73" s="4" t="s">
        <v>69</v>
      </c>
      <c r="E73" s="2" t="s">
        <v>11</v>
      </c>
      <c r="F73" s="10">
        <v>0.323102</v>
      </c>
      <c r="G73" s="10" t="s">
        <v>11</v>
      </c>
      <c r="H73" s="10">
        <v>0.324276</v>
      </c>
      <c r="I73" s="10" t="s">
        <v>11</v>
      </c>
      <c r="J73" s="10">
        <v>0.32076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 t="s">
        <v>11</v>
      </c>
      <c r="BB73" s="1">
        <v>0.057256</v>
      </c>
      <c r="BC73" s="1" t="s">
        <v>11</v>
      </c>
      <c r="BD73" s="1">
        <v>0.055488</v>
      </c>
      <c r="BE73" s="1" t="s">
        <v>11</v>
      </c>
      <c r="BF73" s="1">
        <v>0.057188</v>
      </c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ht="12.75">
      <c r="A74" s="4" t="s">
        <v>35</v>
      </c>
      <c r="B74" s="4" t="s">
        <v>24</v>
      </c>
      <c r="D74" s="4" t="s">
        <v>69</v>
      </c>
      <c r="E74" s="2"/>
      <c r="F74" s="10">
        <v>0.0191522</v>
      </c>
      <c r="G74" s="10"/>
      <c r="H74" s="10">
        <v>0.0199836</v>
      </c>
      <c r="I74" s="10"/>
      <c r="J74" s="10">
        <v>0.0223074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">
        <v>0.0066776</v>
      </c>
      <c r="BC74" s="1" t="s">
        <v>11</v>
      </c>
      <c r="BD74" s="1">
        <v>0.006324</v>
      </c>
      <c r="BE74" s="1" t="s">
        <v>11</v>
      </c>
      <c r="BF74" s="1">
        <v>0.0065144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ht="12.75">
      <c r="A75" s="4" t="s">
        <v>35</v>
      </c>
      <c r="B75" s="4" t="s">
        <v>25</v>
      </c>
      <c r="D75" s="4" t="s">
        <v>69</v>
      </c>
      <c r="E75" s="2"/>
      <c r="F75" s="10">
        <v>44.1524</v>
      </c>
      <c r="G75" s="10"/>
      <c r="H75" s="10">
        <v>75.1764</v>
      </c>
      <c r="I75" s="10"/>
      <c r="J75" s="10">
        <v>40.5324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>
        <v>6.9088</v>
      </c>
      <c r="BC75" s="2"/>
      <c r="BD75" s="2">
        <v>8.6768</v>
      </c>
      <c r="BE75" s="2"/>
      <c r="BF75" s="2">
        <v>9.6492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5:82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2:82" ht="12.75">
      <c r="B77" s="30" t="s">
        <v>244</v>
      </c>
      <c r="C77" s="30"/>
      <c r="D77" s="30" t="s">
        <v>190</v>
      </c>
      <c r="E77" s="2"/>
      <c r="F77" s="2">
        <f>'emiss 2'!$G$136</f>
        <v>58194</v>
      </c>
      <c r="G77" s="2"/>
      <c r="H77" s="2">
        <f>'emiss 2'!$I$136</f>
        <v>56039</v>
      </c>
      <c r="I77" s="2"/>
      <c r="J77" s="2">
        <f>'emiss 2'!$K$136</f>
        <v>58974</v>
      </c>
      <c r="K77" s="2"/>
      <c r="L77" s="2"/>
      <c r="M77" s="2"/>
      <c r="N77" s="2"/>
      <c r="O77" s="2"/>
      <c r="P77" s="2"/>
      <c r="Q77" s="2"/>
      <c r="R77" s="2">
        <f>'emiss 2'!$G$136</f>
        <v>58194</v>
      </c>
      <c r="S77" s="2"/>
      <c r="T77" s="2">
        <f>'emiss 2'!$I$136</f>
        <v>56039</v>
      </c>
      <c r="U77" s="2"/>
      <c r="V77" s="2">
        <f>'emiss 2'!$K$136</f>
        <v>58974</v>
      </c>
      <c r="W77" s="2"/>
      <c r="X77" s="2"/>
      <c r="Y77" s="2"/>
      <c r="Z77" s="2"/>
      <c r="AA77" s="2"/>
      <c r="AB77" s="2"/>
      <c r="AC77" s="2"/>
      <c r="AD77" s="2">
        <f>'emiss 2'!$G$136</f>
        <v>58194</v>
      </c>
      <c r="AE77" s="2"/>
      <c r="AF77" s="2">
        <f>'emiss 2'!$I$136</f>
        <v>56039</v>
      </c>
      <c r="AG77" s="2"/>
      <c r="AH77" s="2">
        <f>'emiss 2'!$K$136</f>
        <v>58974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>
        <f>'emiss 2'!$G$136</f>
        <v>58194</v>
      </c>
      <c r="BC77" s="2"/>
      <c r="BD77" s="2">
        <f>'emiss 2'!$I$136</f>
        <v>56039</v>
      </c>
      <c r="BE77" s="2"/>
      <c r="BF77" s="2">
        <f>'emiss 2'!$K$136</f>
        <v>58974</v>
      </c>
      <c r="BG77" s="2"/>
      <c r="BH77" s="2"/>
      <c r="BI77" s="2"/>
      <c r="BJ77" s="2"/>
      <c r="BK77" s="2"/>
      <c r="BL77" s="2"/>
      <c r="BM77" s="2"/>
      <c r="BN77" s="2">
        <f>'emiss 2'!$G$136</f>
        <v>58194</v>
      </c>
      <c r="BO77" s="2"/>
      <c r="BP77" s="2">
        <f>'emiss 2'!$I$136</f>
        <v>56039</v>
      </c>
      <c r="BQ77" s="2"/>
      <c r="BR77" s="2">
        <f>'emiss 2'!$K$136</f>
        <v>58974</v>
      </c>
      <c r="BS77" s="2"/>
      <c r="BT77" s="2"/>
      <c r="BU77" s="2"/>
      <c r="BV77" s="2"/>
      <c r="BW77" s="2"/>
      <c r="BX77" s="2"/>
      <c r="BY77" s="2"/>
      <c r="BZ77" s="2">
        <f>'emiss 2'!$G$136</f>
        <v>58194</v>
      </c>
      <c r="CA77" s="2"/>
      <c r="CB77" s="2">
        <f>'emiss 2'!$I$136</f>
        <v>56039</v>
      </c>
      <c r="CC77" s="2"/>
      <c r="CD77" s="2">
        <f>'emiss 2'!$K$136</f>
        <v>58974</v>
      </c>
    </row>
    <row r="78" spans="2:82" ht="12.75">
      <c r="B78" s="30" t="s">
        <v>37</v>
      </c>
      <c r="C78" s="30"/>
      <c r="D78" s="30" t="s">
        <v>192</v>
      </c>
      <c r="E78" s="2"/>
      <c r="F78" s="2">
        <f>'emiss 2'!$G$137</f>
        <v>8.2</v>
      </c>
      <c r="G78" s="2"/>
      <c r="H78" s="2">
        <f>'emiss 2'!$I$137</f>
        <v>8.8</v>
      </c>
      <c r="I78" s="2"/>
      <c r="J78" s="2">
        <f>'emiss 2'!$K$137</f>
        <v>8.25</v>
      </c>
      <c r="K78" s="2"/>
      <c r="L78" s="2"/>
      <c r="M78" s="2"/>
      <c r="N78" s="2"/>
      <c r="O78" s="2"/>
      <c r="P78" s="2"/>
      <c r="Q78" s="2"/>
      <c r="R78" s="2">
        <f>'emiss 2'!$G$137</f>
        <v>8.2</v>
      </c>
      <c r="S78" s="2"/>
      <c r="T78" s="2">
        <f>'emiss 2'!$I$137</f>
        <v>8.8</v>
      </c>
      <c r="U78" s="2"/>
      <c r="V78" s="2">
        <f>'emiss 2'!$K$137</f>
        <v>8.25</v>
      </c>
      <c r="W78" s="2"/>
      <c r="X78" s="2"/>
      <c r="Y78" s="2"/>
      <c r="Z78" s="2"/>
      <c r="AA78" s="2"/>
      <c r="AB78" s="2"/>
      <c r="AC78" s="2"/>
      <c r="AD78" s="2">
        <f>'emiss 2'!$G$137</f>
        <v>8.2</v>
      </c>
      <c r="AE78" s="2"/>
      <c r="AF78" s="2">
        <f>'emiss 2'!$I$137</f>
        <v>8.8</v>
      </c>
      <c r="AG78" s="2"/>
      <c r="AH78" s="2">
        <f>'emiss 2'!$K$137</f>
        <v>8.25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>
        <f>'emiss 2'!$G$137</f>
        <v>8.2</v>
      </c>
      <c r="BC78" s="2"/>
      <c r="BD78" s="2">
        <f>'emiss 2'!$I$137</f>
        <v>8.8</v>
      </c>
      <c r="BE78" s="2"/>
      <c r="BF78" s="2">
        <f>'emiss 2'!$K$137</f>
        <v>8.25</v>
      </c>
      <c r="BG78" s="2"/>
      <c r="BH78" s="2"/>
      <c r="BI78" s="2"/>
      <c r="BJ78" s="2"/>
      <c r="BK78" s="2"/>
      <c r="BL78" s="2"/>
      <c r="BM78" s="2"/>
      <c r="BN78" s="2">
        <f>'emiss 2'!$G$137</f>
        <v>8.2</v>
      </c>
      <c r="BO78" s="2"/>
      <c r="BP78" s="2">
        <f>'emiss 2'!$I$137</f>
        <v>8.8</v>
      </c>
      <c r="BQ78" s="2"/>
      <c r="BR78" s="2">
        <f>'emiss 2'!$K$137</f>
        <v>8.25</v>
      </c>
      <c r="BS78" s="2"/>
      <c r="BT78" s="2"/>
      <c r="BU78" s="2"/>
      <c r="BV78" s="2"/>
      <c r="BW78" s="2"/>
      <c r="BX78" s="2"/>
      <c r="BY78" s="2"/>
      <c r="BZ78" s="2">
        <f>'emiss 2'!$G$137</f>
        <v>8.2</v>
      </c>
      <c r="CA78" s="2"/>
      <c r="CB78" s="2">
        <f>'emiss 2'!$I$137</f>
        <v>8.8</v>
      </c>
      <c r="CC78" s="2"/>
      <c r="CD78" s="2">
        <f>'emiss 2'!$K$137</f>
        <v>8.25</v>
      </c>
    </row>
    <row r="79" spans="5:82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pans="2:82" ht="12.75">
      <c r="B80" s="31" t="s">
        <v>245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pans="2:107" ht="12.75">
      <c r="B81" s="4" t="s">
        <v>51</v>
      </c>
      <c r="D81" s="4" t="s">
        <v>10</v>
      </c>
      <c r="E81" s="2"/>
      <c r="F81" s="8">
        <f>F60*454*1000000/0.0283/60/F$77*14/(21-F$78)</f>
        <v>44595.81312959823</v>
      </c>
      <c r="G81" s="2"/>
      <c r="H81" s="8">
        <f>H60*454*1000000/0.0283/60/H$77*14/(21-H$78)</f>
        <v>39789.53324845639</v>
      </c>
      <c r="I81" s="2"/>
      <c r="J81" s="8">
        <f aca="true" t="shared" si="26" ref="J81:J96">J60*454*1000000/0.0283/60/J$77*14/(21-J$78)</f>
        <v>107538.48794007546</v>
      </c>
      <c r="K81" s="2"/>
      <c r="L81" s="2"/>
      <c r="M81" s="2"/>
      <c r="N81" s="2"/>
      <c r="O81" s="2"/>
      <c r="P81" s="2"/>
      <c r="Q81" s="2"/>
      <c r="R81" s="8">
        <f aca="true" t="shared" si="27" ref="R81:R96">R60*454*1000000/0.0283/60/R$77*14/(21-R$78)</f>
        <v>0</v>
      </c>
      <c r="S81" s="2"/>
      <c r="T81" s="8">
        <f aca="true" t="shared" si="28" ref="T81:T96">T60*454*1000000/0.0283/60/T$77*14/(21-T$78)</f>
        <v>0</v>
      </c>
      <c r="U81" s="2"/>
      <c r="V81" s="8">
        <f aca="true" t="shared" si="29" ref="V81:V96">V60*454*1000000/0.0283/60/V$77*14/(21-V$78)</f>
        <v>0</v>
      </c>
      <c r="W81" s="2"/>
      <c r="X81" s="2"/>
      <c r="Y81" s="2"/>
      <c r="Z81" s="2"/>
      <c r="AA81" s="2"/>
      <c r="AB81" s="2"/>
      <c r="AC81" s="2"/>
      <c r="AD81" s="8">
        <f aca="true" t="shared" si="30" ref="AD81:AD96">AD60*454*1000000/0.0283/60/AD$77*14/(21-AD$78)</f>
        <v>0</v>
      </c>
      <c r="AE81" s="2"/>
      <c r="AF81" s="8">
        <f aca="true" t="shared" si="31" ref="AF81:AF96">AF60*454*1000000/0.0283/60/AF$77*14/(21-AF$78)</f>
        <v>0</v>
      </c>
      <c r="AG81" s="2"/>
      <c r="AH81" s="8">
        <f aca="true" t="shared" si="32" ref="AH81:AH96">AH60*454*1000000/0.0283/60/AH$77*14/(21-AH$78)</f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8">
        <f aca="true" t="shared" si="33" ref="BB81:BB96">BB60*454*1000000/0.0283/60/BB$77*14/(21-BB$78)</f>
        <v>439448.4171845012</v>
      </c>
      <c r="BC81" s="2"/>
      <c r="BD81" s="8">
        <f aca="true" t="shared" si="34" ref="BD81:BD96">BD60*454*1000000/0.0283/60/BD$77*14/(21-BD$78)</f>
        <v>461664.619620536</v>
      </c>
      <c r="BE81" s="2"/>
      <c r="BF81" s="8">
        <f aca="true" t="shared" si="35" ref="BF81:BF96">BF60*454*1000000/0.0283/60/BF$77*14/(21-BF$78)</f>
        <v>476297.6541577905</v>
      </c>
      <c r="BG81" s="2"/>
      <c r="BH81" s="2"/>
      <c r="BI81" s="2"/>
      <c r="BJ81" s="2"/>
      <c r="BK81" s="2"/>
      <c r="BL81" s="2"/>
      <c r="BM81" s="2"/>
      <c r="BN81" s="8">
        <f aca="true" t="shared" si="36" ref="BN81:BN96">BN60*454*1000000/0.0283/60/BN$77*14/(21-BN$78)</f>
        <v>0</v>
      </c>
      <c r="BO81" s="2"/>
      <c r="BP81" s="8">
        <f aca="true" t="shared" si="37" ref="BP81:BP96">BP60*454*1000000/0.0283/60/BP$77*14/(21-BP$78)</f>
        <v>0</v>
      </c>
      <c r="BQ81" s="2"/>
      <c r="BR81" s="8">
        <f aca="true" t="shared" si="38" ref="BR81:BR96">BR60*454*1000000/0.0283/60/BR$77*14/(21-BR$78)</f>
        <v>0</v>
      </c>
      <c r="BS81" s="2"/>
      <c r="BT81" s="2"/>
      <c r="BU81" s="2"/>
      <c r="BV81" s="2"/>
      <c r="BW81" s="2"/>
      <c r="BX81" s="2"/>
      <c r="BY81" s="2"/>
      <c r="BZ81" s="8">
        <f aca="true" t="shared" si="39" ref="BZ81:BZ96">BZ60*454*1000000/0.0283/60/BZ$77*14/(21-BZ$78)</f>
        <v>0</v>
      </c>
      <c r="CA81" s="2"/>
      <c r="CB81" s="8">
        <f aca="true" t="shared" si="40" ref="CB81:CB96">CB60*454*1000000/0.0283/60/CB$77*14/(21-CB$78)</f>
        <v>0</v>
      </c>
      <c r="CC81" s="2"/>
      <c r="CD81" s="8">
        <f aca="true" t="shared" si="41" ref="CD81:CD96">CD60*454*1000000/0.0283/60/CD$77*14/(21-CD$78)</f>
        <v>0</v>
      </c>
      <c r="CL81" s="8">
        <f aca="true" t="shared" si="42" ref="CL81:CL98">BZ81+BN81+BB81+AD81+R81+F81</f>
        <v>484044.2303140994</v>
      </c>
      <c r="CN81" s="8">
        <f aca="true" t="shared" si="43" ref="CN81:CN98">CB81+BP81+BD81+AF81+T81+H81</f>
        <v>501454.15286899236</v>
      </c>
      <c r="CP81" s="8">
        <f aca="true" t="shared" si="44" ref="CP81:CP98">CD81+BR81+BF81+AH81+V81+J81</f>
        <v>583836.1420978659</v>
      </c>
      <c r="CX81" s="8">
        <f>AVERAGE(CL81,CN81,CP81)</f>
        <v>523111.5084269859</v>
      </c>
      <c r="CZ81" s="8">
        <f>AVERAGE(BB81,BD81,BF81,BH81,BJ81,BL81)</f>
        <v>459136.8969876093</v>
      </c>
      <c r="DA81" s="8">
        <f>AVERAGE(R81,T81,V81,X81,Z81,AB81)+AVERAGE(AD81,AF81,AH81,AJ81,AL81,AN81)</f>
        <v>0</v>
      </c>
      <c r="DB81" s="8">
        <f>AVERAGE(F81,H81,J81,L81,N81,P81)+AVERAGE(BN81,BP81,BR81,BT81,BV81,BX81)+AVERAGE(BZ81,CB81,CD81,CF81,CH81,CJ81)</f>
        <v>63974.61143937669</v>
      </c>
      <c r="DC81" s="8">
        <f>SUM(CZ81,DA81,DB81)</f>
        <v>523111.50842698594</v>
      </c>
    </row>
    <row r="82" spans="2:102" ht="12.75">
      <c r="B82" s="4" t="s">
        <v>9</v>
      </c>
      <c r="D82" s="4" t="s">
        <v>10</v>
      </c>
      <c r="E82" s="2">
        <v>100</v>
      </c>
      <c r="F82" s="8">
        <f>F61*454*1000000/0.0283/60/F$77*14/(21-F$78)</f>
        <v>21526.47981379289</v>
      </c>
      <c r="G82" s="2">
        <v>100</v>
      </c>
      <c r="H82" s="8">
        <f aca="true" t="shared" si="45" ref="F82:H96">H61*454*1000000/0.0283/60/H$77*14/(21-H$78)</f>
        <v>23525.842079818598</v>
      </c>
      <c r="I82" s="2">
        <v>100</v>
      </c>
      <c r="J82" s="8">
        <f t="shared" si="26"/>
        <v>21194.140441753538</v>
      </c>
      <c r="K82" s="2"/>
      <c r="L82" s="2"/>
      <c r="M82" s="2"/>
      <c r="N82" s="2"/>
      <c r="O82" s="2"/>
      <c r="P82" s="2"/>
      <c r="Q82" s="2"/>
      <c r="R82" s="8">
        <f t="shared" si="27"/>
        <v>0</v>
      </c>
      <c r="S82" s="2"/>
      <c r="T82" s="8">
        <f t="shared" si="28"/>
        <v>0</v>
      </c>
      <c r="U82" s="2"/>
      <c r="V82" s="8">
        <f t="shared" si="29"/>
        <v>0</v>
      </c>
      <c r="W82" s="2"/>
      <c r="X82" s="2"/>
      <c r="Y82" s="2"/>
      <c r="Z82" s="2"/>
      <c r="AA82" s="2"/>
      <c r="AB82" s="2"/>
      <c r="AC82" s="2"/>
      <c r="AD82" s="8">
        <f t="shared" si="30"/>
        <v>0</v>
      </c>
      <c r="AE82" s="2"/>
      <c r="AF82" s="8">
        <f t="shared" si="31"/>
        <v>0</v>
      </c>
      <c r="AG82" s="2"/>
      <c r="AH82" s="8">
        <f t="shared" si="32"/>
        <v>0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>
        <v>100</v>
      </c>
      <c r="BB82" s="8">
        <f t="shared" si="33"/>
        <v>3813.564802316511</v>
      </c>
      <c r="BC82" s="2">
        <v>100</v>
      </c>
      <c r="BD82" s="8">
        <f t="shared" si="34"/>
        <v>4028.3961163662902</v>
      </c>
      <c r="BE82" s="2">
        <v>100</v>
      </c>
      <c r="BF82" s="8">
        <f t="shared" si="35"/>
        <v>3771.1129120950854</v>
      </c>
      <c r="BG82" s="2"/>
      <c r="BH82" s="2"/>
      <c r="BI82" s="2"/>
      <c r="BJ82" s="2"/>
      <c r="BK82" s="2"/>
      <c r="BL82" s="2"/>
      <c r="BM82" s="2"/>
      <c r="BN82" s="8">
        <f t="shared" si="36"/>
        <v>0</v>
      </c>
      <c r="BO82" s="2"/>
      <c r="BP82" s="8">
        <f t="shared" si="37"/>
        <v>0</v>
      </c>
      <c r="BQ82" s="2"/>
      <c r="BR82" s="8">
        <f t="shared" si="38"/>
        <v>0</v>
      </c>
      <c r="BS82" s="2"/>
      <c r="BT82" s="2"/>
      <c r="BU82" s="2"/>
      <c r="BV82" s="2"/>
      <c r="BW82" s="2"/>
      <c r="BX82" s="2"/>
      <c r="BY82" s="2"/>
      <c r="BZ82" s="8">
        <f t="shared" si="39"/>
        <v>0</v>
      </c>
      <c r="CA82" s="2"/>
      <c r="CB82" s="8">
        <f t="shared" si="40"/>
        <v>0</v>
      </c>
      <c r="CC82" s="2"/>
      <c r="CD82" s="8">
        <f t="shared" si="41"/>
        <v>0</v>
      </c>
      <c r="CK82" s="4">
        <f>SUM((BB82*BA82/100),(F82*E82/100))/CL82*100</f>
        <v>100</v>
      </c>
      <c r="CL82" s="8">
        <f t="shared" si="42"/>
        <v>25340.0446161094</v>
      </c>
      <c r="CM82" s="4">
        <f>SUM((BD82*BC82/100),(H82*G82/100))/CN82*100</f>
        <v>100</v>
      </c>
      <c r="CN82" s="8">
        <f t="shared" si="43"/>
        <v>27554.238196184888</v>
      </c>
      <c r="CO82" s="4">
        <f>SUM((BF82*BE82/100),(J82*I82/100))/CP82*100</f>
        <v>100</v>
      </c>
      <c r="CP82" s="8">
        <f t="shared" si="44"/>
        <v>24965.253353848624</v>
      </c>
      <c r="CW82" s="4">
        <f>SUM((CV82*CU82/100),(CT82*CS82/100),(CR82*CQ82/100),(CP82*CO82/100),(CN82*CM82/100),(CL82*CK82/100))/CX82/3*100</f>
        <v>100.00000000000003</v>
      </c>
      <c r="CX82" s="8">
        <f aca="true" t="shared" si="46" ref="CX82:CX98">AVERAGE(CL82,CN82,CP82)</f>
        <v>25953.178722047636</v>
      </c>
    </row>
    <row r="83" spans="2:102" ht="12.75">
      <c r="B83" s="4" t="s">
        <v>12</v>
      </c>
      <c r="D83" s="4" t="s">
        <v>10</v>
      </c>
      <c r="E83" s="2"/>
      <c r="F83" s="8">
        <f t="shared" si="45"/>
        <v>4283.255198444114</v>
      </c>
      <c r="G83" s="2"/>
      <c r="H83" s="8">
        <f t="shared" si="45"/>
        <v>4408.5905089949665</v>
      </c>
      <c r="I83" s="2"/>
      <c r="J83" s="8">
        <f t="shared" si="26"/>
        <v>4507.38397750991</v>
      </c>
      <c r="K83" s="2"/>
      <c r="L83" s="2"/>
      <c r="M83" s="2"/>
      <c r="N83" s="2"/>
      <c r="O83" s="2"/>
      <c r="P83" s="2"/>
      <c r="Q83" s="2"/>
      <c r="R83" s="8">
        <f t="shared" si="27"/>
        <v>0</v>
      </c>
      <c r="S83" s="2"/>
      <c r="T83" s="8">
        <f t="shared" si="28"/>
        <v>0</v>
      </c>
      <c r="U83" s="2"/>
      <c r="V83" s="8">
        <f t="shared" si="29"/>
        <v>0</v>
      </c>
      <c r="W83" s="2"/>
      <c r="X83" s="2"/>
      <c r="Y83" s="2"/>
      <c r="Z83" s="2"/>
      <c r="AA83" s="2"/>
      <c r="AB83" s="2"/>
      <c r="AC83" s="2"/>
      <c r="AD83" s="8">
        <f t="shared" si="30"/>
        <v>0</v>
      </c>
      <c r="AE83" s="2"/>
      <c r="AF83" s="8">
        <f t="shared" si="31"/>
        <v>0</v>
      </c>
      <c r="AG83" s="2"/>
      <c r="AH83" s="8">
        <f t="shared" si="32"/>
        <v>0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>
        <v>100</v>
      </c>
      <c r="BB83" s="8">
        <f t="shared" si="33"/>
        <v>106.61579017228956</v>
      </c>
      <c r="BC83" s="2">
        <v>100</v>
      </c>
      <c r="BD83" s="8">
        <f t="shared" si="34"/>
        <v>112.43767348822728</v>
      </c>
      <c r="BE83" s="2">
        <v>100</v>
      </c>
      <c r="BF83" s="8">
        <f t="shared" si="35"/>
        <v>105.6182431394674</v>
      </c>
      <c r="BG83" s="2"/>
      <c r="BH83" s="2"/>
      <c r="BI83" s="2"/>
      <c r="BJ83" s="2"/>
      <c r="BK83" s="2"/>
      <c r="BL83" s="2"/>
      <c r="BM83" s="2"/>
      <c r="BN83" s="8">
        <f t="shared" si="36"/>
        <v>0</v>
      </c>
      <c r="BO83" s="2"/>
      <c r="BP83" s="8">
        <f t="shared" si="37"/>
        <v>0</v>
      </c>
      <c r="BQ83" s="2"/>
      <c r="BR83" s="8">
        <f t="shared" si="38"/>
        <v>0</v>
      </c>
      <c r="BS83" s="2"/>
      <c r="BT83" s="2"/>
      <c r="BU83" s="2"/>
      <c r="BV83" s="2"/>
      <c r="BW83" s="2"/>
      <c r="BX83" s="2"/>
      <c r="BY83" s="2"/>
      <c r="BZ83" s="8">
        <f t="shared" si="39"/>
        <v>0</v>
      </c>
      <c r="CA83" s="2"/>
      <c r="CB83" s="8">
        <f t="shared" si="40"/>
        <v>0</v>
      </c>
      <c r="CC83" s="2"/>
      <c r="CD83" s="8">
        <f t="shared" si="41"/>
        <v>0</v>
      </c>
      <c r="CK83" s="4">
        <f>SUM((BB83*BA83/100),(F83*E83/100))/CL83*100</f>
        <v>2.4286770715759154</v>
      </c>
      <c r="CL83" s="8">
        <f t="shared" si="42"/>
        <v>4389.870988616404</v>
      </c>
      <c r="CM83" s="4">
        <f>SUM((BD83*BC83/100),(H83*G83/100))/CN83*100</f>
        <v>2.486993421626282</v>
      </c>
      <c r="CN83" s="8">
        <f t="shared" si="43"/>
        <v>4521.028182483194</v>
      </c>
      <c r="CO83" s="4">
        <f>SUM((BF83*BE83/100),(J83*I83/100))/CP83*100</f>
        <v>2.2895771145889325</v>
      </c>
      <c r="CP83" s="8">
        <f t="shared" si="44"/>
        <v>4613.002220649378</v>
      </c>
      <c r="CW83" s="4">
        <f>SUM((CV83*CU83/100),(CT83*CS83/100),(CR83*CQ83/100),(CP83*CO83/100),(CN83*CM83/100),(CL83*CK83/100))/CX83/3*100</f>
        <v>2.4007251856928558</v>
      </c>
      <c r="CX83" s="8">
        <f t="shared" si="46"/>
        <v>4507.967130582992</v>
      </c>
    </row>
    <row r="84" spans="2:102" ht="12.75">
      <c r="B84" s="4" t="s">
        <v>13</v>
      </c>
      <c r="D84" s="4" t="s">
        <v>10</v>
      </c>
      <c r="E84" s="2"/>
      <c r="F84" s="8">
        <f t="shared" si="45"/>
        <v>33795.83861551102</v>
      </c>
      <c r="G84" s="2"/>
      <c r="H84" s="8">
        <f t="shared" si="45"/>
        <v>30178.805938847363</v>
      </c>
      <c r="I84" s="2"/>
      <c r="J84" s="8">
        <f t="shared" si="26"/>
        <v>34984.84826344247</v>
      </c>
      <c r="K84" s="2"/>
      <c r="L84" s="2"/>
      <c r="M84" s="2"/>
      <c r="N84" s="2"/>
      <c r="O84" s="2"/>
      <c r="P84" s="2"/>
      <c r="Q84" s="2"/>
      <c r="R84" s="8">
        <f t="shared" si="27"/>
        <v>0</v>
      </c>
      <c r="S84" s="2"/>
      <c r="T84" s="8">
        <f t="shared" si="28"/>
        <v>0</v>
      </c>
      <c r="U84" s="2"/>
      <c r="V84" s="8">
        <f t="shared" si="29"/>
        <v>0</v>
      </c>
      <c r="W84" s="2"/>
      <c r="X84" s="2"/>
      <c r="Y84" s="2"/>
      <c r="Z84" s="2"/>
      <c r="AA84" s="2"/>
      <c r="AB84" s="2"/>
      <c r="AC84" s="2"/>
      <c r="AD84" s="8">
        <f t="shared" si="30"/>
        <v>0</v>
      </c>
      <c r="AE84" s="2"/>
      <c r="AF84" s="8">
        <f t="shared" si="31"/>
        <v>0</v>
      </c>
      <c r="AG84" s="2"/>
      <c r="AH84" s="8">
        <f t="shared" si="32"/>
        <v>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8">
        <f t="shared" si="33"/>
        <v>269956.6481926562</v>
      </c>
      <c r="BC84" s="2"/>
      <c r="BD84" s="8">
        <f t="shared" si="34"/>
        <v>387947.2045520955</v>
      </c>
      <c r="BE84" s="2"/>
      <c r="BF84" s="8">
        <f t="shared" si="35"/>
        <v>346305.97029383056</v>
      </c>
      <c r="BG84" s="2"/>
      <c r="BH84" s="2"/>
      <c r="BI84" s="2"/>
      <c r="BJ84" s="2"/>
      <c r="BK84" s="2"/>
      <c r="BL84" s="2"/>
      <c r="BM84" s="2"/>
      <c r="BN84" s="8">
        <f t="shared" si="36"/>
        <v>0</v>
      </c>
      <c r="BO84" s="2"/>
      <c r="BP84" s="8">
        <f t="shared" si="37"/>
        <v>0</v>
      </c>
      <c r="BQ84" s="2"/>
      <c r="BR84" s="8">
        <f t="shared" si="38"/>
        <v>0</v>
      </c>
      <c r="BS84" s="2"/>
      <c r="BT84" s="2"/>
      <c r="BU84" s="2"/>
      <c r="BV84" s="2"/>
      <c r="BW84" s="2"/>
      <c r="BX84" s="2"/>
      <c r="BY84" s="2"/>
      <c r="BZ84" s="8">
        <f t="shared" si="39"/>
        <v>0</v>
      </c>
      <c r="CA84" s="2"/>
      <c r="CB84" s="8">
        <f t="shared" si="40"/>
        <v>0</v>
      </c>
      <c r="CC84" s="2"/>
      <c r="CD84" s="8">
        <f t="shared" si="41"/>
        <v>0</v>
      </c>
      <c r="CL84" s="8">
        <f t="shared" si="42"/>
        <v>303752.48680816725</v>
      </c>
      <c r="CN84" s="8">
        <f t="shared" si="43"/>
        <v>418126.01049094286</v>
      </c>
      <c r="CP84" s="8">
        <f t="shared" si="44"/>
        <v>381290.818557273</v>
      </c>
      <c r="CX84" s="8">
        <f t="shared" si="46"/>
        <v>367723.10528546106</v>
      </c>
    </row>
    <row r="85" spans="2:102" ht="12.75">
      <c r="B85" s="4" t="s">
        <v>14</v>
      </c>
      <c r="D85" s="4" t="s">
        <v>10</v>
      </c>
      <c r="E85" s="2"/>
      <c r="F85" s="8">
        <f t="shared" si="45"/>
        <v>1072.650529970567</v>
      </c>
      <c r="G85" s="2"/>
      <c r="H85" s="8">
        <f t="shared" si="45"/>
        <v>1370.6708673420715</v>
      </c>
      <c r="I85" s="2"/>
      <c r="J85" s="8">
        <f t="shared" si="26"/>
        <v>1037.932220263957</v>
      </c>
      <c r="K85" s="2"/>
      <c r="L85" s="2"/>
      <c r="M85" s="2"/>
      <c r="N85" s="2"/>
      <c r="O85" s="2"/>
      <c r="P85" s="2"/>
      <c r="Q85" s="2"/>
      <c r="R85" s="8">
        <f t="shared" si="27"/>
        <v>0</v>
      </c>
      <c r="S85" s="2"/>
      <c r="T85" s="8">
        <f t="shared" si="28"/>
        <v>0</v>
      </c>
      <c r="U85" s="2"/>
      <c r="V85" s="8">
        <f t="shared" si="29"/>
        <v>0</v>
      </c>
      <c r="W85" s="2"/>
      <c r="X85" s="2"/>
      <c r="Y85" s="2"/>
      <c r="Z85" s="2"/>
      <c r="AA85" s="2"/>
      <c r="AB85" s="2"/>
      <c r="AC85" s="2"/>
      <c r="AD85" s="8">
        <f t="shared" si="30"/>
        <v>0</v>
      </c>
      <c r="AE85" s="2"/>
      <c r="AF85" s="8">
        <f t="shared" si="31"/>
        <v>0</v>
      </c>
      <c r="AG85" s="2"/>
      <c r="AH85" s="8">
        <f t="shared" si="32"/>
        <v>0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>
        <v>100</v>
      </c>
      <c r="BB85" s="8">
        <f t="shared" si="33"/>
        <v>21.39150148969656</v>
      </c>
      <c r="BC85" s="2">
        <v>100</v>
      </c>
      <c r="BD85" s="8">
        <f t="shared" si="34"/>
        <v>32.98668169224153</v>
      </c>
      <c r="BE85" s="2">
        <v>100</v>
      </c>
      <c r="BF85" s="8">
        <f t="shared" si="35"/>
        <v>33.24266498812723</v>
      </c>
      <c r="BG85" s="2"/>
      <c r="BH85" s="2"/>
      <c r="BI85" s="2"/>
      <c r="BJ85" s="2"/>
      <c r="BK85" s="2"/>
      <c r="BL85" s="2"/>
      <c r="BM85" s="2"/>
      <c r="BN85" s="8">
        <f t="shared" si="36"/>
        <v>0</v>
      </c>
      <c r="BO85" s="2"/>
      <c r="BP85" s="8">
        <f t="shared" si="37"/>
        <v>0</v>
      </c>
      <c r="BQ85" s="2"/>
      <c r="BR85" s="8">
        <f t="shared" si="38"/>
        <v>0</v>
      </c>
      <c r="BS85" s="2"/>
      <c r="BT85" s="2"/>
      <c r="BU85" s="2"/>
      <c r="BV85" s="2"/>
      <c r="BW85" s="2"/>
      <c r="BX85" s="2"/>
      <c r="BY85" s="2"/>
      <c r="BZ85" s="8">
        <f t="shared" si="39"/>
        <v>0</v>
      </c>
      <c r="CA85" s="2"/>
      <c r="CB85" s="8">
        <f t="shared" si="40"/>
        <v>0</v>
      </c>
      <c r="CC85" s="2"/>
      <c r="CD85" s="8">
        <f t="shared" si="41"/>
        <v>0</v>
      </c>
      <c r="CK85" s="4">
        <f>SUM((BB85*BA85/100),(F85*E85/100))/CL85*100</f>
        <v>1.9552723638180904</v>
      </c>
      <c r="CL85" s="8">
        <f t="shared" si="42"/>
        <v>1094.0420314602636</v>
      </c>
      <c r="CN85" s="8">
        <f t="shared" si="43"/>
        <v>1403.657549034313</v>
      </c>
      <c r="CO85" s="4">
        <f>SUM((BF85*BE85/100),(J85*I85/100))/CP85*100</f>
        <v>3.1033835320274603</v>
      </c>
      <c r="CP85" s="8">
        <f t="shared" si="44"/>
        <v>1071.1748852520843</v>
      </c>
      <c r="CW85" s="4">
        <f>SUM((CV85*CU85/100),(CT85*CS85/100),(CR85*CQ85/100),(CP85*CO85/100),(CN85*CM85/100),(CL85*CK85/100))/CX85/3*100</f>
        <v>1.53085144916672</v>
      </c>
      <c r="CX85" s="8">
        <f t="shared" si="46"/>
        <v>1189.6248219155534</v>
      </c>
    </row>
    <row r="86" spans="2:102" ht="12.75">
      <c r="B86" s="4" t="s">
        <v>15</v>
      </c>
      <c r="D86" s="4" t="s">
        <v>10</v>
      </c>
      <c r="E86" s="2"/>
      <c r="F86" s="8">
        <f t="shared" si="45"/>
        <v>1337.1397017441318</v>
      </c>
      <c r="G86" s="2"/>
      <c r="H86" s="8">
        <f t="shared" si="45"/>
        <v>1923.7485857432582</v>
      </c>
      <c r="I86" s="2"/>
      <c r="J86" s="8">
        <f t="shared" si="26"/>
        <v>1255.680238501151</v>
      </c>
      <c r="K86" s="2"/>
      <c r="L86" s="2"/>
      <c r="M86" s="2"/>
      <c r="N86" s="2"/>
      <c r="O86" s="2"/>
      <c r="P86" s="2"/>
      <c r="Q86" s="2"/>
      <c r="R86" s="8">
        <f t="shared" si="27"/>
        <v>0</v>
      </c>
      <c r="S86" s="2"/>
      <c r="T86" s="8">
        <f t="shared" si="28"/>
        <v>0</v>
      </c>
      <c r="U86" s="2"/>
      <c r="V86" s="8">
        <f t="shared" si="29"/>
        <v>0</v>
      </c>
      <c r="W86" s="2"/>
      <c r="X86" s="2"/>
      <c r="Y86" s="2"/>
      <c r="Z86" s="2"/>
      <c r="AA86" s="2"/>
      <c r="AB86" s="2"/>
      <c r="AC86" s="2"/>
      <c r="AD86" s="8">
        <f t="shared" si="30"/>
        <v>0</v>
      </c>
      <c r="AE86" s="2"/>
      <c r="AF86" s="8">
        <f t="shared" si="31"/>
        <v>0</v>
      </c>
      <c r="AG86" s="2"/>
      <c r="AH86" s="8">
        <f t="shared" si="32"/>
        <v>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8">
        <f t="shared" si="33"/>
        <v>203.66349661116848</v>
      </c>
      <c r="BC86" s="2"/>
      <c r="BD86" s="8">
        <f t="shared" si="34"/>
        <v>75.20665577689377</v>
      </c>
      <c r="BE86" s="2"/>
      <c r="BF86" s="8">
        <f t="shared" si="35"/>
        <v>100.54044298853147</v>
      </c>
      <c r="BG86" s="2"/>
      <c r="BH86" s="2"/>
      <c r="BI86" s="2"/>
      <c r="BJ86" s="2"/>
      <c r="BK86" s="2"/>
      <c r="BL86" s="2"/>
      <c r="BM86" s="2"/>
      <c r="BN86" s="8">
        <f t="shared" si="36"/>
        <v>0</v>
      </c>
      <c r="BO86" s="2"/>
      <c r="BP86" s="8">
        <f t="shared" si="37"/>
        <v>0</v>
      </c>
      <c r="BQ86" s="2"/>
      <c r="BR86" s="8">
        <f t="shared" si="38"/>
        <v>0</v>
      </c>
      <c r="BS86" s="2"/>
      <c r="BT86" s="2"/>
      <c r="BU86" s="2"/>
      <c r="BV86" s="2"/>
      <c r="BW86" s="2"/>
      <c r="BX86" s="2"/>
      <c r="BY86" s="2"/>
      <c r="BZ86" s="8">
        <f t="shared" si="39"/>
        <v>0</v>
      </c>
      <c r="CA86" s="2"/>
      <c r="CB86" s="8">
        <f t="shared" si="40"/>
        <v>0</v>
      </c>
      <c r="CC86" s="2"/>
      <c r="CD86" s="8">
        <f t="shared" si="41"/>
        <v>0</v>
      </c>
      <c r="CL86" s="8">
        <f t="shared" si="42"/>
        <v>1540.8031983553003</v>
      </c>
      <c r="CN86" s="8">
        <f t="shared" si="43"/>
        <v>1998.955241520152</v>
      </c>
      <c r="CP86" s="8">
        <f t="shared" si="44"/>
        <v>1356.2206814896824</v>
      </c>
      <c r="CX86" s="8">
        <f t="shared" si="46"/>
        <v>1631.993040455045</v>
      </c>
    </row>
    <row r="87" spans="2:102" ht="12.75">
      <c r="B87" s="4" t="s">
        <v>16</v>
      </c>
      <c r="D87" s="4" t="s">
        <v>10</v>
      </c>
      <c r="E87" s="2"/>
      <c r="F87" s="8">
        <f t="shared" si="45"/>
        <v>27991.77067936891</v>
      </c>
      <c r="G87" s="2"/>
      <c r="H87" s="8">
        <f t="shared" si="45"/>
        <v>32302.945002272205</v>
      </c>
      <c r="I87" s="2"/>
      <c r="J87" s="8">
        <f t="shared" si="26"/>
        <v>31137.96660791871</v>
      </c>
      <c r="K87" s="2"/>
      <c r="L87" s="2"/>
      <c r="M87" s="2"/>
      <c r="N87" s="2"/>
      <c r="O87" s="2"/>
      <c r="P87" s="2"/>
      <c r="Q87" s="2"/>
      <c r="R87" s="8">
        <f t="shared" si="27"/>
        <v>0</v>
      </c>
      <c r="S87" s="2"/>
      <c r="T87" s="8">
        <f t="shared" si="28"/>
        <v>0</v>
      </c>
      <c r="U87" s="2"/>
      <c r="V87" s="8">
        <f t="shared" si="29"/>
        <v>0</v>
      </c>
      <c r="W87" s="2"/>
      <c r="X87" s="2"/>
      <c r="Y87" s="2"/>
      <c r="Z87" s="2"/>
      <c r="AA87" s="2"/>
      <c r="AB87" s="2"/>
      <c r="AC87" s="2"/>
      <c r="AD87" s="8">
        <f t="shared" si="30"/>
        <v>0</v>
      </c>
      <c r="AE87" s="2"/>
      <c r="AF87" s="8">
        <f t="shared" si="31"/>
        <v>0</v>
      </c>
      <c r="AG87" s="2"/>
      <c r="AH87" s="8">
        <f t="shared" si="32"/>
        <v>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8">
        <f t="shared" si="33"/>
        <v>9431.396822933308</v>
      </c>
      <c r="BC87" s="2"/>
      <c r="BD87" s="8">
        <f t="shared" si="34"/>
        <v>13328.70434065741</v>
      </c>
      <c r="BE87" s="2"/>
      <c r="BF87" s="8">
        <f t="shared" si="35"/>
        <v>12322.128366271196</v>
      </c>
      <c r="BG87" s="2"/>
      <c r="BH87" s="2"/>
      <c r="BI87" s="2"/>
      <c r="BJ87" s="2"/>
      <c r="BK87" s="2"/>
      <c r="BL87" s="2"/>
      <c r="BM87" s="2"/>
      <c r="BN87" s="8">
        <f t="shared" si="36"/>
        <v>0</v>
      </c>
      <c r="BO87" s="2"/>
      <c r="BP87" s="8">
        <f t="shared" si="37"/>
        <v>0</v>
      </c>
      <c r="BQ87" s="2"/>
      <c r="BR87" s="8">
        <f t="shared" si="38"/>
        <v>0</v>
      </c>
      <c r="BS87" s="2"/>
      <c r="BT87" s="2"/>
      <c r="BU87" s="2"/>
      <c r="BV87" s="2"/>
      <c r="BW87" s="2"/>
      <c r="BX87" s="2"/>
      <c r="BY87" s="2"/>
      <c r="BZ87" s="8">
        <f t="shared" si="39"/>
        <v>0</v>
      </c>
      <c r="CA87" s="2"/>
      <c r="CB87" s="8">
        <f t="shared" si="40"/>
        <v>0</v>
      </c>
      <c r="CC87" s="2"/>
      <c r="CD87" s="8">
        <f t="shared" si="41"/>
        <v>0</v>
      </c>
      <c r="CL87" s="8">
        <f t="shared" si="42"/>
        <v>37423.16750230222</v>
      </c>
      <c r="CN87" s="8">
        <f t="shared" si="43"/>
        <v>45631.64934292962</v>
      </c>
      <c r="CP87" s="8">
        <f t="shared" si="44"/>
        <v>43460.09497418991</v>
      </c>
      <c r="CX87" s="8">
        <f t="shared" si="46"/>
        <v>42171.63727314058</v>
      </c>
    </row>
    <row r="88" spans="2:102" ht="12.75">
      <c r="B88" s="4" t="s">
        <v>17</v>
      </c>
      <c r="D88" s="4" t="s">
        <v>10</v>
      </c>
      <c r="E88" s="2"/>
      <c r="F88" s="8">
        <f t="shared" si="45"/>
        <v>11167.320585994948</v>
      </c>
      <c r="G88" s="2"/>
      <c r="H88" s="8">
        <f t="shared" si="45"/>
        <v>13586.474386811757</v>
      </c>
      <c r="I88" s="2"/>
      <c r="J88" s="8">
        <f t="shared" si="26"/>
        <v>11613.227639317003</v>
      </c>
      <c r="K88" s="2"/>
      <c r="L88" s="2"/>
      <c r="M88" s="2"/>
      <c r="N88" s="2"/>
      <c r="O88" s="2"/>
      <c r="P88" s="2"/>
      <c r="Q88" s="2"/>
      <c r="R88" s="8">
        <f t="shared" si="27"/>
        <v>0</v>
      </c>
      <c r="S88" s="2"/>
      <c r="T88" s="8">
        <f t="shared" si="28"/>
        <v>0</v>
      </c>
      <c r="U88" s="2"/>
      <c r="V88" s="8">
        <f t="shared" si="29"/>
        <v>0</v>
      </c>
      <c r="W88" s="2"/>
      <c r="X88" s="2"/>
      <c r="Y88" s="2"/>
      <c r="Z88" s="2"/>
      <c r="AA88" s="2"/>
      <c r="AB88" s="2"/>
      <c r="AC88" s="2"/>
      <c r="AD88" s="8">
        <f t="shared" si="30"/>
        <v>0</v>
      </c>
      <c r="AE88" s="2"/>
      <c r="AF88" s="8">
        <f t="shared" si="31"/>
        <v>0</v>
      </c>
      <c r="AG88" s="2"/>
      <c r="AH88" s="8">
        <f t="shared" si="32"/>
        <v>0</v>
      </c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8">
        <f t="shared" si="33"/>
        <v>21459.844944935205</v>
      </c>
      <c r="BC88" s="2"/>
      <c r="BD88" s="8">
        <f t="shared" si="34"/>
        <v>27923.26328350015</v>
      </c>
      <c r="BE88" s="2"/>
      <c r="BF88" s="8">
        <f t="shared" si="35"/>
        <v>25287.444751660947</v>
      </c>
      <c r="BG88" s="2"/>
      <c r="BH88" s="2"/>
      <c r="BI88" s="2"/>
      <c r="BJ88" s="2"/>
      <c r="BK88" s="2"/>
      <c r="BL88" s="2"/>
      <c r="BM88" s="2"/>
      <c r="BN88" s="8">
        <f t="shared" si="36"/>
        <v>0</v>
      </c>
      <c r="BO88" s="2"/>
      <c r="BP88" s="8">
        <f t="shared" si="37"/>
        <v>0</v>
      </c>
      <c r="BQ88" s="2"/>
      <c r="BR88" s="8">
        <f t="shared" si="38"/>
        <v>0</v>
      </c>
      <c r="BS88" s="2"/>
      <c r="BT88" s="2"/>
      <c r="BU88" s="2"/>
      <c r="BV88" s="2"/>
      <c r="BW88" s="2"/>
      <c r="BX88" s="2"/>
      <c r="BY88" s="2"/>
      <c r="BZ88" s="8">
        <f t="shared" si="39"/>
        <v>0</v>
      </c>
      <c r="CA88" s="2"/>
      <c r="CB88" s="8">
        <f t="shared" si="40"/>
        <v>0</v>
      </c>
      <c r="CC88" s="2"/>
      <c r="CD88" s="8">
        <f t="shared" si="41"/>
        <v>0</v>
      </c>
      <c r="CL88" s="8">
        <f t="shared" si="42"/>
        <v>32627.165530930153</v>
      </c>
      <c r="CN88" s="8">
        <f t="shared" si="43"/>
        <v>41509.73767031191</v>
      </c>
      <c r="CP88" s="8">
        <f t="shared" si="44"/>
        <v>36900.672390977954</v>
      </c>
      <c r="CX88" s="8">
        <f t="shared" si="46"/>
        <v>37012.52519740667</v>
      </c>
    </row>
    <row r="89" spans="2:102" ht="12.75">
      <c r="B89" s="4" t="s">
        <v>18</v>
      </c>
      <c r="D89" s="4" t="s">
        <v>10</v>
      </c>
      <c r="E89" s="2"/>
      <c r="F89" s="8">
        <f t="shared" si="45"/>
        <v>7420390.652536115</v>
      </c>
      <c r="G89" s="2"/>
      <c r="H89" s="8">
        <f t="shared" si="45"/>
        <v>7835267.677350144</v>
      </c>
      <c r="I89" s="2"/>
      <c r="J89" s="8">
        <f t="shared" si="26"/>
        <v>7984094.002030441</v>
      </c>
      <c r="K89" s="2"/>
      <c r="L89" s="2"/>
      <c r="M89" s="2"/>
      <c r="N89" s="2"/>
      <c r="O89" s="2"/>
      <c r="P89" s="2"/>
      <c r="Q89" s="2"/>
      <c r="R89" s="8">
        <f t="shared" si="27"/>
        <v>0</v>
      </c>
      <c r="S89" s="2"/>
      <c r="T89" s="8">
        <f t="shared" si="28"/>
        <v>0</v>
      </c>
      <c r="U89" s="2"/>
      <c r="V89" s="8">
        <f t="shared" si="29"/>
        <v>0</v>
      </c>
      <c r="W89" s="2"/>
      <c r="X89" s="2"/>
      <c r="Y89" s="2"/>
      <c r="Z89" s="2"/>
      <c r="AA89" s="2"/>
      <c r="AB89" s="2"/>
      <c r="AC89" s="2"/>
      <c r="AD89" s="8">
        <f t="shared" si="30"/>
        <v>0</v>
      </c>
      <c r="AE89" s="2"/>
      <c r="AF89" s="8">
        <f t="shared" si="31"/>
        <v>0</v>
      </c>
      <c r="AG89" s="2"/>
      <c r="AH89" s="8">
        <f t="shared" si="32"/>
        <v>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8">
        <f t="shared" si="33"/>
        <v>171542.0726490044</v>
      </c>
      <c r="BC89" s="2"/>
      <c r="BD89" s="8">
        <f t="shared" si="34"/>
        <v>263595.60539624153</v>
      </c>
      <c r="BE89" s="2"/>
      <c r="BF89" s="8">
        <f t="shared" si="35"/>
        <v>232901.766922928</v>
      </c>
      <c r="BG89" s="2"/>
      <c r="BH89" s="2"/>
      <c r="BI89" s="2"/>
      <c r="BJ89" s="2"/>
      <c r="BK89" s="2"/>
      <c r="BL89" s="2"/>
      <c r="BM89" s="2"/>
      <c r="BN89" s="8">
        <f t="shared" si="36"/>
        <v>0</v>
      </c>
      <c r="BO89" s="2"/>
      <c r="BP89" s="8">
        <f t="shared" si="37"/>
        <v>0</v>
      </c>
      <c r="BQ89" s="2"/>
      <c r="BR89" s="8">
        <f t="shared" si="38"/>
        <v>0</v>
      </c>
      <c r="BS89" s="2"/>
      <c r="BT89" s="2"/>
      <c r="BU89" s="2"/>
      <c r="BV89" s="2"/>
      <c r="BW89" s="2"/>
      <c r="BX89" s="2"/>
      <c r="BY89" s="2"/>
      <c r="BZ89" s="8">
        <f t="shared" si="39"/>
        <v>0</v>
      </c>
      <c r="CA89" s="2"/>
      <c r="CB89" s="8">
        <f t="shared" si="40"/>
        <v>0</v>
      </c>
      <c r="CC89" s="2"/>
      <c r="CD89" s="8">
        <f t="shared" si="41"/>
        <v>0</v>
      </c>
      <c r="CL89" s="8">
        <f t="shared" si="42"/>
        <v>7591932.725185119</v>
      </c>
      <c r="CN89" s="8">
        <f t="shared" si="43"/>
        <v>8098863.282746386</v>
      </c>
      <c r="CP89" s="8">
        <f t="shared" si="44"/>
        <v>8216995.768953369</v>
      </c>
      <c r="CX89" s="8">
        <f t="shared" si="46"/>
        <v>7969263.9256282905</v>
      </c>
    </row>
    <row r="90" spans="2:102" ht="12.75">
      <c r="B90" s="4" t="s">
        <v>19</v>
      </c>
      <c r="D90" s="4" t="s">
        <v>10</v>
      </c>
      <c r="E90" s="2"/>
      <c r="F90" s="8">
        <f t="shared" si="45"/>
        <v>11828.543515428857</v>
      </c>
      <c r="G90" s="2"/>
      <c r="H90" s="8">
        <f t="shared" si="45"/>
        <v>13426.16200466649</v>
      </c>
      <c r="I90" s="2"/>
      <c r="J90" s="8">
        <f t="shared" si="26"/>
        <v>11758.39298480846</v>
      </c>
      <c r="K90" s="2"/>
      <c r="L90" s="2"/>
      <c r="M90" s="2"/>
      <c r="N90" s="2"/>
      <c r="O90" s="2"/>
      <c r="P90" s="2"/>
      <c r="Q90" s="2"/>
      <c r="R90" s="8">
        <f t="shared" si="27"/>
        <v>0</v>
      </c>
      <c r="S90" s="2"/>
      <c r="T90" s="8">
        <f t="shared" si="28"/>
        <v>0</v>
      </c>
      <c r="U90" s="2"/>
      <c r="V90" s="8">
        <f t="shared" si="29"/>
        <v>0</v>
      </c>
      <c r="W90" s="2"/>
      <c r="X90" s="2"/>
      <c r="Y90" s="2"/>
      <c r="Z90" s="2"/>
      <c r="AA90" s="2"/>
      <c r="AB90" s="2"/>
      <c r="AC90" s="2"/>
      <c r="AD90" s="8">
        <f t="shared" si="30"/>
        <v>0</v>
      </c>
      <c r="AE90" s="2"/>
      <c r="AF90" s="8">
        <f t="shared" si="31"/>
        <v>0</v>
      </c>
      <c r="AG90" s="2"/>
      <c r="AH90" s="8">
        <f t="shared" si="32"/>
        <v>0</v>
      </c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8">
        <f t="shared" si="33"/>
        <v>15513.964339172908</v>
      </c>
      <c r="BC90" s="2"/>
      <c r="BD90" s="8">
        <f t="shared" si="34"/>
        <v>21296.142130882792</v>
      </c>
      <c r="BE90" s="2"/>
      <c r="BF90" s="8">
        <f t="shared" si="35"/>
        <v>18990.972564500382</v>
      </c>
      <c r="BG90" s="2"/>
      <c r="BH90" s="2"/>
      <c r="BI90" s="2"/>
      <c r="BJ90" s="2"/>
      <c r="BK90" s="2"/>
      <c r="BL90" s="2"/>
      <c r="BM90" s="2"/>
      <c r="BN90" s="8">
        <f t="shared" si="36"/>
        <v>0</v>
      </c>
      <c r="BO90" s="2"/>
      <c r="BP90" s="8">
        <f t="shared" si="37"/>
        <v>0</v>
      </c>
      <c r="BQ90" s="2"/>
      <c r="BR90" s="8">
        <f t="shared" si="38"/>
        <v>0</v>
      </c>
      <c r="BS90" s="2"/>
      <c r="BT90" s="2"/>
      <c r="BU90" s="2"/>
      <c r="BV90" s="2"/>
      <c r="BW90" s="2"/>
      <c r="BX90" s="2"/>
      <c r="BY90" s="2"/>
      <c r="BZ90" s="8">
        <f t="shared" si="39"/>
        <v>0</v>
      </c>
      <c r="CA90" s="2"/>
      <c r="CB90" s="8">
        <f t="shared" si="40"/>
        <v>0</v>
      </c>
      <c r="CC90" s="2"/>
      <c r="CD90" s="8">
        <f t="shared" si="41"/>
        <v>0</v>
      </c>
      <c r="CL90" s="8">
        <f t="shared" si="42"/>
        <v>27342.507854601765</v>
      </c>
      <c r="CN90" s="8">
        <f t="shared" si="43"/>
        <v>34722.30413554928</v>
      </c>
      <c r="CP90" s="8">
        <f t="shared" si="44"/>
        <v>30749.365549308844</v>
      </c>
      <c r="CX90" s="8">
        <f t="shared" si="46"/>
        <v>30938.059179819964</v>
      </c>
    </row>
    <row r="91" spans="2:107" ht="12.75">
      <c r="B91" s="4" t="s">
        <v>20</v>
      </c>
      <c r="D91" s="4" t="s">
        <v>10</v>
      </c>
      <c r="E91" s="2"/>
      <c r="F91" s="8">
        <f t="shared" si="45"/>
        <v>4.261214434129651</v>
      </c>
      <c r="G91" s="2">
        <v>100</v>
      </c>
      <c r="H91" s="8">
        <f t="shared" si="45"/>
        <v>2.30849830289191</v>
      </c>
      <c r="I91" s="2">
        <v>100</v>
      </c>
      <c r="J91" s="8">
        <f t="shared" si="26"/>
        <v>2.663784089768338</v>
      </c>
      <c r="K91" s="2"/>
      <c r="L91" s="2"/>
      <c r="M91" s="2"/>
      <c r="N91" s="2"/>
      <c r="O91" s="2"/>
      <c r="P91" s="2"/>
      <c r="Q91" s="2"/>
      <c r="R91" s="8">
        <f t="shared" si="27"/>
        <v>0</v>
      </c>
      <c r="S91" s="2"/>
      <c r="T91" s="8">
        <f t="shared" si="28"/>
        <v>0</v>
      </c>
      <c r="U91" s="2"/>
      <c r="V91" s="8">
        <f t="shared" si="29"/>
        <v>0</v>
      </c>
      <c r="W91" s="2"/>
      <c r="X91" s="2"/>
      <c r="Y91" s="2"/>
      <c r="Z91" s="2"/>
      <c r="AA91" s="2"/>
      <c r="AB91" s="2"/>
      <c r="AC91" s="2"/>
      <c r="AD91" s="8">
        <f t="shared" si="30"/>
        <v>0</v>
      </c>
      <c r="AE91" s="2"/>
      <c r="AF91" s="8">
        <f t="shared" si="31"/>
        <v>0</v>
      </c>
      <c r="AG91" s="2"/>
      <c r="AH91" s="8">
        <f t="shared" si="32"/>
        <v>0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8">
        <f t="shared" si="33"/>
        <v>23.441805146855977</v>
      </c>
      <c r="BC91" s="2"/>
      <c r="BD91" s="8">
        <f t="shared" si="34"/>
        <v>32.98668169224153</v>
      </c>
      <c r="BE91" s="2"/>
      <c r="BF91" s="8">
        <f t="shared" si="35"/>
        <v>15.436512458845232</v>
      </c>
      <c r="BG91" s="2"/>
      <c r="BH91" s="2"/>
      <c r="BI91" s="2"/>
      <c r="BJ91" s="2"/>
      <c r="BK91" s="2"/>
      <c r="BL91" s="2"/>
      <c r="BM91" s="2"/>
      <c r="BN91" s="8">
        <f t="shared" si="36"/>
        <v>0</v>
      </c>
      <c r="BO91" s="2"/>
      <c r="BP91" s="8">
        <f t="shared" si="37"/>
        <v>0</v>
      </c>
      <c r="BQ91" s="2"/>
      <c r="BR91" s="8">
        <f t="shared" si="38"/>
        <v>0</v>
      </c>
      <c r="BS91" s="2"/>
      <c r="BT91" s="2"/>
      <c r="BU91" s="2"/>
      <c r="BV91" s="2"/>
      <c r="BW91" s="2"/>
      <c r="BX91" s="2"/>
      <c r="BY91" s="2"/>
      <c r="BZ91" s="8">
        <f t="shared" si="39"/>
        <v>0</v>
      </c>
      <c r="CA91" s="2"/>
      <c r="CB91" s="8">
        <f t="shared" si="40"/>
        <v>0</v>
      </c>
      <c r="CC91" s="2"/>
      <c r="CD91" s="8">
        <f t="shared" si="41"/>
        <v>0</v>
      </c>
      <c r="CL91" s="8">
        <f t="shared" si="42"/>
        <v>27.70301958098563</v>
      </c>
      <c r="CM91" s="4">
        <f>SUM((BD91*BC91/100),(H91*G91/100))/CN91*100</f>
        <v>6.540548321924436</v>
      </c>
      <c r="CN91" s="8">
        <f t="shared" si="43"/>
        <v>35.295179995133445</v>
      </c>
      <c r="CO91" s="4">
        <f>SUM((BF91*BE91/100),(J91*I91/100))/CP91*100</f>
        <v>14.716798051424057</v>
      </c>
      <c r="CP91" s="8">
        <f t="shared" si="44"/>
        <v>18.10029654861357</v>
      </c>
      <c r="CW91" s="4">
        <f>SUM((CV91*CU91/100),(CT91*CS91/100),(CR91*CQ91/100),(CP91*CO91/100),(CN91*CM91/100),(CL91*CK91/100))/CX91/3*100</f>
        <v>6.131164732096491</v>
      </c>
      <c r="CX91" s="8">
        <f t="shared" si="46"/>
        <v>27.03283204157755</v>
      </c>
      <c r="CZ91" s="8">
        <f>AVERAGE(BB91,BD91,BF91,BH91,BJ91,BL91)</f>
        <v>23.954999765980915</v>
      </c>
      <c r="DA91" s="8">
        <f>AVERAGE(R91,T91,V91,X91,Z91,AB91)+AVERAGE(AD91,AF91,AH91,AJ91,AL91,AN91)</f>
        <v>0</v>
      </c>
      <c r="DB91" s="8">
        <f>AVERAGE(F91,H91,J91,L91,N91,P91)+AVERAGE(BN91,BP91,BR91,BT91,BV91,BX91)+AVERAGE(BZ91,CB91,CD91,CF91,CH91,CJ91)</f>
        <v>3.077832275596633</v>
      </c>
      <c r="DC91" s="8">
        <f>SUM(CZ91,DA91,DB91)</f>
        <v>27.03283204157755</v>
      </c>
    </row>
    <row r="92" spans="2:102" ht="12.75">
      <c r="B92" s="4" t="s">
        <v>21</v>
      </c>
      <c r="D92" s="4" t="s">
        <v>10</v>
      </c>
      <c r="E92" s="2"/>
      <c r="F92" s="8">
        <f t="shared" si="45"/>
        <v>15355.065805743052</v>
      </c>
      <c r="G92" s="2"/>
      <c r="H92" s="8">
        <f t="shared" si="45"/>
        <v>15510.222972555017</v>
      </c>
      <c r="I92" s="2"/>
      <c r="J92" s="8">
        <f t="shared" si="26"/>
        <v>13572.959803451746</v>
      </c>
      <c r="K92" s="2"/>
      <c r="L92" s="2"/>
      <c r="M92" s="2"/>
      <c r="N92" s="2"/>
      <c r="O92" s="2"/>
      <c r="P92" s="2"/>
      <c r="Q92" s="2"/>
      <c r="R92" s="8">
        <f t="shared" si="27"/>
        <v>0</v>
      </c>
      <c r="S92" s="2"/>
      <c r="T92" s="8">
        <f t="shared" si="28"/>
        <v>0</v>
      </c>
      <c r="U92" s="2"/>
      <c r="V92" s="8">
        <f t="shared" si="29"/>
        <v>0</v>
      </c>
      <c r="W92" s="2"/>
      <c r="X92" s="2"/>
      <c r="Y92" s="2"/>
      <c r="Z92" s="2"/>
      <c r="AA92" s="2"/>
      <c r="AB92" s="2"/>
      <c r="AC92" s="2"/>
      <c r="AD92" s="8">
        <f t="shared" si="30"/>
        <v>0</v>
      </c>
      <c r="AE92" s="2"/>
      <c r="AF92" s="8">
        <f t="shared" si="31"/>
        <v>0</v>
      </c>
      <c r="AG92" s="2"/>
      <c r="AH92" s="8">
        <f t="shared" si="32"/>
        <v>0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>
        <v>100</v>
      </c>
      <c r="BB92" s="8">
        <f t="shared" si="33"/>
        <v>744.9436621012542</v>
      </c>
      <c r="BC92" s="2">
        <v>100</v>
      </c>
      <c r="BD92" s="8">
        <f t="shared" si="34"/>
        <v>1280.7470092698738</v>
      </c>
      <c r="BE92" s="2">
        <v>100</v>
      </c>
      <c r="BF92" s="8">
        <f t="shared" si="35"/>
        <v>1895.7120563494148</v>
      </c>
      <c r="BG92" s="2"/>
      <c r="BH92" s="2"/>
      <c r="BI92" s="2"/>
      <c r="BJ92" s="2"/>
      <c r="BK92" s="2"/>
      <c r="BL92" s="2"/>
      <c r="BM92" s="2"/>
      <c r="BN92" s="8">
        <f t="shared" si="36"/>
        <v>0</v>
      </c>
      <c r="BO92" s="2"/>
      <c r="BP92" s="8">
        <f t="shared" si="37"/>
        <v>0</v>
      </c>
      <c r="BQ92" s="2"/>
      <c r="BR92" s="8">
        <f t="shared" si="38"/>
        <v>0</v>
      </c>
      <c r="BS92" s="2"/>
      <c r="BT92" s="2"/>
      <c r="BU92" s="2"/>
      <c r="BV92" s="2"/>
      <c r="BW92" s="2"/>
      <c r="BX92" s="2"/>
      <c r="BY92" s="2"/>
      <c r="BZ92" s="8">
        <f t="shared" si="39"/>
        <v>0</v>
      </c>
      <c r="CA92" s="2"/>
      <c r="CB92" s="8">
        <f t="shared" si="40"/>
        <v>0</v>
      </c>
      <c r="CC92" s="2"/>
      <c r="CD92" s="8">
        <f t="shared" si="41"/>
        <v>0</v>
      </c>
      <c r="CK92" s="4">
        <f>SUM((BB92*BA92/100),(F92*E92/100))/CL92*100</f>
        <v>4.626976546747321</v>
      </c>
      <c r="CL92" s="8">
        <f t="shared" si="42"/>
        <v>16100.009467844306</v>
      </c>
      <c r="CM92" s="4">
        <f>SUM((BD92*BC92/100),(H92*G92/100))/CN92*100</f>
        <v>7.627593942793045</v>
      </c>
      <c r="CN92" s="8">
        <f t="shared" si="43"/>
        <v>16790.969981824892</v>
      </c>
      <c r="CO92" s="4">
        <f>SUM((BF92*BE92/100),(J92*I92/100))/CP92*100</f>
        <v>12.255170149906991</v>
      </c>
      <c r="CP92" s="8">
        <f t="shared" si="44"/>
        <v>15468.671859801161</v>
      </c>
      <c r="CW92" s="4">
        <f>SUM((CV92*CU92/100),(CT92*CS92/100),(CR92*CQ92/100),(CP92*CO92/100),(CN92*CM92/100),(CL92*CK92/100))/CX92/3*100</f>
        <v>8.108831684137078</v>
      </c>
      <c r="CX92" s="8">
        <f t="shared" si="46"/>
        <v>16119.883769823451</v>
      </c>
    </row>
    <row r="93" spans="2:102" ht="12.75">
      <c r="B93" s="4" t="s">
        <v>22</v>
      </c>
      <c r="D93" s="4" t="s">
        <v>10</v>
      </c>
      <c r="E93" s="2"/>
      <c r="F93" s="8">
        <f t="shared" si="45"/>
        <v>1079.9974514087216</v>
      </c>
      <c r="G93" s="2"/>
      <c r="H93" s="8">
        <f t="shared" si="45"/>
        <v>719.401814876906</v>
      </c>
      <c r="I93" s="2"/>
      <c r="J93" s="8">
        <f t="shared" si="26"/>
        <v>622.7593321583743</v>
      </c>
      <c r="K93" s="2"/>
      <c r="L93" s="2"/>
      <c r="M93" s="2"/>
      <c r="N93" s="2"/>
      <c r="O93" s="2"/>
      <c r="P93" s="2"/>
      <c r="Q93" s="2"/>
      <c r="R93" s="8">
        <f t="shared" si="27"/>
        <v>0</v>
      </c>
      <c r="S93" s="2"/>
      <c r="T93" s="8">
        <f t="shared" si="28"/>
        <v>0</v>
      </c>
      <c r="U93" s="2"/>
      <c r="V93" s="8">
        <f t="shared" si="29"/>
        <v>0</v>
      </c>
      <c r="W93" s="2"/>
      <c r="X93" s="2"/>
      <c r="Y93" s="2"/>
      <c r="Z93" s="2"/>
      <c r="AA93" s="2"/>
      <c r="AB93" s="2"/>
      <c r="AC93" s="2"/>
      <c r="AD93" s="8">
        <f t="shared" si="30"/>
        <v>0</v>
      </c>
      <c r="AE93" s="2"/>
      <c r="AF93" s="8">
        <f t="shared" si="31"/>
        <v>0</v>
      </c>
      <c r="AG93" s="2"/>
      <c r="AH93" s="8">
        <f t="shared" si="32"/>
        <v>0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>
        <v>100</v>
      </c>
      <c r="BB93" s="8">
        <f t="shared" si="33"/>
        <v>89.52992636262778</v>
      </c>
      <c r="BC93" s="2">
        <v>100</v>
      </c>
      <c r="BD93" s="8">
        <f t="shared" si="34"/>
        <v>94.56678498678723</v>
      </c>
      <c r="BE93" s="2">
        <v>100</v>
      </c>
      <c r="BF93" s="8">
        <f t="shared" si="35"/>
        <v>88.69224263634761</v>
      </c>
      <c r="BG93" s="2"/>
      <c r="BH93" s="2"/>
      <c r="BI93" s="2"/>
      <c r="BJ93" s="2"/>
      <c r="BK93" s="2"/>
      <c r="BL93" s="2"/>
      <c r="BM93" s="2"/>
      <c r="BN93" s="8">
        <f t="shared" si="36"/>
        <v>0</v>
      </c>
      <c r="BO93" s="2"/>
      <c r="BP93" s="8">
        <f t="shared" si="37"/>
        <v>0</v>
      </c>
      <c r="BQ93" s="2"/>
      <c r="BR93" s="8">
        <f t="shared" si="38"/>
        <v>0</v>
      </c>
      <c r="BS93" s="2"/>
      <c r="BT93" s="2"/>
      <c r="BU93" s="2"/>
      <c r="BV93" s="2"/>
      <c r="BW93" s="2"/>
      <c r="BX93" s="2"/>
      <c r="BY93" s="2"/>
      <c r="BZ93" s="8">
        <f t="shared" si="39"/>
        <v>0</v>
      </c>
      <c r="CA93" s="2"/>
      <c r="CB93" s="8">
        <f t="shared" si="40"/>
        <v>0</v>
      </c>
      <c r="CC93" s="2"/>
      <c r="CD93" s="8">
        <f t="shared" si="41"/>
        <v>0</v>
      </c>
      <c r="CK93" s="4">
        <f>SUM((BB93*BA93/100),(F93*E93/100))/CL93*100</f>
        <v>7.655222790357927</v>
      </c>
      <c r="CL93" s="8">
        <f t="shared" si="42"/>
        <v>1169.5273777713494</v>
      </c>
      <c r="CM93" s="4">
        <f>SUM((BD93*BC93/100),(H93*G93/100))/CN93*100</f>
        <v>11.617989318337752</v>
      </c>
      <c r="CN93" s="8">
        <f t="shared" si="43"/>
        <v>813.9685998636932</v>
      </c>
      <c r="CO93" s="4">
        <f>SUM((BF93*BE93/100),(J93*I93/100))/CP93*100</f>
        <v>12.466378004987671</v>
      </c>
      <c r="CP93" s="8">
        <f t="shared" si="44"/>
        <v>711.4515747947219</v>
      </c>
      <c r="CW93" s="4">
        <f>SUM((CV93*CU93/100),(CT93*CS93/100),(CR93*CQ93/100),(CP93*CO93/100),(CN93*CM93/100),(CL93*CK93/100))/CX93/3*100</f>
        <v>10.122236098428566</v>
      </c>
      <c r="CX93" s="8">
        <f t="shared" si="46"/>
        <v>898.3158508099214</v>
      </c>
    </row>
    <row r="94" spans="2:102" ht="12.75">
      <c r="B94" s="4" t="s">
        <v>23</v>
      </c>
      <c r="D94" s="4" t="s">
        <v>10</v>
      </c>
      <c r="E94" s="2">
        <v>100</v>
      </c>
      <c r="F94" s="8">
        <f t="shared" si="45"/>
        <v>1623.6696378321599</v>
      </c>
      <c r="G94" s="2">
        <v>100</v>
      </c>
      <c r="H94" s="8">
        <f t="shared" si="45"/>
        <v>1775.459632258882</v>
      </c>
      <c r="I94" s="2">
        <v>100</v>
      </c>
      <c r="J94" s="8">
        <f t="shared" si="26"/>
        <v>1596.8188004060873</v>
      </c>
      <c r="K94" s="2"/>
      <c r="L94" s="2"/>
      <c r="M94" s="2"/>
      <c r="N94" s="2"/>
      <c r="O94" s="2"/>
      <c r="P94" s="2"/>
      <c r="Q94" s="2"/>
      <c r="R94" s="8">
        <f t="shared" si="27"/>
        <v>0</v>
      </c>
      <c r="S94" s="2"/>
      <c r="T94" s="8">
        <f t="shared" si="28"/>
        <v>0</v>
      </c>
      <c r="U94" s="2"/>
      <c r="V94" s="8">
        <f t="shared" si="29"/>
        <v>0</v>
      </c>
      <c r="W94" s="2"/>
      <c r="X94" s="2"/>
      <c r="Y94" s="2"/>
      <c r="Z94" s="2"/>
      <c r="AA94" s="2"/>
      <c r="AB94" s="2"/>
      <c r="AC94" s="2"/>
      <c r="AD94" s="8">
        <f t="shared" si="30"/>
        <v>0</v>
      </c>
      <c r="AE94" s="2"/>
      <c r="AF94" s="8">
        <f t="shared" si="31"/>
        <v>0</v>
      </c>
      <c r="AG94" s="2"/>
      <c r="AH94" s="8">
        <f t="shared" si="32"/>
        <v>0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>
        <v>100</v>
      </c>
      <c r="BB94" s="8">
        <f t="shared" si="33"/>
        <v>287.72594655470454</v>
      </c>
      <c r="BC94" s="2">
        <v>100</v>
      </c>
      <c r="BD94" s="8">
        <f t="shared" si="34"/>
        <v>303.80510452448175</v>
      </c>
      <c r="BE94" s="2">
        <v>100</v>
      </c>
      <c r="BF94" s="8">
        <f t="shared" si="35"/>
        <v>284.6953284624746</v>
      </c>
      <c r="BG94" s="2"/>
      <c r="BH94" s="2"/>
      <c r="BI94" s="2"/>
      <c r="BJ94" s="2"/>
      <c r="BK94" s="2"/>
      <c r="BL94" s="2"/>
      <c r="BM94" s="2"/>
      <c r="BN94" s="8">
        <f t="shared" si="36"/>
        <v>0</v>
      </c>
      <c r="BO94" s="2"/>
      <c r="BP94" s="8">
        <f t="shared" si="37"/>
        <v>0</v>
      </c>
      <c r="BQ94" s="2"/>
      <c r="BR94" s="8">
        <f t="shared" si="38"/>
        <v>0</v>
      </c>
      <c r="BS94" s="2"/>
      <c r="BT94" s="2"/>
      <c r="BU94" s="2"/>
      <c r="BV94" s="2"/>
      <c r="BW94" s="2"/>
      <c r="BX94" s="2"/>
      <c r="BY94" s="2"/>
      <c r="BZ94" s="8">
        <f t="shared" si="39"/>
        <v>0</v>
      </c>
      <c r="CA94" s="2"/>
      <c r="CB94" s="8">
        <f t="shared" si="40"/>
        <v>0</v>
      </c>
      <c r="CC94" s="2"/>
      <c r="CD94" s="8">
        <f t="shared" si="41"/>
        <v>0</v>
      </c>
      <c r="CK94" s="4">
        <f>SUM((BB94*BA94/100),(F94*E94/100))/CL94*100</f>
        <v>100</v>
      </c>
      <c r="CL94" s="8">
        <f t="shared" si="42"/>
        <v>1911.3955843868644</v>
      </c>
      <c r="CM94" s="4">
        <f>SUM((BD94*BC94/100),(H94*G94/100))/CN94*100</f>
        <v>100</v>
      </c>
      <c r="CN94" s="8">
        <f t="shared" si="43"/>
        <v>2079.264736783364</v>
      </c>
      <c r="CO94" s="4">
        <f>SUM((BF94*BE94/100),(J94*I94/100))/CP94*100</f>
        <v>100</v>
      </c>
      <c r="CP94" s="8">
        <f t="shared" si="44"/>
        <v>1881.514128868562</v>
      </c>
      <c r="CW94" s="4">
        <f>SUM((CV94*CU94/100),(CT94*CS94/100),(CR94*CQ94/100),(CP94*CO94/100),(CN94*CM94/100),(CL94*CK94/100))/CX94/3*100</f>
        <v>100</v>
      </c>
      <c r="CX94" s="8">
        <f t="shared" si="46"/>
        <v>1957.3914833462634</v>
      </c>
    </row>
    <row r="95" spans="2:102" ht="12.75">
      <c r="B95" s="4" t="s">
        <v>24</v>
      </c>
      <c r="D95" s="4" t="s">
        <v>10</v>
      </c>
      <c r="E95" s="2"/>
      <c r="F95" s="8">
        <f t="shared" si="45"/>
        <v>96.24467083982488</v>
      </c>
      <c r="G95" s="2"/>
      <c r="H95" s="8">
        <f t="shared" si="45"/>
        <v>109.4132008141478</v>
      </c>
      <c r="I95" s="2"/>
      <c r="J95" s="8">
        <f t="shared" si="26"/>
        <v>111.05148930096884</v>
      </c>
      <c r="K95" s="2"/>
      <c r="L95" s="2"/>
      <c r="M95" s="2"/>
      <c r="N95" s="2"/>
      <c r="O95" s="2"/>
      <c r="P95" s="2"/>
      <c r="Q95" s="2"/>
      <c r="R95" s="8">
        <f t="shared" si="27"/>
        <v>0</v>
      </c>
      <c r="S95" s="2"/>
      <c r="T95" s="8">
        <f t="shared" si="28"/>
        <v>0</v>
      </c>
      <c r="U95" s="2"/>
      <c r="V95" s="8">
        <f t="shared" si="29"/>
        <v>0</v>
      </c>
      <c r="W95" s="2"/>
      <c r="X95" s="2"/>
      <c r="Y95" s="2"/>
      <c r="Z95" s="2"/>
      <c r="AA95" s="2"/>
      <c r="AB95" s="2"/>
      <c r="AC95" s="2"/>
      <c r="AD95" s="8">
        <f t="shared" si="30"/>
        <v>0</v>
      </c>
      <c r="AE95" s="2"/>
      <c r="AF95" s="8">
        <f t="shared" si="31"/>
        <v>0</v>
      </c>
      <c r="AG95" s="2"/>
      <c r="AH95" s="8">
        <f t="shared" si="32"/>
        <v>0</v>
      </c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8">
        <f t="shared" si="33"/>
        <v>33.55663652217575</v>
      </c>
      <c r="BC95" s="2"/>
      <c r="BD95" s="8">
        <f t="shared" si="34"/>
        <v>34.6248464715402</v>
      </c>
      <c r="BE95" s="2"/>
      <c r="BF95" s="8">
        <f t="shared" si="35"/>
        <v>32.430216963977486</v>
      </c>
      <c r="BG95" s="2"/>
      <c r="BH95" s="2"/>
      <c r="BI95" s="2"/>
      <c r="BJ95" s="2"/>
      <c r="BK95" s="2"/>
      <c r="BL95" s="2"/>
      <c r="BM95" s="2"/>
      <c r="BN95" s="8">
        <f t="shared" si="36"/>
        <v>0</v>
      </c>
      <c r="BO95" s="2"/>
      <c r="BP95" s="8">
        <f t="shared" si="37"/>
        <v>0</v>
      </c>
      <c r="BQ95" s="2"/>
      <c r="BR95" s="8">
        <f t="shared" si="38"/>
        <v>0</v>
      </c>
      <c r="BS95" s="2"/>
      <c r="BT95" s="2"/>
      <c r="BU95" s="2"/>
      <c r="BV95" s="2"/>
      <c r="BW95" s="2"/>
      <c r="BX95" s="2"/>
      <c r="BY95" s="2"/>
      <c r="BZ95" s="8">
        <f t="shared" si="39"/>
        <v>0</v>
      </c>
      <c r="CA95" s="2"/>
      <c r="CB95" s="8">
        <f t="shared" si="40"/>
        <v>0</v>
      </c>
      <c r="CC95" s="2"/>
      <c r="CD95" s="8">
        <f t="shared" si="41"/>
        <v>0</v>
      </c>
      <c r="CL95" s="8">
        <f t="shared" si="42"/>
        <v>129.8013073620006</v>
      </c>
      <c r="CN95" s="8">
        <f t="shared" si="43"/>
        <v>144.038047285688</v>
      </c>
      <c r="CP95" s="8">
        <f t="shared" si="44"/>
        <v>143.48170626494633</v>
      </c>
      <c r="CX95" s="8">
        <f t="shared" si="46"/>
        <v>139.10702030421166</v>
      </c>
    </row>
    <row r="96" spans="2:102" ht="12.75">
      <c r="B96" s="4" t="s">
        <v>25</v>
      </c>
      <c r="D96" s="4" t="s">
        <v>10</v>
      </c>
      <c r="E96" s="2"/>
      <c r="F96" s="8">
        <f t="shared" si="45"/>
        <v>221877.027432268</v>
      </c>
      <c r="G96" s="2"/>
      <c r="H96" s="8">
        <f t="shared" si="45"/>
        <v>411602.04115798464</v>
      </c>
      <c r="I96" s="2"/>
      <c r="J96" s="8">
        <f t="shared" si="26"/>
        <v>201779.830233133</v>
      </c>
      <c r="K96" s="2"/>
      <c r="L96" s="2"/>
      <c r="M96" s="2"/>
      <c r="N96" s="2"/>
      <c r="O96" s="2"/>
      <c r="P96" s="2"/>
      <c r="Q96" s="2"/>
      <c r="R96" s="8">
        <f t="shared" si="27"/>
        <v>0</v>
      </c>
      <c r="S96" s="2"/>
      <c r="T96" s="8">
        <f t="shared" si="28"/>
        <v>0</v>
      </c>
      <c r="U96" s="2"/>
      <c r="V96" s="8">
        <f t="shared" si="29"/>
        <v>0</v>
      </c>
      <c r="W96" s="2"/>
      <c r="X96" s="2"/>
      <c r="Y96" s="2"/>
      <c r="Z96" s="2"/>
      <c r="AA96" s="2"/>
      <c r="AB96" s="2"/>
      <c r="AC96" s="2"/>
      <c r="AD96" s="8">
        <f t="shared" si="30"/>
        <v>0</v>
      </c>
      <c r="AE96" s="2"/>
      <c r="AF96" s="8">
        <f t="shared" si="31"/>
        <v>0</v>
      </c>
      <c r="AG96" s="2"/>
      <c r="AH96" s="8">
        <f t="shared" si="32"/>
        <v>0</v>
      </c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8">
        <f t="shared" si="33"/>
        <v>34718.47526123276</v>
      </c>
      <c r="BC96" s="2"/>
      <c r="BD96" s="8">
        <f t="shared" si="34"/>
        <v>47506.77859966161</v>
      </c>
      <c r="BE96" s="2"/>
      <c r="BF96" s="8">
        <f t="shared" si="35"/>
        <v>48035.989427853936</v>
      </c>
      <c r="BG96" s="2"/>
      <c r="BH96" s="2"/>
      <c r="BI96" s="2"/>
      <c r="BJ96" s="2"/>
      <c r="BK96" s="2"/>
      <c r="BL96" s="2"/>
      <c r="BM96" s="2"/>
      <c r="BN96" s="8">
        <f t="shared" si="36"/>
        <v>0</v>
      </c>
      <c r="BO96" s="2"/>
      <c r="BP96" s="8">
        <f t="shared" si="37"/>
        <v>0</v>
      </c>
      <c r="BQ96" s="2"/>
      <c r="BR96" s="8">
        <f t="shared" si="38"/>
        <v>0</v>
      </c>
      <c r="BS96" s="2"/>
      <c r="BT96" s="2"/>
      <c r="BU96" s="2"/>
      <c r="BV96" s="2"/>
      <c r="BW96" s="2"/>
      <c r="BX96" s="2"/>
      <c r="BY96" s="2"/>
      <c r="BZ96" s="8">
        <f t="shared" si="39"/>
        <v>0</v>
      </c>
      <c r="CA96" s="2"/>
      <c r="CB96" s="8">
        <f t="shared" si="40"/>
        <v>0</v>
      </c>
      <c r="CC96" s="2"/>
      <c r="CD96" s="8">
        <f t="shared" si="41"/>
        <v>0</v>
      </c>
      <c r="CL96" s="8">
        <f t="shared" si="42"/>
        <v>256595.50269350075</v>
      </c>
      <c r="CN96" s="8">
        <f t="shared" si="43"/>
        <v>459108.81975764624</v>
      </c>
      <c r="CP96" s="8">
        <f t="shared" si="44"/>
        <v>249815.81966098692</v>
      </c>
      <c r="CX96" s="8">
        <f t="shared" si="46"/>
        <v>321840.0473707113</v>
      </c>
    </row>
    <row r="97" spans="2:107" ht="12.75">
      <c r="B97" s="4" t="s">
        <v>67</v>
      </c>
      <c r="D97" s="4" t="s">
        <v>10</v>
      </c>
      <c r="E97" s="2"/>
      <c r="F97" s="8">
        <f>F86+F90</f>
        <v>13165.68321717299</v>
      </c>
      <c r="G97" s="2"/>
      <c r="H97" s="8">
        <f>H86+H90</f>
        <v>15349.910590409749</v>
      </c>
      <c r="I97" s="2"/>
      <c r="J97" s="8">
        <f>J86+J90</f>
        <v>13014.073223309611</v>
      </c>
      <c r="K97" s="2"/>
      <c r="L97" s="2"/>
      <c r="M97" s="2"/>
      <c r="N97" s="2"/>
      <c r="O97" s="2"/>
      <c r="P97" s="2"/>
      <c r="Q97" s="2"/>
      <c r="R97" s="8">
        <f>R86+R90</f>
        <v>0</v>
      </c>
      <c r="S97" s="2"/>
      <c r="T97" s="8">
        <f>T86+T90</f>
        <v>0</v>
      </c>
      <c r="U97" s="2"/>
      <c r="V97" s="8">
        <f>V86+V90</f>
        <v>0</v>
      </c>
      <c r="W97" s="2"/>
      <c r="X97" s="2"/>
      <c r="Y97" s="2"/>
      <c r="Z97" s="2"/>
      <c r="AA97" s="2"/>
      <c r="AB97" s="2"/>
      <c r="AC97" s="2"/>
      <c r="AD97" s="8">
        <f>AD86+AD90</f>
        <v>0</v>
      </c>
      <c r="AE97" s="2"/>
      <c r="AF97" s="8">
        <f>AF86+AF90</f>
        <v>0</v>
      </c>
      <c r="AG97" s="2"/>
      <c r="AH97" s="8">
        <f>AH86+AH90</f>
        <v>0</v>
      </c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8">
        <f>BB86+BB90</f>
        <v>15717.627835784077</v>
      </c>
      <c r="BC97" s="2"/>
      <c r="BD97" s="8">
        <f>BD86+BD90</f>
        <v>21371.348786659684</v>
      </c>
      <c r="BE97" s="2"/>
      <c r="BF97" s="8">
        <f>BF86+BF90</f>
        <v>19091.513007488913</v>
      </c>
      <c r="BG97" s="2"/>
      <c r="BH97" s="2"/>
      <c r="BI97" s="2"/>
      <c r="BJ97" s="2"/>
      <c r="BK97" s="2"/>
      <c r="BL97" s="2"/>
      <c r="BM97" s="2"/>
      <c r="BN97" s="8">
        <f>BN86+BN90</f>
        <v>0</v>
      </c>
      <c r="BO97" s="2"/>
      <c r="BP97" s="8">
        <f>BP86+BP90</f>
        <v>0</v>
      </c>
      <c r="BQ97" s="2"/>
      <c r="BR97" s="8">
        <f>BR86+BR90</f>
        <v>0</v>
      </c>
      <c r="BS97" s="2"/>
      <c r="BT97" s="2"/>
      <c r="BU97" s="2"/>
      <c r="BV97" s="2"/>
      <c r="BW97" s="2"/>
      <c r="BX97" s="2"/>
      <c r="BY97" s="2"/>
      <c r="BZ97" s="8">
        <f>BZ86+BZ90</f>
        <v>0</v>
      </c>
      <c r="CA97" s="2"/>
      <c r="CB97" s="8">
        <f>CB86+CB90</f>
        <v>0</v>
      </c>
      <c r="CC97" s="2"/>
      <c r="CD97" s="8">
        <f>CD86+CD90</f>
        <v>0</v>
      </c>
      <c r="CL97" s="8">
        <f t="shared" si="42"/>
        <v>28883.311052957066</v>
      </c>
      <c r="CN97" s="8">
        <f t="shared" si="43"/>
        <v>36721.25937706944</v>
      </c>
      <c r="CP97" s="8">
        <f t="shared" si="44"/>
        <v>32105.586230798523</v>
      </c>
      <c r="CX97" s="8">
        <f t="shared" si="46"/>
        <v>32570.05222027501</v>
      </c>
      <c r="CZ97" s="8">
        <f>AVERAGE(BB97,BD97,BF97,BH97,BJ97,BL97)</f>
        <v>18726.829876644228</v>
      </c>
      <c r="DA97" s="8">
        <f>AVERAGE(R97,T97,V97,X97,Z97,AB97)+AVERAGE(AD97,AF97,AH97,AJ97,AL97,AN97)</f>
        <v>0</v>
      </c>
      <c r="DB97" s="8">
        <f>AVERAGE(F97,H97,J97,L97,N97,P97)+AVERAGE(BN97,BP97,BR97,BT97,BV97,BX97)+AVERAGE(BZ97,CB97,CD97,CF97,CH97,CJ97)</f>
        <v>13843.222343630783</v>
      </c>
      <c r="DC97" s="8">
        <f>SUM(CZ97,DA97,DB97)</f>
        <v>32570.05222027501</v>
      </c>
    </row>
    <row r="98" spans="2:107" ht="12.75">
      <c r="B98" s="4" t="s">
        <v>68</v>
      </c>
      <c r="D98" s="4" t="s">
        <v>10</v>
      </c>
      <c r="E98" s="2"/>
      <c r="F98" s="8">
        <f>F83+F85+F87</f>
        <v>33347.67640778359</v>
      </c>
      <c r="G98" s="2"/>
      <c r="H98" s="8">
        <f>H83+H85+H87</f>
        <v>38082.20637860924</v>
      </c>
      <c r="I98" s="2"/>
      <c r="J98" s="8">
        <f>J83+J85+J87</f>
        <v>36683.28280569258</v>
      </c>
      <c r="K98" s="2"/>
      <c r="L98" s="2"/>
      <c r="M98" s="2"/>
      <c r="N98" s="2"/>
      <c r="O98" s="2"/>
      <c r="P98" s="2"/>
      <c r="Q98" s="2"/>
      <c r="R98" s="8">
        <f>R83+R85+R87</f>
        <v>0</v>
      </c>
      <c r="S98" s="2"/>
      <c r="T98" s="8">
        <f>T83+T85+T87</f>
        <v>0</v>
      </c>
      <c r="U98" s="2"/>
      <c r="V98" s="8">
        <f>V83+V85+V87</f>
        <v>0</v>
      </c>
      <c r="W98" s="2"/>
      <c r="X98" s="2"/>
      <c r="Y98" s="2"/>
      <c r="Z98" s="2"/>
      <c r="AA98" s="2"/>
      <c r="AB98" s="2"/>
      <c r="AC98" s="2"/>
      <c r="AD98" s="8">
        <f>AD83+AD85+AD87</f>
        <v>0</v>
      </c>
      <c r="AE98" s="2"/>
      <c r="AF98" s="8">
        <f>AF83+AF85+AF87</f>
        <v>0</v>
      </c>
      <c r="AG98" s="2"/>
      <c r="AH98" s="8">
        <f>AH83+AH85+AH87</f>
        <v>0</v>
      </c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>
        <f>SUM(BB83,BB85)/BB98*100</f>
        <v>1.3390718723413382</v>
      </c>
      <c r="BB98" s="8">
        <f>BB83+BB85+BB87</f>
        <v>9559.404114595294</v>
      </c>
      <c r="BC98" s="2">
        <f>SUM(BD83,BD85)/BD98*100</f>
        <v>1.0792857813907477</v>
      </c>
      <c r="BD98" s="8">
        <f>BD83+BD85+BD87</f>
        <v>13474.128695837879</v>
      </c>
      <c r="BE98" s="2">
        <f>SUM(BF83,BF85)/BF98*100</f>
        <v>1.114365040124748</v>
      </c>
      <c r="BF98" s="8">
        <f>BF83+BF85+BF87</f>
        <v>12460.989274398791</v>
      </c>
      <c r="BG98" s="2"/>
      <c r="BH98" s="2"/>
      <c r="BI98" s="2"/>
      <c r="BJ98" s="2"/>
      <c r="BK98" s="2"/>
      <c r="BL98" s="2"/>
      <c r="BM98" s="2"/>
      <c r="BN98" s="8">
        <f>BN83+BN85+BN87</f>
        <v>0</v>
      </c>
      <c r="BO98" s="2"/>
      <c r="BP98" s="8">
        <f>BP83+BP85+BP87</f>
        <v>0</v>
      </c>
      <c r="BQ98" s="2"/>
      <c r="BR98" s="8">
        <f>BR83+BR85+BR87</f>
        <v>0</v>
      </c>
      <c r="BS98" s="2"/>
      <c r="BT98" s="2"/>
      <c r="BU98" s="2"/>
      <c r="BV98" s="2"/>
      <c r="BW98" s="2"/>
      <c r="BX98" s="2"/>
      <c r="BY98" s="2"/>
      <c r="BZ98" s="8">
        <f>BZ83+BZ85+BZ87</f>
        <v>0</v>
      </c>
      <c r="CA98" s="2"/>
      <c r="CB98" s="8">
        <f>CB83+CB85+CB87</f>
        <v>0</v>
      </c>
      <c r="CC98" s="2"/>
      <c r="CD98" s="8">
        <f>CD83+CD85+CD87</f>
        <v>0</v>
      </c>
      <c r="CK98" s="4">
        <f>SUM((BB98*BA98/100),(F98*E98/100))/CL98*100</f>
        <v>0.29833605573611993</v>
      </c>
      <c r="CL98" s="8">
        <f t="shared" si="42"/>
        <v>42907.080522378885</v>
      </c>
      <c r="CM98" s="4">
        <f>SUM((BD98*BC98/100),(H98*G98/100))/CN98*100</f>
        <v>0.28206883784597314</v>
      </c>
      <c r="CN98" s="8">
        <f t="shared" si="43"/>
        <v>51556.33507444712</v>
      </c>
      <c r="CO98" s="4">
        <f>SUM((BF98*BE98/100),(J98*I98/100))/CP98*100</f>
        <v>0.28255766592959264</v>
      </c>
      <c r="CP98" s="8">
        <f t="shared" si="44"/>
        <v>49144.27208009137</v>
      </c>
      <c r="CW98" s="4">
        <f>SUM((CV98*CU98/100),(CT98*CS98/100),(CR98*CQ98/100),(CP98*CO98/100),(CN98*CM98/100),(CL98*CK98/100))/CX98/3*100</f>
        <v>0.28709643727263984</v>
      </c>
      <c r="CX98" s="8">
        <f t="shared" si="46"/>
        <v>47869.229225639116</v>
      </c>
      <c r="CZ98" s="8">
        <f>AVERAGE(BB98,BD98,BF98,BH98,BJ98,BL98)</f>
        <v>11831.507361610653</v>
      </c>
      <c r="DA98" s="8">
        <f>AVERAGE(R98,T98,V98,X98,Z98,AB98)+AVERAGE(AD98,AF98,AH98,AJ98,AL98,AN98)</f>
        <v>0</v>
      </c>
      <c r="DB98" s="8">
        <f>AVERAGE(F98,H98,J98,L98,N98,P98)+AVERAGE(BN98,BP98,BR98,BT98,BV98,BX98)+AVERAGE(BZ98,CB98,CD98,CF98,CH98,CJ98)</f>
        <v>36037.72186402847</v>
      </c>
      <c r="DC98" s="8">
        <f>SUM(CZ98,DA98,DB98)</f>
        <v>47869.22922563912</v>
      </c>
    </row>
    <row r="99" spans="5:82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7:81" ht="12.75">
      <c r="Q100" s="2"/>
      <c r="S100" s="2"/>
      <c r="U100" s="2"/>
      <c r="W100" s="2"/>
      <c r="Y100" s="2"/>
      <c r="AA100" s="2"/>
      <c r="AC100" s="2"/>
      <c r="AE100" s="2"/>
      <c r="AG100" s="2"/>
      <c r="AI100" s="2"/>
      <c r="AK100" s="2"/>
      <c r="AM100" s="2"/>
      <c r="BA100" s="2">
        <v>6</v>
      </c>
      <c r="BC100" s="2">
        <v>5</v>
      </c>
      <c r="BE100" s="2">
        <v>5</v>
      </c>
      <c r="BM100" s="2"/>
      <c r="BO100" s="2"/>
      <c r="BQ100" s="2"/>
      <c r="BY100" s="2"/>
      <c r="CA100" s="2"/>
      <c r="CC100" s="2"/>
    </row>
    <row r="101" spans="2:102" ht="12.75">
      <c r="B101" s="6" t="s">
        <v>0</v>
      </c>
      <c r="C101" s="6"/>
      <c r="D101" s="6"/>
      <c r="F101" s="24" t="s">
        <v>54</v>
      </c>
      <c r="G101" s="24"/>
      <c r="H101" s="24" t="s">
        <v>55</v>
      </c>
      <c r="I101" s="24"/>
      <c r="J101" s="24" t="s">
        <v>56</v>
      </c>
      <c r="K101" s="24"/>
      <c r="L101" s="24" t="s">
        <v>57</v>
      </c>
      <c r="M101" s="24"/>
      <c r="N101" s="24" t="s">
        <v>58</v>
      </c>
      <c r="O101" s="24"/>
      <c r="P101" s="24" t="s">
        <v>59</v>
      </c>
      <c r="Q101" s="24"/>
      <c r="R101" s="24" t="s">
        <v>54</v>
      </c>
      <c r="S101" s="24"/>
      <c r="T101" s="24" t="s">
        <v>55</v>
      </c>
      <c r="U101" s="24"/>
      <c r="V101" s="24" t="s">
        <v>56</v>
      </c>
      <c r="W101" s="24"/>
      <c r="X101" s="24" t="s">
        <v>57</v>
      </c>
      <c r="Y101" s="24"/>
      <c r="Z101" s="24" t="s">
        <v>58</v>
      </c>
      <c r="AA101" s="24"/>
      <c r="AB101" s="24" t="s">
        <v>59</v>
      </c>
      <c r="AC101" s="24"/>
      <c r="AD101" s="24" t="s">
        <v>54</v>
      </c>
      <c r="AE101" s="24"/>
      <c r="AF101" s="24" t="s">
        <v>55</v>
      </c>
      <c r="AG101" s="24"/>
      <c r="AH101" s="24" t="s">
        <v>56</v>
      </c>
      <c r="AI101" s="24"/>
      <c r="AJ101" s="24" t="s">
        <v>57</v>
      </c>
      <c r="AK101" s="24"/>
      <c r="AL101" s="24" t="s">
        <v>58</v>
      </c>
      <c r="AM101" s="24"/>
      <c r="AN101" s="24" t="s">
        <v>59</v>
      </c>
      <c r="AO101" s="24"/>
      <c r="AP101" s="24" t="s">
        <v>54</v>
      </c>
      <c r="AQ101" s="24"/>
      <c r="AR101" s="24" t="s">
        <v>55</v>
      </c>
      <c r="AS101" s="24"/>
      <c r="AT101" s="24" t="s">
        <v>56</v>
      </c>
      <c r="AU101" s="24"/>
      <c r="AV101" s="24" t="s">
        <v>57</v>
      </c>
      <c r="AW101" s="24"/>
      <c r="AX101" s="24" t="s">
        <v>58</v>
      </c>
      <c r="AY101" s="24"/>
      <c r="AZ101" s="24" t="s">
        <v>59</v>
      </c>
      <c r="BA101" s="24"/>
      <c r="BB101" s="24" t="s">
        <v>54</v>
      </c>
      <c r="BC101" s="24"/>
      <c r="BD101" s="24" t="s">
        <v>55</v>
      </c>
      <c r="BE101" s="24"/>
      <c r="BF101" s="24" t="s">
        <v>56</v>
      </c>
      <c r="BG101" s="24"/>
      <c r="BH101" s="24" t="s">
        <v>57</v>
      </c>
      <c r="BI101" s="24"/>
      <c r="BJ101" s="24" t="s">
        <v>58</v>
      </c>
      <c r="BK101" s="24"/>
      <c r="BL101" s="24" t="s">
        <v>59</v>
      </c>
      <c r="BM101" s="24"/>
      <c r="BN101" s="24" t="s">
        <v>54</v>
      </c>
      <c r="BO101" s="24"/>
      <c r="BP101" s="24" t="s">
        <v>55</v>
      </c>
      <c r="BQ101" s="24"/>
      <c r="BR101" s="24" t="s">
        <v>56</v>
      </c>
      <c r="BS101" s="24"/>
      <c r="BT101" s="24" t="s">
        <v>57</v>
      </c>
      <c r="BU101" s="24"/>
      <c r="BV101" s="24" t="s">
        <v>58</v>
      </c>
      <c r="BW101" s="24"/>
      <c r="BX101" s="24" t="s">
        <v>59</v>
      </c>
      <c r="BY101" s="24"/>
      <c r="BZ101" s="24" t="s">
        <v>54</v>
      </c>
      <c r="CA101" s="24"/>
      <c r="CB101" s="24" t="s">
        <v>55</v>
      </c>
      <c r="CC101" s="24"/>
      <c r="CD101" s="24" t="s">
        <v>56</v>
      </c>
      <c r="CE101" s="24"/>
      <c r="CF101" s="24" t="s">
        <v>57</v>
      </c>
      <c r="CG101" s="24"/>
      <c r="CH101" s="24" t="s">
        <v>58</v>
      </c>
      <c r="CI101" s="24"/>
      <c r="CJ101" s="24" t="s">
        <v>59</v>
      </c>
      <c r="CK101" s="24"/>
      <c r="CL101" s="24" t="s">
        <v>54</v>
      </c>
      <c r="CM101" s="24"/>
      <c r="CN101" s="24" t="s">
        <v>55</v>
      </c>
      <c r="CO101" s="24"/>
      <c r="CP101" s="24" t="s">
        <v>56</v>
      </c>
      <c r="CQ101" s="24"/>
      <c r="CR101" s="24" t="s">
        <v>57</v>
      </c>
      <c r="CS101" s="24"/>
      <c r="CT101" s="24" t="s">
        <v>58</v>
      </c>
      <c r="CU101" s="24"/>
      <c r="CV101" s="24" t="s">
        <v>59</v>
      </c>
      <c r="CW101" s="24"/>
      <c r="CX101" s="24" t="s">
        <v>61</v>
      </c>
    </row>
    <row r="102" spans="2:102" ht="12.75">
      <c r="B102" s="6"/>
      <c r="C102" s="6"/>
      <c r="D102" s="6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2:102" ht="12.75">
      <c r="B103" s="30" t="s">
        <v>230</v>
      </c>
      <c r="C103" s="30"/>
      <c r="D103" s="6"/>
      <c r="E103" s="2"/>
      <c r="F103" s="24" t="s">
        <v>236</v>
      </c>
      <c r="G103" s="24"/>
      <c r="H103" s="24" t="s">
        <v>236</v>
      </c>
      <c r="I103" s="24"/>
      <c r="J103" s="24" t="s">
        <v>236</v>
      </c>
      <c r="K103" s="24"/>
      <c r="L103" s="24" t="s">
        <v>236</v>
      </c>
      <c r="M103" s="24"/>
      <c r="N103" s="24" t="s">
        <v>236</v>
      </c>
      <c r="O103" s="24"/>
      <c r="P103" s="24" t="s">
        <v>236</v>
      </c>
      <c r="Q103" s="24"/>
      <c r="R103" s="24" t="s">
        <v>237</v>
      </c>
      <c r="S103" s="24"/>
      <c r="T103" s="24" t="s">
        <v>237</v>
      </c>
      <c r="U103" s="24"/>
      <c r="V103" s="24" t="s">
        <v>237</v>
      </c>
      <c r="W103" s="24"/>
      <c r="X103" s="24" t="s">
        <v>237</v>
      </c>
      <c r="Y103" s="24"/>
      <c r="Z103" s="24" t="s">
        <v>237</v>
      </c>
      <c r="AA103" s="24"/>
      <c r="AB103" s="24" t="s">
        <v>237</v>
      </c>
      <c r="AC103" s="24"/>
      <c r="AD103" s="24" t="s">
        <v>238</v>
      </c>
      <c r="AE103" s="24"/>
      <c r="AF103" s="24" t="s">
        <v>238</v>
      </c>
      <c r="AG103" s="24"/>
      <c r="AH103" s="24" t="s">
        <v>238</v>
      </c>
      <c r="AI103" s="24"/>
      <c r="AJ103" s="24" t="s">
        <v>238</v>
      </c>
      <c r="AK103" s="24"/>
      <c r="AL103" s="24" t="s">
        <v>238</v>
      </c>
      <c r="AM103" s="24"/>
      <c r="AN103" s="24" t="s">
        <v>238</v>
      </c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 t="s">
        <v>240</v>
      </c>
      <c r="BC103" s="24"/>
      <c r="BD103" s="24" t="s">
        <v>240</v>
      </c>
      <c r="BE103" s="24"/>
      <c r="BF103" s="24" t="s">
        <v>240</v>
      </c>
      <c r="BG103" s="24"/>
      <c r="BH103" s="24" t="s">
        <v>240</v>
      </c>
      <c r="BI103" s="24"/>
      <c r="BJ103" s="24" t="s">
        <v>240</v>
      </c>
      <c r="BK103" s="24"/>
      <c r="BL103" s="24" t="s">
        <v>240</v>
      </c>
      <c r="BM103" s="24"/>
      <c r="BN103" s="24" t="s">
        <v>241</v>
      </c>
      <c r="BO103" s="24"/>
      <c r="BP103" s="24" t="s">
        <v>241</v>
      </c>
      <c r="BQ103" s="24"/>
      <c r="BR103" s="24" t="s">
        <v>241</v>
      </c>
      <c r="BS103" s="24"/>
      <c r="BT103" s="24" t="s">
        <v>241</v>
      </c>
      <c r="BU103" s="24"/>
      <c r="BV103" s="24" t="s">
        <v>241</v>
      </c>
      <c r="BW103" s="24"/>
      <c r="BX103" s="24" t="s">
        <v>241</v>
      </c>
      <c r="BY103" s="24"/>
      <c r="BZ103" s="24" t="s">
        <v>242</v>
      </c>
      <c r="CA103" s="24"/>
      <c r="CB103" s="24" t="s">
        <v>242</v>
      </c>
      <c r="CC103" s="24"/>
      <c r="CD103" s="24" t="s">
        <v>242</v>
      </c>
      <c r="CE103" s="24"/>
      <c r="CF103" s="24" t="s">
        <v>242</v>
      </c>
      <c r="CG103" s="24"/>
      <c r="CH103" s="24" t="s">
        <v>242</v>
      </c>
      <c r="CI103" s="24"/>
      <c r="CJ103" s="24" t="s">
        <v>242</v>
      </c>
      <c r="CK103" s="24"/>
      <c r="CL103" s="24" t="s">
        <v>243</v>
      </c>
      <c r="CM103" s="24"/>
      <c r="CN103" s="24" t="s">
        <v>243</v>
      </c>
      <c r="CO103" s="24"/>
      <c r="CP103" s="24" t="s">
        <v>243</v>
      </c>
      <c r="CQ103" s="24"/>
      <c r="CR103" s="24" t="s">
        <v>243</v>
      </c>
      <c r="CS103" s="24"/>
      <c r="CT103" s="24" t="s">
        <v>243</v>
      </c>
      <c r="CU103" s="24"/>
      <c r="CV103" s="24" t="s">
        <v>243</v>
      </c>
      <c r="CW103" s="24"/>
      <c r="CX103" s="24" t="s">
        <v>243</v>
      </c>
    </row>
    <row r="104" spans="2:102" ht="12.75">
      <c r="B104" s="30" t="s">
        <v>231</v>
      </c>
      <c r="C104" s="30"/>
      <c r="E104" s="2"/>
      <c r="F104" s="2" t="s">
        <v>235</v>
      </c>
      <c r="G104" s="2"/>
      <c r="H104" s="2" t="s">
        <v>235</v>
      </c>
      <c r="I104" s="2"/>
      <c r="J104" s="2" t="s">
        <v>235</v>
      </c>
      <c r="K104" s="2"/>
      <c r="L104" s="2" t="s">
        <v>235</v>
      </c>
      <c r="M104" s="2"/>
      <c r="N104" s="2" t="s">
        <v>235</v>
      </c>
      <c r="O104" s="2"/>
      <c r="P104" s="2" t="s">
        <v>235</v>
      </c>
      <c r="Q104" s="2"/>
      <c r="R104" s="2" t="s">
        <v>118</v>
      </c>
      <c r="S104" s="2"/>
      <c r="T104" s="2" t="s">
        <v>118</v>
      </c>
      <c r="U104" s="2"/>
      <c r="V104" s="2" t="s">
        <v>118</v>
      </c>
      <c r="W104" s="2"/>
      <c r="X104" s="2" t="s">
        <v>118</v>
      </c>
      <c r="Y104" s="2"/>
      <c r="Z104" s="2" t="s">
        <v>118</v>
      </c>
      <c r="AA104" s="2"/>
      <c r="AB104" s="2" t="s">
        <v>118</v>
      </c>
      <c r="AC104" s="2"/>
      <c r="AD104" s="2" t="s">
        <v>118</v>
      </c>
      <c r="AE104" s="2"/>
      <c r="AF104" s="2" t="s">
        <v>118</v>
      </c>
      <c r="AG104" s="2"/>
      <c r="AH104" s="2" t="s">
        <v>118</v>
      </c>
      <c r="AI104" s="2"/>
      <c r="AJ104" s="2" t="s">
        <v>118</v>
      </c>
      <c r="AK104" s="2"/>
      <c r="AL104" s="2" t="s">
        <v>118</v>
      </c>
      <c r="AM104" s="2"/>
      <c r="AN104" s="2" t="s">
        <v>118</v>
      </c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 t="s">
        <v>239</v>
      </c>
      <c r="BC104" s="2"/>
      <c r="BD104" s="2" t="s">
        <v>239</v>
      </c>
      <c r="BE104" s="2"/>
      <c r="BF104" s="2" t="s">
        <v>239</v>
      </c>
      <c r="BG104" s="2"/>
      <c r="BH104" s="2" t="s">
        <v>239</v>
      </c>
      <c r="BI104" s="2"/>
      <c r="BJ104" s="2" t="s">
        <v>239</v>
      </c>
      <c r="BK104" s="2"/>
      <c r="BL104" s="2" t="s">
        <v>239</v>
      </c>
      <c r="BM104" s="2"/>
      <c r="BN104" s="4" t="s">
        <v>65</v>
      </c>
      <c r="BO104" s="2"/>
      <c r="BP104" s="4" t="s">
        <v>65</v>
      </c>
      <c r="BQ104" s="2"/>
      <c r="BR104" s="4" t="s">
        <v>65</v>
      </c>
      <c r="BS104" s="2"/>
      <c r="BT104" s="4" t="s">
        <v>65</v>
      </c>
      <c r="BU104" s="2"/>
      <c r="BV104" s="4" t="s">
        <v>65</v>
      </c>
      <c r="BW104" s="2"/>
      <c r="BX104" s="4" t="s">
        <v>65</v>
      </c>
      <c r="BY104" s="2"/>
      <c r="BZ104" s="2" t="s">
        <v>235</v>
      </c>
      <c r="CA104" s="2"/>
      <c r="CB104" s="2" t="s">
        <v>235</v>
      </c>
      <c r="CC104" s="2"/>
      <c r="CD104" s="2" t="s">
        <v>235</v>
      </c>
      <c r="CF104" s="2" t="s">
        <v>235</v>
      </c>
      <c r="CH104" s="2" t="s">
        <v>235</v>
      </c>
      <c r="CJ104" s="2" t="s">
        <v>235</v>
      </c>
      <c r="CL104" s="4" t="s">
        <v>66</v>
      </c>
      <c r="CN104" s="4" t="s">
        <v>66</v>
      </c>
      <c r="CP104" s="4" t="s">
        <v>66</v>
      </c>
      <c r="CR104" s="4" t="s">
        <v>66</v>
      </c>
      <c r="CT104" s="4" t="s">
        <v>66</v>
      </c>
      <c r="CV104" s="4" t="s">
        <v>66</v>
      </c>
      <c r="CX104" s="4" t="s">
        <v>66</v>
      </c>
    </row>
    <row r="105" spans="2:102" ht="12.75">
      <c r="B105" s="30" t="s">
        <v>246</v>
      </c>
      <c r="C105" s="30"/>
      <c r="E105" s="2"/>
      <c r="F105" s="32" t="s">
        <v>247</v>
      </c>
      <c r="G105" s="2"/>
      <c r="H105" s="32" t="s">
        <v>247</v>
      </c>
      <c r="I105" s="2"/>
      <c r="J105" s="32" t="s">
        <v>247</v>
      </c>
      <c r="K105" s="2"/>
      <c r="L105" s="32" t="s">
        <v>247</v>
      </c>
      <c r="M105" s="2"/>
      <c r="N105" s="32" t="s">
        <v>247</v>
      </c>
      <c r="O105" s="2"/>
      <c r="P105" s="32" t="s">
        <v>247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118</v>
      </c>
      <c r="AQ105" s="2"/>
      <c r="AR105" s="2" t="s">
        <v>118</v>
      </c>
      <c r="AS105" s="2"/>
      <c r="AT105" s="2" t="s">
        <v>118</v>
      </c>
      <c r="AU105" s="2"/>
      <c r="AV105" s="2" t="s">
        <v>118</v>
      </c>
      <c r="AW105" s="2"/>
      <c r="AX105" s="2" t="s">
        <v>118</v>
      </c>
      <c r="AY105" s="2"/>
      <c r="AZ105" s="2" t="s">
        <v>118</v>
      </c>
      <c r="BA105" s="2"/>
      <c r="BB105" s="32" t="s">
        <v>117</v>
      </c>
      <c r="BC105" s="2"/>
      <c r="BD105" s="32" t="s">
        <v>117</v>
      </c>
      <c r="BE105" s="2"/>
      <c r="BF105" s="32" t="s">
        <v>117</v>
      </c>
      <c r="BG105" s="2"/>
      <c r="BH105" s="32" t="s">
        <v>117</v>
      </c>
      <c r="BI105" s="2"/>
      <c r="BJ105" s="32" t="s">
        <v>117</v>
      </c>
      <c r="BK105" s="2"/>
      <c r="BL105" s="32" t="s">
        <v>117</v>
      </c>
      <c r="BM105" s="2"/>
      <c r="BN105" s="4" t="s">
        <v>65</v>
      </c>
      <c r="BO105" s="2"/>
      <c r="BP105" s="4" t="s">
        <v>65</v>
      </c>
      <c r="BQ105" s="2"/>
      <c r="BR105" s="4" t="s">
        <v>65</v>
      </c>
      <c r="BS105" s="2"/>
      <c r="BT105" s="4" t="s">
        <v>65</v>
      </c>
      <c r="BU105" s="2"/>
      <c r="BV105" s="4" t="s">
        <v>65</v>
      </c>
      <c r="BW105" s="2"/>
      <c r="BX105" s="4" t="s">
        <v>65</v>
      </c>
      <c r="BY105" s="2"/>
      <c r="BZ105" s="2"/>
      <c r="CA105" s="2"/>
      <c r="CB105" s="2"/>
      <c r="CC105" s="2"/>
      <c r="CD105" s="2"/>
      <c r="CF105" s="2"/>
      <c r="CH105" s="2"/>
      <c r="CJ105" s="2"/>
      <c r="CL105" s="4" t="s">
        <v>66</v>
      </c>
      <c r="CN105" s="4" t="s">
        <v>66</v>
      </c>
      <c r="CP105" s="4" t="s">
        <v>66</v>
      </c>
      <c r="CR105" s="4" t="s">
        <v>66</v>
      </c>
      <c r="CT105" s="4" t="s">
        <v>66</v>
      </c>
      <c r="CV105" s="4" t="s">
        <v>66</v>
      </c>
      <c r="CX105" s="4" t="s">
        <v>66</v>
      </c>
    </row>
    <row r="106" spans="2:102" ht="12.75">
      <c r="B106" s="30" t="s">
        <v>232</v>
      </c>
      <c r="C106" s="30"/>
      <c r="F106" s="4" t="s">
        <v>62</v>
      </c>
      <c r="H106" s="4" t="s">
        <v>62</v>
      </c>
      <c r="J106" s="4" t="s">
        <v>62</v>
      </c>
      <c r="L106" s="4" t="s">
        <v>62</v>
      </c>
      <c r="N106" s="4" t="s">
        <v>62</v>
      </c>
      <c r="P106" s="4" t="s">
        <v>62</v>
      </c>
      <c r="R106" s="4" t="s">
        <v>63</v>
      </c>
      <c r="T106" s="4" t="s">
        <v>63</v>
      </c>
      <c r="V106" s="4" t="s">
        <v>63</v>
      </c>
      <c r="X106" s="4" t="s">
        <v>63</v>
      </c>
      <c r="Z106" s="4" t="s">
        <v>63</v>
      </c>
      <c r="AB106" s="4" t="s">
        <v>63</v>
      </c>
      <c r="AD106" s="4" t="s">
        <v>63</v>
      </c>
      <c r="AF106" s="4" t="s">
        <v>63</v>
      </c>
      <c r="AH106" s="4" t="s">
        <v>63</v>
      </c>
      <c r="AJ106" s="4" t="s">
        <v>63</v>
      </c>
      <c r="AL106" s="4" t="s">
        <v>63</v>
      </c>
      <c r="AN106" s="4" t="s">
        <v>63</v>
      </c>
      <c r="BB106" s="4" t="s">
        <v>64</v>
      </c>
      <c r="BD106" s="4" t="s">
        <v>64</v>
      </c>
      <c r="BF106" s="4" t="s">
        <v>64</v>
      </c>
      <c r="BH106" s="4" t="s">
        <v>64</v>
      </c>
      <c r="BJ106" s="4" t="s">
        <v>64</v>
      </c>
      <c r="BL106" s="4" t="s">
        <v>64</v>
      </c>
      <c r="BN106" s="4" t="s">
        <v>65</v>
      </c>
      <c r="BP106" s="4" t="s">
        <v>65</v>
      </c>
      <c r="BR106" s="4" t="s">
        <v>65</v>
      </c>
      <c r="BT106" s="4" t="s">
        <v>65</v>
      </c>
      <c r="BV106" s="4" t="s">
        <v>65</v>
      </c>
      <c r="BX106" s="4" t="s">
        <v>65</v>
      </c>
      <c r="BZ106" s="4" t="s">
        <v>120</v>
      </c>
      <c r="CB106" s="4" t="s">
        <v>120</v>
      </c>
      <c r="CD106" s="4" t="s">
        <v>120</v>
      </c>
      <c r="CF106" s="4" t="s">
        <v>120</v>
      </c>
      <c r="CH106" s="4" t="s">
        <v>120</v>
      </c>
      <c r="CJ106" s="4" t="s">
        <v>120</v>
      </c>
      <c r="CL106" s="4" t="s">
        <v>66</v>
      </c>
      <c r="CN106" s="4" t="s">
        <v>66</v>
      </c>
      <c r="CP106" s="4" t="s">
        <v>66</v>
      </c>
      <c r="CR106" s="4" t="s">
        <v>66</v>
      </c>
      <c r="CT106" s="4" t="s">
        <v>66</v>
      </c>
      <c r="CV106" s="4" t="s">
        <v>66</v>
      </c>
      <c r="CX106" s="4" t="s">
        <v>66</v>
      </c>
    </row>
    <row r="107" spans="1:82" ht="12.75">
      <c r="A107" s="4" t="s">
        <v>0</v>
      </c>
      <c r="B107" s="4" t="s">
        <v>233</v>
      </c>
      <c r="D107" s="4" t="s">
        <v>69</v>
      </c>
      <c r="E107" s="2"/>
      <c r="F107">
        <v>154000</v>
      </c>
      <c r="H107">
        <v>157600</v>
      </c>
      <c r="I107" s="2"/>
      <c r="J107">
        <v>157200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>
        <v>15000</v>
      </c>
      <c r="BO107" s="2"/>
      <c r="BP107" s="2">
        <v>6400</v>
      </c>
      <c r="BQ107" s="2"/>
      <c r="BR107" s="2">
        <v>6200</v>
      </c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 ht="12.75">
      <c r="A108" s="4" t="s">
        <v>0</v>
      </c>
      <c r="B108" s="4" t="s">
        <v>234</v>
      </c>
      <c r="D108" s="4" t="s">
        <v>52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>
        <v>12000</v>
      </c>
      <c r="BO108" s="2"/>
      <c r="BP108" s="2">
        <v>12000</v>
      </c>
      <c r="BQ108" s="2"/>
      <c r="BR108" s="2">
        <v>12000</v>
      </c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 ht="12.75">
      <c r="A109" s="4" t="s">
        <v>0</v>
      </c>
      <c r="B109" s="4" t="s">
        <v>51</v>
      </c>
      <c r="D109" s="4" t="s">
        <v>69</v>
      </c>
      <c r="E109" s="2"/>
      <c r="F109" s="15">
        <v>53.592</v>
      </c>
      <c r="G109" s="15"/>
      <c r="H109" s="15">
        <v>47.314672</v>
      </c>
      <c r="I109" s="15"/>
      <c r="J109" s="15">
        <v>46.724556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>
        <v>38.1</v>
      </c>
      <c r="BO109" s="2"/>
      <c r="BP109" s="2">
        <v>14.4</v>
      </c>
      <c r="BQ109" s="2"/>
      <c r="BR109" s="2">
        <v>17.608</v>
      </c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82" ht="12.75">
      <c r="A110" s="4" t="s">
        <v>0</v>
      </c>
      <c r="B110" s="4" t="s">
        <v>9</v>
      </c>
      <c r="D110" s="4" t="s">
        <v>69</v>
      </c>
      <c r="E110" s="2" t="s">
        <v>11</v>
      </c>
      <c r="F110" s="10">
        <v>4.4968</v>
      </c>
      <c r="G110" s="10" t="s">
        <v>11</v>
      </c>
      <c r="H110" s="10">
        <v>4.60192</v>
      </c>
      <c r="I110" s="10" t="s">
        <v>11</v>
      </c>
      <c r="J110" s="10">
        <v>4.60596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>
        <v>0.045</v>
      </c>
      <c r="BO110" s="2"/>
      <c r="BP110" s="2">
        <v>0.01536</v>
      </c>
      <c r="BQ110" s="2"/>
      <c r="BR110" s="2">
        <v>0.0155</v>
      </c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1:82" ht="12.75">
      <c r="A111" s="4" t="s">
        <v>0</v>
      </c>
      <c r="B111" s="4" t="s">
        <v>12</v>
      </c>
      <c r="D111" s="4" t="s">
        <v>69</v>
      </c>
      <c r="E111" s="2"/>
      <c r="F111" s="10">
        <v>0.70224</v>
      </c>
      <c r="G111" s="10"/>
      <c r="H111" s="10">
        <v>0.713928</v>
      </c>
      <c r="I111" s="10"/>
      <c r="J111" s="10">
        <v>0.787572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>
        <v>0.165</v>
      </c>
      <c r="BO111" s="2"/>
      <c r="BP111" s="2">
        <v>0.06016</v>
      </c>
      <c r="BQ111" s="2"/>
      <c r="BR111" s="2">
        <v>0.0744</v>
      </c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1:82" ht="12.75">
      <c r="A112" s="4" t="s">
        <v>0</v>
      </c>
      <c r="B112" s="4" t="s">
        <v>13</v>
      </c>
      <c r="D112" s="4" t="s">
        <v>69</v>
      </c>
      <c r="E112" s="2"/>
      <c r="F112" s="10">
        <v>4.466</v>
      </c>
      <c r="G112" s="10"/>
      <c r="H112" s="10">
        <v>4.6492</v>
      </c>
      <c r="I112" s="10"/>
      <c r="J112" s="10">
        <v>5.7378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>
        <v>0.39</v>
      </c>
      <c r="BO112" s="2"/>
      <c r="BP112" s="2">
        <v>0.3008</v>
      </c>
      <c r="BQ112" s="2"/>
      <c r="BR112" s="2">
        <v>0.3317</v>
      </c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1:82" ht="12.75">
      <c r="A113" s="4" t="s">
        <v>0</v>
      </c>
      <c r="B113" s="4" t="s">
        <v>14</v>
      </c>
      <c r="D113" s="4" t="s">
        <v>69</v>
      </c>
      <c r="E113" s="2"/>
      <c r="F113" s="2">
        <v>0.385</v>
      </c>
      <c r="G113" s="2"/>
      <c r="H113" s="2">
        <v>0.231672</v>
      </c>
      <c r="I113" s="2"/>
      <c r="J113" s="2">
        <v>0.312828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>
        <v>0.0165</v>
      </c>
      <c r="BO113" s="2"/>
      <c r="BP113" s="2">
        <v>0.00704</v>
      </c>
      <c r="BQ113" s="2"/>
      <c r="BR113" s="2">
        <v>0.00744</v>
      </c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1:82" ht="12.75">
      <c r="A114" s="4" t="s">
        <v>0</v>
      </c>
      <c r="B114" s="4" t="s">
        <v>15</v>
      </c>
      <c r="D114" s="4" t="s">
        <v>69</v>
      </c>
      <c r="E114" s="2"/>
      <c r="F114" s="10">
        <v>0.28336</v>
      </c>
      <c r="G114" s="10"/>
      <c r="H114" s="10">
        <v>0.1530296</v>
      </c>
      <c r="I114" s="10"/>
      <c r="J114" s="10">
        <v>0.284532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 t="s">
        <v>11</v>
      </c>
      <c r="BN114" s="2">
        <v>0.0045</v>
      </c>
      <c r="BO114" s="2" t="s">
        <v>11</v>
      </c>
      <c r="BP114" s="2">
        <v>0.00256</v>
      </c>
      <c r="BQ114" s="2" t="s">
        <v>11</v>
      </c>
      <c r="BR114" s="2">
        <v>0.00248</v>
      </c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1:82" ht="12.75">
      <c r="A115" s="4" t="s">
        <v>0</v>
      </c>
      <c r="B115" s="4" t="s">
        <v>16</v>
      </c>
      <c r="D115" s="4" t="s">
        <v>69</v>
      </c>
      <c r="E115" s="2"/>
      <c r="F115" s="10">
        <v>5.8828</v>
      </c>
      <c r="G115" s="10"/>
      <c r="H115" s="10">
        <v>5.5948</v>
      </c>
      <c r="I115" s="10"/>
      <c r="J115" s="10">
        <v>6.64956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>
        <v>0.24</v>
      </c>
      <c r="BO115" s="2"/>
      <c r="BP115" s="2">
        <v>0.1408</v>
      </c>
      <c r="BQ115" s="2"/>
      <c r="BR115" s="2">
        <v>0.1736</v>
      </c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1:82" ht="12.75">
      <c r="A116" s="4" t="s">
        <v>0</v>
      </c>
      <c r="B116" s="4" t="s">
        <v>17</v>
      </c>
      <c r="D116" s="4" t="s">
        <v>69</v>
      </c>
      <c r="E116" s="2"/>
      <c r="F116" s="2">
        <v>2.4794</v>
      </c>
      <c r="G116" s="2"/>
      <c r="H116" s="2">
        <v>2.37976</v>
      </c>
      <c r="I116" s="2"/>
      <c r="J116" s="2">
        <v>2.68812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>
        <v>0.33</v>
      </c>
      <c r="BO116" s="2"/>
      <c r="BP116" s="2">
        <v>0.1792</v>
      </c>
      <c r="BQ116" s="2"/>
      <c r="BR116" s="2">
        <v>0.1829</v>
      </c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82" ht="12.75">
      <c r="A117" s="4" t="s">
        <v>0</v>
      </c>
      <c r="B117" s="4" t="s">
        <v>18</v>
      </c>
      <c r="D117" s="4" t="s">
        <v>69</v>
      </c>
      <c r="E117" s="2"/>
      <c r="F117" s="2">
        <v>1261.26</v>
      </c>
      <c r="G117" s="2"/>
      <c r="H117" s="2">
        <v>1333.296</v>
      </c>
      <c r="I117" s="2"/>
      <c r="J117" s="2">
        <v>1515.408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>
        <v>394.5</v>
      </c>
      <c r="BO117" s="2"/>
      <c r="BP117" s="2">
        <v>167.04</v>
      </c>
      <c r="BQ117" s="2"/>
      <c r="BR117" s="2">
        <v>168.33</v>
      </c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1:82" ht="12.75">
      <c r="A118" s="4" t="s">
        <v>0</v>
      </c>
      <c r="B118" s="4" t="s">
        <v>19</v>
      </c>
      <c r="D118" s="4" t="s">
        <v>69</v>
      </c>
      <c r="E118" s="2"/>
      <c r="F118" s="2">
        <v>2.4178</v>
      </c>
      <c r="G118" s="2"/>
      <c r="H118" s="2">
        <v>2.33248</v>
      </c>
      <c r="I118" s="2"/>
      <c r="J118" s="2">
        <v>3.144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>
        <v>0.915</v>
      </c>
      <c r="BO118" s="2"/>
      <c r="BP118" s="2">
        <v>0.3904</v>
      </c>
      <c r="BQ118" s="2"/>
      <c r="BR118" s="2">
        <v>0.4929</v>
      </c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1:82" ht="12.75">
      <c r="A119" s="4" t="s">
        <v>0</v>
      </c>
      <c r="B119" s="4" t="s">
        <v>20</v>
      </c>
      <c r="D119" s="4" t="s">
        <v>69</v>
      </c>
      <c r="E119" s="2"/>
      <c r="F119" s="35">
        <v>0.00084238</v>
      </c>
      <c r="G119" s="35" t="s">
        <v>11</v>
      </c>
      <c r="H119" s="35">
        <v>0.00052008</v>
      </c>
      <c r="I119" s="35" t="s">
        <v>11</v>
      </c>
      <c r="J119" s="35">
        <v>0.000498324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>
        <v>0.00135</v>
      </c>
      <c r="BO119" s="2"/>
      <c r="BP119" s="2">
        <v>0.000256</v>
      </c>
      <c r="BQ119" s="2"/>
      <c r="BR119" s="2">
        <v>0.000558</v>
      </c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1:82" ht="12.75">
      <c r="A120" s="4" t="s">
        <v>0</v>
      </c>
      <c r="B120" s="4" t="s">
        <v>21</v>
      </c>
      <c r="D120" s="4" t="s">
        <v>69</v>
      </c>
      <c r="E120" s="2"/>
      <c r="F120" s="2">
        <v>1.8942</v>
      </c>
      <c r="G120" s="2"/>
      <c r="H120" s="2">
        <v>1.85968</v>
      </c>
      <c r="I120" s="2"/>
      <c r="J120" s="2">
        <v>2.70384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>
        <v>0.99</v>
      </c>
      <c r="BO120" s="2"/>
      <c r="BP120" s="2">
        <v>0.416</v>
      </c>
      <c r="BQ120" s="2"/>
      <c r="BR120" s="2">
        <v>0.4433</v>
      </c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1:82" ht="12.75">
      <c r="A121" s="4" t="s">
        <v>0</v>
      </c>
      <c r="B121" s="4" t="s">
        <v>22</v>
      </c>
      <c r="D121" s="4" t="s">
        <v>69</v>
      </c>
      <c r="E121" s="2"/>
      <c r="F121" s="10">
        <v>0.08239</v>
      </c>
      <c r="G121" s="10"/>
      <c r="H121" s="10">
        <v>0.0962936</v>
      </c>
      <c r="I121" s="10"/>
      <c r="J121" s="10">
        <v>0.0892896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>
        <v>0.078</v>
      </c>
      <c r="BO121" s="2"/>
      <c r="BP121" s="2">
        <v>0.03328</v>
      </c>
      <c r="BQ121" s="2"/>
      <c r="BR121" s="2">
        <v>0.02139</v>
      </c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1:82" ht="12.75">
      <c r="A122" s="4" t="s">
        <v>0</v>
      </c>
      <c r="B122" s="4" t="s">
        <v>23</v>
      </c>
      <c r="D122" s="4" t="s">
        <v>69</v>
      </c>
      <c r="E122" s="2" t="s">
        <v>11</v>
      </c>
      <c r="F122" s="10">
        <v>0.34034</v>
      </c>
      <c r="G122" s="10" t="s">
        <v>11</v>
      </c>
      <c r="H122" s="10">
        <v>0.34672</v>
      </c>
      <c r="I122" s="10" t="s">
        <v>11</v>
      </c>
      <c r="J122" s="10">
        <v>0.608364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>
        <v>0.006</v>
      </c>
      <c r="BO122" s="2" t="s">
        <v>11</v>
      </c>
      <c r="BP122" s="2">
        <v>0.00256</v>
      </c>
      <c r="BQ122" s="2" t="s">
        <v>11</v>
      </c>
      <c r="BR122" s="2">
        <v>0.00248</v>
      </c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1:82" ht="12.75">
      <c r="A123" s="4" t="s">
        <v>0</v>
      </c>
      <c r="B123" s="4" t="s">
        <v>24</v>
      </c>
      <c r="D123" s="4" t="s">
        <v>69</v>
      </c>
      <c r="E123" s="2"/>
      <c r="F123" s="10">
        <v>0.022638</v>
      </c>
      <c r="G123" s="10"/>
      <c r="H123" s="10">
        <v>0.0171784</v>
      </c>
      <c r="I123" s="10"/>
      <c r="J123" s="10">
        <v>0.0179208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 t="s">
        <v>11</v>
      </c>
      <c r="BN123" s="2">
        <v>0.009</v>
      </c>
      <c r="BO123" s="2" t="s">
        <v>11</v>
      </c>
      <c r="BP123" s="2">
        <v>0.00512</v>
      </c>
      <c r="BQ123" s="2" t="s">
        <v>11</v>
      </c>
      <c r="BR123" s="2">
        <v>0.00496</v>
      </c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1:82" ht="12.75">
      <c r="A124" s="4" t="s">
        <v>0</v>
      </c>
      <c r="B124" s="4" t="s">
        <v>25</v>
      </c>
      <c r="D124" s="4" t="s">
        <v>69</v>
      </c>
      <c r="E124" s="2"/>
      <c r="F124" s="2">
        <v>45.584</v>
      </c>
      <c r="G124" s="2"/>
      <c r="H124" s="2">
        <v>46.8072</v>
      </c>
      <c r="I124" s="2"/>
      <c r="J124" s="2">
        <v>46.374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>
        <v>2.4</v>
      </c>
      <c r="BO124" s="2"/>
      <c r="BP124" s="2">
        <v>2.112</v>
      </c>
      <c r="BQ124" s="2"/>
      <c r="BR124" s="2">
        <v>3.968</v>
      </c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5:82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2:82" ht="12.75">
      <c r="B126" s="30" t="s">
        <v>244</v>
      </c>
      <c r="C126" s="30"/>
      <c r="D126" s="30" t="s">
        <v>190</v>
      </c>
      <c r="E126" s="2"/>
      <c r="F126" s="2">
        <f>'emiss 2'!$G$168</f>
        <v>64532</v>
      </c>
      <c r="G126" s="2"/>
      <c r="H126" s="2">
        <f>'emiss 2'!$I$168</f>
        <v>63776</v>
      </c>
      <c r="I126" s="2"/>
      <c r="J126" s="2">
        <f>'emiss 2'!$K$168</f>
        <v>60919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>
        <f>'emiss 2'!$G$168</f>
        <v>64532</v>
      </c>
      <c r="BO126" s="2"/>
      <c r="BP126" s="2">
        <f>'emiss 2'!$I$168</f>
        <v>63776</v>
      </c>
      <c r="BQ126" s="2"/>
      <c r="BR126" s="2">
        <f>'emiss 2'!$K$168</f>
        <v>60919</v>
      </c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2:82" ht="12.75">
      <c r="B127" s="30" t="s">
        <v>37</v>
      </c>
      <c r="C127" s="30"/>
      <c r="D127" s="30" t="s">
        <v>192</v>
      </c>
      <c r="E127" s="2"/>
      <c r="F127" s="2">
        <f>'emiss 2'!$G$169</f>
        <v>8.75</v>
      </c>
      <c r="G127" s="2"/>
      <c r="H127" s="2">
        <f>'emiss 2'!$I$169</f>
        <v>9.7</v>
      </c>
      <c r="I127" s="2"/>
      <c r="J127" s="2">
        <f>'emiss 2'!$K$169</f>
        <v>9.65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>
        <f>'emiss 2'!$G$169</f>
        <v>8.75</v>
      </c>
      <c r="BO127" s="2"/>
      <c r="BP127" s="2">
        <f>'emiss 2'!$I$169</f>
        <v>9.7</v>
      </c>
      <c r="BQ127" s="2"/>
      <c r="BR127" s="2">
        <f>'emiss 2'!$K$169</f>
        <v>9.65</v>
      </c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5:82" ht="12.7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2:102" ht="12.75">
      <c r="B129" s="4" t="s">
        <v>252</v>
      </c>
      <c r="D129" s="4" t="s">
        <v>253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>
        <f>BN107*BN108/1000000</f>
        <v>180</v>
      </c>
      <c r="BO129" s="2"/>
      <c r="BP129" s="2">
        <f>BP107*BP108/1000000</f>
        <v>76.8</v>
      </c>
      <c r="BQ129" s="2"/>
      <c r="BR129" s="2">
        <f>BR107*BR108/1000000</f>
        <v>74.4</v>
      </c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L129" s="4">
        <f>BN129</f>
        <v>180</v>
      </c>
      <c r="CN129" s="4">
        <f>BP129</f>
        <v>76.8</v>
      </c>
      <c r="CP129" s="4">
        <f>BR129</f>
        <v>74.4</v>
      </c>
      <c r="CX129" s="8">
        <f>AVERAGE(CL129,CN129,CP129)</f>
        <v>110.40000000000002</v>
      </c>
    </row>
    <row r="130" spans="2:96" ht="12.75">
      <c r="B130" s="4" t="s">
        <v>254</v>
      </c>
      <c r="D130" s="4" t="s">
        <v>253</v>
      </c>
      <c r="E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L130" s="8">
        <f>F126/9000*60*(21-F127)/21</f>
        <v>250.95777777777775</v>
      </c>
      <c r="CN130" s="8">
        <f>H126/9000*60*(21-H127)/21</f>
        <v>228.78374603174606</v>
      </c>
      <c r="CP130" s="8">
        <f>J126/9000*60*(21-J127)/21</f>
        <v>219.50179365079362</v>
      </c>
      <c r="CR130" s="8"/>
    </row>
    <row r="131" spans="5:82" ht="12.7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2:82" ht="12.75">
      <c r="B132" s="31" t="s">
        <v>245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2:107" ht="12.75">
      <c r="B133" s="4" t="s">
        <v>51</v>
      </c>
      <c r="D133" s="4" t="s">
        <v>10</v>
      </c>
      <c r="E133" s="2"/>
      <c r="F133" s="8">
        <f>F109*454*1000000/0.0283/60*14/(21-F$127)/F$126</f>
        <v>253766.88783322554</v>
      </c>
      <c r="G133" s="2"/>
      <c r="H133" s="8">
        <f>H109*454*1000000/0.0283/60*14/(21-H$127)/H$126</f>
        <v>245757.2371160261</v>
      </c>
      <c r="I133" s="2"/>
      <c r="J133" s="8">
        <f aca="true" t="shared" si="47" ref="J133:J148">J109*454*1000000/0.0283/60*14/(21-J$127)/J$126</f>
        <v>252954.70316054855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8">
        <f aca="true" t="shared" si="48" ref="BN133:BN148">BN109*454*1000000/0.0283/60*14/(21-BN$127)/BN$126</f>
        <v>180409.7332894069</v>
      </c>
      <c r="BO133" s="2"/>
      <c r="BP133" s="8">
        <f aca="true" t="shared" si="49" ref="BP133:BP148">BP109*454*1000000/0.0283/60*14/(21-BP$127)/BP$126</f>
        <v>74795.07021565693</v>
      </c>
      <c r="BQ133" s="2"/>
      <c r="BR133" s="8">
        <f aca="true" t="shared" si="50" ref="BR133:BR148">BR109*454*1000000/0.0283/60*14/(21-BR$127)/BR$126</f>
        <v>95325.17362499793</v>
      </c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L133" s="8">
        <f aca="true" t="shared" si="51" ref="CL133:CL150">BZ133+BN133+BB133+AD133+R133+F133</f>
        <v>434176.6211226324</v>
      </c>
      <c r="CN133" s="8">
        <f aca="true" t="shared" si="52" ref="CN133:CN150">CB133+BP133+BD133+AF133+T133+H133</f>
        <v>320552.30733168306</v>
      </c>
      <c r="CP133" s="8">
        <f aca="true" t="shared" si="53" ref="CP133:CP150">CD133+BR133+BF133+AH133+V133+J133</f>
        <v>348279.8767855465</v>
      </c>
      <c r="CX133" s="8">
        <f>AVERAGE(CL133,CN133,CP133)</f>
        <v>367669.60174662067</v>
      </c>
      <c r="CZ133" s="8"/>
      <c r="DA133" s="8"/>
      <c r="DB133" s="8">
        <f>AVERAGE(F133,H133,J133,L133,N133,P133)+AVERAGE(BN133,BP133,BR133,BT133,BV133,BX133)</f>
        <v>367669.60174662067</v>
      </c>
      <c r="DC133" s="8">
        <f>SUM(CZ133,DA133,DB133)</f>
        <v>367669.60174662067</v>
      </c>
    </row>
    <row r="134" spans="2:102" ht="12.75">
      <c r="B134" s="4" t="s">
        <v>9</v>
      </c>
      <c r="D134" s="4" t="s">
        <v>10</v>
      </c>
      <c r="E134" s="2">
        <v>100</v>
      </c>
      <c r="F134" s="8">
        <f aca="true" t="shared" si="54" ref="F134:H148">F110*454*1000000/0.0283/60*14/(21-F$127)/F$126</f>
        <v>21293.083691753414</v>
      </c>
      <c r="G134" s="2">
        <v>100</v>
      </c>
      <c r="H134" s="8">
        <f t="shared" si="54"/>
        <v>23902.842328252485</v>
      </c>
      <c r="I134" s="2">
        <v>100</v>
      </c>
      <c r="J134" s="8">
        <f t="shared" si="47"/>
        <v>24935.48027656721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8">
        <f t="shared" si="48"/>
        <v>213.08236215284276</v>
      </c>
      <c r="BO134" s="2"/>
      <c r="BP134" s="8">
        <f t="shared" si="49"/>
        <v>79.78140823003405</v>
      </c>
      <c r="BQ134" s="2"/>
      <c r="BR134" s="8">
        <f t="shared" si="50"/>
        <v>83.91300495158268</v>
      </c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K134" s="4">
        <f>SUM((BN134*BM134/100),(F134*E134/100))/CL134*100</f>
        <v>99.00920339953322</v>
      </c>
      <c r="CL134" s="8">
        <f t="shared" si="51"/>
        <v>21506.166053906258</v>
      </c>
      <c r="CM134" s="4">
        <f>SUM((BP134*BO134/100),(H134*G134/100))/CN134*100</f>
        <v>99.66733661376395</v>
      </c>
      <c r="CN134" s="8">
        <f t="shared" si="52"/>
        <v>23982.62373648252</v>
      </c>
      <c r="CO134" s="4">
        <f>SUM((BR134*BQ134/100),(J134*I134/100))/CP134*100</f>
        <v>99.6646081541331</v>
      </c>
      <c r="CP134" s="8">
        <f t="shared" si="53"/>
        <v>25019.393281518795</v>
      </c>
      <c r="CW134" s="4">
        <f>SUM((CV134*CU134/100),(CT134*CS134/100),(CR134*CQ134/100),(CP134*CO134/100),(CN134*CM134/100),(CL134*CK134/100))/CX134/3*100</f>
        <v>99.46562688340698</v>
      </c>
      <c r="CX134" s="8">
        <f aca="true" t="shared" si="55" ref="CX134:CX150">AVERAGE(CL134,CN134,CP134)</f>
        <v>23502.72769063586</v>
      </c>
    </row>
    <row r="135" spans="2:102" ht="12.75">
      <c r="B135" s="4" t="s">
        <v>12</v>
      </c>
      <c r="D135" s="4" t="s">
        <v>10</v>
      </c>
      <c r="E135" s="2"/>
      <c r="F135" s="8">
        <f t="shared" si="54"/>
        <v>3325.2212888491626</v>
      </c>
      <c r="G135" s="2"/>
      <c r="H135" s="8">
        <f t="shared" si="54"/>
        <v>3708.2149228419107</v>
      </c>
      <c r="I135" s="2"/>
      <c r="J135" s="8">
        <f t="shared" si="47"/>
        <v>4263.711815208251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8">
        <f t="shared" si="48"/>
        <v>781.3019945604235</v>
      </c>
      <c r="BO135" s="2"/>
      <c r="BP135" s="8">
        <f t="shared" si="49"/>
        <v>312.4771822343</v>
      </c>
      <c r="BQ135" s="2"/>
      <c r="BR135" s="8">
        <f t="shared" si="50"/>
        <v>402.7824237675969</v>
      </c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L135" s="8">
        <f t="shared" si="51"/>
        <v>4106.523283409586</v>
      </c>
      <c r="CN135" s="8">
        <f t="shared" si="52"/>
        <v>4020.6921050762107</v>
      </c>
      <c r="CP135" s="8">
        <f t="shared" si="53"/>
        <v>4666.494238975848</v>
      </c>
      <c r="CX135" s="8">
        <f t="shared" si="55"/>
        <v>4264.569875820548</v>
      </c>
    </row>
    <row r="136" spans="2:102" ht="12.75">
      <c r="B136" s="4" t="s">
        <v>13</v>
      </c>
      <c r="D136" s="4" t="s">
        <v>10</v>
      </c>
      <c r="E136" s="2"/>
      <c r="F136" s="8">
        <f t="shared" si="54"/>
        <v>21147.240652768793</v>
      </c>
      <c r="G136" s="2"/>
      <c r="H136" s="8">
        <f t="shared" si="54"/>
        <v>24148.41947546057</v>
      </c>
      <c r="I136" s="2"/>
      <c r="J136" s="8">
        <f t="shared" si="47"/>
        <v>31062.970310399436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8">
        <f t="shared" si="48"/>
        <v>1846.713805324637</v>
      </c>
      <c r="BO136" s="2"/>
      <c r="BP136" s="8">
        <f t="shared" si="49"/>
        <v>1562.3859111715005</v>
      </c>
      <c r="BQ136" s="2"/>
      <c r="BR136" s="8">
        <f t="shared" si="50"/>
        <v>1795.7383059638694</v>
      </c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L136" s="8">
        <f t="shared" si="51"/>
        <v>22993.95445809343</v>
      </c>
      <c r="CN136" s="8">
        <f t="shared" si="52"/>
        <v>25710.80538663207</v>
      </c>
      <c r="CP136" s="8">
        <f t="shared" si="53"/>
        <v>32858.70861636331</v>
      </c>
      <c r="CX136" s="8">
        <f t="shared" si="55"/>
        <v>27187.822820362937</v>
      </c>
    </row>
    <row r="137" spans="2:102" ht="12.75">
      <c r="B137" s="4" t="s">
        <v>14</v>
      </c>
      <c r="D137" s="4" t="s">
        <v>10</v>
      </c>
      <c r="E137" s="2"/>
      <c r="F137" s="8">
        <f t="shared" si="54"/>
        <v>1823.0379873076547</v>
      </c>
      <c r="G137" s="2"/>
      <c r="H137" s="8">
        <f t="shared" si="54"/>
        <v>1203.3280213195603</v>
      </c>
      <c r="I137" s="2"/>
      <c r="J137" s="8">
        <f t="shared" si="47"/>
        <v>1693.5701621286264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8">
        <f t="shared" si="48"/>
        <v>78.13019945604235</v>
      </c>
      <c r="BO137" s="2"/>
      <c r="BP137" s="8">
        <f t="shared" si="49"/>
        <v>36.56647877209895</v>
      </c>
      <c r="BQ137" s="2"/>
      <c r="BR137" s="8">
        <f t="shared" si="50"/>
        <v>40.2782423767597</v>
      </c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L137" s="8">
        <f t="shared" si="51"/>
        <v>1901.1681867636971</v>
      </c>
      <c r="CN137" s="8">
        <f t="shared" si="52"/>
        <v>1239.8945000916592</v>
      </c>
      <c r="CP137" s="8">
        <f t="shared" si="53"/>
        <v>1733.848404505386</v>
      </c>
      <c r="CX137" s="8">
        <f t="shared" si="55"/>
        <v>1624.970363786914</v>
      </c>
    </row>
    <row r="138" spans="2:102" ht="12.75">
      <c r="B138" s="4" t="s">
        <v>15</v>
      </c>
      <c r="D138" s="4" t="s">
        <v>10</v>
      </c>
      <c r="E138" s="2"/>
      <c r="F138" s="8">
        <f t="shared" si="54"/>
        <v>1341.755958658434</v>
      </c>
      <c r="G138" s="2"/>
      <c r="H138" s="8">
        <f t="shared" si="54"/>
        <v>794.8513664634648</v>
      </c>
      <c r="I138" s="2"/>
      <c r="J138" s="8">
        <f t="shared" si="47"/>
        <v>1540.382911282821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>
        <v>100</v>
      </c>
      <c r="BN138" s="8">
        <f t="shared" si="48"/>
        <v>21.308236215284275</v>
      </c>
      <c r="BO138" s="2">
        <v>100</v>
      </c>
      <c r="BP138" s="8">
        <f t="shared" si="49"/>
        <v>13.296901371672345</v>
      </c>
      <c r="BQ138" s="2">
        <v>100</v>
      </c>
      <c r="BR138" s="8">
        <f t="shared" si="50"/>
        <v>13.426080792253229</v>
      </c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K138" s="4">
        <f>SUM((BN138*BM138/100),(F138*E138/100))/CL138*100</f>
        <v>1.5632599180157019</v>
      </c>
      <c r="CL138" s="8">
        <f t="shared" si="51"/>
        <v>1363.0641948737184</v>
      </c>
      <c r="CM138" s="4">
        <f>SUM((BP138*BO138/100),(H138*G138/100))/CN138*100</f>
        <v>1.6453541881976688</v>
      </c>
      <c r="CN138" s="8">
        <f t="shared" si="52"/>
        <v>808.1482678351372</v>
      </c>
      <c r="CO138" s="4">
        <f>SUM((BR138*BQ138/100),(J138*I138/100))/CP138*100</f>
        <v>0.8640753696709546</v>
      </c>
      <c r="CP138" s="8">
        <f t="shared" si="53"/>
        <v>1553.8089920750742</v>
      </c>
      <c r="CW138" s="4">
        <f>SUM((CV138*CU138/100),(CT138*CS138/100),(CR138*CQ138/100),(CP138*CO138/100),(CN138*CM138/100),(CL138*CK138/100))/CX138/3*100</f>
        <v>1.2894212546755899</v>
      </c>
      <c r="CX138" s="8">
        <f t="shared" si="55"/>
        <v>1241.6738182613099</v>
      </c>
    </row>
    <row r="139" spans="2:102" ht="12.75">
      <c r="B139" s="4" t="s">
        <v>16</v>
      </c>
      <c r="D139" s="4" t="s">
        <v>10</v>
      </c>
      <c r="E139" s="2"/>
      <c r="F139" s="8">
        <f t="shared" si="54"/>
        <v>27856.020446060957</v>
      </c>
      <c r="G139" s="2"/>
      <c r="H139" s="8">
        <f t="shared" si="54"/>
        <v>29059.962419622043</v>
      </c>
      <c r="I139" s="2"/>
      <c r="J139" s="8">
        <f t="shared" si="47"/>
        <v>35999.00394876427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8">
        <f t="shared" si="48"/>
        <v>1136.4392648151616</v>
      </c>
      <c r="BO139" s="2"/>
      <c r="BP139" s="8">
        <f t="shared" si="49"/>
        <v>731.3295754419787</v>
      </c>
      <c r="BQ139" s="2"/>
      <c r="BR139" s="8">
        <f t="shared" si="50"/>
        <v>939.825655457726</v>
      </c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L139" s="8">
        <f t="shared" si="51"/>
        <v>28992.45971087612</v>
      </c>
      <c r="CN139" s="8">
        <f t="shared" si="52"/>
        <v>29791.29199506402</v>
      </c>
      <c r="CP139" s="8">
        <f t="shared" si="53"/>
        <v>36938.829604221995</v>
      </c>
      <c r="CX139" s="8">
        <f t="shared" si="55"/>
        <v>31907.527103387383</v>
      </c>
    </row>
    <row r="140" spans="2:102" ht="12.75">
      <c r="B140" s="4" t="s">
        <v>17</v>
      </c>
      <c r="D140" s="4" t="s">
        <v>10</v>
      </c>
      <c r="E140" s="2"/>
      <c r="F140" s="8">
        <f t="shared" si="54"/>
        <v>11740.364638261297</v>
      </c>
      <c r="G140" s="2"/>
      <c r="H140" s="8">
        <f t="shared" si="54"/>
        <v>12360.716409473036</v>
      </c>
      <c r="I140" s="2"/>
      <c r="J140" s="8">
        <f t="shared" si="47"/>
        <v>14552.788830351514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8">
        <f t="shared" si="48"/>
        <v>1562.603989120847</v>
      </c>
      <c r="BO140" s="2"/>
      <c r="BP140" s="8">
        <f t="shared" si="49"/>
        <v>930.7830960170638</v>
      </c>
      <c r="BQ140" s="2"/>
      <c r="BR140" s="8">
        <f t="shared" si="50"/>
        <v>990.1734584286758</v>
      </c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L140" s="8">
        <f t="shared" si="51"/>
        <v>13302.968627382144</v>
      </c>
      <c r="CN140" s="8">
        <f t="shared" si="52"/>
        <v>13291.4995054901</v>
      </c>
      <c r="CP140" s="8">
        <f t="shared" si="53"/>
        <v>15542.962288780189</v>
      </c>
      <c r="CX140" s="8">
        <f t="shared" si="55"/>
        <v>14045.810140550811</v>
      </c>
    </row>
    <row r="141" spans="2:102" ht="12.75">
      <c r="B141" s="4" t="s">
        <v>18</v>
      </c>
      <c r="D141" s="4" t="s">
        <v>10</v>
      </c>
      <c r="E141" s="2"/>
      <c r="F141" s="8">
        <f t="shared" si="54"/>
        <v>5972272.446419877</v>
      </c>
      <c r="G141" s="2"/>
      <c r="H141" s="8">
        <f t="shared" si="54"/>
        <v>6925275.551267674</v>
      </c>
      <c r="I141" s="2"/>
      <c r="J141" s="8">
        <f t="shared" si="47"/>
        <v>8204028.323075356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8">
        <f t="shared" si="48"/>
        <v>1868022.0415399217</v>
      </c>
      <c r="BO141" s="2"/>
      <c r="BP141" s="8">
        <f t="shared" si="49"/>
        <v>867622.8145016204</v>
      </c>
      <c r="BQ141" s="2"/>
      <c r="BR141" s="8">
        <f t="shared" si="50"/>
        <v>911295.2337741879</v>
      </c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L141" s="8">
        <f t="shared" si="51"/>
        <v>7840294.487959798</v>
      </c>
      <c r="CN141" s="8">
        <f t="shared" si="52"/>
        <v>7792898.365769295</v>
      </c>
      <c r="CP141" s="8">
        <f t="shared" si="53"/>
        <v>9115323.556849543</v>
      </c>
      <c r="CX141" s="8">
        <f t="shared" si="55"/>
        <v>8249505.470192879</v>
      </c>
    </row>
    <row r="142" spans="2:102" ht="12.75">
      <c r="B142" s="4" t="s">
        <v>19</v>
      </c>
      <c r="D142" s="4" t="s">
        <v>10</v>
      </c>
      <c r="E142" s="2"/>
      <c r="F142" s="8">
        <f t="shared" si="54"/>
        <v>11448.678560292072</v>
      </c>
      <c r="G142" s="2"/>
      <c r="H142" s="8">
        <f t="shared" si="54"/>
        <v>12115.139262264962</v>
      </c>
      <c r="I142" s="2"/>
      <c r="J142" s="8">
        <f t="shared" si="47"/>
        <v>17020.80564953393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8">
        <f t="shared" si="48"/>
        <v>4332.674697107803</v>
      </c>
      <c r="BO142" s="2"/>
      <c r="BP142" s="8">
        <f t="shared" si="49"/>
        <v>2027.7774591800319</v>
      </c>
      <c r="BQ142" s="2"/>
      <c r="BR142" s="8">
        <f t="shared" si="50"/>
        <v>2668.433557460329</v>
      </c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L142" s="8">
        <f t="shared" si="51"/>
        <v>15781.353257399875</v>
      </c>
      <c r="CN142" s="8">
        <f t="shared" si="52"/>
        <v>14142.916721444994</v>
      </c>
      <c r="CP142" s="8">
        <f t="shared" si="53"/>
        <v>19689.239206994258</v>
      </c>
      <c r="CX142" s="8">
        <f t="shared" si="55"/>
        <v>16537.836395279708</v>
      </c>
    </row>
    <row r="143" spans="2:107" ht="12.75">
      <c r="B143" s="4" t="s">
        <v>20</v>
      </c>
      <c r="D143" s="4" t="s">
        <v>10</v>
      </c>
      <c r="E143" s="2"/>
      <c r="F143" s="8">
        <f t="shared" si="54"/>
        <v>3.9888071162291494</v>
      </c>
      <c r="G143" s="2">
        <v>100</v>
      </c>
      <c r="H143" s="8">
        <f t="shared" si="54"/>
        <v>2.7013486192888094</v>
      </c>
      <c r="I143" s="2">
        <v>100</v>
      </c>
      <c r="J143" s="8">
        <f t="shared" si="47"/>
        <v>2.6977976954511282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8">
        <f t="shared" si="48"/>
        <v>6.392470864585283</v>
      </c>
      <c r="BO143" s="2"/>
      <c r="BP143" s="8">
        <f t="shared" si="49"/>
        <v>1.329690137167234</v>
      </c>
      <c r="BQ143" s="2"/>
      <c r="BR143" s="8">
        <f t="shared" si="50"/>
        <v>3.020868178256977</v>
      </c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L143" s="8">
        <f t="shared" si="51"/>
        <v>10.381277980814431</v>
      </c>
      <c r="CM143" s="4">
        <f>SUM((BP143*BO143/100),(H143*G143/100))/CN143*100</f>
        <v>67.01370992681169</v>
      </c>
      <c r="CN143" s="8">
        <f t="shared" si="52"/>
        <v>4.031038756456043</v>
      </c>
      <c r="CO143" s="4">
        <f>SUM((BR143*BQ143/100),(J143*I143/100))/CP143*100</f>
        <v>47.175298487963914</v>
      </c>
      <c r="CP143" s="8">
        <f t="shared" si="53"/>
        <v>5.718665873708105</v>
      </c>
      <c r="CW143" s="4">
        <f>SUM((CV143*CU143/100),(CT143*CS143/100),(CR143*CQ143/100),(CP143*CO143/100),(CN143*CM143/100),(CL143*CK143/100))/CX143/3*100</f>
        <v>26.820083346530105</v>
      </c>
      <c r="CX143" s="8">
        <f t="shared" si="55"/>
        <v>6.710327536992859</v>
      </c>
      <c r="CZ143" s="8"/>
      <c r="DA143" s="8"/>
      <c r="DB143" s="8">
        <f>AVERAGE(F143,H143,J143,L143,N143,P143)+AVERAGE(BN143,BP143,BR143,BT143,BV143,BX143)</f>
        <v>6.71032753699286</v>
      </c>
      <c r="DC143" s="8">
        <f>SUM(CZ143,DA143,DB143)</f>
        <v>6.71032753699286</v>
      </c>
    </row>
    <row r="144" spans="2:102" ht="12.75">
      <c r="B144" s="4" t="s">
        <v>21</v>
      </c>
      <c r="D144" s="4" t="s">
        <v>10</v>
      </c>
      <c r="E144" s="2"/>
      <c r="F144" s="8">
        <f t="shared" si="54"/>
        <v>8969.34689755366</v>
      </c>
      <c r="G144" s="2"/>
      <c r="H144" s="8">
        <f t="shared" si="54"/>
        <v>9659.367790184227</v>
      </c>
      <c r="I144" s="2"/>
      <c r="J144" s="8">
        <f t="shared" si="47"/>
        <v>14637.892858599185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8">
        <f t="shared" si="48"/>
        <v>4687.811967362541</v>
      </c>
      <c r="BO144" s="2"/>
      <c r="BP144" s="8">
        <f t="shared" si="49"/>
        <v>2160.7464728967557</v>
      </c>
      <c r="BQ144" s="2"/>
      <c r="BR144" s="8">
        <f t="shared" si="50"/>
        <v>2399.9119416152653</v>
      </c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L144" s="8">
        <f t="shared" si="51"/>
        <v>13657.1588649162</v>
      </c>
      <c r="CN144" s="8">
        <f t="shared" si="52"/>
        <v>11820.114263080983</v>
      </c>
      <c r="CP144" s="8">
        <f t="shared" si="53"/>
        <v>17037.80480021445</v>
      </c>
      <c r="CX144" s="8">
        <f t="shared" si="55"/>
        <v>14171.692642737211</v>
      </c>
    </row>
    <row r="145" spans="2:102" ht="12.75">
      <c r="B145" s="4" t="s">
        <v>22</v>
      </c>
      <c r="D145" s="4" t="s">
        <v>10</v>
      </c>
      <c r="E145" s="2"/>
      <c r="F145" s="8">
        <f t="shared" si="54"/>
        <v>390.1301292838382</v>
      </c>
      <c r="G145" s="2"/>
      <c r="H145" s="8">
        <f t="shared" si="54"/>
        <v>500.1587898137765</v>
      </c>
      <c r="I145" s="2"/>
      <c r="J145" s="8">
        <f t="shared" si="47"/>
        <v>483.3908804467638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8">
        <f t="shared" si="48"/>
        <v>369.34276106492746</v>
      </c>
      <c r="BO145" s="2"/>
      <c r="BP145" s="8">
        <f t="shared" si="49"/>
        <v>172.8597178317404</v>
      </c>
      <c r="BQ145" s="2"/>
      <c r="BR145" s="8">
        <f t="shared" si="50"/>
        <v>115.7999468331841</v>
      </c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L145" s="8">
        <f t="shared" si="51"/>
        <v>759.4728903487656</v>
      </c>
      <c r="CN145" s="8">
        <f t="shared" si="52"/>
        <v>673.0185076455168</v>
      </c>
      <c r="CP145" s="8">
        <f t="shared" si="53"/>
        <v>599.1908272799478</v>
      </c>
      <c r="CX145" s="8">
        <f t="shared" si="55"/>
        <v>677.2274084247434</v>
      </c>
    </row>
    <row r="146" spans="2:102" ht="12.75">
      <c r="B146" s="4" t="s">
        <v>23</v>
      </c>
      <c r="D146" s="4" t="s">
        <v>10</v>
      </c>
      <c r="E146" s="2">
        <v>100</v>
      </c>
      <c r="F146" s="8">
        <f t="shared" si="54"/>
        <v>1611.5655807799667</v>
      </c>
      <c r="G146" s="2">
        <v>100</v>
      </c>
      <c r="H146" s="8">
        <f t="shared" si="54"/>
        <v>1800.8990795258724</v>
      </c>
      <c r="I146" s="2">
        <v>100</v>
      </c>
      <c r="J146" s="8">
        <f t="shared" si="47"/>
        <v>3293.5258931848166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8">
        <f t="shared" si="48"/>
        <v>28.410981620379033</v>
      </c>
      <c r="BO146" s="2">
        <v>100</v>
      </c>
      <c r="BP146" s="8">
        <f t="shared" si="49"/>
        <v>13.296901371672345</v>
      </c>
      <c r="BQ146" s="2">
        <v>100</v>
      </c>
      <c r="BR146" s="8">
        <f t="shared" si="50"/>
        <v>13.426080792253229</v>
      </c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K146" s="4">
        <f>SUM((BN146*BM146/100),(F146*E146/100))/CL146*100</f>
        <v>98.26759831379567</v>
      </c>
      <c r="CL146" s="8">
        <f t="shared" si="51"/>
        <v>1639.9765624003458</v>
      </c>
      <c r="CM146" s="4">
        <f>SUM((BP146*BO146/100),(H146*G146/100))/CN146*100</f>
        <v>100</v>
      </c>
      <c r="CN146" s="8">
        <f t="shared" si="52"/>
        <v>1814.1959808975448</v>
      </c>
      <c r="CO146" s="4">
        <f>SUM((BR146*BQ146/100),(J146*I146/100))/CP146*100</f>
        <v>100</v>
      </c>
      <c r="CP146" s="8">
        <f t="shared" si="53"/>
        <v>3306.95197397707</v>
      </c>
      <c r="CW146" s="4">
        <f>SUM((CV146*CU146/100),(CT146*CS146/100),(CR146*CQ146/100),(CP146*CO146/100),(CN146*CM146/100),(CL146*CK146/100))/CX146/3*100</f>
        <v>99.57978910833859</v>
      </c>
      <c r="CX146" s="8">
        <f t="shared" si="55"/>
        <v>2253.708172424987</v>
      </c>
    </row>
    <row r="147" spans="2:102" ht="12.75">
      <c r="B147" s="4" t="s">
        <v>24</v>
      </c>
      <c r="D147" s="4" t="s">
        <v>10</v>
      </c>
      <c r="E147" s="2"/>
      <c r="F147" s="8">
        <f t="shared" si="54"/>
        <v>107.1946336536901</v>
      </c>
      <c r="G147" s="2"/>
      <c r="H147" s="8">
        <f t="shared" si="54"/>
        <v>89.22636348560006</v>
      </c>
      <c r="I147" s="2"/>
      <c r="J147" s="8">
        <f t="shared" si="47"/>
        <v>97.01859220234341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>
        <v>100</v>
      </c>
      <c r="BN147" s="8">
        <f t="shared" si="48"/>
        <v>42.61647243056855</v>
      </c>
      <c r="BO147" s="2">
        <v>100</v>
      </c>
      <c r="BP147" s="8">
        <f t="shared" si="49"/>
        <v>26.59380274334469</v>
      </c>
      <c r="BQ147" s="2">
        <v>100</v>
      </c>
      <c r="BR147" s="8">
        <f t="shared" si="50"/>
        <v>26.852161584506458</v>
      </c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K147" s="4">
        <f>SUM((BN147*BM147/100),(F147*E147/100))/CL147*100</f>
        <v>28.446804475630564</v>
      </c>
      <c r="CL147" s="8">
        <f t="shared" si="51"/>
        <v>149.81110608425865</v>
      </c>
      <c r="CM147" s="4">
        <f>SUM((BP147*BO147/100),(H147*G147/100))/CN147*100</f>
        <v>22.96128870232842</v>
      </c>
      <c r="CN147" s="8">
        <f t="shared" si="52"/>
        <v>115.82016622894474</v>
      </c>
      <c r="CO147" s="4">
        <f>SUM((BR147*BQ147/100),(J147*I147/100))/CP147*100</f>
        <v>21.677563721548196</v>
      </c>
      <c r="CP147" s="8">
        <f t="shared" si="53"/>
        <v>123.87075378684987</v>
      </c>
      <c r="CW147" s="4">
        <f>SUM((CV147*CU147/100),(CT147*CS147/100),(CR147*CQ147/100),(CP147*CO147/100),(CN147*CM147/100),(CL147*CK147/100))/CX147/3*100</f>
        <v>24.66288499709721</v>
      </c>
      <c r="CX147" s="8">
        <f t="shared" si="55"/>
        <v>129.83400870001776</v>
      </c>
    </row>
    <row r="148" spans="2:102" ht="12.75">
      <c r="B148" s="4" t="s">
        <v>25</v>
      </c>
      <c r="D148" s="4" t="s">
        <v>10</v>
      </c>
      <c r="E148" s="2"/>
      <c r="F148" s="8">
        <f t="shared" si="54"/>
        <v>215847.69769722637</v>
      </c>
      <c r="G148" s="2"/>
      <c r="H148" s="8">
        <f t="shared" si="54"/>
        <v>243121.37573599286</v>
      </c>
      <c r="I148" s="2"/>
      <c r="J148" s="8">
        <f t="shared" si="47"/>
        <v>251056.8833306256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8">
        <f t="shared" si="48"/>
        <v>11364.392648151616</v>
      </c>
      <c r="BO148" s="2"/>
      <c r="BP148" s="8">
        <f t="shared" si="49"/>
        <v>10969.943631629683</v>
      </c>
      <c r="BQ148" s="2"/>
      <c r="BR148" s="8">
        <f t="shared" si="50"/>
        <v>21481.729267605166</v>
      </c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L148" s="8">
        <f t="shared" si="51"/>
        <v>227212.09034537798</v>
      </c>
      <c r="CN148" s="8">
        <f t="shared" si="52"/>
        <v>254091.31936762255</v>
      </c>
      <c r="CP148" s="8">
        <f t="shared" si="53"/>
        <v>272538.6125982308</v>
      </c>
      <c r="CX148" s="8">
        <f t="shared" si="55"/>
        <v>251280.67410374378</v>
      </c>
    </row>
    <row r="149" spans="2:107" ht="12.75">
      <c r="B149" s="4" t="s">
        <v>67</v>
      </c>
      <c r="D149" s="4" t="s">
        <v>10</v>
      </c>
      <c r="E149" s="2"/>
      <c r="F149" s="8">
        <f>F138+F142</f>
        <v>12790.434518950506</v>
      </c>
      <c r="G149" s="2"/>
      <c r="H149" s="8">
        <f>H138+H142</f>
        <v>12909.990628728427</v>
      </c>
      <c r="I149" s="2"/>
      <c r="J149" s="8">
        <f>J138+J142</f>
        <v>18561.18856081675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8">
        <f>BN138+BN142</f>
        <v>4353.982933323087</v>
      </c>
      <c r="BO149" s="2"/>
      <c r="BP149" s="8">
        <f>BP138+BP142</f>
        <v>2041.0743605517043</v>
      </c>
      <c r="BQ149" s="2"/>
      <c r="BR149" s="8">
        <f>BR138+BR142</f>
        <v>2681.8596382525825</v>
      </c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L149" s="8">
        <f t="shared" si="51"/>
        <v>17144.417452273592</v>
      </c>
      <c r="CN149" s="8">
        <f t="shared" si="52"/>
        <v>14951.06498928013</v>
      </c>
      <c r="CP149" s="8">
        <f t="shared" si="53"/>
        <v>21243.048199069333</v>
      </c>
      <c r="CX149" s="8">
        <f t="shared" si="55"/>
        <v>17779.510213541016</v>
      </c>
      <c r="CZ149" s="8"/>
      <c r="DA149" s="8"/>
      <c r="DB149" s="8">
        <f>AVERAGE(F149,H149,J149,L149,N149,P149)+AVERAGE(BN149,BP149,BR149,BT149,BV149,BX149)</f>
        <v>17779.51021354102</v>
      </c>
      <c r="DC149" s="8">
        <f>SUM(CZ149,DA149,DB149)</f>
        <v>17779.51021354102</v>
      </c>
    </row>
    <row r="150" spans="2:107" ht="12.75">
      <c r="B150" s="4" t="s">
        <v>68</v>
      </c>
      <c r="D150" s="4" t="s">
        <v>10</v>
      </c>
      <c r="E150" s="2"/>
      <c r="F150" s="8">
        <f>F135+F137+F139</f>
        <v>33004.279722217776</v>
      </c>
      <c r="G150" s="2"/>
      <c r="H150" s="8">
        <f>H135+H137+H139</f>
        <v>33971.505363783515</v>
      </c>
      <c r="I150" s="2"/>
      <c r="J150" s="8">
        <f>J135+J137+J139</f>
        <v>41956.28592610115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8">
        <f>BN135+BN137+BN139</f>
        <v>1995.8714588316275</v>
      </c>
      <c r="BO150" s="2"/>
      <c r="BP150" s="8">
        <f>BP135+BP137+BP139</f>
        <v>1080.3732364483776</v>
      </c>
      <c r="BQ150" s="2"/>
      <c r="BR150" s="8">
        <f>BR135+BR137+BR139</f>
        <v>1382.8863216020827</v>
      </c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L150" s="8">
        <f t="shared" si="51"/>
        <v>35000.151181049405</v>
      </c>
      <c r="CN150" s="8">
        <f t="shared" si="52"/>
        <v>35051.878600231896</v>
      </c>
      <c r="CP150" s="8">
        <f t="shared" si="53"/>
        <v>43339.17224770323</v>
      </c>
      <c r="CX150" s="8">
        <f t="shared" si="55"/>
        <v>37797.067342994844</v>
      </c>
      <c r="CZ150" s="8"/>
      <c r="DA150" s="8"/>
      <c r="DB150" s="8">
        <f>AVERAGE(F150,H150,J150,L150,N150,P150)+AVERAGE(BN150,BP150,BR150,BT150,BV150,BX150)</f>
        <v>37797.067342994844</v>
      </c>
      <c r="DC150" s="8">
        <f>SUM(CZ150,DA150,DB150)</f>
        <v>37797.067342994844</v>
      </c>
    </row>
    <row r="151" spans="5:82" ht="12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2:102" ht="12.75">
      <c r="B152" s="6" t="s">
        <v>26</v>
      </c>
      <c r="C152" s="6"/>
      <c r="D152" s="6"/>
      <c r="E152" s="2"/>
      <c r="F152" s="24" t="s">
        <v>54</v>
      </c>
      <c r="G152" s="24"/>
      <c r="H152" s="24" t="s">
        <v>55</v>
      </c>
      <c r="I152" s="24"/>
      <c r="J152" s="24" t="s">
        <v>56</v>
      </c>
      <c r="K152" s="24"/>
      <c r="L152" s="24" t="s">
        <v>57</v>
      </c>
      <c r="M152" s="24"/>
      <c r="N152" s="24" t="s">
        <v>58</v>
      </c>
      <c r="O152" s="24"/>
      <c r="P152" s="24" t="s">
        <v>59</v>
      </c>
      <c r="Q152" s="24"/>
      <c r="R152" s="24" t="s">
        <v>54</v>
      </c>
      <c r="S152" s="24"/>
      <c r="T152" s="24" t="s">
        <v>55</v>
      </c>
      <c r="U152" s="24"/>
      <c r="V152" s="24" t="s">
        <v>56</v>
      </c>
      <c r="W152" s="24"/>
      <c r="X152" s="24" t="s">
        <v>57</v>
      </c>
      <c r="Y152" s="24"/>
      <c r="Z152" s="24" t="s">
        <v>58</v>
      </c>
      <c r="AA152" s="24"/>
      <c r="AB152" s="24" t="s">
        <v>59</v>
      </c>
      <c r="AC152" s="24"/>
      <c r="AD152" s="24" t="s">
        <v>54</v>
      </c>
      <c r="AE152" s="24"/>
      <c r="AF152" s="24" t="s">
        <v>55</v>
      </c>
      <c r="AG152" s="24"/>
      <c r="AH152" s="24" t="s">
        <v>56</v>
      </c>
      <c r="AI152" s="24"/>
      <c r="AJ152" s="24" t="s">
        <v>57</v>
      </c>
      <c r="AK152" s="24"/>
      <c r="AL152" s="24" t="s">
        <v>58</v>
      </c>
      <c r="AM152" s="24"/>
      <c r="AN152" s="24" t="s">
        <v>59</v>
      </c>
      <c r="AO152" s="24"/>
      <c r="AP152" s="24" t="s">
        <v>54</v>
      </c>
      <c r="AQ152" s="24"/>
      <c r="AR152" s="24" t="s">
        <v>55</v>
      </c>
      <c r="AS152" s="24"/>
      <c r="AT152" s="24" t="s">
        <v>56</v>
      </c>
      <c r="AU152" s="24"/>
      <c r="AV152" s="24" t="s">
        <v>57</v>
      </c>
      <c r="AW152" s="24"/>
      <c r="AX152" s="24" t="s">
        <v>58</v>
      </c>
      <c r="AY152" s="24"/>
      <c r="AZ152" s="24" t="s">
        <v>59</v>
      </c>
      <c r="BA152" s="24"/>
      <c r="BB152" s="24" t="s">
        <v>54</v>
      </c>
      <c r="BC152" s="24"/>
      <c r="BD152" s="24" t="s">
        <v>55</v>
      </c>
      <c r="BE152" s="24"/>
      <c r="BF152" s="24" t="s">
        <v>56</v>
      </c>
      <c r="BG152" s="24"/>
      <c r="BH152" s="24" t="s">
        <v>57</v>
      </c>
      <c r="BI152" s="24"/>
      <c r="BJ152" s="24" t="s">
        <v>58</v>
      </c>
      <c r="BK152" s="24"/>
      <c r="BL152" s="24" t="s">
        <v>59</v>
      </c>
      <c r="BM152" s="24"/>
      <c r="BN152" s="24" t="s">
        <v>54</v>
      </c>
      <c r="BO152" s="24"/>
      <c r="BP152" s="24" t="s">
        <v>55</v>
      </c>
      <c r="BQ152" s="24"/>
      <c r="BR152" s="24" t="s">
        <v>56</v>
      </c>
      <c r="BS152" s="24"/>
      <c r="BT152" s="24" t="s">
        <v>57</v>
      </c>
      <c r="BU152" s="24"/>
      <c r="BV152" s="24" t="s">
        <v>58</v>
      </c>
      <c r="BW152" s="24"/>
      <c r="BX152" s="24" t="s">
        <v>59</v>
      </c>
      <c r="BY152" s="24"/>
      <c r="BZ152" s="24" t="s">
        <v>54</v>
      </c>
      <c r="CA152" s="24"/>
      <c r="CB152" s="24" t="s">
        <v>55</v>
      </c>
      <c r="CC152" s="24"/>
      <c r="CD152" s="24" t="s">
        <v>56</v>
      </c>
      <c r="CE152" s="24"/>
      <c r="CF152" s="24" t="s">
        <v>57</v>
      </c>
      <c r="CG152" s="24"/>
      <c r="CH152" s="24" t="s">
        <v>58</v>
      </c>
      <c r="CI152" s="24"/>
      <c r="CJ152" s="24" t="s">
        <v>59</v>
      </c>
      <c r="CK152" s="24"/>
      <c r="CL152" s="24" t="s">
        <v>54</v>
      </c>
      <c r="CM152" s="24"/>
      <c r="CN152" s="24" t="s">
        <v>55</v>
      </c>
      <c r="CO152" s="24"/>
      <c r="CP152" s="24" t="s">
        <v>56</v>
      </c>
      <c r="CQ152" s="24"/>
      <c r="CR152" s="24" t="s">
        <v>57</v>
      </c>
      <c r="CS152" s="24"/>
      <c r="CT152" s="24" t="s">
        <v>58</v>
      </c>
      <c r="CU152" s="24"/>
      <c r="CV152" s="24" t="s">
        <v>59</v>
      </c>
      <c r="CW152" s="24"/>
      <c r="CX152" s="24" t="s">
        <v>61</v>
      </c>
    </row>
    <row r="153" spans="2:102" ht="12.75">
      <c r="B153" s="6"/>
      <c r="C153" s="6"/>
      <c r="D153" s="6"/>
      <c r="E153" s="2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</row>
    <row r="154" spans="2:102" ht="12.75">
      <c r="B154" s="30" t="s">
        <v>230</v>
      </c>
      <c r="C154" s="30"/>
      <c r="D154" s="6"/>
      <c r="E154" s="2"/>
      <c r="F154" s="24" t="s">
        <v>236</v>
      </c>
      <c r="G154" s="24"/>
      <c r="H154" s="24" t="s">
        <v>236</v>
      </c>
      <c r="I154" s="24"/>
      <c r="J154" s="24" t="s">
        <v>236</v>
      </c>
      <c r="K154" s="24"/>
      <c r="L154" s="24" t="s">
        <v>236</v>
      </c>
      <c r="M154" s="24"/>
      <c r="N154" s="24" t="s">
        <v>236</v>
      </c>
      <c r="O154" s="24"/>
      <c r="P154" s="24" t="s">
        <v>236</v>
      </c>
      <c r="Q154" s="24"/>
      <c r="R154" s="24" t="s">
        <v>237</v>
      </c>
      <c r="S154" s="24"/>
      <c r="T154" s="24" t="s">
        <v>237</v>
      </c>
      <c r="U154" s="24"/>
      <c r="V154" s="24" t="s">
        <v>237</v>
      </c>
      <c r="W154" s="24"/>
      <c r="X154" s="24" t="s">
        <v>237</v>
      </c>
      <c r="Y154" s="24"/>
      <c r="Z154" s="24" t="s">
        <v>237</v>
      </c>
      <c r="AA154" s="24"/>
      <c r="AB154" s="24" t="s">
        <v>237</v>
      </c>
      <c r="AC154" s="24"/>
      <c r="AD154" s="24" t="s">
        <v>238</v>
      </c>
      <c r="AE154" s="24"/>
      <c r="AF154" s="24" t="s">
        <v>238</v>
      </c>
      <c r="AG154" s="24"/>
      <c r="AH154" s="24" t="s">
        <v>238</v>
      </c>
      <c r="AI154" s="24"/>
      <c r="AJ154" s="24" t="s">
        <v>238</v>
      </c>
      <c r="AK154" s="24"/>
      <c r="AL154" s="24" t="s">
        <v>238</v>
      </c>
      <c r="AM154" s="24"/>
      <c r="AN154" s="24" t="s">
        <v>238</v>
      </c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 t="s">
        <v>240</v>
      </c>
      <c r="BC154" s="24"/>
      <c r="BD154" s="24" t="s">
        <v>240</v>
      </c>
      <c r="BE154" s="24"/>
      <c r="BF154" s="24" t="s">
        <v>240</v>
      </c>
      <c r="BG154" s="24"/>
      <c r="BH154" s="24" t="s">
        <v>240</v>
      </c>
      <c r="BI154" s="24"/>
      <c r="BJ154" s="24" t="s">
        <v>240</v>
      </c>
      <c r="BK154" s="24"/>
      <c r="BL154" s="24" t="s">
        <v>240</v>
      </c>
      <c r="BM154" s="24"/>
      <c r="BN154" s="24" t="s">
        <v>241</v>
      </c>
      <c r="BO154" s="24"/>
      <c r="BP154" s="24" t="s">
        <v>241</v>
      </c>
      <c r="BQ154" s="24"/>
      <c r="BR154" s="24" t="s">
        <v>241</v>
      </c>
      <c r="BS154" s="24"/>
      <c r="BT154" s="24" t="s">
        <v>241</v>
      </c>
      <c r="BU154" s="24"/>
      <c r="BV154" s="24" t="s">
        <v>241</v>
      </c>
      <c r="BW154" s="24"/>
      <c r="BX154" s="24" t="s">
        <v>241</v>
      </c>
      <c r="BY154" s="24"/>
      <c r="BZ154" s="24" t="s">
        <v>242</v>
      </c>
      <c r="CA154" s="24"/>
      <c r="CB154" s="24" t="s">
        <v>242</v>
      </c>
      <c r="CC154" s="24"/>
      <c r="CD154" s="24" t="s">
        <v>242</v>
      </c>
      <c r="CE154" s="24"/>
      <c r="CF154" s="24" t="s">
        <v>242</v>
      </c>
      <c r="CG154" s="24"/>
      <c r="CH154" s="24" t="s">
        <v>242</v>
      </c>
      <c r="CI154" s="24"/>
      <c r="CJ154" s="24" t="s">
        <v>242</v>
      </c>
      <c r="CK154" s="24"/>
      <c r="CL154" s="24" t="s">
        <v>243</v>
      </c>
      <c r="CM154" s="24"/>
      <c r="CN154" s="24" t="s">
        <v>243</v>
      </c>
      <c r="CO154" s="24"/>
      <c r="CP154" s="24" t="s">
        <v>243</v>
      </c>
      <c r="CQ154" s="24"/>
      <c r="CR154" s="24" t="s">
        <v>243</v>
      </c>
      <c r="CS154" s="24"/>
      <c r="CT154" s="24" t="s">
        <v>243</v>
      </c>
      <c r="CU154" s="24"/>
      <c r="CV154" s="24" t="s">
        <v>243</v>
      </c>
      <c r="CW154" s="24"/>
      <c r="CX154" s="24" t="s">
        <v>243</v>
      </c>
    </row>
    <row r="155" spans="2:102" ht="12.75">
      <c r="B155" s="30" t="s">
        <v>231</v>
      </c>
      <c r="C155" s="30"/>
      <c r="E155" s="2"/>
      <c r="F155" s="2" t="s">
        <v>235</v>
      </c>
      <c r="G155" s="2"/>
      <c r="H155" s="2" t="s">
        <v>235</v>
      </c>
      <c r="I155" s="2"/>
      <c r="J155" s="2" t="s">
        <v>235</v>
      </c>
      <c r="K155" s="2"/>
      <c r="L155" s="2" t="s">
        <v>235</v>
      </c>
      <c r="M155" s="2"/>
      <c r="N155" s="2" t="s">
        <v>235</v>
      </c>
      <c r="O155" s="2"/>
      <c r="P155" s="2" t="s">
        <v>235</v>
      </c>
      <c r="Q155" s="2"/>
      <c r="R155" s="2" t="s">
        <v>118</v>
      </c>
      <c r="S155" s="2"/>
      <c r="T155" s="2" t="s">
        <v>118</v>
      </c>
      <c r="U155" s="2"/>
      <c r="V155" s="2" t="s">
        <v>118</v>
      </c>
      <c r="W155" s="2"/>
      <c r="X155" s="2" t="s">
        <v>118</v>
      </c>
      <c r="Y155" s="2"/>
      <c r="Z155" s="2" t="s">
        <v>118</v>
      </c>
      <c r="AA155" s="2"/>
      <c r="AB155" s="2" t="s">
        <v>118</v>
      </c>
      <c r="AC155" s="2"/>
      <c r="AD155" s="2" t="s">
        <v>118</v>
      </c>
      <c r="AE155" s="2"/>
      <c r="AF155" s="2" t="s">
        <v>118</v>
      </c>
      <c r="AG155" s="2"/>
      <c r="AH155" s="2" t="s">
        <v>118</v>
      </c>
      <c r="AI155" s="2"/>
      <c r="AJ155" s="2" t="s">
        <v>118</v>
      </c>
      <c r="AK155" s="2"/>
      <c r="AL155" s="2" t="s">
        <v>118</v>
      </c>
      <c r="AM155" s="2"/>
      <c r="AN155" s="2" t="s">
        <v>118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 t="s">
        <v>239</v>
      </c>
      <c r="BC155" s="2"/>
      <c r="BD155" s="2" t="s">
        <v>239</v>
      </c>
      <c r="BE155" s="2"/>
      <c r="BF155" s="2" t="s">
        <v>239</v>
      </c>
      <c r="BG155" s="2"/>
      <c r="BH155" s="2" t="s">
        <v>239</v>
      </c>
      <c r="BI155" s="2"/>
      <c r="BJ155" s="2" t="s">
        <v>239</v>
      </c>
      <c r="BK155" s="2"/>
      <c r="BL155" s="2" t="s">
        <v>239</v>
      </c>
      <c r="BM155" s="2"/>
      <c r="BN155" s="4" t="s">
        <v>65</v>
      </c>
      <c r="BO155" s="2"/>
      <c r="BP155" s="4" t="s">
        <v>65</v>
      </c>
      <c r="BQ155" s="2"/>
      <c r="BR155" s="4" t="s">
        <v>65</v>
      </c>
      <c r="BS155" s="2"/>
      <c r="BT155" s="4" t="s">
        <v>65</v>
      </c>
      <c r="BU155" s="2"/>
      <c r="BV155" s="4" t="s">
        <v>65</v>
      </c>
      <c r="BW155" s="2"/>
      <c r="BX155" s="4" t="s">
        <v>65</v>
      </c>
      <c r="BY155" s="2"/>
      <c r="BZ155" s="2" t="s">
        <v>235</v>
      </c>
      <c r="CA155" s="2"/>
      <c r="CB155" s="2" t="s">
        <v>235</v>
      </c>
      <c r="CC155" s="2"/>
      <c r="CD155" s="2" t="s">
        <v>235</v>
      </c>
      <c r="CF155" s="2" t="s">
        <v>235</v>
      </c>
      <c r="CH155" s="2" t="s">
        <v>235</v>
      </c>
      <c r="CJ155" s="2" t="s">
        <v>235</v>
      </c>
      <c r="CL155" s="4" t="s">
        <v>66</v>
      </c>
      <c r="CN155" s="4" t="s">
        <v>66</v>
      </c>
      <c r="CP155" s="4" t="s">
        <v>66</v>
      </c>
      <c r="CR155" s="4" t="s">
        <v>66</v>
      </c>
      <c r="CT155" s="4" t="s">
        <v>66</v>
      </c>
      <c r="CV155" s="4" t="s">
        <v>66</v>
      </c>
      <c r="CX155" s="4" t="s">
        <v>66</v>
      </c>
    </row>
    <row r="156" spans="2:102" ht="12.75">
      <c r="B156" s="30" t="s">
        <v>246</v>
      </c>
      <c r="C156" s="30"/>
      <c r="E156" s="2"/>
      <c r="F156" s="32" t="s">
        <v>247</v>
      </c>
      <c r="G156" s="2"/>
      <c r="H156" s="32" t="s">
        <v>247</v>
      </c>
      <c r="I156" s="2"/>
      <c r="J156" s="32" t="s">
        <v>247</v>
      </c>
      <c r="K156" s="2"/>
      <c r="L156" s="32" t="s">
        <v>247</v>
      </c>
      <c r="M156" s="2"/>
      <c r="N156" s="32" t="s">
        <v>247</v>
      </c>
      <c r="O156" s="2"/>
      <c r="P156" s="32" t="s">
        <v>247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118</v>
      </c>
      <c r="AQ156" s="2"/>
      <c r="AR156" s="2" t="s">
        <v>118</v>
      </c>
      <c r="AS156" s="2"/>
      <c r="AT156" s="2" t="s">
        <v>118</v>
      </c>
      <c r="AU156" s="2"/>
      <c r="AV156" s="2" t="s">
        <v>118</v>
      </c>
      <c r="AW156" s="2"/>
      <c r="AX156" s="2" t="s">
        <v>118</v>
      </c>
      <c r="AY156" s="2"/>
      <c r="AZ156" s="2" t="s">
        <v>118</v>
      </c>
      <c r="BA156" s="2"/>
      <c r="BB156" s="32" t="s">
        <v>117</v>
      </c>
      <c r="BC156" s="2"/>
      <c r="BD156" s="32" t="s">
        <v>117</v>
      </c>
      <c r="BE156" s="2"/>
      <c r="BF156" s="32" t="s">
        <v>117</v>
      </c>
      <c r="BG156" s="2"/>
      <c r="BH156" s="32" t="s">
        <v>117</v>
      </c>
      <c r="BI156" s="2"/>
      <c r="BJ156" s="32" t="s">
        <v>117</v>
      </c>
      <c r="BK156" s="2"/>
      <c r="BL156" s="32" t="s">
        <v>117</v>
      </c>
      <c r="BM156" s="2"/>
      <c r="BN156" s="4" t="s">
        <v>65</v>
      </c>
      <c r="BO156" s="2"/>
      <c r="BP156" s="4" t="s">
        <v>65</v>
      </c>
      <c r="BQ156" s="2"/>
      <c r="BR156" s="4" t="s">
        <v>65</v>
      </c>
      <c r="BS156" s="2"/>
      <c r="BT156" s="4" t="s">
        <v>65</v>
      </c>
      <c r="BU156" s="2"/>
      <c r="BV156" s="4" t="s">
        <v>65</v>
      </c>
      <c r="BW156" s="2"/>
      <c r="BX156" s="4" t="s">
        <v>65</v>
      </c>
      <c r="BY156" s="2"/>
      <c r="BZ156" s="2"/>
      <c r="CA156" s="2"/>
      <c r="CB156" s="2"/>
      <c r="CC156" s="2"/>
      <c r="CD156" s="2"/>
      <c r="CF156" s="2"/>
      <c r="CH156" s="2"/>
      <c r="CJ156" s="2"/>
      <c r="CL156" s="4" t="s">
        <v>66</v>
      </c>
      <c r="CN156" s="4" t="s">
        <v>66</v>
      </c>
      <c r="CP156" s="4" t="s">
        <v>66</v>
      </c>
      <c r="CR156" s="4" t="s">
        <v>66</v>
      </c>
      <c r="CT156" s="4" t="s">
        <v>66</v>
      </c>
      <c r="CV156" s="4" t="s">
        <v>66</v>
      </c>
      <c r="CX156" s="4" t="s">
        <v>66</v>
      </c>
    </row>
    <row r="157" spans="2:102" ht="12.75">
      <c r="B157" s="30" t="s">
        <v>232</v>
      </c>
      <c r="C157" s="30"/>
      <c r="F157" s="4" t="s">
        <v>62</v>
      </c>
      <c r="H157" s="4" t="s">
        <v>62</v>
      </c>
      <c r="J157" s="4" t="s">
        <v>62</v>
      </c>
      <c r="L157" s="4" t="s">
        <v>62</v>
      </c>
      <c r="N157" s="4" t="s">
        <v>62</v>
      </c>
      <c r="P157" s="4" t="s">
        <v>62</v>
      </c>
      <c r="R157" s="4" t="s">
        <v>63</v>
      </c>
      <c r="T157" s="4" t="s">
        <v>63</v>
      </c>
      <c r="V157" s="4" t="s">
        <v>63</v>
      </c>
      <c r="X157" s="4" t="s">
        <v>63</v>
      </c>
      <c r="Z157" s="4" t="s">
        <v>63</v>
      </c>
      <c r="AB157" s="4" t="s">
        <v>63</v>
      </c>
      <c r="AD157" s="4" t="s">
        <v>63</v>
      </c>
      <c r="AF157" s="4" t="s">
        <v>63</v>
      </c>
      <c r="AH157" s="4" t="s">
        <v>63</v>
      </c>
      <c r="AJ157" s="4" t="s">
        <v>63</v>
      </c>
      <c r="AL157" s="4" t="s">
        <v>63</v>
      </c>
      <c r="AN157" s="4" t="s">
        <v>63</v>
      </c>
      <c r="BB157" s="4" t="s">
        <v>64</v>
      </c>
      <c r="BD157" s="4" t="s">
        <v>64</v>
      </c>
      <c r="BF157" s="4" t="s">
        <v>64</v>
      </c>
      <c r="BH157" s="4" t="s">
        <v>64</v>
      </c>
      <c r="BJ157" s="4" t="s">
        <v>64</v>
      </c>
      <c r="BL157" s="4" t="s">
        <v>64</v>
      </c>
      <c r="BN157" s="4" t="s">
        <v>65</v>
      </c>
      <c r="BP157" s="4" t="s">
        <v>65</v>
      </c>
      <c r="BR157" s="4" t="s">
        <v>65</v>
      </c>
      <c r="BT157" s="4" t="s">
        <v>65</v>
      </c>
      <c r="BV157" s="4" t="s">
        <v>65</v>
      </c>
      <c r="BX157" s="4" t="s">
        <v>65</v>
      </c>
      <c r="BZ157" s="4" t="s">
        <v>120</v>
      </c>
      <c r="CB157" s="4" t="s">
        <v>120</v>
      </c>
      <c r="CD157" s="4" t="s">
        <v>120</v>
      </c>
      <c r="CF157" s="4" t="s">
        <v>120</v>
      </c>
      <c r="CH157" s="4" t="s">
        <v>120</v>
      </c>
      <c r="CJ157" s="4" t="s">
        <v>120</v>
      </c>
      <c r="CL157" s="4" t="s">
        <v>66</v>
      </c>
      <c r="CN157" s="4" t="s">
        <v>66</v>
      </c>
      <c r="CP157" s="4" t="s">
        <v>66</v>
      </c>
      <c r="CR157" s="4" t="s">
        <v>66</v>
      </c>
      <c r="CT157" s="4" t="s">
        <v>66</v>
      </c>
      <c r="CV157" s="4" t="s">
        <v>66</v>
      </c>
      <c r="CX157" s="4" t="s">
        <v>66</v>
      </c>
    </row>
    <row r="158" spans="1:82" ht="12.75">
      <c r="A158" s="4" t="s">
        <v>26</v>
      </c>
      <c r="B158" s="4" t="s">
        <v>233</v>
      </c>
      <c r="D158" s="4" t="s">
        <v>69</v>
      </c>
      <c r="E158" s="2"/>
      <c r="F158">
        <v>151000</v>
      </c>
      <c r="H158">
        <v>151000</v>
      </c>
      <c r="I158" s="2"/>
      <c r="J158">
        <v>152400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>
        <v>13400</v>
      </c>
      <c r="BC158" s="2"/>
      <c r="BD158" s="2">
        <v>13200</v>
      </c>
      <c r="BE158" s="2"/>
      <c r="BF158" s="2">
        <v>13400</v>
      </c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1:82" ht="12.75">
      <c r="A159" s="4" t="s">
        <v>26</v>
      </c>
      <c r="B159" s="4" t="s">
        <v>234</v>
      </c>
      <c r="D159" s="4" t="s">
        <v>52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>
        <v>12500</v>
      </c>
      <c r="BC159" s="2"/>
      <c r="BD159" s="2">
        <v>12500</v>
      </c>
      <c r="BE159" s="2"/>
      <c r="BF159" s="2">
        <v>12500</v>
      </c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2:102" ht="12.75">
      <c r="B160" s="26" t="s">
        <v>252</v>
      </c>
      <c r="D160" s="4" t="s">
        <v>253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>
        <f>BB158*BB159/1000000</f>
        <v>167.5</v>
      </c>
      <c r="BC160" s="2"/>
      <c r="BD160" s="2">
        <f>BD158*BD159/1000000</f>
        <v>165</v>
      </c>
      <c r="BE160" s="2"/>
      <c r="BF160" s="2">
        <f>BF158*BF159/1000000</f>
        <v>167.5</v>
      </c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L160" s="4">
        <f>BB160</f>
        <v>167.5</v>
      </c>
      <c r="CN160" s="4">
        <f>BD160</f>
        <v>165</v>
      </c>
      <c r="CP160" s="4">
        <f>BF160</f>
        <v>167.5</v>
      </c>
      <c r="CX160" s="8">
        <f>AVERAGE(CL160,CN160,CP160)</f>
        <v>166.66666666666666</v>
      </c>
    </row>
    <row r="161" spans="1:82" ht="12.75">
      <c r="A161" s="4" t="s">
        <v>26</v>
      </c>
      <c r="B161" s="4" t="s">
        <v>51</v>
      </c>
      <c r="D161" s="4" t="s">
        <v>69</v>
      </c>
      <c r="E161" s="2"/>
      <c r="F161" s="2">
        <v>6.3118</v>
      </c>
      <c r="G161" s="2"/>
      <c r="H161" s="2">
        <v>6.20459</v>
      </c>
      <c r="I161" s="2"/>
      <c r="J161" s="2">
        <v>4.0005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>
        <v>111.7962</v>
      </c>
      <c r="BC161" s="2"/>
      <c r="BD161" s="2">
        <v>114.708</v>
      </c>
      <c r="BE161" s="2"/>
      <c r="BF161" s="2">
        <v>119.26</v>
      </c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1:82" ht="12.75">
      <c r="A162" s="4" t="s">
        <v>26</v>
      </c>
      <c r="B162" s="4" t="s">
        <v>9</v>
      </c>
      <c r="D162" s="4" t="s">
        <v>69</v>
      </c>
      <c r="E162" s="2" t="s">
        <v>11</v>
      </c>
      <c r="F162" s="2">
        <v>8.4258</v>
      </c>
      <c r="G162" s="2" t="s">
        <v>11</v>
      </c>
      <c r="H162" s="2">
        <v>8.8939</v>
      </c>
      <c r="I162" s="2" t="s">
        <v>11</v>
      </c>
      <c r="J162" s="2">
        <v>8.3058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>
        <v>1.02108</v>
      </c>
      <c r="BC162" s="2" t="s">
        <v>11</v>
      </c>
      <c r="BD162" s="2">
        <v>0.77484</v>
      </c>
      <c r="BE162" s="2" t="s">
        <v>11</v>
      </c>
      <c r="BF162" s="2">
        <v>0.8241</v>
      </c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1:82" ht="12.75">
      <c r="A163" s="4" t="s">
        <v>26</v>
      </c>
      <c r="B163" s="4" t="s">
        <v>12</v>
      </c>
      <c r="D163" s="4" t="s">
        <v>69</v>
      </c>
      <c r="E163" s="2"/>
      <c r="F163" s="10">
        <v>0.61608</v>
      </c>
      <c r="G163" s="10"/>
      <c r="H163" s="10">
        <v>0.601735</v>
      </c>
      <c r="I163" s="10"/>
      <c r="J163" s="10">
        <v>0.566928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>
        <v>0.037654</v>
      </c>
      <c r="BC163" s="2"/>
      <c r="BD163" s="2">
        <v>0.052932</v>
      </c>
      <c r="BE163" s="2"/>
      <c r="BF163" s="2">
        <v>0.031356</v>
      </c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1:82" ht="12.75">
      <c r="A164" s="4" t="s">
        <v>26</v>
      </c>
      <c r="B164" s="4" t="s">
        <v>13</v>
      </c>
      <c r="D164" s="4" t="s">
        <v>69</v>
      </c>
      <c r="E164" s="2"/>
      <c r="F164" s="2">
        <v>10.0566</v>
      </c>
      <c r="G164" s="2"/>
      <c r="H164" s="2">
        <v>9.3016</v>
      </c>
      <c r="I164" s="2"/>
      <c r="J164" s="2">
        <v>7.45236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>
        <v>32.964</v>
      </c>
      <c r="BC164" s="2"/>
      <c r="BD164" s="2">
        <v>29.04</v>
      </c>
      <c r="BE164" s="2"/>
      <c r="BF164" s="2">
        <v>31.356</v>
      </c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1:82" ht="12.75">
      <c r="A165" s="4" t="s">
        <v>26</v>
      </c>
      <c r="B165" s="4" t="s">
        <v>14</v>
      </c>
      <c r="D165" s="4" t="s">
        <v>69</v>
      </c>
      <c r="E165" s="2" t="s">
        <v>11</v>
      </c>
      <c r="F165" s="1">
        <v>0.047263</v>
      </c>
      <c r="G165" s="1" t="s">
        <v>11</v>
      </c>
      <c r="H165" s="1">
        <v>0.0499055</v>
      </c>
      <c r="I165" s="1" t="s">
        <v>11</v>
      </c>
      <c r="J165" s="1">
        <v>0.1033272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 t="s">
        <v>11</v>
      </c>
      <c r="BB165" s="2">
        <v>0.0045962</v>
      </c>
      <c r="BC165" s="2" t="s">
        <v>11</v>
      </c>
      <c r="BD165" s="2">
        <v>0.0043428</v>
      </c>
      <c r="BE165" s="2" t="s">
        <v>11</v>
      </c>
      <c r="BF165" s="2">
        <v>0.0046364</v>
      </c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1:82" ht="12.75">
      <c r="A166" s="4" t="s">
        <v>26</v>
      </c>
      <c r="B166" s="4" t="s">
        <v>15</v>
      </c>
      <c r="D166" s="4" t="s">
        <v>69</v>
      </c>
      <c r="E166" s="2"/>
      <c r="F166" s="2">
        <v>0.03171</v>
      </c>
      <c r="G166" s="2"/>
      <c r="H166" s="2">
        <v>0.0391845</v>
      </c>
      <c r="I166" s="2"/>
      <c r="J166" s="2">
        <v>0.0166116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>
        <v>0.062712</v>
      </c>
      <c r="BC166" s="2"/>
      <c r="BD166" s="2">
        <v>0.078672</v>
      </c>
      <c r="BE166" s="2"/>
      <c r="BF166" s="2">
        <v>0.046967</v>
      </c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1:82" ht="12.75">
      <c r="A167" s="4" t="s">
        <v>26</v>
      </c>
      <c r="B167" s="4" t="s">
        <v>16</v>
      </c>
      <c r="D167" s="4" t="s">
        <v>69</v>
      </c>
      <c r="E167" s="2"/>
      <c r="F167" s="2">
        <v>3.8958</v>
      </c>
      <c r="G167" s="2"/>
      <c r="H167" s="2">
        <v>3.4126</v>
      </c>
      <c r="I167" s="2"/>
      <c r="J167" s="2">
        <v>3.70332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>
        <v>1.8492</v>
      </c>
      <c r="BC167" s="2"/>
      <c r="BD167" s="2">
        <v>1.4784</v>
      </c>
      <c r="BE167" s="2"/>
      <c r="BF167" s="2">
        <v>1.7152</v>
      </c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1:82" ht="12.75">
      <c r="A168" s="4" t="s">
        <v>26</v>
      </c>
      <c r="B168" s="4" t="s">
        <v>17</v>
      </c>
      <c r="D168" s="4" t="s">
        <v>69</v>
      </c>
      <c r="E168" s="2"/>
      <c r="F168" s="2">
        <v>5.4662</v>
      </c>
      <c r="G168" s="2"/>
      <c r="H168" s="2">
        <v>5.20195</v>
      </c>
      <c r="I168" s="2"/>
      <c r="J168" s="2">
        <v>4.8006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>
        <v>3.4304</v>
      </c>
      <c r="BC168" s="2"/>
      <c r="BD168" s="2">
        <v>3.0624</v>
      </c>
      <c r="BE168" s="2"/>
      <c r="BF168" s="2">
        <v>3.3701</v>
      </c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1:82" ht="12.75">
      <c r="A169" s="4" t="s">
        <v>26</v>
      </c>
      <c r="B169" s="4" t="s">
        <v>18</v>
      </c>
      <c r="D169" s="4" t="s">
        <v>69</v>
      </c>
      <c r="E169" s="2"/>
      <c r="F169" s="2">
        <v>1887.5</v>
      </c>
      <c r="G169" s="2"/>
      <c r="H169" s="2">
        <v>1766.7</v>
      </c>
      <c r="I169" s="2"/>
      <c r="J169" s="2">
        <v>1615.44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>
        <v>43.818</v>
      </c>
      <c r="BC169" s="2"/>
      <c r="BD169" s="2">
        <v>34.584</v>
      </c>
      <c r="BE169" s="2"/>
      <c r="BF169" s="2">
        <v>40.803</v>
      </c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1:82" ht="12.75">
      <c r="A170" s="4" t="s">
        <v>26</v>
      </c>
      <c r="B170" s="4" t="s">
        <v>19</v>
      </c>
      <c r="D170" s="4" t="s">
        <v>69</v>
      </c>
      <c r="E170" s="2"/>
      <c r="F170" s="2">
        <v>0.66742</v>
      </c>
      <c r="G170" s="2"/>
      <c r="H170" s="2">
        <v>0.637975</v>
      </c>
      <c r="I170" s="2"/>
      <c r="J170" s="2">
        <v>0.484632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>
        <v>2.881</v>
      </c>
      <c r="BC170" s="2"/>
      <c r="BD170" s="2">
        <v>3.696</v>
      </c>
      <c r="BE170" s="2"/>
      <c r="BF170" s="2">
        <v>2.5527</v>
      </c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1:82" ht="12.75">
      <c r="A171" s="4" t="s">
        <v>26</v>
      </c>
      <c r="B171" s="4" t="s">
        <v>20</v>
      </c>
      <c r="D171" s="4" t="s">
        <v>69</v>
      </c>
      <c r="E171" s="2" t="s">
        <v>11</v>
      </c>
      <c r="F171" s="35">
        <v>0.00048471</v>
      </c>
      <c r="G171" s="35" t="s">
        <v>11</v>
      </c>
      <c r="H171" s="35">
        <v>0.00063722</v>
      </c>
      <c r="I171" s="35" t="s">
        <v>11</v>
      </c>
      <c r="J171" s="35">
        <v>0.0005715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>
        <v>0.014472</v>
      </c>
      <c r="BC171" s="2"/>
      <c r="BD171" s="2">
        <v>0.02112</v>
      </c>
      <c r="BE171" s="2"/>
      <c r="BF171" s="2">
        <v>0.0123548</v>
      </c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</row>
    <row r="172" spans="1:82" ht="12.75">
      <c r="A172" s="4" t="s">
        <v>26</v>
      </c>
      <c r="B172" s="4" t="s">
        <v>21</v>
      </c>
      <c r="D172" s="4" t="s">
        <v>69</v>
      </c>
      <c r="E172" s="2" t="s">
        <v>11</v>
      </c>
      <c r="F172" s="2">
        <v>1.6459</v>
      </c>
      <c r="G172" s="2"/>
      <c r="H172" s="2">
        <v>2.718</v>
      </c>
      <c r="I172" s="2"/>
      <c r="J172" s="2">
        <v>4.66344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 t="s">
        <v>11</v>
      </c>
      <c r="BB172" s="2">
        <v>0.15946</v>
      </c>
      <c r="BC172" s="2" t="s">
        <v>11</v>
      </c>
      <c r="BD172" s="2">
        <v>0.15048</v>
      </c>
      <c r="BE172" s="2" t="s">
        <v>11</v>
      </c>
      <c r="BF172" s="2">
        <v>0.16013</v>
      </c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1:82" ht="12.75">
      <c r="A173" s="4" t="s">
        <v>26</v>
      </c>
      <c r="B173" s="4" t="s">
        <v>22</v>
      </c>
      <c r="D173" s="4" t="s">
        <v>69</v>
      </c>
      <c r="E173" s="2"/>
      <c r="F173" s="1">
        <v>0.139675</v>
      </c>
      <c r="G173" s="1"/>
      <c r="H173" s="1">
        <v>0.178935</v>
      </c>
      <c r="I173" s="1"/>
      <c r="J173" s="1">
        <v>0.262128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>
        <v>0.021574</v>
      </c>
      <c r="BC173" s="2"/>
      <c r="BD173" s="2">
        <v>0.025872</v>
      </c>
      <c r="BE173" s="2"/>
      <c r="BF173" s="2">
        <v>0.028073</v>
      </c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1:82" ht="12.75">
      <c r="A174" s="4" t="s">
        <v>26</v>
      </c>
      <c r="B174" s="4" t="s">
        <v>23</v>
      </c>
      <c r="D174" s="4" t="s">
        <v>69</v>
      </c>
      <c r="E174" s="2" t="s">
        <v>11</v>
      </c>
      <c r="F174" s="1">
        <v>0.63722</v>
      </c>
      <c r="G174" s="1" t="s">
        <v>11</v>
      </c>
      <c r="H174" s="1">
        <v>0.67195</v>
      </c>
      <c r="I174" s="1" t="s">
        <v>11</v>
      </c>
      <c r="J174" s="1">
        <v>0.626364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 t="s">
        <v>11</v>
      </c>
      <c r="BB174" s="2">
        <v>0.061908</v>
      </c>
      <c r="BC174" s="2" t="s">
        <v>11</v>
      </c>
      <c r="BD174" s="2">
        <v>0.058476</v>
      </c>
      <c r="BE174" s="2" t="s">
        <v>11</v>
      </c>
      <c r="BF174" s="2">
        <v>0.06231</v>
      </c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1:82" ht="12.75">
      <c r="A175" s="4" t="s">
        <v>26</v>
      </c>
      <c r="B175" s="4" t="s">
        <v>24</v>
      </c>
      <c r="D175" s="4" t="s">
        <v>69</v>
      </c>
      <c r="E175" s="2"/>
      <c r="F175" s="1">
        <v>0.020385</v>
      </c>
      <c r="G175" s="1"/>
      <c r="H175" s="1">
        <v>0.036995</v>
      </c>
      <c r="I175" s="1"/>
      <c r="J175" s="1">
        <v>0.00605028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 t="s">
        <v>11</v>
      </c>
      <c r="BB175" s="2">
        <v>0.006566</v>
      </c>
      <c r="BC175" s="2" t="s">
        <v>11</v>
      </c>
      <c r="BD175" s="2">
        <v>0.0061116</v>
      </c>
      <c r="BE175" s="2" t="s">
        <v>11</v>
      </c>
      <c r="BF175" s="2">
        <v>0.0064052</v>
      </c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</row>
    <row r="176" spans="1:82" ht="12.75">
      <c r="A176" s="4" t="s">
        <v>26</v>
      </c>
      <c r="B176" s="4" t="s">
        <v>25</v>
      </c>
      <c r="D176" s="4" t="s">
        <v>69</v>
      </c>
      <c r="E176" s="2"/>
      <c r="F176" s="2">
        <v>5.3756</v>
      </c>
      <c r="G176" s="2"/>
      <c r="H176" s="2">
        <v>7.2329</v>
      </c>
      <c r="I176" s="2"/>
      <c r="J176" s="2">
        <v>4.191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>
        <v>11.8054</v>
      </c>
      <c r="BC176" s="2"/>
      <c r="BD176" s="2">
        <v>10.9692</v>
      </c>
      <c r="BE176" s="2"/>
      <c r="BF176" s="2">
        <v>11.8523</v>
      </c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5:82" ht="12.7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</row>
    <row r="178" spans="2:82" ht="12.75">
      <c r="B178" s="30" t="s">
        <v>244</v>
      </c>
      <c r="C178" s="30"/>
      <c r="D178" s="30" t="s">
        <v>190</v>
      </c>
      <c r="E178" s="2"/>
      <c r="F178" s="2">
        <f>'emiss 2'!$G$200</f>
        <v>50799</v>
      </c>
      <c r="G178" s="2"/>
      <c r="H178" s="2">
        <f>'emiss 2'!$I$200</f>
        <v>56471</v>
      </c>
      <c r="I178" s="2"/>
      <c r="J178" s="2">
        <f>'emiss 2'!$K$200</f>
        <v>55990</v>
      </c>
      <c r="K178" s="2"/>
      <c r="L178" s="2"/>
      <c r="M178" s="2"/>
      <c r="N178" s="2"/>
      <c r="O178" s="2"/>
      <c r="P178" s="2"/>
      <c r="Q178" s="2"/>
      <c r="R178" s="2">
        <f>'emiss 2'!$G$200</f>
        <v>50799</v>
      </c>
      <c r="S178" s="2"/>
      <c r="T178" s="2">
        <f>'emiss 2'!$I$200</f>
        <v>56471</v>
      </c>
      <c r="U178" s="2"/>
      <c r="V178" s="2">
        <f>'emiss 2'!$K$200</f>
        <v>55990</v>
      </c>
      <c r="W178" s="2"/>
      <c r="X178" s="2"/>
      <c r="Y178" s="2"/>
      <c r="Z178" s="2"/>
      <c r="AA178" s="2"/>
      <c r="AB178" s="2"/>
      <c r="AC178" s="2"/>
      <c r="AD178" s="2">
        <f>'emiss 2'!$G$200</f>
        <v>50799</v>
      </c>
      <c r="AE178" s="2"/>
      <c r="AF178" s="2">
        <f>'emiss 2'!$I$200</f>
        <v>56471</v>
      </c>
      <c r="AG178" s="2"/>
      <c r="AH178" s="2">
        <f>'emiss 2'!$K$200</f>
        <v>55990</v>
      </c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>
        <f>'emiss 2'!$G$200</f>
        <v>50799</v>
      </c>
      <c r="BC178" s="2"/>
      <c r="BD178" s="2">
        <f>'emiss 2'!$I$200</f>
        <v>56471</v>
      </c>
      <c r="BE178" s="2"/>
      <c r="BF178" s="2">
        <f>'emiss 2'!$K$200</f>
        <v>55990</v>
      </c>
      <c r="BG178" s="2"/>
      <c r="BH178" s="2"/>
      <c r="BI178" s="2"/>
      <c r="BJ178" s="2"/>
      <c r="BK178" s="2"/>
      <c r="BL178" s="2"/>
      <c r="BM178" s="2"/>
      <c r="BN178" s="2">
        <f>'emiss 2'!$G$200</f>
        <v>50799</v>
      </c>
      <c r="BO178" s="2"/>
      <c r="BP178" s="2">
        <f>'emiss 2'!$I$200</f>
        <v>56471</v>
      </c>
      <c r="BQ178" s="2"/>
      <c r="BR178" s="2">
        <f>'emiss 2'!$K$200</f>
        <v>55990</v>
      </c>
      <c r="BS178" s="2"/>
      <c r="BT178" s="2"/>
      <c r="BU178" s="2"/>
      <c r="BV178" s="2"/>
      <c r="BW178" s="2"/>
      <c r="BX178" s="2"/>
      <c r="BY178" s="2"/>
      <c r="BZ178" s="2">
        <f>'emiss 2'!$G$200</f>
        <v>50799</v>
      </c>
      <c r="CA178" s="2"/>
      <c r="CB178" s="2">
        <f>'emiss 2'!$I$200</f>
        <v>56471</v>
      </c>
      <c r="CC178" s="2"/>
      <c r="CD178" s="2">
        <f>'emiss 2'!$K$200</f>
        <v>55990</v>
      </c>
    </row>
    <row r="179" spans="2:82" ht="12.75">
      <c r="B179" s="30" t="s">
        <v>37</v>
      </c>
      <c r="C179" s="30"/>
      <c r="D179" s="30" t="s">
        <v>192</v>
      </c>
      <c r="E179" s="2"/>
      <c r="F179" s="2">
        <f>'emiss 2'!$G$201</f>
        <v>9</v>
      </c>
      <c r="G179" s="2"/>
      <c r="H179" s="2">
        <f>'emiss 2'!$I$201</f>
        <v>9</v>
      </c>
      <c r="I179" s="2"/>
      <c r="J179" s="2">
        <f>'emiss 2'!$K$201</f>
        <v>8.2</v>
      </c>
      <c r="K179" s="2"/>
      <c r="L179" s="2"/>
      <c r="M179" s="2"/>
      <c r="N179" s="2"/>
      <c r="O179" s="2"/>
      <c r="P179" s="2"/>
      <c r="Q179" s="2"/>
      <c r="R179" s="2">
        <f>'emiss 2'!$G$201</f>
        <v>9</v>
      </c>
      <c r="S179" s="2"/>
      <c r="T179" s="2">
        <f>'emiss 2'!$I$201</f>
        <v>9</v>
      </c>
      <c r="U179" s="2"/>
      <c r="V179" s="2">
        <f>'emiss 2'!$K$201</f>
        <v>8.2</v>
      </c>
      <c r="W179" s="2"/>
      <c r="X179" s="2"/>
      <c r="Y179" s="2"/>
      <c r="Z179" s="2"/>
      <c r="AA179" s="2"/>
      <c r="AB179" s="2"/>
      <c r="AC179" s="2"/>
      <c r="AD179" s="2">
        <f>'emiss 2'!$G$201</f>
        <v>9</v>
      </c>
      <c r="AE179" s="2"/>
      <c r="AF179" s="2">
        <f>'emiss 2'!$I$201</f>
        <v>9</v>
      </c>
      <c r="AG179" s="2"/>
      <c r="AH179" s="2">
        <f>'emiss 2'!$K$201</f>
        <v>8.2</v>
      </c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>
        <f>'emiss 2'!$G$201</f>
        <v>9</v>
      </c>
      <c r="BC179" s="2"/>
      <c r="BD179" s="2">
        <f>'emiss 2'!$I$201</f>
        <v>9</v>
      </c>
      <c r="BE179" s="2"/>
      <c r="BF179" s="2">
        <f>'emiss 2'!$K$201</f>
        <v>8.2</v>
      </c>
      <c r="BG179" s="2"/>
      <c r="BH179" s="2"/>
      <c r="BI179" s="2"/>
      <c r="BJ179" s="2"/>
      <c r="BK179" s="2"/>
      <c r="BL179" s="2"/>
      <c r="BM179" s="2"/>
      <c r="BN179" s="2">
        <f>'emiss 2'!$G$201</f>
        <v>9</v>
      </c>
      <c r="BO179" s="2"/>
      <c r="BP179" s="2">
        <f>'emiss 2'!$I$201</f>
        <v>9</v>
      </c>
      <c r="BQ179" s="2"/>
      <c r="BR179" s="2">
        <f>'emiss 2'!$K$201</f>
        <v>8.2</v>
      </c>
      <c r="BS179" s="2"/>
      <c r="BT179" s="2"/>
      <c r="BU179" s="2"/>
      <c r="BV179" s="2"/>
      <c r="BW179" s="2"/>
      <c r="BX179" s="2"/>
      <c r="BY179" s="2"/>
      <c r="BZ179" s="2">
        <f>'emiss 2'!$G$201</f>
        <v>9</v>
      </c>
      <c r="CA179" s="2"/>
      <c r="CB179" s="2">
        <f>'emiss 2'!$I$201</f>
        <v>9</v>
      </c>
      <c r="CC179" s="2"/>
      <c r="CD179" s="2">
        <f>'emiss 2'!$K$201</f>
        <v>8.2</v>
      </c>
    </row>
    <row r="180" spans="2:82" ht="12.75">
      <c r="B180" s="30"/>
      <c r="C180" s="30"/>
      <c r="D180" s="3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2:82" ht="12.75">
      <c r="B181" s="31" t="s">
        <v>245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</row>
    <row r="182" spans="2:107" ht="12.75">
      <c r="B182" s="4" t="s">
        <v>51</v>
      </c>
      <c r="D182" s="4" t="s">
        <v>10</v>
      </c>
      <c r="E182" s="2"/>
      <c r="F182" s="8">
        <f>F161*454*1000000/F$178*14/(21-F$179)</f>
        <v>65811.33618115842</v>
      </c>
      <c r="G182" s="2"/>
      <c r="H182" s="8">
        <f>H161*454*1000000/H$178*14/(21-H$179)</f>
        <v>58195.61373684428</v>
      </c>
      <c r="I182" s="2"/>
      <c r="J182" s="8">
        <f aca="true" t="shared" si="56" ref="J182:J197">J161*454*1000000/J$178*14/(21-J$179)</f>
        <v>35479.51922218253</v>
      </c>
      <c r="K182" s="2"/>
      <c r="L182" s="2"/>
      <c r="M182" s="2"/>
      <c r="N182" s="2"/>
      <c r="O182" s="2"/>
      <c r="P182" s="2"/>
      <c r="Q182" s="2"/>
      <c r="R182" s="8">
        <f aca="true" t="shared" si="57" ref="R182:R197">R161*454*1000000/R$178*14/(21-R$179)</f>
        <v>0</v>
      </c>
      <c r="S182" s="2"/>
      <c r="T182" s="8">
        <f aca="true" t="shared" si="58" ref="T182:T197">T161*454*1000000/T$178*14/(21-T$179)</f>
        <v>0</v>
      </c>
      <c r="U182" s="2"/>
      <c r="V182" s="8">
        <f aca="true" t="shared" si="59" ref="V182:V197">V161*454*1000000/V$178*14/(21-V$179)</f>
        <v>0</v>
      </c>
      <c r="W182" s="2"/>
      <c r="X182" s="2"/>
      <c r="Y182" s="2"/>
      <c r="Z182" s="2"/>
      <c r="AA182" s="2"/>
      <c r="AB182" s="2"/>
      <c r="AC182" s="2"/>
      <c r="AD182" s="8">
        <f aca="true" t="shared" si="60" ref="AD182:AD197">AD161*454*1000000/AD$178*14/(21-AD$179)</f>
        <v>0</v>
      </c>
      <c r="AE182" s="2"/>
      <c r="AF182" s="8">
        <f aca="true" t="shared" si="61" ref="AF182:AF197">AF161*454*1000000/AF$178*14/(21-AF$179)</f>
        <v>0</v>
      </c>
      <c r="AG182" s="2"/>
      <c r="AH182" s="8">
        <f aca="true" t="shared" si="62" ref="AH182:AH197">AH161*454*1000000/AH$178*14/(21-AH$179)</f>
        <v>0</v>
      </c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8">
        <f aca="true" t="shared" si="63" ref="BB182:BB197">BB161*454*1000000/BB$178*14/(21-BB$179)</f>
        <v>1165667.0525010335</v>
      </c>
      <c r="BC182" s="2"/>
      <c r="BD182" s="8">
        <f aca="true" t="shared" si="64" ref="BD182:BD197">BD161*454*1000000/BD$178*14/(21-BD$179)</f>
        <v>1075897.4340812098</v>
      </c>
      <c r="BE182" s="2"/>
      <c r="BF182" s="8">
        <f aca="true" t="shared" si="65" ref="BF182:BF197">BF161*454*1000000/BF$178*14/(21-BF$179)</f>
        <v>1057689.6544025717</v>
      </c>
      <c r="BG182" s="2"/>
      <c r="BH182" s="2"/>
      <c r="BI182" s="2"/>
      <c r="BJ182" s="2"/>
      <c r="BK182" s="2"/>
      <c r="BL182" s="2"/>
      <c r="BM182" s="2"/>
      <c r="BN182" s="8">
        <f aca="true" t="shared" si="66" ref="BN182:BN197">BN161*454*1000000/BN$178*14/(21-BN$179)</f>
        <v>0</v>
      </c>
      <c r="BO182" s="2"/>
      <c r="BP182" s="8">
        <f aca="true" t="shared" si="67" ref="BP182:BP197">BP161*454*1000000/BP$178*14/(21-BP$179)</f>
        <v>0</v>
      </c>
      <c r="BQ182" s="2"/>
      <c r="BR182" s="8">
        <f aca="true" t="shared" si="68" ref="BR182:BR197">BR161*454*1000000/BR$178*14/(21-BR$179)</f>
        <v>0</v>
      </c>
      <c r="BS182" s="2"/>
      <c r="BT182" s="2"/>
      <c r="BU182" s="2"/>
      <c r="BV182" s="2"/>
      <c r="BW182" s="2"/>
      <c r="BX182" s="2"/>
      <c r="BY182" s="2"/>
      <c r="BZ182" s="8">
        <f aca="true" t="shared" si="69" ref="BZ182:BZ197">BZ161*454*1000000/BZ$178*14/(21-BZ$179)</f>
        <v>0</v>
      </c>
      <c r="CA182" s="2"/>
      <c r="CB182" s="8">
        <f aca="true" t="shared" si="70" ref="CB182:CB197">CB161*454*1000000/CB$178*14/(21-CB$179)</f>
        <v>0</v>
      </c>
      <c r="CC182" s="2"/>
      <c r="CD182" s="8">
        <f aca="true" t="shared" si="71" ref="CD182:CD197">CD161*454*1000000/CD$178*14/(21-CD$179)</f>
        <v>0</v>
      </c>
      <c r="CL182" s="8">
        <f aca="true" t="shared" si="72" ref="CL182:CL199">BZ182+BN182+BB182+AD182+R182+F182</f>
        <v>1231478.388682192</v>
      </c>
      <c r="CN182" s="8">
        <f aca="true" t="shared" si="73" ref="CN182:CN199">CB182+BP182+BD182+AF182+T182+H182</f>
        <v>1134093.0478180542</v>
      </c>
      <c r="CP182" s="8">
        <f aca="true" t="shared" si="74" ref="CP182:CP199">CD182+BR182+BF182+AH182+V182+J182</f>
        <v>1093169.1736247542</v>
      </c>
      <c r="CX182" s="8">
        <f aca="true" t="shared" si="75" ref="CX182:CX199">AVERAGE(CL182,CN182,CP182)</f>
        <v>1152913.5367083335</v>
      </c>
      <c r="CZ182" s="8">
        <f>AVERAGE(BB182,BD182,BF182,BH182,BJ182,BL182)</f>
        <v>1099751.3803282718</v>
      </c>
      <c r="DA182" s="8">
        <f>AVERAGE(R182,T182,V182,X182,Z182,AB182)+AVERAGE(AD182,AF182,AH182,AJ182,AL182,AN182)</f>
        <v>0</v>
      </c>
      <c r="DB182" s="8">
        <f>AVERAGE(F182,H182,J182,L182,N182,P182)+AVERAGE(BN182,BP182,BR182,BT182,BV182,BX182)+AVERAGE(BZ182,CB182,CD182,CF182,CH182,CJ182)</f>
        <v>53162.15638006174</v>
      </c>
      <c r="DC182" s="8">
        <f>SUM(CZ182,DA182,DB182)</f>
        <v>1152913.5367083335</v>
      </c>
    </row>
    <row r="183" spans="2:102" ht="12.75">
      <c r="B183" s="4" t="s">
        <v>9</v>
      </c>
      <c r="D183" s="4" t="s">
        <v>10</v>
      </c>
      <c r="E183" s="2">
        <v>100</v>
      </c>
      <c r="F183" s="8">
        <f aca="true" t="shared" si="76" ref="F183:H197">F162*454*1000000/F$178*14/(21-F$179)</f>
        <v>87853.41050020671</v>
      </c>
      <c r="G183" s="2">
        <v>100</v>
      </c>
      <c r="H183" s="8">
        <f t="shared" si="76"/>
        <v>83419.85030664706</v>
      </c>
      <c r="I183" s="2">
        <v>100</v>
      </c>
      <c r="J183" s="8">
        <f t="shared" si="56"/>
        <v>73662.23990891229</v>
      </c>
      <c r="K183" s="2"/>
      <c r="L183" s="2"/>
      <c r="M183" s="2"/>
      <c r="N183" s="2"/>
      <c r="O183" s="2"/>
      <c r="P183" s="2"/>
      <c r="Q183" s="2"/>
      <c r="R183" s="8">
        <f t="shared" si="57"/>
        <v>0</v>
      </c>
      <c r="S183" s="2"/>
      <c r="T183" s="8">
        <f t="shared" si="58"/>
        <v>0</v>
      </c>
      <c r="U183" s="2"/>
      <c r="V183" s="8">
        <f t="shared" si="59"/>
        <v>0</v>
      </c>
      <c r="W183" s="2"/>
      <c r="X183" s="2"/>
      <c r="Y183" s="2"/>
      <c r="Z183" s="2"/>
      <c r="AA183" s="2"/>
      <c r="AB183" s="2"/>
      <c r="AC183" s="2"/>
      <c r="AD183" s="8">
        <f t="shared" si="60"/>
        <v>0</v>
      </c>
      <c r="AE183" s="2"/>
      <c r="AF183" s="8">
        <f t="shared" si="61"/>
        <v>0</v>
      </c>
      <c r="AG183" s="2"/>
      <c r="AH183" s="8">
        <f t="shared" si="62"/>
        <v>0</v>
      </c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8">
        <f t="shared" si="63"/>
        <v>10646.509576960178</v>
      </c>
      <c r="BC183" s="2">
        <v>100</v>
      </c>
      <c r="BD183" s="8">
        <f t="shared" si="64"/>
        <v>7267.569548972039</v>
      </c>
      <c r="BE183" s="2">
        <v>100</v>
      </c>
      <c r="BF183" s="8">
        <f t="shared" si="65"/>
        <v>7308.754353455975</v>
      </c>
      <c r="BG183" s="2"/>
      <c r="BH183" s="2"/>
      <c r="BI183" s="2"/>
      <c r="BJ183" s="2"/>
      <c r="BK183" s="2"/>
      <c r="BL183" s="2"/>
      <c r="BM183" s="2"/>
      <c r="BN183" s="8">
        <f t="shared" si="66"/>
        <v>0</v>
      </c>
      <c r="BO183" s="2"/>
      <c r="BP183" s="8">
        <f t="shared" si="67"/>
        <v>0</v>
      </c>
      <c r="BQ183" s="2"/>
      <c r="BR183" s="8">
        <f t="shared" si="68"/>
        <v>0</v>
      </c>
      <c r="BS183" s="2"/>
      <c r="BT183" s="2"/>
      <c r="BU183" s="2"/>
      <c r="BV183" s="2"/>
      <c r="BW183" s="2"/>
      <c r="BX183" s="2"/>
      <c r="BY183" s="2"/>
      <c r="BZ183" s="8">
        <f t="shared" si="69"/>
        <v>0</v>
      </c>
      <c r="CA183" s="2"/>
      <c r="CB183" s="8">
        <f t="shared" si="70"/>
        <v>0</v>
      </c>
      <c r="CC183" s="2"/>
      <c r="CD183" s="8">
        <f t="shared" si="71"/>
        <v>0</v>
      </c>
      <c r="CK183" s="4">
        <f>SUM((BB183*BA183/100),(F183*E183/100))/CL183*100</f>
        <v>89.19135206544382</v>
      </c>
      <c r="CL183" s="8">
        <f t="shared" si="72"/>
        <v>98499.92007716688</v>
      </c>
      <c r="CM183" s="4">
        <f>SUM((BD183*BC183/100),(H183*G183/100))/CN183*100</f>
        <v>100</v>
      </c>
      <c r="CN183" s="8">
        <f t="shared" si="73"/>
        <v>90687.4198556191</v>
      </c>
      <c r="CO183" s="4">
        <f>SUM((BF183*BE183/100),(J183*I183/100))/CP183*100</f>
        <v>100</v>
      </c>
      <c r="CP183" s="8">
        <f t="shared" si="74"/>
        <v>80970.99426236827</v>
      </c>
      <c r="CW183" s="4">
        <f>SUM((CV183*CU183/100),(CT183*CS183/100),(CR183*CQ183/100),(CP183*CO183/100),(CN183*CM183/100),(CL183*CK183/100))/CX183/3*100</f>
        <v>96.05915930423622</v>
      </c>
      <c r="CX183" s="8">
        <f t="shared" si="75"/>
        <v>90052.77806505142</v>
      </c>
    </row>
    <row r="184" spans="2:102" ht="12.75">
      <c r="B184" s="4" t="s">
        <v>12</v>
      </c>
      <c r="D184" s="4" t="s">
        <v>10</v>
      </c>
      <c r="E184" s="2"/>
      <c r="F184" s="8">
        <f t="shared" si="76"/>
        <v>6423.69023012264</v>
      </c>
      <c r="G184" s="2"/>
      <c r="H184" s="8">
        <f t="shared" si="76"/>
        <v>5643.940636196751</v>
      </c>
      <c r="I184" s="2"/>
      <c r="J184" s="8">
        <f t="shared" si="56"/>
        <v>5027.954724057868</v>
      </c>
      <c r="K184" s="2"/>
      <c r="L184" s="2"/>
      <c r="M184" s="2"/>
      <c r="N184" s="2"/>
      <c r="O184" s="2"/>
      <c r="P184" s="2"/>
      <c r="Q184" s="2"/>
      <c r="R184" s="8">
        <f t="shared" si="57"/>
        <v>0</v>
      </c>
      <c r="S184" s="2"/>
      <c r="T184" s="8">
        <f t="shared" si="58"/>
        <v>0</v>
      </c>
      <c r="U184" s="2"/>
      <c r="V184" s="8">
        <f t="shared" si="59"/>
        <v>0</v>
      </c>
      <c r="W184" s="2"/>
      <c r="X184" s="2"/>
      <c r="Y184" s="2"/>
      <c r="Z184" s="2"/>
      <c r="AA184" s="2"/>
      <c r="AB184" s="2"/>
      <c r="AC184" s="2"/>
      <c r="AD184" s="8">
        <f t="shared" si="60"/>
        <v>0</v>
      </c>
      <c r="AE184" s="2"/>
      <c r="AF184" s="8">
        <f t="shared" si="61"/>
        <v>0</v>
      </c>
      <c r="AG184" s="2"/>
      <c r="AH184" s="8">
        <f t="shared" si="62"/>
        <v>0</v>
      </c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8">
        <f t="shared" si="63"/>
        <v>392.6075053970879</v>
      </c>
      <c r="BC184" s="2"/>
      <c r="BD184" s="8">
        <f t="shared" si="64"/>
        <v>496.472809052434</v>
      </c>
      <c r="BE184" s="2"/>
      <c r="BF184" s="8">
        <f t="shared" si="65"/>
        <v>278.08919003393464</v>
      </c>
      <c r="BG184" s="2"/>
      <c r="BH184" s="2"/>
      <c r="BI184" s="2"/>
      <c r="BJ184" s="2"/>
      <c r="BK184" s="2"/>
      <c r="BL184" s="2"/>
      <c r="BM184" s="2"/>
      <c r="BN184" s="8">
        <f t="shared" si="66"/>
        <v>0</v>
      </c>
      <c r="BO184" s="2"/>
      <c r="BP184" s="8">
        <f t="shared" si="67"/>
        <v>0</v>
      </c>
      <c r="BQ184" s="2"/>
      <c r="BR184" s="8">
        <f t="shared" si="68"/>
        <v>0</v>
      </c>
      <c r="BS184" s="2"/>
      <c r="BT184" s="2"/>
      <c r="BU184" s="2"/>
      <c r="BV184" s="2"/>
      <c r="BW184" s="2"/>
      <c r="BX184" s="2"/>
      <c r="BY184" s="2"/>
      <c r="BZ184" s="8">
        <f t="shared" si="69"/>
        <v>0</v>
      </c>
      <c r="CA184" s="2"/>
      <c r="CB184" s="8">
        <f t="shared" si="70"/>
        <v>0</v>
      </c>
      <c r="CC184" s="2"/>
      <c r="CD184" s="8">
        <f t="shared" si="71"/>
        <v>0</v>
      </c>
      <c r="CL184" s="8">
        <f t="shared" si="72"/>
        <v>6816.297735519728</v>
      </c>
      <c r="CN184" s="8">
        <f t="shared" si="73"/>
        <v>6140.413445249185</v>
      </c>
      <c r="CP184" s="8">
        <f t="shared" si="74"/>
        <v>5306.043914091802</v>
      </c>
      <c r="CX184" s="8">
        <f t="shared" si="75"/>
        <v>6087.585031620239</v>
      </c>
    </row>
    <row r="185" spans="2:102" ht="12.75">
      <c r="B185" s="4" t="s">
        <v>13</v>
      </c>
      <c r="D185" s="4" t="s">
        <v>10</v>
      </c>
      <c r="E185" s="2"/>
      <c r="F185" s="8">
        <f t="shared" si="76"/>
        <v>104857.2964034725</v>
      </c>
      <c r="G185" s="2"/>
      <c r="H185" s="8">
        <f t="shared" si="76"/>
        <v>87243.85023581427</v>
      </c>
      <c r="I185" s="2"/>
      <c r="J185" s="8">
        <f t="shared" si="56"/>
        <v>66093.27580818003</v>
      </c>
      <c r="K185" s="2"/>
      <c r="L185" s="2"/>
      <c r="M185" s="2"/>
      <c r="N185" s="2"/>
      <c r="O185" s="2"/>
      <c r="P185" s="2"/>
      <c r="Q185" s="2"/>
      <c r="R185" s="8">
        <f t="shared" si="57"/>
        <v>0</v>
      </c>
      <c r="S185" s="2"/>
      <c r="T185" s="8">
        <f t="shared" si="58"/>
        <v>0</v>
      </c>
      <c r="U185" s="2"/>
      <c r="V185" s="8">
        <f t="shared" si="59"/>
        <v>0</v>
      </c>
      <c r="W185" s="2"/>
      <c r="X185" s="2"/>
      <c r="Y185" s="2"/>
      <c r="Z185" s="2"/>
      <c r="AA185" s="2"/>
      <c r="AB185" s="2"/>
      <c r="AC185" s="2"/>
      <c r="AD185" s="8">
        <f t="shared" si="60"/>
        <v>0</v>
      </c>
      <c r="AE185" s="2"/>
      <c r="AF185" s="8">
        <f t="shared" si="61"/>
        <v>0</v>
      </c>
      <c r="AG185" s="2"/>
      <c r="AH185" s="8">
        <f t="shared" si="62"/>
        <v>0</v>
      </c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8">
        <f t="shared" si="63"/>
        <v>343706.2146892655</v>
      </c>
      <c r="BC185" s="2"/>
      <c r="BD185" s="8">
        <f t="shared" si="64"/>
        <v>272379.0972357493</v>
      </c>
      <c r="BE185" s="2"/>
      <c r="BF185" s="8">
        <f t="shared" si="65"/>
        <v>278089.19003393466</v>
      </c>
      <c r="BG185" s="2"/>
      <c r="BH185" s="2"/>
      <c r="BI185" s="2"/>
      <c r="BJ185" s="2"/>
      <c r="BK185" s="2"/>
      <c r="BL185" s="2"/>
      <c r="BM185" s="2"/>
      <c r="BN185" s="8">
        <f t="shared" si="66"/>
        <v>0</v>
      </c>
      <c r="BO185" s="2"/>
      <c r="BP185" s="8">
        <f t="shared" si="67"/>
        <v>0</v>
      </c>
      <c r="BQ185" s="2"/>
      <c r="BR185" s="8">
        <f t="shared" si="68"/>
        <v>0</v>
      </c>
      <c r="BS185" s="2"/>
      <c r="BT185" s="2"/>
      <c r="BU185" s="2"/>
      <c r="BV185" s="2"/>
      <c r="BW185" s="2"/>
      <c r="BX185" s="2"/>
      <c r="BY185" s="2"/>
      <c r="BZ185" s="8">
        <f t="shared" si="69"/>
        <v>0</v>
      </c>
      <c r="CA185" s="2"/>
      <c r="CB185" s="8">
        <f t="shared" si="70"/>
        <v>0</v>
      </c>
      <c r="CC185" s="2"/>
      <c r="CD185" s="8">
        <f t="shared" si="71"/>
        <v>0</v>
      </c>
      <c r="CL185" s="8">
        <f t="shared" si="72"/>
        <v>448563.51109273796</v>
      </c>
      <c r="CN185" s="8">
        <f t="shared" si="73"/>
        <v>359622.9474715636</v>
      </c>
      <c r="CP185" s="8">
        <f t="shared" si="74"/>
        <v>344182.4658421147</v>
      </c>
      <c r="CX185" s="8">
        <f t="shared" si="75"/>
        <v>384122.97480213875</v>
      </c>
    </row>
    <row r="186" spans="2:102" ht="12.75">
      <c r="B186" s="4" t="s">
        <v>14</v>
      </c>
      <c r="D186" s="4" t="s">
        <v>10</v>
      </c>
      <c r="E186" s="2">
        <v>100</v>
      </c>
      <c r="F186" s="8">
        <f t="shared" si="76"/>
        <v>492.79780441872214</v>
      </c>
      <c r="G186" s="2">
        <v>100</v>
      </c>
      <c r="H186" s="8">
        <f t="shared" si="76"/>
        <v>468.0859172554645</v>
      </c>
      <c r="I186" s="2">
        <v>100</v>
      </c>
      <c r="J186" s="8">
        <f t="shared" si="56"/>
        <v>916.3852964815146</v>
      </c>
      <c r="K186" s="2"/>
      <c r="L186" s="2"/>
      <c r="M186" s="2"/>
      <c r="N186" s="2"/>
      <c r="O186" s="2"/>
      <c r="P186" s="2"/>
      <c r="Q186" s="2"/>
      <c r="R186" s="8">
        <f t="shared" si="57"/>
        <v>0</v>
      </c>
      <c r="S186" s="2"/>
      <c r="T186" s="8">
        <f t="shared" si="58"/>
        <v>0</v>
      </c>
      <c r="U186" s="2"/>
      <c r="V186" s="8">
        <f t="shared" si="59"/>
        <v>0</v>
      </c>
      <c r="W186" s="2"/>
      <c r="X186" s="2"/>
      <c r="Y186" s="2"/>
      <c r="Z186" s="2"/>
      <c r="AA186" s="2"/>
      <c r="AB186" s="2"/>
      <c r="AC186" s="2"/>
      <c r="AD186" s="8">
        <f t="shared" si="60"/>
        <v>0</v>
      </c>
      <c r="AE186" s="2"/>
      <c r="AF186" s="8">
        <f t="shared" si="61"/>
        <v>0</v>
      </c>
      <c r="AG186" s="2"/>
      <c r="AH186" s="8">
        <f t="shared" si="62"/>
        <v>0</v>
      </c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>
        <v>100</v>
      </c>
      <c r="BB186" s="8">
        <f t="shared" si="63"/>
        <v>47.92326489366588</v>
      </c>
      <c r="BC186" s="2">
        <v>100</v>
      </c>
      <c r="BD186" s="8">
        <f t="shared" si="64"/>
        <v>40.733055904800686</v>
      </c>
      <c r="BE186" s="2">
        <v>100</v>
      </c>
      <c r="BF186" s="8">
        <f t="shared" si="65"/>
        <v>41.119170834077515</v>
      </c>
      <c r="BG186" s="2"/>
      <c r="BH186" s="2"/>
      <c r="BI186" s="2"/>
      <c r="BJ186" s="2"/>
      <c r="BK186" s="2"/>
      <c r="BL186" s="2"/>
      <c r="BM186" s="2"/>
      <c r="BN186" s="8">
        <f t="shared" si="66"/>
        <v>0</v>
      </c>
      <c r="BO186" s="2"/>
      <c r="BP186" s="8">
        <f t="shared" si="67"/>
        <v>0</v>
      </c>
      <c r="BQ186" s="2"/>
      <c r="BR186" s="8">
        <f t="shared" si="68"/>
        <v>0</v>
      </c>
      <c r="BS186" s="2"/>
      <c r="BT186" s="2"/>
      <c r="BU186" s="2"/>
      <c r="BV186" s="2"/>
      <c r="BW186" s="2"/>
      <c r="BX186" s="2"/>
      <c r="BY186" s="2"/>
      <c r="BZ186" s="8">
        <f t="shared" si="69"/>
        <v>0</v>
      </c>
      <c r="CA186" s="2"/>
      <c r="CB186" s="8">
        <f t="shared" si="70"/>
        <v>0</v>
      </c>
      <c r="CC186" s="2"/>
      <c r="CD186" s="8">
        <f t="shared" si="71"/>
        <v>0</v>
      </c>
      <c r="CK186" s="4">
        <f>SUM((BB186*BA186/100),(F186*E186/100))/CL186*100</f>
        <v>100</v>
      </c>
      <c r="CL186" s="8">
        <f t="shared" si="72"/>
        <v>540.7210693123881</v>
      </c>
      <c r="CM186" s="4">
        <f>SUM((BD186*BC186/100),(H186*G186/100))/CN186*100</f>
        <v>100</v>
      </c>
      <c r="CN186" s="8">
        <f t="shared" si="73"/>
        <v>508.81897316026516</v>
      </c>
      <c r="CO186" s="4">
        <f>SUM((BF186*BE186/100),(J186*I186/100))/CP186*100</f>
        <v>100</v>
      </c>
      <c r="CP186" s="8">
        <f t="shared" si="74"/>
        <v>957.5044673155921</v>
      </c>
      <c r="CW186" s="4">
        <f>SUM((CV186*CU186/100),(CT186*CS186/100),(CR186*CQ186/100),(CP186*CO186/100),(CN186*CM186/100),(CL186*CK186/100))/CX186/3*100</f>
        <v>100</v>
      </c>
      <c r="CX186" s="8">
        <f t="shared" si="75"/>
        <v>669.0148365960818</v>
      </c>
    </row>
    <row r="187" spans="2:102" ht="12.75">
      <c r="B187" s="4" t="s">
        <v>15</v>
      </c>
      <c r="D187" s="4" t="s">
        <v>10</v>
      </c>
      <c r="E187" s="2"/>
      <c r="F187" s="8">
        <f t="shared" si="76"/>
        <v>330.6311147857241</v>
      </c>
      <c r="G187" s="2"/>
      <c r="H187" s="8">
        <f t="shared" si="76"/>
        <v>367.5288820810681</v>
      </c>
      <c r="I187" s="2"/>
      <c r="J187" s="8">
        <f t="shared" si="56"/>
        <v>147.32447981782462</v>
      </c>
      <c r="K187" s="2"/>
      <c r="L187" s="2"/>
      <c r="M187" s="2"/>
      <c r="N187" s="2"/>
      <c r="O187" s="2"/>
      <c r="P187" s="2"/>
      <c r="Q187" s="2"/>
      <c r="R187" s="8">
        <f t="shared" si="57"/>
        <v>0</v>
      </c>
      <c r="S187" s="2"/>
      <c r="T187" s="8">
        <f t="shared" si="58"/>
        <v>0</v>
      </c>
      <c r="U187" s="2"/>
      <c r="V187" s="8">
        <f t="shared" si="59"/>
        <v>0</v>
      </c>
      <c r="W187" s="2"/>
      <c r="X187" s="2"/>
      <c r="Y187" s="2"/>
      <c r="Z187" s="2"/>
      <c r="AA187" s="2"/>
      <c r="AB187" s="2"/>
      <c r="AC187" s="2"/>
      <c r="AD187" s="8">
        <f t="shared" si="60"/>
        <v>0</v>
      </c>
      <c r="AE187" s="2"/>
      <c r="AF187" s="8">
        <f t="shared" si="61"/>
        <v>0</v>
      </c>
      <c r="AG187" s="2"/>
      <c r="AH187" s="8">
        <f t="shared" si="62"/>
        <v>0</v>
      </c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8">
        <f t="shared" si="63"/>
        <v>653.8801157503102</v>
      </c>
      <c r="BC187" s="2"/>
      <c r="BD187" s="8">
        <f t="shared" si="64"/>
        <v>737.8997361477574</v>
      </c>
      <c r="BE187" s="2"/>
      <c r="BF187" s="8">
        <f t="shared" si="65"/>
        <v>416.53957737988924</v>
      </c>
      <c r="BG187" s="2"/>
      <c r="BH187" s="2"/>
      <c r="BI187" s="2"/>
      <c r="BJ187" s="2"/>
      <c r="BK187" s="2"/>
      <c r="BL187" s="2"/>
      <c r="BM187" s="2"/>
      <c r="BN187" s="8">
        <f t="shared" si="66"/>
        <v>0</v>
      </c>
      <c r="BO187" s="2"/>
      <c r="BP187" s="8">
        <f t="shared" si="67"/>
        <v>0</v>
      </c>
      <c r="BQ187" s="2"/>
      <c r="BR187" s="8">
        <f t="shared" si="68"/>
        <v>0</v>
      </c>
      <c r="BS187" s="2"/>
      <c r="BT187" s="2"/>
      <c r="BU187" s="2"/>
      <c r="BV187" s="2"/>
      <c r="BW187" s="2"/>
      <c r="BX187" s="2"/>
      <c r="BY187" s="2"/>
      <c r="BZ187" s="8">
        <f t="shared" si="69"/>
        <v>0</v>
      </c>
      <c r="CA187" s="2"/>
      <c r="CB187" s="8">
        <f t="shared" si="70"/>
        <v>0</v>
      </c>
      <c r="CC187" s="2"/>
      <c r="CD187" s="8">
        <f t="shared" si="71"/>
        <v>0</v>
      </c>
      <c r="CL187" s="8">
        <f t="shared" si="72"/>
        <v>984.5112305360343</v>
      </c>
      <c r="CN187" s="8">
        <f t="shared" si="73"/>
        <v>1105.4286182288256</v>
      </c>
      <c r="CP187" s="8">
        <f t="shared" si="74"/>
        <v>563.8640571977139</v>
      </c>
      <c r="CX187" s="8">
        <f t="shared" si="75"/>
        <v>884.6013019875246</v>
      </c>
    </row>
    <row r="188" spans="2:102" ht="12.75">
      <c r="B188" s="4" t="s">
        <v>16</v>
      </c>
      <c r="D188" s="4" t="s">
        <v>10</v>
      </c>
      <c r="E188" s="2"/>
      <c r="F188" s="8">
        <f t="shared" si="76"/>
        <v>40620.3941022461</v>
      </c>
      <c r="G188" s="2"/>
      <c r="H188" s="8">
        <f t="shared" si="76"/>
        <v>32008.295703399377</v>
      </c>
      <c r="I188" s="2"/>
      <c r="J188" s="8">
        <f t="shared" si="56"/>
        <v>32843.89779424897</v>
      </c>
      <c r="K188" s="2"/>
      <c r="L188" s="2"/>
      <c r="M188" s="2"/>
      <c r="N188" s="2"/>
      <c r="O188" s="2"/>
      <c r="P188" s="2"/>
      <c r="Q188" s="2"/>
      <c r="R188" s="8">
        <f t="shared" si="57"/>
        <v>0</v>
      </c>
      <c r="S188" s="2"/>
      <c r="T188" s="8">
        <f t="shared" si="58"/>
        <v>0</v>
      </c>
      <c r="U188" s="2"/>
      <c r="V188" s="8">
        <f t="shared" si="59"/>
        <v>0</v>
      </c>
      <c r="W188" s="2"/>
      <c r="X188" s="2"/>
      <c r="Y188" s="2"/>
      <c r="Z188" s="2"/>
      <c r="AA188" s="2"/>
      <c r="AB188" s="2"/>
      <c r="AC188" s="2"/>
      <c r="AD188" s="8">
        <f t="shared" si="60"/>
        <v>0</v>
      </c>
      <c r="AE188" s="2"/>
      <c r="AF188" s="8">
        <f t="shared" si="61"/>
        <v>0</v>
      </c>
      <c r="AG188" s="2"/>
      <c r="AH188" s="8">
        <f t="shared" si="62"/>
        <v>0</v>
      </c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8">
        <f t="shared" si="63"/>
        <v>19281.080336227093</v>
      </c>
      <c r="BC188" s="2"/>
      <c r="BD188" s="8">
        <f t="shared" si="64"/>
        <v>13866.572222910874</v>
      </c>
      <c r="BE188" s="2"/>
      <c r="BF188" s="8">
        <f t="shared" si="65"/>
        <v>15211.716377924631</v>
      </c>
      <c r="BG188" s="2"/>
      <c r="BH188" s="2"/>
      <c r="BI188" s="2"/>
      <c r="BJ188" s="2"/>
      <c r="BK188" s="2"/>
      <c r="BL188" s="2"/>
      <c r="BM188" s="2"/>
      <c r="BN188" s="8">
        <f t="shared" si="66"/>
        <v>0</v>
      </c>
      <c r="BO188" s="2"/>
      <c r="BP188" s="8">
        <f t="shared" si="67"/>
        <v>0</v>
      </c>
      <c r="BQ188" s="2"/>
      <c r="BR188" s="8">
        <f t="shared" si="68"/>
        <v>0</v>
      </c>
      <c r="BS188" s="2"/>
      <c r="BT188" s="2"/>
      <c r="BU188" s="2"/>
      <c r="BV188" s="2"/>
      <c r="BW188" s="2"/>
      <c r="BX188" s="2"/>
      <c r="BY188" s="2"/>
      <c r="BZ188" s="8">
        <f t="shared" si="69"/>
        <v>0</v>
      </c>
      <c r="CA188" s="2"/>
      <c r="CB188" s="8">
        <f t="shared" si="70"/>
        <v>0</v>
      </c>
      <c r="CC188" s="2"/>
      <c r="CD188" s="8">
        <f t="shared" si="71"/>
        <v>0</v>
      </c>
      <c r="CL188" s="8">
        <f t="shared" si="72"/>
        <v>59901.47443847319</v>
      </c>
      <c r="CN188" s="8">
        <f t="shared" si="73"/>
        <v>45874.86792631025</v>
      </c>
      <c r="CP188" s="8">
        <f t="shared" si="74"/>
        <v>48055.614172173606</v>
      </c>
      <c r="CX188" s="8">
        <f t="shared" si="75"/>
        <v>51277.31884565236</v>
      </c>
    </row>
    <row r="189" spans="2:102" ht="12.75">
      <c r="B189" s="4" t="s">
        <v>17</v>
      </c>
      <c r="D189" s="4" t="s">
        <v>10</v>
      </c>
      <c r="E189" s="2"/>
      <c r="F189" s="8">
        <f t="shared" si="76"/>
        <v>56994.50645353912</v>
      </c>
      <c r="G189" s="2"/>
      <c r="H189" s="8">
        <f t="shared" si="76"/>
        <v>48791.40650363313</v>
      </c>
      <c r="I189" s="2"/>
      <c r="J189" s="8">
        <f t="shared" si="56"/>
        <v>42575.42306661904</v>
      </c>
      <c r="K189" s="2"/>
      <c r="L189" s="2"/>
      <c r="M189" s="2"/>
      <c r="N189" s="2"/>
      <c r="O189" s="2"/>
      <c r="P189" s="2"/>
      <c r="Q189" s="2"/>
      <c r="R189" s="8">
        <f t="shared" si="57"/>
        <v>0</v>
      </c>
      <c r="S189" s="2"/>
      <c r="T189" s="8">
        <f t="shared" si="58"/>
        <v>0</v>
      </c>
      <c r="U189" s="2"/>
      <c r="V189" s="8">
        <f t="shared" si="59"/>
        <v>0</v>
      </c>
      <c r="W189" s="2"/>
      <c r="X189" s="2"/>
      <c r="Y189" s="2"/>
      <c r="Z189" s="2"/>
      <c r="AA189" s="2"/>
      <c r="AB189" s="2"/>
      <c r="AC189" s="2"/>
      <c r="AD189" s="8">
        <f t="shared" si="60"/>
        <v>0</v>
      </c>
      <c r="AE189" s="2"/>
      <c r="AF189" s="8">
        <f t="shared" si="61"/>
        <v>0</v>
      </c>
      <c r="AG189" s="2"/>
      <c r="AH189" s="8">
        <f t="shared" si="62"/>
        <v>0</v>
      </c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8">
        <f t="shared" si="63"/>
        <v>35767.80120343577</v>
      </c>
      <c r="BC189" s="2"/>
      <c r="BD189" s="8">
        <f t="shared" si="64"/>
        <v>28723.61389031538</v>
      </c>
      <c r="BE189" s="2"/>
      <c r="BF189" s="8">
        <f t="shared" si="65"/>
        <v>29888.645851937843</v>
      </c>
      <c r="BG189" s="2"/>
      <c r="BH189" s="2"/>
      <c r="BI189" s="2"/>
      <c r="BJ189" s="2"/>
      <c r="BK189" s="2"/>
      <c r="BL189" s="2"/>
      <c r="BM189" s="2"/>
      <c r="BN189" s="8">
        <f t="shared" si="66"/>
        <v>0</v>
      </c>
      <c r="BO189" s="2"/>
      <c r="BP189" s="8">
        <f t="shared" si="67"/>
        <v>0</v>
      </c>
      <c r="BQ189" s="2"/>
      <c r="BR189" s="8">
        <f t="shared" si="68"/>
        <v>0</v>
      </c>
      <c r="BS189" s="2"/>
      <c r="BT189" s="2"/>
      <c r="BU189" s="2"/>
      <c r="BV189" s="2"/>
      <c r="BW189" s="2"/>
      <c r="BX189" s="2"/>
      <c r="BY189" s="2"/>
      <c r="BZ189" s="8">
        <f t="shared" si="69"/>
        <v>0</v>
      </c>
      <c r="CA189" s="2"/>
      <c r="CB189" s="8">
        <f t="shared" si="70"/>
        <v>0</v>
      </c>
      <c r="CC189" s="2"/>
      <c r="CD189" s="8">
        <f t="shared" si="71"/>
        <v>0</v>
      </c>
      <c r="CL189" s="8">
        <f t="shared" si="72"/>
        <v>92762.30765697488</v>
      </c>
      <c r="CN189" s="8">
        <f t="shared" si="73"/>
        <v>77515.0203939485</v>
      </c>
      <c r="CP189" s="8">
        <f t="shared" si="74"/>
        <v>72464.06891855688</v>
      </c>
      <c r="CX189" s="8">
        <f t="shared" si="75"/>
        <v>80913.79898982676</v>
      </c>
    </row>
    <row r="190" spans="2:102" ht="12.75">
      <c r="B190" s="4" t="s">
        <v>18</v>
      </c>
      <c r="D190" s="4" t="s">
        <v>10</v>
      </c>
      <c r="E190" s="2"/>
      <c r="F190" s="8">
        <f t="shared" si="76"/>
        <v>19680423.499150246</v>
      </c>
      <c r="G190" s="2"/>
      <c r="H190" s="8">
        <f t="shared" si="76"/>
        <v>16570666.359724462</v>
      </c>
      <c r="I190" s="2"/>
      <c r="J190" s="8">
        <f t="shared" si="56"/>
        <v>14326967.762100374</v>
      </c>
      <c r="K190" s="2"/>
      <c r="L190" s="2"/>
      <c r="M190" s="2"/>
      <c r="N190" s="2"/>
      <c r="O190" s="2"/>
      <c r="P190" s="2"/>
      <c r="Q190" s="2"/>
      <c r="R190" s="8">
        <f t="shared" si="57"/>
        <v>0</v>
      </c>
      <c r="S190" s="2"/>
      <c r="T190" s="8">
        <f t="shared" si="58"/>
        <v>0</v>
      </c>
      <c r="U190" s="2"/>
      <c r="V190" s="8">
        <f t="shared" si="59"/>
        <v>0</v>
      </c>
      <c r="W190" s="2"/>
      <c r="X190" s="2"/>
      <c r="Y190" s="2"/>
      <c r="Z190" s="2"/>
      <c r="AA190" s="2"/>
      <c r="AB190" s="2"/>
      <c r="AC190" s="2"/>
      <c r="AD190" s="8">
        <f t="shared" si="60"/>
        <v>0</v>
      </c>
      <c r="AE190" s="2"/>
      <c r="AF190" s="8">
        <f t="shared" si="61"/>
        <v>0</v>
      </c>
      <c r="AG190" s="2"/>
      <c r="AH190" s="8">
        <f t="shared" si="62"/>
        <v>0</v>
      </c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8">
        <f t="shared" si="63"/>
        <v>456877.7731845115</v>
      </c>
      <c r="BC190" s="2"/>
      <c r="BD190" s="8">
        <f t="shared" si="64"/>
        <v>324378.7430716651</v>
      </c>
      <c r="BE190" s="2"/>
      <c r="BF190" s="8">
        <f t="shared" si="65"/>
        <v>361872.4716467225</v>
      </c>
      <c r="BG190" s="2"/>
      <c r="BH190" s="2"/>
      <c r="BI190" s="2"/>
      <c r="BJ190" s="2"/>
      <c r="BK190" s="2"/>
      <c r="BL190" s="2"/>
      <c r="BM190" s="2"/>
      <c r="BN190" s="8">
        <f t="shared" si="66"/>
        <v>0</v>
      </c>
      <c r="BO190" s="2"/>
      <c r="BP190" s="8">
        <f t="shared" si="67"/>
        <v>0</v>
      </c>
      <c r="BQ190" s="2"/>
      <c r="BR190" s="8">
        <f t="shared" si="68"/>
        <v>0</v>
      </c>
      <c r="BS190" s="2"/>
      <c r="BT190" s="2"/>
      <c r="BU190" s="2"/>
      <c r="BV190" s="2"/>
      <c r="BW190" s="2"/>
      <c r="BX190" s="2"/>
      <c r="BY190" s="2"/>
      <c r="BZ190" s="8">
        <f t="shared" si="69"/>
        <v>0</v>
      </c>
      <c r="CA190" s="2"/>
      <c r="CB190" s="8">
        <f t="shared" si="70"/>
        <v>0</v>
      </c>
      <c r="CC190" s="2"/>
      <c r="CD190" s="8">
        <f t="shared" si="71"/>
        <v>0</v>
      </c>
      <c r="CL190" s="8">
        <f t="shared" si="72"/>
        <v>20137301.27233476</v>
      </c>
      <c r="CN190" s="8">
        <f t="shared" si="73"/>
        <v>16895045.102796126</v>
      </c>
      <c r="CP190" s="8">
        <f t="shared" si="74"/>
        <v>14688840.233747097</v>
      </c>
      <c r="CX190" s="8">
        <f t="shared" si="75"/>
        <v>17240395.53629266</v>
      </c>
    </row>
    <row r="191" spans="2:102" ht="12.75">
      <c r="B191" s="4" t="s">
        <v>19</v>
      </c>
      <c r="D191" s="4" t="s">
        <v>10</v>
      </c>
      <c r="E191" s="2"/>
      <c r="F191" s="8">
        <f t="shared" si="76"/>
        <v>6958.997749299527</v>
      </c>
      <c r="G191" s="2"/>
      <c r="H191" s="8">
        <f t="shared" si="76"/>
        <v>5983.85174101161</v>
      </c>
      <c r="I191" s="2"/>
      <c r="J191" s="8">
        <f t="shared" si="56"/>
        <v>4298.090328630113</v>
      </c>
      <c r="K191" s="2"/>
      <c r="L191" s="2"/>
      <c r="M191" s="2"/>
      <c r="N191" s="2"/>
      <c r="O191" s="2"/>
      <c r="P191" s="2"/>
      <c r="Q191" s="2"/>
      <c r="R191" s="8">
        <f t="shared" si="57"/>
        <v>0</v>
      </c>
      <c r="S191" s="2"/>
      <c r="T191" s="8">
        <f t="shared" si="58"/>
        <v>0</v>
      </c>
      <c r="U191" s="2"/>
      <c r="V191" s="8">
        <f t="shared" si="59"/>
        <v>0</v>
      </c>
      <c r="W191" s="2"/>
      <c r="X191" s="2"/>
      <c r="Y191" s="2"/>
      <c r="Z191" s="2"/>
      <c r="AA191" s="2"/>
      <c r="AB191" s="2"/>
      <c r="AC191" s="2"/>
      <c r="AD191" s="8">
        <f t="shared" si="60"/>
        <v>0</v>
      </c>
      <c r="AE191" s="2"/>
      <c r="AF191" s="8">
        <f t="shared" si="61"/>
        <v>0</v>
      </c>
      <c r="AG191" s="2"/>
      <c r="AH191" s="8">
        <f t="shared" si="62"/>
        <v>0</v>
      </c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8">
        <f t="shared" si="63"/>
        <v>30039.364291948004</v>
      </c>
      <c r="BC191" s="2"/>
      <c r="BD191" s="8">
        <f t="shared" si="64"/>
        <v>34666.43055727719</v>
      </c>
      <c r="BE191" s="2"/>
      <c r="BF191" s="8">
        <f t="shared" si="65"/>
        <v>22639.31226558314</v>
      </c>
      <c r="BG191" s="2"/>
      <c r="BH191" s="2"/>
      <c r="BI191" s="2"/>
      <c r="BJ191" s="2"/>
      <c r="BK191" s="2"/>
      <c r="BL191" s="2"/>
      <c r="BM191" s="2"/>
      <c r="BN191" s="8">
        <f t="shared" si="66"/>
        <v>0</v>
      </c>
      <c r="BO191" s="2"/>
      <c r="BP191" s="8">
        <f t="shared" si="67"/>
        <v>0</v>
      </c>
      <c r="BQ191" s="2"/>
      <c r="BR191" s="8">
        <f t="shared" si="68"/>
        <v>0</v>
      </c>
      <c r="BS191" s="2"/>
      <c r="BT191" s="2"/>
      <c r="BU191" s="2"/>
      <c r="BV191" s="2"/>
      <c r="BW191" s="2"/>
      <c r="BX191" s="2"/>
      <c r="BY191" s="2"/>
      <c r="BZ191" s="8">
        <f t="shared" si="69"/>
        <v>0</v>
      </c>
      <c r="CA191" s="2"/>
      <c r="CB191" s="8">
        <f t="shared" si="70"/>
        <v>0</v>
      </c>
      <c r="CC191" s="2"/>
      <c r="CD191" s="8">
        <f t="shared" si="71"/>
        <v>0</v>
      </c>
      <c r="CL191" s="8">
        <f t="shared" si="72"/>
        <v>36998.36204124753</v>
      </c>
      <c r="CN191" s="8">
        <f t="shared" si="73"/>
        <v>40650.2822982888</v>
      </c>
      <c r="CP191" s="8">
        <f t="shared" si="74"/>
        <v>26937.40259421325</v>
      </c>
      <c r="CX191" s="8">
        <f t="shared" si="75"/>
        <v>34862.01564458319</v>
      </c>
    </row>
    <row r="192" spans="2:107" ht="12.75">
      <c r="B192" s="4" t="s">
        <v>20</v>
      </c>
      <c r="D192" s="4" t="s">
        <v>10</v>
      </c>
      <c r="E192" s="2">
        <v>100</v>
      </c>
      <c r="F192" s="8">
        <f t="shared" si="76"/>
        <v>5.053932754581784</v>
      </c>
      <c r="G192" s="2">
        <v>100</v>
      </c>
      <c r="H192" s="8">
        <f t="shared" si="76"/>
        <v>5.976770259661301</v>
      </c>
      <c r="I192" s="2">
        <v>100</v>
      </c>
      <c r="J192" s="8">
        <f t="shared" si="56"/>
        <v>5.068502746026076</v>
      </c>
      <c r="K192" s="2"/>
      <c r="L192" s="2"/>
      <c r="M192" s="2"/>
      <c r="N192" s="2"/>
      <c r="O192" s="2"/>
      <c r="P192" s="2"/>
      <c r="Q192" s="2"/>
      <c r="R192" s="8">
        <f t="shared" si="57"/>
        <v>0</v>
      </c>
      <c r="S192" s="2"/>
      <c r="T192" s="8">
        <f t="shared" si="58"/>
        <v>0</v>
      </c>
      <c r="U192" s="2"/>
      <c r="V192" s="8">
        <f t="shared" si="59"/>
        <v>0</v>
      </c>
      <c r="W192" s="2"/>
      <c r="X192" s="2"/>
      <c r="Y192" s="2"/>
      <c r="Z192" s="2"/>
      <c r="AA192" s="2"/>
      <c r="AB192" s="2"/>
      <c r="AC192" s="2"/>
      <c r="AD192" s="8">
        <f t="shared" si="60"/>
        <v>0</v>
      </c>
      <c r="AE192" s="2"/>
      <c r="AF192" s="8">
        <f t="shared" si="61"/>
        <v>0</v>
      </c>
      <c r="AG192" s="2"/>
      <c r="AH192" s="8">
        <f t="shared" si="62"/>
        <v>0</v>
      </c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8">
        <f t="shared" si="63"/>
        <v>150.89541132699466</v>
      </c>
      <c r="BC192" s="2"/>
      <c r="BD192" s="8">
        <f t="shared" si="64"/>
        <v>198.09388889872676</v>
      </c>
      <c r="BE192" s="2"/>
      <c r="BF192" s="8">
        <f t="shared" si="65"/>
        <v>109.57189453473833</v>
      </c>
      <c r="BG192" s="2"/>
      <c r="BH192" s="2"/>
      <c r="BI192" s="2"/>
      <c r="BJ192" s="2"/>
      <c r="BK192" s="2"/>
      <c r="BL192" s="2"/>
      <c r="BM192" s="2"/>
      <c r="BN192" s="8">
        <f t="shared" si="66"/>
        <v>0</v>
      </c>
      <c r="BO192" s="2"/>
      <c r="BP192" s="8">
        <f t="shared" si="67"/>
        <v>0</v>
      </c>
      <c r="BQ192" s="2"/>
      <c r="BR192" s="8">
        <f t="shared" si="68"/>
        <v>0</v>
      </c>
      <c r="BS192" s="2"/>
      <c r="BT192" s="2"/>
      <c r="BU192" s="2"/>
      <c r="BV192" s="2"/>
      <c r="BW192" s="2"/>
      <c r="BX192" s="2"/>
      <c r="BY192" s="2"/>
      <c r="BZ192" s="8">
        <f t="shared" si="69"/>
        <v>0</v>
      </c>
      <c r="CA192" s="2"/>
      <c r="CB192" s="8">
        <f t="shared" si="70"/>
        <v>0</v>
      </c>
      <c r="CC192" s="2"/>
      <c r="CD192" s="8">
        <f t="shared" si="71"/>
        <v>0</v>
      </c>
      <c r="CK192" s="4">
        <f>SUM((BB192*BA192/100),(F192*E192/100))/CL192*100</f>
        <v>3.240752812617213</v>
      </c>
      <c r="CL192" s="8">
        <f t="shared" si="72"/>
        <v>155.94934408157644</v>
      </c>
      <c r="CM192" s="4">
        <f>SUM((BD192*BC192/100),(H192*G192/100))/CN192*100</f>
        <v>2.9287749078237018</v>
      </c>
      <c r="CN192" s="8">
        <f t="shared" si="73"/>
        <v>204.07065915838805</v>
      </c>
      <c r="CO192" s="4">
        <f>SUM((BF192*BE192/100),(J192*I192/100))/CP192*100</f>
        <v>4.42121875556037</v>
      </c>
      <c r="CP192" s="8">
        <f t="shared" si="74"/>
        <v>114.6403972807644</v>
      </c>
      <c r="CW192" s="4">
        <f>SUM((CV192*CU192/100),(CT192*CS192/100),(CR192*CQ192/100),(CP192*CO192/100),(CN192*CM192/100),(CL192*CK192/100))/CX192/3*100</f>
        <v>3.3917313815535137</v>
      </c>
      <c r="CX192" s="8">
        <f t="shared" si="75"/>
        <v>158.22013350690963</v>
      </c>
      <c r="CZ192" s="8">
        <f>AVERAGE(BB192,BD192,BF192,BH192,BJ192,BL192)</f>
        <v>152.85373158681992</v>
      </c>
      <c r="DA192" s="8">
        <f>AVERAGE(R192,T192,V192,X192,Z192,AB192)+AVERAGE(AD192,AF192,AH192,AJ192,AL192,AN192)</f>
        <v>0</v>
      </c>
      <c r="DB192" s="8">
        <f>AVERAGE(F192,H192,J192,L192,N192,P192)+AVERAGE(BN192,BP192,BR192,BT192,BV192,BX192)+AVERAGE(BZ192,CB192,CD192,CF192,CH192,CJ192)</f>
        <v>5.366401920089721</v>
      </c>
      <c r="DC192" s="8">
        <f>SUM(CZ192,DA192,DB192)</f>
        <v>158.22013350690963</v>
      </c>
    </row>
    <row r="193" spans="2:107" ht="12.75">
      <c r="B193" s="4" t="s">
        <v>21</v>
      </c>
      <c r="D193" s="4" t="s">
        <v>10</v>
      </c>
      <c r="E193" s="2">
        <v>100</v>
      </c>
      <c r="F193" s="8">
        <f t="shared" si="76"/>
        <v>17161.329291259015</v>
      </c>
      <c r="G193" s="2"/>
      <c r="H193" s="8">
        <f t="shared" si="76"/>
        <v>25493.332861114555</v>
      </c>
      <c r="I193" s="2"/>
      <c r="J193" s="8">
        <f t="shared" si="56"/>
        <v>41358.982407572774</v>
      </c>
      <c r="K193" s="2"/>
      <c r="L193" s="2"/>
      <c r="M193" s="2"/>
      <c r="N193" s="2"/>
      <c r="O193" s="2"/>
      <c r="P193" s="2"/>
      <c r="Q193" s="2"/>
      <c r="R193" s="8">
        <f t="shared" si="57"/>
        <v>0</v>
      </c>
      <c r="S193" s="2"/>
      <c r="T193" s="8">
        <f t="shared" si="58"/>
        <v>0</v>
      </c>
      <c r="U193" s="2"/>
      <c r="V193" s="8">
        <f t="shared" si="59"/>
        <v>0</v>
      </c>
      <c r="W193" s="2"/>
      <c r="X193" s="2"/>
      <c r="Y193" s="2"/>
      <c r="Z193" s="2"/>
      <c r="AA193" s="2"/>
      <c r="AB193" s="2"/>
      <c r="AC193" s="2"/>
      <c r="AD193" s="8">
        <f t="shared" si="60"/>
        <v>0</v>
      </c>
      <c r="AE193" s="2"/>
      <c r="AF193" s="8">
        <f t="shared" si="61"/>
        <v>0</v>
      </c>
      <c r="AG193" s="2"/>
      <c r="AH193" s="8">
        <f t="shared" si="62"/>
        <v>0</v>
      </c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>
        <v>100</v>
      </c>
      <c r="BB193" s="8">
        <f t="shared" si="63"/>
        <v>1662.6438840659594</v>
      </c>
      <c r="BC193" s="2">
        <v>100</v>
      </c>
      <c r="BD193" s="8">
        <f t="shared" si="64"/>
        <v>1411.4189584034284</v>
      </c>
      <c r="BE193" s="2">
        <v>100</v>
      </c>
      <c r="BF193" s="8">
        <f t="shared" si="65"/>
        <v>1420.1563337203072</v>
      </c>
      <c r="BG193" s="2"/>
      <c r="BH193" s="2"/>
      <c r="BI193" s="2"/>
      <c r="BJ193" s="2"/>
      <c r="BK193" s="2"/>
      <c r="BL193" s="2"/>
      <c r="BM193" s="2"/>
      <c r="BN193" s="8">
        <f t="shared" si="66"/>
        <v>0</v>
      </c>
      <c r="BO193" s="2"/>
      <c r="BP193" s="8">
        <f t="shared" si="67"/>
        <v>0</v>
      </c>
      <c r="BQ193" s="2"/>
      <c r="BR193" s="8">
        <f t="shared" si="68"/>
        <v>0</v>
      </c>
      <c r="BS193" s="2"/>
      <c r="BT193" s="2"/>
      <c r="BU193" s="2"/>
      <c r="BV193" s="2"/>
      <c r="BW193" s="2"/>
      <c r="BX193" s="2"/>
      <c r="BY193" s="2"/>
      <c r="BZ193" s="8">
        <f t="shared" si="69"/>
        <v>0</v>
      </c>
      <c r="CA193" s="2"/>
      <c r="CB193" s="8">
        <f t="shared" si="70"/>
        <v>0</v>
      </c>
      <c r="CC193" s="2"/>
      <c r="CD193" s="8">
        <f t="shared" si="71"/>
        <v>0</v>
      </c>
      <c r="CK193" s="4">
        <f>SUM((BB193*BA193/100),(F193*E193/100))/CL193*100</f>
        <v>100</v>
      </c>
      <c r="CL193" s="8">
        <f t="shared" si="72"/>
        <v>18823.973175324973</v>
      </c>
      <c r="CM193" s="4">
        <f>SUM((BD193*BC193/100),(H193*G193/100))/CN193*100</f>
        <v>5.245983935742973</v>
      </c>
      <c r="CN193" s="8">
        <f t="shared" si="73"/>
        <v>26904.751819517984</v>
      </c>
      <c r="CO193" s="4">
        <f>SUM((BF193*BE193/100),(J193*I193/100))/CP193*100</f>
        <v>3.3197403582823517</v>
      </c>
      <c r="CP193" s="8">
        <f t="shared" si="74"/>
        <v>42779.13874129308</v>
      </c>
      <c r="CW193" s="4">
        <f>SUM((CV193*CU193/100),(CT193*CS193/100),(CR193*CQ193/100),(CP193*CO193/100),(CN193*CM193/100),(CL193*CK193/100))/CX193/3*100</f>
        <v>24.467372223567942</v>
      </c>
      <c r="CX193" s="8">
        <f t="shared" si="75"/>
        <v>29502.621245378676</v>
      </c>
      <c r="CZ193" s="8">
        <f>AVERAGE(BB193,BD193,BF193,BH193,BJ193,BL193)</f>
        <v>1498.0730587298983</v>
      </c>
      <c r="DA193" s="8">
        <f>AVERAGE(R193,T193,V193,X193,Z193,AB193)+AVERAGE(AD193,AF193,AH193,AJ193,AL193,AN193)</f>
        <v>0</v>
      </c>
      <c r="DB193" s="8">
        <f>AVERAGE(F193,H193,J193,L193,N193,P193)+AVERAGE(BN193,BP193,BR193,BT193,BV193,BX193)+AVERAGE(BZ193,CB193,CD193,CF193,CH193,CJ193)</f>
        <v>28004.548186648783</v>
      </c>
      <c r="DC193" s="8">
        <f>SUM(CZ193,DA193,DB193)</f>
        <v>29502.62124537868</v>
      </c>
    </row>
    <row r="194" spans="2:102" ht="12.75">
      <c r="B194" s="4" t="s">
        <v>22</v>
      </c>
      <c r="D194" s="4" t="s">
        <v>10</v>
      </c>
      <c r="E194" s="2"/>
      <c r="F194" s="8">
        <f t="shared" si="76"/>
        <v>1456.3513389371183</v>
      </c>
      <c r="G194" s="2"/>
      <c r="H194" s="8">
        <f t="shared" si="76"/>
        <v>1678.3110800233746</v>
      </c>
      <c r="I194" s="2"/>
      <c r="J194" s="8">
        <f t="shared" si="56"/>
        <v>2324.753259510627</v>
      </c>
      <c r="K194" s="2"/>
      <c r="L194" s="2"/>
      <c r="M194" s="2"/>
      <c r="N194" s="2"/>
      <c r="O194" s="2"/>
      <c r="P194" s="2"/>
      <c r="Q194" s="2"/>
      <c r="R194" s="8">
        <f t="shared" si="57"/>
        <v>0</v>
      </c>
      <c r="S194" s="2"/>
      <c r="T194" s="8">
        <f t="shared" si="58"/>
        <v>0</v>
      </c>
      <c r="U194" s="2"/>
      <c r="V194" s="8">
        <f t="shared" si="59"/>
        <v>0</v>
      </c>
      <c r="W194" s="2"/>
      <c r="X194" s="2"/>
      <c r="Y194" s="2"/>
      <c r="Z194" s="2"/>
      <c r="AA194" s="2"/>
      <c r="AB194" s="2"/>
      <c r="AC194" s="2"/>
      <c r="AD194" s="8">
        <f t="shared" si="60"/>
        <v>0</v>
      </c>
      <c r="AE194" s="2"/>
      <c r="AF194" s="8">
        <f t="shared" si="61"/>
        <v>0</v>
      </c>
      <c r="AG194" s="2"/>
      <c r="AH194" s="8">
        <f t="shared" si="62"/>
        <v>0</v>
      </c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8">
        <f t="shared" si="63"/>
        <v>224.94593725598273</v>
      </c>
      <c r="BC194" s="2"/>
      <c r="BD194" s="8">
        <f t="shared" si="64"/>
        <v>242.66501390094027</v>
      </c>
      <c r="BE194" s="2"/>
      <c r="BF194" s="8">
        <f t="shared" si="65"/>
        <v>248.97301415431323</v>
      </c>
      <c r="BG194" s="2"/>
      <c r="BH194" s="2"/>
      <c r="BI194" s="2"/>
      <c r="BJ194" s="2"/>
      <c r="BK194" s="2"/>
      <c r="BL194" s="2"/>
      <c r="BM194" s="2"/>
      <c r="BN194" s="8">
        <f t="shared" si="66"/>
        <v>0</v>
      </c>
      <c r="BO194" s="2"/>
      <c r="BP194" s="8">
        <f t="shared" si="67"/>
        <v>0</v>
      </c>
      <c r="BQ194" s="2"/>
      <c r="BR194" s="8">
        <f t="shared" si="68"/>
        <v>0</v>
      </c>
      <c r="BS194" s="2"/>
      <c r="BT194" s="2"/>
      <c r="BU194" s="2"/>
      <c r="BV194" s="2"/>
      <c r="BW194" s="2"/>
      <c r="BX194" s="2"/>
      <c r="BY194" s="2"/>
      <c r="BZ194" s="8">
        <f t="shared" si="69"/>
        <v>0</v>
      </c>
      <c r="CA194" s="2"/>
      <c r="CB194" s="8">
        <f t="shared" si="70"/>
        <v>0</v>
      </c>
      <c r="CC194" s="2"/>
      <c r="CD194" s="8">
        <f t="shared" si="71"/>
        <v>0</v>
      </c>
      <c r="CL194" s="8">
        <f t="shared" si="72"/>
        <v>1681.297276193101</v>
      </c>
      <c r="CN194" s="8">
        <f t="shared" si="73"/>
        <v>1920.976093924315</v>
      </c>
      <c r="CP194" s="8">
        <f t="shared" si="74"/>
        <v>2573.72627366494</v>
      </c>
      <c r="CX194" s="8">
        <f t="shared" si="75"/>
        <v>2058.666547927452</v>
      </c>
    </row>
    <row r="195" spans="2:102" ht="12.75">
      <c r="B195" s="4" t="s">
        <v>23</v>
      </c>
      <c r="D195" s="4" t="s">
        <v>10</v>
      </c>
      <c r="E195" s="2">
        <v>100</v>
      </c>
      <c r="F195" s="8">
        <f t="shared" si="76"/>
        <v>6644.110973313123</v>
      </c>
      <c r="G195" s="2">
        <v>100</v>
      </c>
      <c r="H195" s="8">
        <f t="shared" si="76"/>
        <v>6302.518401775543</v>
      </c>
      <c r="I195" s="2">
        <v>100</v>
      </c>
      <c r="J195" s="8">
        <f t="shared" si="56"/>
        <v>5555.079009644579</v>
      </c>
      <c r="K195" s="2"/>
      <c r="L195" s="2"/>
      <c r="M195" s="2"/>
      <c r="N195" s="2"/>
      <c r="O195" s="2"/>
      <c r="P195" s="2"/>
      <c r="Q195" s="2"/>
      <c r="R195" s="8">
        <f t="shared" si="57"/>
        <v>0</v>
      </c>
      <c r="S195" s="2"/>
      <c r="T195" s="8">
        <f t="shared" si="58"/>
        <v>0</v>
      </c>
      <c r="U195" s="2"/>
      <c r="V195" s="8">
        <f t="shared" si="59"/>
        <v>0</v>
      </c>
      <c r="W195" s="2"/>
      <c r="X195" s="2"/>
      <c r="Y195" s="2"/>
      <c r="Z195" s="2"/>
      <c r="AA195" s="2"/>
      <c r="AB195" s="2"/>
      <c r="AC195" s="2"/>
      <c r="AD195" s="8">
        <f t="shared" si="60"/>
        <v>0</v>
      </c>
      <c r="AE195" s="2"/>
      <c r="AF195" s="8">
        <f t="shared" si="61"/>
        <v>0</v>
      </c>
      <c r="AG195" s="2"/>
      <c r="AH195" s="8">
        <f t="shared" si="62"/>
        <v>0</v>
      </c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>
        <v>100</v>
      </c>
      <c r="BB195" s="8">
        <f t="shared" si="63"/>
        <v>645.4970373432548</v>
      </c>
      <c r="BC195" s="2">
        <v>100</v>
      </c>
      <c r="BD195" s="8">
        <f t="shared" si="64"/>
        <v>548.4724548883497</v>
      </c>
      <c r="BE195" s="2">
        <v>100</v>
      </c>
      <c r="BF195" s="8">
        <f t="shared" si="65"/>
        <v>552.613134041793</v>
      </c>
      <c r="BG195" s="2"/>
      <c r="BH195" s="2"/>
      <c r="BI195" s="2"/>
      <c r="BJ195" s="2"/>
      <c r="BK195" s="2"/>
      <c r="BL195" s="2"/>
      <c r="BM195" s="2"/>
      <c r="BN195" s="8">
        <f t="shared" si="66"/>
        <v>0</v>
      </c>
      <c r="BO195" s="2"/>
      <c r="BP195" s="8">
        <f t="shared" si="67"/>
        <v>0</v>
      </c>
      <c r="BQ195" s="2"/>
      <c r="BR195" s="8">
        <f t="shared" si="68"/>
        <v>0</v>
      </c>
      <c r="BS195" s="2"/>
      <c r="BT195" s="2"/>
      <c r="BU195" s="2"/>
      <c r="BV195" s="2"/>
      <c r="BW195" s="2"/>
      <c r="BX195" s="2"/>
      <c r="BY195" s="2"/>
      <c r="BZ195" s="8">
        <f t="shared" si="69"/>
        <v>0</v>
      </c>
      <c r="CA195" s="2"/>
      <c r="CB195" s="8">
        <f t="shared" si="70"/>
        <v>0</v>
      </c>
      <c r="CC195" s="2"/>
      <c r="CD195" s="8">
        <f t="shared" si="71"/>
        <v>0</v>
      </c>
      <c r="CK195" s="4">
        <f>SUM((BB195*BA195/100),(F195*E195/100))/CL195*100</f>
        <v>100</v>
      </c>
      <c r="CL195" s="8">
        <f t="shared" si="72"/>
        <v>7289.608010656379</v>
      </c>
      <c r="CM195" s="4">
        <f>SUM((BD195*BC195/100),(H195*G195/100))/CN195*100</f>
        <v>100</v>
      </c>
      <c r="CN195" s="8">
        <f t="shared" si="73"/>
        <v>6850.990856663892</v>
      </c>
      <c r="CO195" s="4">
        <f>SUM((BF195*BE195/100),(J195*I195/100))/CP195*100</f>
        <v>100</v>
      </c>
      <c r="CP195" s="8">
        <f t="shared" si="74"/>
        <v>6107.692143686372</v>
      </c>
      <c r="CW195" s="4">
        <f>SUM((CV195*CU195/100),(CT195*CS195/100),(CR195*CQ195/100),(CP195*CO195/100),(CN195*CM195/100),(CL195*CK195/100))/CX195/3*100</f>
        <v>100</v>
      </c>
      <c r="CX195" s="8">
        <f t="shared" si="75"/>
        <v>6749.430337002214</v>
      </c>
    </row>
    <row r="196" spans="2:102" ht="12.75">
      <c r="B196" s="4" t="s">
        <v>24</v>
      </c>
      <c r="D196" s="4" t="s">
        <v>10</v>
      </c>
      <c r="E196" s="2"/>
      <c r="F196" s="8">
        <f t="shared" si="76"/>
        <v>212.54857379082264</v>
      </c>
      <c r="G196" s="2"/>
      <c r="H196" s="8">
        <f t="shared" si="76"/>
        <v>346.9925861651703</v>
      </c>
      <c r="I196" s="2"/>
      <c r="J196" s="8">
        <f t="shared" si="56"/>
        <v>53.65854907126271</v>
      </c>
      <c r="K196" s="2"/>
      <c r="L196" s="2"/>
      <c r="M196" s="2"/>
      <c r="N196" s="2"/>
      <c r="O196" s="2"/>
      <c r="P196" s="2"/>
      <c r="Q196" s="2"/>
      <c r="R196" s="8">
        <f t="shared" si="57"/>
        <v>0</v>
      </c>
      <c r="S196" s="2"/>
      <c r="T196" s="8">
        <f t="shared" si="58"/>
        <v>0</v>
      </c>
      <c r="U196" s="2"/>
      <c r="V196" s="8">
        <f t="shared" si="59"/>
        <v>0</v>
      </c>
      <c r="W196" s="2"/>
      <c r="X196" s="2"/>
      <c r="Y196" s="2"/>
      <c r="Z196" s="2"/>
      <c r="AA196" s="2"/>
      <c r="AB196" s="2"/>
      <c r="AC196" s="2"/>
      <c r="AD196" s="8">
        <f t="shared" si="60"/>
        <v>0</v>
      </c>
      <c r="AE196" s="2"/>
      <c r="AF196" s="8">
        <f t="shared" si="61"/>
        <v>0</v>
      </c>
      <c r="AG196" s="2"/>
      <c r="AH196" s="8">
        <f t="shared" si="62"/>
        <v>0</v>
      </c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>
        <v>100</v>
      </c>
      <c r="BB196" s="8">
        <f t="shared" si="63"/>
        <v>68.46180699095126</v>
      </c>
      <c r="BC196" s="2">
        <v>100</v>
      </c>
      <c r="BD196" s="8">
        <f t="shared" si="64"/>
        <v>57.32341910006906</v>
      </c>
      <c r="BE196" s="2">
        <v>100</v>
      </c>
      <c r="BF196" s="8">
        <f t="shared" si="65"/>
        <v>56.806253348812284</v>
      </c>
      <c r="BG196" s="2"/>
      <c r="BH196" s="2"/>
      <c r="BI196" s="2"/>
      <c r="BJ196" s="2"/>
      <c r="BK196" s="2"/>
      <c r="BL196" s="2"/>
      <c r="BM196" s="2"/>
      <c r="BN196" s="8">
        <f t="shared" si="66"/>
        <v>0</v>
      </c>
      <c r="BO196" s="2"/>
      <c r="BP196" s="8">
        <f t="shared" si="67"/>
        <v>0</v>
      </c>
      <c r="BQ196" s="2"/>
      <c r="BR196" s="8">
        <f t="shared" si="68"/>
        <v>0</v>
      </c>
      <c r="BS196" s="2"/>
      <c r="BT196" s="2"/>
      <c r="BU196" s="2"/>
      <c r="BV196" s="2"/>
      <c r="BW196" s="2"/>
      <c r="BX196" s="2"/>
      <c r="BY196" s="2"/>
      <c r="BZ196" s="8">
        <f t="shared" si="69"/>
        <v>0</v>
      </c>
      <c r="CA196" s="2"/>
      <c r="CB196" s="8">
        <f t="shared" si="70"/>
        <v>0</v>
      </c>
      <c r="CC196" s="2"/>
      <c r="CD196" s="8">
        <f t="shared" si="71"/>
        <v>0</v>
      </c>
      <c r="CK196" s="4">
        <f>SUM((BB196*BA196/100),(F196*E196/100))/CL196*100</f>
        <v>24.362732366145966</v>
      </c>
      <c r="CL196" s="8">
        <f t="shared" si="72"/>
        <v>281.0103807817739</v>
      </c>
      <c r="CM196" s="4">
        <f>SUM((BD196*BC196/100),(H196*G196/100))/CN196*100</f>
        <v>14.177875313757058</v>
      </c>
      <c r="CN196" s="8">
        <f t="shared" si="73"/>
        <v>404.31600526523937</v>
      </c>
      <c r="CO196" s="4">
        <f>SUM((BF196*BE196/100),(J196*I196/100))/CP196*100</f>
        <v>51.424754405289896</v>
      </c>
      <c r="CP196" s="8">
        <f t="shared" si="74"/>
        <v>110.46480242007499</v>
      </c>
      <c r="CW196" s="4">
        <f>SUM((CV196*CU196/100),(CT196*CS196/100),(CR196*CQ196/100),(CP196*CO196/100),(CN196*CM196/100),(CL196*CK196/100))/CX196/3*100</f>
        <v>22.944647048876448</v>
      </c>
      <c r="CX196" s="8">
        <f t="shared" si="75"/>
        <v>265.26372948902946</v>
      </c>
    </row>
    <row r="197" spans="2:102" ht="12.75">
      <c r="B197" s="4" t="s">
        <v>25</v>
      </c>
      <c r="D197" s="4" t="s">
        <v>10</v>
      </c>
      <c r="E197" s="2"/>
      <c r="F197" s="8">
        <f t="shared" si="76"/>
        <v>56049.84612557991</v>
      </c>
      <c r="G197" s="2"/>
      <c r="H197" s="8">
        <f t="shared" si="76"/>
        <v>67840.59133596595</v>
      </c>
      <c r="I197" s="2"/>
      <c r="J197" s="8">
        <f t="shared" si="56"/>
        <v>37169.02013752455</v>
      </c>
      <c r="K197" s="2"/>
      <c r="L197" s="2"/>
      <c r="M197" s="2"/>
      <c r="N197" s="2"/>
      <c r="O197" s="2"/>
      <c r="P197" s="2"/>
      <c r="Q197" s="2"/>
      <c r="R197" s="8">
        <f t="shared" si="57"/>
        <v>0</v>
      </c>
      <c r="S197" s="2"/>
      <c r="T197" s="8">
        <f t="shared" si="58"/>
        <v>0</v>
      </c>
      <c r="U197" s="2"/>
      <c r="V197" s="8">
        <f t="shared" si="59"/>
        <v>0</v>
      </c>
      <c r="W197" s="2"/>
      <c r="X197" s="2"/>
      <c r="Y197" s="2"/>
      <c r="Z197" s="2"/>
      <c r="AA197" s="2"/>
      <c r="AB197" s="2"/>
      <c r="AC197" s="2"/>
      <c r="AD197" s="8">
        <f t="shared" si="60"/>
        <v>0</v>
      </c>
      <c r="AE197" s="2"/>
      <c r="AF197" s="8">
        <f t="shared" si="61"/>
        <v>0</v>
      </c>
      <c r="AG197" s="2"/>
      <c r="AH197" s="8">
        <f t="shared" si="62"/>
        <v>0</v>
      </c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8">
        <f t="shared" si="63"/>
        <v>123091.53461026134</v>
      </c>
      <c r="BC197" s="2"/>
      <c r="BD197" s="8">
        <f t="shared" si="64"/>
        <v>102885.01354677622</v>
      </c>
      <c r="BE197" s="2"/>
      <c r="BF197" s="8">
        <f t="shared" si="65"/>
        <v>105115.33700214323</v>
      </c>
      <c r="BG197" s="2"/>
      <c r="BH197" s="2"/>
      <c r="BI197" s="2"/>
      <c r="BJ197" s="2"/>
      <c r="BK197" s="2"/>
      <c r="BL197" s="2"/>
      <c r="BM197" s="2"/>
      <c r="BN197" s="8">
        <f t="shared" si="66"/>
        <v>0</v>
      </c>
      <c r="BO197" s="2"/>
      <c r="BP197" s="8">
        <f t="shared" si="67"/>
        <v>0</v>
      </c>
      <c r="BQ197" s="2"/>
      <c r="BR197" s="8">
        <f t="shared" si="68"/>
        <v>0</v>
      </c>
      <c r="BS197" s="2"/>
      <c r="BT197" s="2"/>
      <c r="BU197" s="2"/>
      <c r="BV197" s="2"/>
      <c r="BW197" s="2"/>
      <c r="BX197" s="2"/>
      <c r="BY197" s="2"/>
      <c r="BZ197" s="8">
        <f t="shared" si="69"/>
        <v>0</v>
      </c>
      <c r="CA197" s="2"/>
      <c r="CB197" s="8">
        <f t="shared" si="70"/>
        <v>0</v>
      </c>
      <c r="CC197" s="2"/>
      <c r="CD197" s="8">
        <f t="shared" si="71"/>
        <v>0</v>
      </c>
      <c r="CL197" s="8">
        <f t="shared" si="72"/>
        <v>179141.38073584126</v>
      </c>
      <c r="CN197" s="8">
        <f t="shared" si="73"/>
        <v>170725.60488274216</v>
      </c>
      <c r="CP197" s="8">
        <f t="shared" si="74"/>
        <v>142284.3571396678</v>
      </c>
      <c r="CX197" s="8">
        <f t="shared" si="75"/>
        <v>164050.44758608373</v>
      </c>
    </row>
    <row r="198" spans="2:107" ht="12.75">
      <c r="B198" s="4" t="s">
        <v>67</v>
      </c>
      <c r="D198" s="4" t="s">
        <v>10</v>
      </c>
      <c r="E198" s="2"/>
      <c r="F198" s="8">
        <f>F187+F191</f>
        <v>7289.628864085251</v>
      </c>
      <c r="G198" s="2"/>
      <c r="H198" s="8">
        <f>H187+H191</f>
        <v>6351.380623092678</v>
      </c>
      <c r="I198" s="2"/>
      <c r="J198" s="8">
        <f>J187+J191</f>
        <v>4445.4148084479375</v>
      </c>
      <c r="K198" s="2"/>
      <c r="L198" s="2"/>
      <c r="M198" s="2"/>
      <c r="N198" s="2"/>
      <c r="O198" s="2"/>
      <c r="P198" s="2"/>
      <c r="Q198" s="2"/>
      <c r="R198" s="8">
        <f>R187+R191</f>
        <v>0</v>
      </c>
      <c r="S198" s="2"/>
      <c r="T198" s="8">
        <f>T187+T191</f>
        <v>0</v>
      </c>
      <c r="U198" s="2"/>
      <c r="V198" s="8">
        <f>V187+V191</f>
        <v>0</v>
      </c>
      <c r="W198" s="2"/>
      <c r="X198" s="2"/>
      <c r="Y198" s="2"/>
      <c r="Z198" s="2"/>
      <c r="AA198" s="2"/>
      <c r="AB198" s="2"/>
      <c r="AC198" s="2"/>
      <c r="AD198" s="8">
        <f>AD187+AD191</f>
        <v>0</v>
      </c>
      <c r="AE198" s="2"/>
      <c r="AF198" s="8">
        <f>AF187+AF191</f>
        <v>0</v>
      </c>
      <c r="AG198" s="2"/>
      <c r="AH198" s="8">
        <f>AH187+AH191</f>
        <v>0</v>
      </c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8">
        <f>BB187+BB191</f>
        <v>30693.244407698316</v>
      </c>
      <c r="BC198" s="2"/>
      <c r="BD198" s="8">
        <f>BD187+BD191</f>
        <v>35404.33029342495</v>
      </c>
      <c r="BE198" s="2"/>
      <c r="BF198" s="8">
        <f>BF187+BF191</f>
        <v>23055.851842963028</v>
      </c>
      <c r="BG198" s="2"/>
      <c r="BH198" s="2"/>
      <c r="BI198" s="2"/>
      <c r="BJ198" s="2"/>
      <c r="BK198" s="2"/>
      <c r="BL198" s="2"/>
      <c r="BM198" s="2"/>
      <c r="BN198" s="8">
        <f>BN187+BN191</f>
        <v>0</v>
      </c>
      <c r="BO198" s="2"/>
      <c r="BP198" s="8">
        <f>BP187+BP191</f>
        <v>0</v>
      </c>
      <c r="BQ198" s="2"/>
      <c r="BR198" s="8">
        <f>BR187+BR191</f>
        <v>0</v>
      </c>
      <c r="BS198" s="2"/>
      <c r="BT198" s="2"/>
      <c r="BU198" s="2"/>
      <c r="BV198" s="2"/>
      <c r="BW198" s="2"/>
      <c r="BX198" s="2"/>
      <c r="BY198" s="2"/>
      <c r="BZ198" s="8">
        <f>BZ187+BZ191</f>
        <v>0</v>
      </c>
      <c r="CA198" s="2"/>
      <c r="CB198" s="8">
        <f>CB187+CB191</f>
        <v>0</v>
      </c>
      <c r="CC198" s="2"/>
      <c r="CD198" s="8">
        <f>CD187+CD191</f>
        <v>0</v>
      </c>
      <c r="CL198" s="8">
        <f t="shared" si="72"/>
        <v>37982.87327178357</v>
      </c>
      <c r="CN198" s="8">
        <f t="shared" si="73"/>
        <v>41755.71091651763</v>
      </c>
      <c r="CP198" s="8">
        <f t="shared" si="74"/>
        <v>27501.266651410966</v>
      </c>
      <c r="CX198" s="8">
        <f t="shared" si="75"/>
        <v>35746.61694657072</v>
      </c>
      <c r="CZ198" s="8">
        <f>AVERAGE(BB198,BD198,BF198,BH198,BJ198,BL198)</f>
        <v>29717.80884802876</v>
      </c>
      <c r="DA198" s="8">
        <f>AVERAGE(R198,T198,V198,X198,Z198,AB198)+AVERAGE(AD198,AF198,AH198,AJ198,AL198,AN198)</f>
        <v>0</v>
      </c>
      <c r="DB198" s="8">
        <f>AVERAGE(F198,H198,J198,L198,N198,P198)+AVERAGE(BN198,BP198,BR198,BT198,BV198,BX198)+AVERAGE(BZ198,CB198,CD198,CF198,CH198,CJ198)</f>
        <v>6028.808098541956</v>
      </c>
      <c r="DC198" s="8">
        <f>SUM(CZ198,DA198,DB198)</f>
        <v>35746.61694657071</v>
      </c>
    </row>
    <row r="199" spans="2:107" ht="12.75">
      <c r="B199" s="4" t="s">
        <v>68</v>
      </c>
      <c r="D199" s="4" t="s">
        <v>10</v>
      </c>
      <c r="E199" s="2"/>
      <c r="F199" s="8">
        <f>F184+F188+F186</f>
        <v>47536.88213678747</v>
      </c>
      <c r="G199" s="2"/>
      <c r="H199" s="8">
        <f>H184+H188+H186</f>
        <v>38120.32225685159</v>
      </c>
      <c r="I199" s="2"/>
      <c r="J199" s="8">
        <f>J184+J188+J186</f>
        <v>38788.23781478836</v>
      </c>
      <c r="K199" s="2"/>
      <c r="L199" s="2"/>
      <c r="M199" s="2"/>
      <c r="N199" s="2"/>
      <c r="O199" s="2"/>
      <c r="P199" s="2"/>
      <c r="Q199" s="2"/>
      <c r="R199" s="8">
        <f>R184+R188+R186</f>
        <v>0</v>
      </c>
      <c r="S199" s="2"/>
      <c r="T199" s="8">
        <f>T184+T188+T186</f>
        <v>0</v>
      </c>
      <c r="U199" s="2"/>
      <c r="V199" s="8">
        <f>V184+V188+V186</f>
        <v>0</v>
      </c>
      <c r="W199" s="2"/>
      <c r="X199" s="2"/>
      <c r="Y199" s="2"/>
      <c r="Z199" s="2"/>
      <c r="AA199" s="2"/>
      <c r="AB199" s="2"/>
      <c r="AC199" s="2"/>
      <c r="AD199" s="8">
        <f>AD184+AD188+AD186</f>
        <v>0</v>
      </c>
      <c r="AE199" s="2"/>
      <c r="AF199" s="8">
        <f>AF184+AF188+AF186</f>
        <v>0</v>
      </c>
      <c r="AG199" s="2"/>
      <c r="AH199" s="8">
        <f>AH184+AH188+AH186</f>
        <v>0</v>
      </c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8">
        <f>BB184+BB188+BB186</f>
        <v>19721.61110651785</v>
      </c>
      <c r="BC199" s="2"/>
      <c r="BD199" s="8">
        <f>BD184+BD188+BD186</f>
        <v>14403.778087868108</v>
      </c>
      <c r="BE199" s="2"/>
      <c r="BF199" s="8">
        <f>BF184+BF188+BF186</f>
        <v>15530.924738792643</v>
      </c>
      <c r="BG199" s="2"/>
      <c r="BH199" s="2"/>
      <c r="BI199" s="2"/>
      <c r="BJ199" s="2"/>
      <c r="BK199" s="2"/>
      <c r="BL199" s="2"/>
      <c r="BM199" s="2"/>
      <c r="BN199" s="8">
        <f>BN184+BN188+BN186</f>
        <v>0</v>
      </c>
      <c r="BO199" s="2"/>
      <c r="BP199" s="8">
        <f>BP184+BP188+BP186</f>
        <v>0</v>
      </c>
      <c r="BQ199" s="2"/>
      <c r="BR199" s="8">
        <f>BR184+BR188+BR186</f>
        <v>0</v>
      </c>
      <c r="BS199" s="2"/>
      <c r="BT199" s="2"/>
      <c r="BU199" s="2"/>
      <c r="BV199" s="2"/>
      <c r="BW199" s="2"/>
      <c r="BX199" s="2"/>
      <c r="BY199" s="2"/>
      <c r="BZ199" s="8">
        <f>BZ184+BZ188+BZ186</f>
        <v>0</v>
      </c>
      <c r="CA199" s="2"/>
      <c r="CB199" s="8">
        <f>CB184+CB188+CB186</f>
        <v>0</v>
      </c>
      <c r="CC199" s="2"/>
      <c r="CD199" s="8">
        <f>CD184+CD188+CD186</f>
        <v>0</v>
      </c>
      <c r="CL199" s="8">
        <f t="shared" si="72"/>
        <v>67258.49324330532</v>
      </c>
      <c r="CN199" s="8">
        <f t="shared" si="73"/>
        <v>52524.1003447197</v>
      </c>
      <c r="CP199" s="8">
        <f t="shared" si="74"/>
        <v>54319.162553581</v>
      </c>
      <c r="CR199" s="8"/>
      <c r="CX199" s="8">
        <f t="shared" si="75"/>
        <v>58033.918713868676</v>
      </c>
      <c r="CZ199" s="8">
        <f>AVERAGE(BB199,BD199,BF199,BH199,BJ199,BL199)</f>
        <v>16552.104644392868</v>
      </c>
      <c r="DA199" s="8">
        <f>AVERAGE(R199,T199,V199,X199,Z199,AB199)+AVERAGE(AD199,AF199,AH199,AJ199,AL199,AN199)</f>
        <v>0</v>
      </c>
      <c r="DB199" s="8">
        <f>AVERAGE(F199,H199,J199,L199,N199,P199)+AVERAGE(BN199,BP199,BR199,BT199,BV199,BX199)+AVERAGE(BZ199,CB199,CD199,CF199,CH199,CJ199)</f>
        <v>41481.814069475804</v>
      </c>
      <c r="DC199" s="8">
        <f>SUM(CZ199,DA199,DB199)</f>
        <v>58033.91871386867</v>
      </c>
    </row>
    <row r="200" spans="5:82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2:114" ht="12.75">
      <c r="B201" s="6" t="s">
        <v>27</v>
      </c>
      <c r="C201" s="6"/>
      <c r="D201" s="6"/>
      <c r="E201" s="2"/>
      <c r="F201" s="24" t="s">
        <v>54</v>
      </c>
      <c r="G201" s="24"/>
      <c r="H201" s="24" t="s">
        <v>55</v>
      </c>
      <c r="I201" s="24"/>
      <c r="J201" s="24" t="s">
        <v>56</v>
      </c>
      <c r="K201" s="24"/>
      <c r="L201" s="24" t="s">
        <v>57</v>
      </c>
      <c r="M201" s="24"/>
      <c r="N201" s="24" t="s">
        <v>58</v>
      </c>
      <c r="O201" s="24"/>
      <c r="P201" s="24" t="s">
        <v>59</v>
      </c>
      <c r="Q201" s="24"/>
      <c r="R201" s="24" t="s">
        <v>54</v>
      </c>
      <c r="S201" s="24"/>
      <c r="T201" s="24" t="s">
        <v>55</v>
      </c>
      <c r="U201" s="24"/>
      <c r="V201" s="24" t="s">
        <v>56</v>
      </c>
      <c r="W201" s="24"/>
      <c r="X201" s="24" t="s">
        <v>57</v>
      </c>
      <c r="Y201" s="24"/>
      <c r="Z201" s="24" t="s">
        <v>58</v>
      </c>
      <c r="AA201" s="24"/>
      <c r="AB201" s="24" t="s">
        <v>59</v>
      </c>
      <c r="AC201" s="24"/>
      <c r="AD201" s="24" t="s">
        <v>54</v>
      </c>
      <c r="AE201" s="24"/>
      <c r="AF201" s="24" t="s">
        <v>55</v>
      </c>
      <c r="AG201" s="24"/>
      <c r="AH201" s="24" t="s">
        <v>56</v>
      </c>
      <c r="AI201" s="24"/>
      <c r="AJ201" s="24" t="s">
        <v>57</v>
      </c>
      <c r="AK201" s="24"/>
      <c r="AL201" s="24" t="s">
        <v>58</v>
      </c>
      <c r="AM201" s="24"/>
      <c r="AN201" s="24" t="s">
        <v>59</v>
      </c>
      <c r="AO201" s="24"/>
      <c r="AP201" s="24" t="s">
        <v>54</v>
      </c>
      <c r="AQ201" s="24"/>
      <c r="AR201" s="24" t="s">
        <v>55</v>
      </c>
      <c r="AS201" s="24"/>
      <c r="AT201" s="24" t="s">
        <v>56</v>
      </c>
      <c r="AU201" s="24"/>
      <c r="AV201" s="24" t="s">
        <v>57</v>
      </c>
      <c r="AW201" s="24"/>
      <c r="AX201" s="24" t="s">
        <v>58</v>
      </c>
      <c r="AY201" s="24"/>
      <c r="AZ201" s="24" t="s">
        <v>59</v>
      </c>
      <c r="BA201" s="24"/>
      <c r="BB201" s="24" t="s">
        <v>54</v>
      </c>
      <c r="BC201" s="24"/>
      <c r="BD201" s="24" t="s">
        <v>55</v>
      </c>
      <c r="BE201" s="24"/>
      <c r="BF201" s="24" t="s">
        <v>56</v>
      </c>
      <c r="BG201" s="24"/>
      <c r="BH201" s="24" t="s">
        <v>57</v>
      </c>
      <c r="BI201" s="24"/>
      <c r="BJ201" s="24" t="s">
        <v>58</v>
      </c>
      <c r="BK201" s="24"/>
      <c r="BL201" s="24" t="s">
        <v>59</v>
      </c>
      <c r="BM201" s="24"/>
      <c r="BN201" s="24" t="s">
        <v>54</v>
      </c>
      <c r="BO201" s="24"/>
      <c r="BP201" s="24" t="s">
        <v>55</v>
      </c>
      <c r="BQ201" s="24"/>
      <c r="BR201" s="24" t="s">
        <v>56</v>
      </c>
      <c r="BS201" s="24"/>
      <c r="BT201" s="24" t="s">
        <v>57</v>
      </c>
      <c r="BU201" s="24"/>
      <c r="BV201" s="24" t="s">
        <v>58</v>
      </c>
      <c r="BW201" s="24"/>
      <c r="BX201" s="24" t="s">
        <v>59</v>
      </c>
      <c r="BY201" s="24"/>
      <c r="BZ201" s="24" t="s">
        <v>54</v>
      </c>
      <c r="CA201" s="24"/>
      <c r="CB201" s="24" t="s">
        <v>55</v>
      </c>
      <c r="CC201" s="24"/>
      <c r="CD201" s="24" t="s">
        <v>56</v>
      </c>
      <c r="CE201" s="24"/>
      <c r="CF201" s="24" t="s">
        <v>57</v>
      </c>
      <c r="CG201" s="24"/>
      <c r="CH201" s="24" t="s">
        <v>58</v>
      </c>
      <c r="CI201" s="24"/>
      <c r="CJ201" s="24" t="s">
        <v>59</v>
      </c>
      <c r="CK201" s="24"/>
      <c r="CL201" s="24" t="s">
        <v>54</v>
      </c>
      <c r="CM201" s="24"/>
      <c r="CN201" s="24" t="s">
        <v>55</v>
      </c>
      <c r="CO201" s="24"/>
      <c r="CP201" s="24" t="s">
        <v>56</v>
      </c>
      <c r="CQ201" s="24"/>
      <c r="CR201" s="24" t="s">
        <v>57</v>
      </c>
      <c r="CS201" s="24"/>
      <c r="CT201" s="24" t="s">
        <v>58</v>
      </c>
      <c r="CU201" s="24"/>
      <c r="CV201" s="24" t="s">
        <v>59</v>
      </c>
      <c r="CW201" s="24"/>
      <c r="CX201" s="24" t="s">
        <v>61</v>
      </c>
      <c r="DE201" s="24" t="s">
        <v>54</v>
      </c>
      <c r="DF201" s="24"/>
      <c r="DG201" s="24" t="s">
        <v>55</v>
      </c>
      <c r="DH201" s="24"/>
      <c r="DI201" s="24" t="s">
        <v>56</v>
      </c>
      <c r="DJ201" s="24"/>
    </row>
    <row r="202" spans="2:102" ht="12.75">
      <c r="B202" s="6"/>
      <c r="C202" s="6"/>
      <c r="D202" s="6"/>
      <c r="E202" s="2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</row>
    <row r="203" spans="2:102" ht="12.75">
      <c r="B203" s="30" t="s">
        <v>230</v>
      </c>
      <c r="C203" s="30"/>
      <c r="D203" s="6"/>
      <c r="E203" s="2"/>
      <c r="F203" s="24" t="s">
        <v>236</v>
      </c>
      <c r="G203" s="24"/>
      <c r="H203" s="24" t="s">
        <v>236</v>
      </c>
      <c r="I203" s="24"/>
      <c r="J203" s="24" t="s">
        <v>236</v>
      </c>
      <c r="K203" s="24"/>
      <c r="L203" s="24" t="s">
        <v>236</v>
      </c>
      <c r="M203" s="24"/>
      <c r="N203" s="24" t="s">
        <v>236</v>
      </c>
      <c r="O203" s="24"/>
      <c r="P203" s="24" t="s">
        <v>236</v>
      </c>
      <c r="Q203" s="24"/>
      <c r="R203" s="24" t="s">
        <v>237</v>
      </c>
      <c r="S203" s="24"/>
      <c r="T203" s="24" t="s">
        <v>237</v>
      </c>
      <c r="U203" s="24"/>
      <c r="V203" s="24" t="s">
        <v>237</v>
      </c>
      <c r="W203" s="24"/>
      <c r="X203" s="24" t="s">
        <v>237</v>
      </c>
      <c r="Y203" s="24"/>
      <c r="Z203" s="24" t="s">
        <v>237</v>
      </c>
      <c r="AA203" s="24"/>
      <c r="AB203" s="24" t="s">
        <v>237</v>
      </c>
      <c r="AC203" s="24"/>
      <c r="AD203" s="24" t="s">
        <v>238</v>
      </c>
      <c r="AE203" s="24"/>
      <c r="AF203" s="24" t="s">
        <v>238</v>
      </c>
      <c r="AG203" s="24"/>
      <c r="AH203" s="24" t="s">
        <v>238</v>
      </c>
      <c r="AI203" s="24"/>
      <c r="AJ203" s="24" t="s">
        <v>238</v>
      </c>
      <c r="AK203" s="24"/>
      <c r="AL203" s="24" t="s">
        <v>238</v>
      </c>
      <c r="AM203" s="24"/>
      <c r="AN203" s="24" t="s">
        <v>238</v>
      </c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 t="s">
        <v>240</v>
      </c>
      <c r="BC203" s="24"/>
      <c r="BD203" s="24" t="s">
        <v>240</v>
      </c>
      <c r="BE203" s="24"/>
      <c r="BF203" s="24" t="s">
        <v>240</v>
      </c>
      <c r="BG203" s="24"/>
      <c r="BH203" s="24" t="s">
        <v>240</v>
      </c>
      <c r="BI203" s="24"/>
      <c r="BJ203" s="24" t="s">
        <v>240</v>
      </c>
      <c r="BK203" s="24"/>
      <c r="BL203" s="24" t="s">
        <v>240</v>
      </c>
      <c r="BM203" s="24"/>
      <c r="BN203" s="24" t="s">
        <v>241</v>
      </c>
      <c r="BO203" s="24"/>
      <c r="BP203" s="24" t="s">
        <v>241</v>
      </c>
      <c r="BQ203" s="24"/>
      <c r="BR203" s="24" t="s">
        <v>241</v>
      </c>
      <c r="BS203" s="24"/>
      <c r="BT203" s="24" t="s">
        <v>241</v>
      </c>
      <c r="BU203" s="24"/>
      <c r="BV203" s="24" t="s">
        <v>241</v>
      </c>
      <c r="BW203" s="24"/>
      <c r="BX203" s="24" t="s">
        <v>241</v>
      </c>
      <c r="BY203" s="24"/>
      <c r="BZ203" s="24" t="s">
        <v>242</v>
      </c>
      <c r="CA203" s="24"/>
      <c r="CB203" s="24" t="s">
        <v>242</v>
      </c>
      <c r="CC203" s="24"/>
      <c r="CD203" s="24" t="s">
        <v>242</v>
      </c>
      <c r="CE203" s="24"/>
      <c r="CF203" s="24" t="s">
        <v>242</v>
      </c>
      <c r="CG203" s="24"/>
      <c r="CH203" s="24" t="s">
        <v>242</v>
      </c>
      <c r="CI203" s="24"/>
      <c r="CJ203" s="24" t="s">
        <v>242</v>
      </c>
      <c r="CK203" s="24"/>
      <c r="CL203" s="24" t="s">
        <v>243</v>
      </c>
      <c r="CM203" s="24"/>
      <c r="CN203" s="24" t="s">
        <v>243</v>
      </c>
      <c r="CO203" s="24"/>
      <c r="CP203" s="24" t="s">
        <v>243</v>
      </c>
      <c r="CQ203" s="24"/>
      <c r="CR203" s="24" t="s">
        <v>243</v>
      </c>
      <c r="CS203" s="24"/>
      <c r="CT203" s="24" t="s">
        <v>243</v>
      </c>
      <c r="CU203" s="24"/>
      <c r="CV203" s="24" t="s">
        <v>243</v>
      </c>
      <c r="CW203" s="24"/>
      <c r="CX203" s="24" t="s">
        <v>243</v>
      </c>
    </row>
    <row r="204" spans="2:102" ht="12.75">
      <c r="B204" s="30" t="s">
        <v>231</v>
      </c>
      <c r="C204" s="30"/>
      <c r="E204" s="2"/>
      <c r="F204" s="2" t="s">
        <v>235</v>
      </c>
      <c r="G204" s="2"/>
      <c r="H204" s="2" t="s">
        <v>235</v>
      </c>
      <c r="I204" s="2"/>
      <c r="J204" s="2" t="s">
        <v>235</v>
      </c>
      <c r="K204" s="2"/>
      <c r="L204" s="2" t="s">
        <v>235</v>
      </c>
      <c r="M204" s="2"/>
      <c r="N204" s="2" t="s">
        <v>235</v>
      </c>
      <c r="O204" s="2"/>
      <c r="P204" s="2" t="s">
        <v>235</v>
      </c>
      <c r="Q204" s="2"/>
      <c r="R204" s="2" t="s">
        <v>118</v>
      </c>
      <c r="S204" s="2"/>
      <c r="T204" s="2" t="s">
        <v>118</v>
      </c>
      <c r="U204" s="2"/>
      <c r="V204" s="2" t="s">
        <v>118</v>
      </c>
      <c r="W204" s="2"/>
      <c r="X204" s="2" t="s">
        <v>118</v>
      </c>
      <c r="Y204" s="2"/>
      <c r="Z204" s="2" t="s">
        <v>118</v>
      </c>
      <c r="AA204" s="2"/>
      <c r="AB204" s="2" t="s">
        <v>118</v>
      </c>
      <c r="AC204" s="2"/>
      <c r="AD204" s="2" t="s">
        <v>118</v>
      </c>
      <c r="AE204" s="2"/>
      <c r="AF204" s="2" t="s">
        <v>118</v>
      </c>
      <c r="AG204" s="2"/>
      <c r="AH204" s="2" t="s">
        <v>118</v>
      </c>
      <c r="AI204" s="2"/>
      <c r="AJ204" s="2" t="s">
        <v>118</v>
      </c>
      <c r="AK204" s="2"/>
      <c r="AL204" s="2" t="s">
        <v>118</v>
      </c>
      <c r="AM204" s="2"/>
      <c r="AN204" s="2" t="s">
        <v>118</v>
      </c>
      <c r="AO204" s="2"/>
      <c r="AP204" s="2" t="s">
        <v>235</v>
      </c>
      <c r="AQ204" s="2"/>
      <c r="AR204" s="2" t="s">
        <v>235</v>
      </c>
      <c r="AS204" s="2"/>
      <c r="AT204" s="2" t="s">
        <v>235</v>
      </c>
      <c r="AU204" s="2"/>
      <c r="AV204" s="2" t="s">
        <v>235</v>
      </c>
      <c r="AW204" s="2"/>
      <c r="AX204" s="2" t="s">
        <v>235</v>
      </c>
      <c r="AY204" s="2"/>
      <c r="AZ204" s="2" t="s">
        <v>235</v>
      </c>
      <c r="BA204" s="2"/>
      <c r="BB204" s="2" t="s">
        <v>239</v>
      </c>
      <c r="BC204" s="2"/>
      <c r="BD204" s="2" t="s">
        <v>239</v>
      </c>
      <c r="BE204" s="2"/>
      <c r="BF204" s="2" t="s">
        <v>239</v>
      </c>
      <c r="BG204" s="2"/>
      <c r="BH204" s="2" t="s">
        <v>239</v>
      </c>
      <c r="BI204" s="2"/>
      <c r="BJ204" s="2" t="s">
        <v>239</v>
      </c>
      <c r="BK204" s="2"/>
      <c r="BL204" s="2" t="s">
        <v>239</v>
      </c>
      <c r="BM204" s="2"/>
      <c r="BN204" s="4" t="s">
        <v>65</v>
      </c>
      <c r="BO204" s="2"/>
      <c r="BP204" s="4" t="s">
        <v>65</v>
      </c>
      <c r="BQ204" s="2"/>
      <c r="BR204" s="4" t="s">
        <v>65</v>
      </c>
      <c r="BS204" s="2"/>
      <c r="BT204" s="4" t="s">
        <v>65</v>
      </c>
      <c r="BU204" s="2"/>
      <c r="BV204" s="4" t="s">
        <v>65</v>
      </c>
      <c r="BW204" s="2"/>
      <c r="BX204" s="4" t="s">
        <v>65</v>
      </c>
      <c r="BY204" s="2"/>
      <c r="BZ204" s="2" t="s">
        <v>235</v>
      </c>
      <c r="CA204" s="2"/>
      <c r="CB204" s="2" t="s">
        <v>235</v>
      </c>
      <c r="CC204" s="2"/>
      <c r="CD204" s="2" t="s">
        <v>235</v>
      </c>
      <c r="CF204" s="2" t="s">
        <v>235</v>
      </c>
      <c r="CH204" s="2" t="s">
        <v>235</v>
      </c>
      <c r="CJ204" s="2" t="s">
        <v>235</v>
      </c>
      <c r="CL204" s="4" t="s">
        <v>66</v>
      </c>
      <c r="CN204" s="4" t="s">
        <v>66</v>
      </c>
      <c r="CP204" s="4" t="s">
        <v>66</v>
      </c>
      <c r="CR204" s="4" t="s">
        <v>66</v>
      </c>
      <c r="CT204" s="4" t="s">
        <v>66</v>
      </c>
      <c r="CV204" s="4" t="s">
        <v>66</v>
      </c>
      <c r="CX204" s="4" t="s">
        <v>66</v>
      </c>
    </row>
    <row r="205" spans="2:113" ht="12.75">
      <c r="B205" s="30" t="s">
        <v>246</v>
      </c>
      <c r="C205" s="30"/>
      <c r="E205" s="2"/>
      <c r="F205" s="32"/>
      <c r="G205" s="2"/>
      <c r="H205" s="32"/>
      <c r="I205" s="2"/>
      <c r="J205" s="32"/>
      <c r="K205" s="2"/>
      <c r="L205" s="32"/>
      <c r="M205" s="2"/>
      <c r="N205" s="32"/>
      <c r="O205" s="2"/>
      <c r="P205" s="3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 t="s">
        <v>118</v>
      </c>
      <c r="AE205" s="2"/>
      <c r="AF205" s="2" t="s">
        <v>118</v>
      </c>
      <c r="AG205" s="2"/>
      <c r="AH205" s="2" t="s">
        <v>118</v>
      </c>
      <c r="AI205" s="2"/>
      <c r="AJ205" s="2" t="s">
        <v>118</v>
      </c>
      <c r="AK205" s="2"/>
      <c r="AL205" s="2" t="s">
        <v>118</v>
      </c>
      <c r="AM205" s="2"/>
      <c r="AN205" s="2" t="s">
        <v>118</v>
      </c>
      <c r="AO205" s="2"/>
      <c r="AP205" s="32"/>
      <c r="AQ205" s="2"/>
      <c r="AR205" s="32"/>
      <c r="AS205" s="2"/>
      <c r="AT205" s="32"/>
      <c r="AU205" s="2"/>
      <c r="AV205" s="32"/>
      <c r="AW205" s="2"/>
      <c r="AX205" s="32"/>
      <c r="AY205" s="2"/>
      <c r="AZ205" s="32"/>
      <c r="BA205" s="2"/>
      <c r="BB205" s="32" t="s">
        <v>117</v>
      </c>
      <c r="BC205" s="2"/>
      <c r="BD205" s="32" t="s">
        <v>117</v>
      </c>
      <c r="BE205" s="2"/>
      <c r="BF205" s="32" t="s">
        <v>117</v>
      </c>
      <c r="BG205" s="2"/>
      <c r="BH205" s="32" t="s">
        <v>117</v>
      </c>
      <c r="BI205" s="2"/>
      <c r="BJ205" s="32" t="s">
        <v>117</v>
      </c>
      <c r="BK205" s="2"/>
      <c r="BL205" s="32" t="s">
        <v>117</v>
      </c>
      <c r="BM205" s="2"/>
      <c r="BN205" s="4" t="s">
        <v>65</v>
      </c>
      <c r="BO205" s="2"/>
      <c r="BP205" s="4" t="s">
        <v>65</v>
      </c>
      <c r="BQ205" s="2"/>
      <c r="BR205" s="4" t="s">
        <v>65</v>
      </c>
      <c r="BS205" s="2"/>
      <c r="BT205" s="4" t="s">
        <v>65</v>
      </c>
      <c r="BU205" s="2"/>
      <c r="BV205" s="4" t="s">
        <v>65</v>
      </c>
      <c r="BW205" s="2"/>
      <c r="BX205" s="4" t="s">
        <v>65</v>
      </c>
      <c r="BY205" s="2"/>
      <c r="BZ205" s="2"/>
      <c r="CA205" s="2"/>
      <c r="CB205" s="2"/>
      <c r="CC205" s="2"/>
      <c r="CD205" s="2"/>
      <c r="CF205" s="2"/>
      <c r="CH205" s="2"/>
      <c r="CJ205" s="2"/>
      <c r="CL205" s="24" t="s">
        <v>66</v>
      </c>
      <c r="CN205" s="4" t="s">
        <v>66</v>
      </c>
      <c r="CP205" s="4" t="s">
        <v>66</v>
      </c>
      <c r="CR205" s="4" t="s">
        <v>66</v>
      </c>
      <c r="CT205" s="4" t="s">
        <v>66</v>
      </c>
      <c r="CV205" s="4" t="s">
        <v>66</v>
      </c>
      <c r="CX205" s="4" t="s">
        <v>66</v>
      </c>
      <c r="DE205" s="4" t="s">
        <v>247</v>
      </c>
      <c r="DG205" s="4" t="s">
        <v>247</v>
      </c>
      <c r="DI205" s="4" t="s">
        <v>247</v>
      </c>
    </row>
    <row r="206" spans="2:102" ht="12.75">
      <c r="B206" s="30" t="s">
        <v>232</v>
      </c>
      <c r="C206" s="30"/>
      <c r="F206" s="4" t="s">
        <v>62</v>
      </c>
      <c r="H206" s="4" t="s">
        <v>62</v>
      </c>
      <c r="J206" s="4" t="s">
        <v>62</v>
      </c>
      <c r="L206" s="4" t="s">
        <v>62</v>
      </c>
      <c r="N206" s="4" t="s">
        <v>62</v>
      </c>
      <c r="P206" s="4" t="s">
        <v>62</v>
      </c>
      <c r="R206" s="4" t="s">
        <v>63</v>
      </c>
      <c r="T206" s="4" t="s">
        <v>63</v>
      </c>
      <c r="V206" s="4" t="s">
        <v>63</v>
      </c>
      <c r="X206" s="4" t="s">
        <v>63</v>
      </c>
      <c r="Z206" s="4" t="s">
        <v>63</v>
      </c>
      <c r="AB206" s="4" t="s">
        <v>63</v>
      </c>
      <c r="AD206" s="4" t="s">
        <v>63</v>
      </c>
      <c r="AF206" s="4" t="s">
        <v>63</v>
      </c>
      <c r="AH206" s="4" t="s">
        <v>63</v>
      </c>
      <c r="AJ206" s="4" t="s">
        <v>63</v>
      </c>
      <c r="AL206" s="4" t="s">
        <v>63</v>
      </c>
      <c r="AN206" s="4" t="s">
        <v>63</v>
      </c>
      <c r="AP206" s="2" t="s">
        <v>235</v>
      </c>
      <c r="AQ206" s="2"/>
      <c r="AR206" s="2" t="s">
        <v>235</v>
      </c>
      <c r="AS206" s="2"/>
      <c r="AT206" s="2" t="s">
        <v>235</v>
      </c>
      <c r="AU206" s="2"/>
      <c r="AV206" s="2" t="s">
        <v>235</v>
      </c>
      <c r="AW206" s="2"/>
      <c r="AX206" s="2" t="s">
        <v>235</v>
      </c>
      <c r="AY206" s="2"/>
      <c r="AZ206" s="2" t="s">
        <v>235</v>
      </c>
      <c r="BB206" s="4" t="s">
        <v>64</v>
      </c>
      <c r="BD206" s="4" t="s">
        <v>64</v>
      </c>
      <c r="BF206" s="4" t="s">
        <v>64</v>
      </c>
      <c r="BH206" s="4" t="s">
        <v>64</v>
      </c>
      <c r="BJ206" s="4" t="s">
        <v>64</v>
      </c>
      <c r="BL206" s="4" t="s">
        <v>64</v>
      </c>
      <c r="BN206" s="4" t="s">
        <v>65</v>
      </c>
      <c r="BP206" s="4" t="s">
        <v>65</v>
      </c>
      <c r="BR206" s="4" t="s">
        <v>65</v>
      </c>
      <c r="BT206" s="4" t="s">
        <v>65</v>
      </c>
      <c r="BV206" s="4" t="s">
        <v>65</v>
      </c>
      <c r="BX206" s="4" t="s">
        <v>65</v>
      </c>
      <c r="BZ206" s="4" t="s">
        <v>120</v>
      </c>
      <c r="CB206" s="4" t="s">
        <v>120</v>
      </c>
      <c r="CD206" s="4" t="s">
        <v>120</v>
      </c>
      <c r="CF206" s="4" t="s">
        <v>120</v>
      </c>
      <c r="CH206" s="4" t="s">
        <v>120</v>
      </c>
      <c r="CJ206" s="4" t="s">
        <v>120</v>
      </c>
      <c r="CL206" s="4" t="s">
        <v>66</v>
      </c>
      <c r="CN206" s="4" t="s">
        <v>66</v>
      </c>
      <c r="CP206" s="4" t="s">
        <v>66</v>
      </c>
      <c r="CR206" s="4" t="s">
        <v>66</v>
      </c>
      <c r="CT206" s="4" t="s">
        <v>66</v>
      </c>
      <c r="CV206" s="4" t="s">
        <v>66</v>
      </c>
      <c r="CX206" s="4" t="s">
        <v>66</v>
      </c>
    </row>
    <row r="207" spans="1:82" ht="12.75">
      <c r="A207" s="4" t="s">
        <v>27</v>
      </c>
      <c r="B207" s="4" t="s">
        <v>233</v>
      </c>
      <c r="D207" s="4" t="s">
        <v>69</v>
      </c>
      <c r="E207" s="2"/>
      <c r="F207" s="36">
        <v>160274.42</v>
      </c>
      <c r="G207" s="34"/>
      <c r="H207" s="36">
        <v>160274.42</v>
      </c>
      <c r="I207" s="34"/>
      <c r="J207" s="36">
        <v>160274.42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>
        <v>36.905004</v>
      </c>
      <c r="AE207" s="2"/>
      <c r="AF207" s="2">
        <v>37.059326</v>
      </c>
      <c r="AG207" s="2"/>
      <c r="AH207" s="2">
        <v>36.287716</v>
      </c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8">
        <v>16975.42</v>
      </c>
      <c r="BC207" s="8"/>
      <c r="BD207" s="8">
        <v>16931.328</v>
      </c>
      <c r="BE207" s="8"/>
      <c r="BF207" s="8">
        <v>16865.19</v>
      </c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5">
        <v>6415.386</v>
      </c>
      <c r="CA207" s="8"/>
      <c r="CB207" s="25">
        <v>7297.226</v>
      </c>
      <c r="CC207" s="8"/>
      <c r="CD207" s="25">
        <v>7848.376</v>
      </c>
    </row>
    <row r="208" spans="1:82" ht="12.75">
      <c r="A208" s="4" t="s">
        <v>27</v>
      </c>
      <c r="B208" s="4" t="s">
        <v>234</v>
      </c>
      <c r="D208" s="4" t="s">
        <v>52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>
        <v>0</v>
      </c>
      <c r="AE208" s="2"/>
      <c r="AF208" s="2">
        <v>0</v>
      </c>
      <c r="AG208" s="2"/>
      <c r="AH208" s="2">
        <v>0</v>
      </c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8">
        <v>11781.740893598</v>
      </c>
      <c r="BC208" s="8"/>
      <c r="BD208" s="8">
        <v>11812.42251050833</v>
      </c>
      <c r="BE208" s="8"/>
      <c r="BF208" s="8">
        <v>11918.03946472</v>
      </c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</row>
    <row r="209" spans="1:82" ht="12.75">
      <c r="A209" s="4" t="s">
        <v>27</v>
      </c>
      <c r="B209" s="4" t="s">
        <v>51</v>
      </c>
      <c r="D209" s="4" t="s">
        <v>69</v>
      </c>
      <c r="E209" s="2"/>
      <c r="F209" s="15">
        <v>27.33704</v>
      </c>
      <c r="G209" s="15"/>
      <c r="H209" s="15">
        <v>25.13244</v>
      </c>
      <c r="I209" s="15"/>
      <c r="J209" s="15">
        <v>13.2276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>
        <v>815.702</v>
      </c>
      <c r="BC209" s="2"/>
      <c r="BD209" s="2">
        <v>749.564</v>
      </c>
      <c r="BE209" s="2"/>
      <c r="BF209" s="2">
        <v>683.426</v>
      </c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>
        <v>1.1023</v>
      </c>
      <c r="CA209" s="2"/>
      <c r="CB209" s="2">
        <v>1.058208</v>
      </c>
      <c r="CC209" s="2"/>
      <c r="CD209" s="2">
        <v>2.42506</v>
      </c>
    </row>
    <row r="210" spans="1:82" ht="12.75">
      <c r="A210" s="4" t="s">
        <v>27</v>
      </c>
      <c r="B210" s="4" t="s">
        <v>9</v>
      </c>
      <c r="D210" s="4" t="s">
        <v>69</v>
      </c>
      <c r="E210" s="2"/>
      <c r="F210" s="10">
        <v>0.1477082</v>
      </c>
      <c r="G210" s="10"/>
      <c r="H210" s="10">
        <v>0.1499128</v>
      </c>
      <c r="I210" s="10"/>
      <c r="J210" s="10">
        <v>0.0264552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35">
        <v>0.2006186</v>
      </c>
      <c r="BC210" s="35"/>
      <c r="BD210" s="35">
        <v>0.1940048</v>
      </c>
      <c r="BE210" s="35"/>
      <c r="BF210" s="35">
        <v>0.242506</v>
      </c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1">
        <v>0.0639334</v>
      </c>
      <c r="CA210" s="1"/>
      <c r="CB210" s="1">
        <v>0.0573196</v>
      </c>
      <c r="CC210" s="1"/>
      <c r="CD210" s="1">
        <v>0.055115</v>
      </c>
    </row>
    <row r="211" spans="1:82" ht="12.75">
      <c r="A211" s="4" t="s">
        <v>27</v>
      </c>
      <c r="B211" s="4" t="s">
        <v>12</v>
      </c>
      <c r="D211" s="4" t="s">
        <v>69</v>
      </c>
      <c r="E211" s="2"/>
      <c r="F211" s="10">
        <v>0.617288</v>
      </c>
      <c r="G211" s="10"/>
      <c r="H211" s="10">
        <v>0.683426</v>
      </c>
      <c r="I211" s="10"/>
      <c r="J211" s="10">
        <v>0.595242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>
        <v>7.618</v>
      </c>
      <c r="AE211" s="2"/>
      <c r="AF211" s="2">
        <v>7.535</v>
      </c>
      <c r="AG211" s="2"/>
      <c r="AH211" s="2">
        <v>7.833</v>
      </c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>
        <v>0.418874</v>
      </c>
      <c r="BC211" s="2"/>
      <c r="BD211" s="2">
        <v>0.308644</v>
      </c>
      <c r="BE211" s="2"/>
      <c r="BF211" s="2">
        <v>0.374782</v>
      </c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1">
        <v>0.1410944</v>
      </c>
      <c r="CA211" s="1"/>
      <c r="CB211" s="1">
        <v>0.1719588</v>
      </c>
      <c r="CC211" s="1"/>
      <c r="CD211" s="1">
        <v>0.2138462</v>
      </c>
    </row>
    <row r="212" spans="1:82" ht="12.75">
      <c r="A212" s="4" t="s">
        <v>27</v>
      </c>
      <c r="B212" s="4" t="s">
        <v>13</v>
      </c>
      <c r="D212" s="4" t="s">
        <v>69</v>
      </c>
      <c r="E212" s="2"/>
      <c r="F212" s="10">
        <v>13.2276</v>
      </c>
      <c r="G212" s="10"/>
      <c r="H212" s="10">
        <v>12.1253</v>
      </c>
      <c r="I212" s="10"/>
      <c r="J212" s="10">
        <v>10.58208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>
        <v>57.3196</v>
      </c>
      <c r="BC212" s="2"/>
      <c r="BD212" s="2">
        <v>52.9104</v>
      </c>
      <c r="BE212" s="2"/>
      <c r="BF212" s="2">
        <v>55.115</v>
      </c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>
        <v>3.3069</v>
      </c>
      <c r="CA212" s="2"/>
      <c r="CB212" s="2">
        <v>3.74782</v>
      </c>
      <c r="CC212" s="2"/>
      <c r="CD212" s="2">
        <v>3.96828</v>
      </c>
    </row>
    <row r="213" spans="1:82" ht="12.75">
      <c r="A213" s="4" t="s">
        <v>27</v>
      </c>
      <c r="B213" s="4" t="s">
        <v>14</v>
      </c>
      <c r="D213" s="4" t="s">
        <v>69</v>
      </c>
      <c r="E213" s="2"/>
      <c r="F213" s="10">
        <v>0.0639334</v>
      </c>
      <c r="G213" s="10"/>
      <c r="H213" s="10">
        <v>0.0639334</v>
      </c>
      <c r="I213" s="10"/>
      <c r="J213" s="10">
        <v>0.0617288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>
        <v>0.626</v>
      </c>
      <c r="AE213" s="2"/>
      <c r="AF213" s="2">
        <v>0.621</v>
      </c>
      <c r="AG213" s="2"/>
      <c r="AH213" s="2">
        <v>0.547</v>
      </c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1">
        <v>0.02050278</v>
      </c>
      <c r="BC213" s="1"/>
      <c r="BD213" s="1">
        <v>0.01895956</v>
      </c>
      <c r="BE213" s="1"/>
      <c r="BF213" s="1">
        <v>0.02006186</v>
      </c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35">
        <v>0.00859794</v>
      </c>
      <c r="CA213" s="35"/>
      <c r="CB213" s="35">
        <v>0.011023</v>
      </c>
      <c r="CC213" s="35"/>
      <c r="CD213" s="35">
        <v>0.01366852</v>
      </c>
    </row>
    <row r="214" spans="1:82" ht="12.75">
      <c r="A214" s="4" t="s">
        <v>27</v>
      </c>
      <c r="B214" s="4" t="s">
        <v>15</v>
      </c>
      <c r="D214" s="4" t="s">
        <v>69</v>
      </c>
      <c r="E214" s="2"/>
      <c r="F214" s="10">
        <v>0.00595242</v>
      </c>
      <c r="G214" s="10"/>
      <c r="H214" s="10">
        <v>0.01410944</v>
      </c>
      <c r="I214" s="10"/>
      <c r="J214" s="10">
        <v>0.01344806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>
        <v>2.153</v>
      </c>
      <c r="AE214" s="2"/>
      <c r="AF214" s="2">
        <v>1.815</v>
      </c>
      <c r="AG214" s="2"/>
      <c r="AH214" s="2">
        <v>1.846</v>
      </c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10">
        <v>0.573196</v>
      </c>
      <c r="BC214" s="10"/>
      <c r="BD214" s="10">
        <v>0.529104</v>
      </c>
      <c r="BE214" s="10"/>
      <c r="BF214" s="10">
        <v>0.573196</v>
      </c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35">
        <v>0.001058208</v>
      </c>
      <c r="CA214" s="35"/>
      <c r="CB214" s="35">
        <v>0.001851864</v>
      </c>
      <c r="CC214" s="35"/>
      <c r="CD214" s="35">
        <v>0.001344806</v>
      </c>
    </row>
    <row r="215" spans="1:82" ht="12.75">
      <c r="A215" s="4" t="s">
        <v>27</v>
      </c>
      <c r="B215" s="4" t="s">
        <v>16</v>
      </c>
      <c r="D215" s="4" t="s">
        <v>69</v>
      </c>
      <c r="E215" s="2"/>
      <c r="F215" s="15">
        <v>3.3069</v>
      </c>
      <c r="G215" s="15"/>
      <c r="H215" s="15">
        <v>2.42506</v>
      </c>
      <c r="I215" s="15"/>
      <c r="J215" s="15">
        <v>2.160508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>
        <v>8.532</v>
      </c>
      <c r="AE215" s="2"/>
      <c r="AF215" s="2">
        <v>8.081</v>
      </c>
      <c r="AG215" s="2"/>
      <c r="AH215" s="2">
        <v>7.509</v>
      </c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10">
        <v>5.07058</v>
      </c>
      <c r="BC215" s="10"/>
      <c r="BD215" s="10">
        <v>4.62966</v>
      </c>
      <c r="BE215" s="10"/>
      <c r="BF215" s="10">
        <v>5.07058</v>
      </c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>
        <v>0.639334</v>
      </c>
      <c r="CA215" s="2"/>
      <c r="CB215" s="2">
        <v>0.749564</v>
      </c>
      <c r="CC215" s="2"/>
      <c r="CD215" s="2">
        <v>0.793656</v>
      </c>
    </row>
    <row r="216" spans="1:82" ht="12.75">
      <c r="A216" s="4" t="s">
        <v>27</v>
      </c>
      <c r="B216" s="4" t="s">
        <v>19</v>
      </c>
      <c r="D216" s="4" t="s">
        <v>69</v>
      </c>
      <c r="E216" s="2"/>
      <c r="F216" s="2">
        <v>0.44092</v>
      </c>
      <c r="G216" s="2"/>
      <c r="H216" s="2">
        <v>0.573196</v>
      </c>
      <c r="I216" s="2"/>
      <c r="J216" s="2">
        <v>0.485012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>
        <v>17.631</v>
      </c>
      <c r="AE216" s="2"/>
      <c r="AF216" s="2">
        <v>18.643</v>
      </c>
      <c r="AG216" s="2"/>
      <c r="AH216" s="2">
        <v>18.29</v>
      </c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10">
        <v>4.62966</v>
      </c>
      <c r="BC216" s="10"/>
      <c r="BD216" s="10">
        <v>4.4092</v>
      </c>
      <c r="BE216" s="10"/>
      <c r="BF216" s="10">
        <v>4.62966</v>
      </c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10">
        <v>1.036162</v>
      </c>
      <c r="CA216" s="10"/>
      <c r="CB216" s="10">
        <v>1.366852</v>
      </c>
      <c r="CC216" s="10"/>
      <c r="CD216" s="10">
        <v>1.014116</v>
      </c>
    </row>
    <row r="217" spans="1:82" ht="12.75">
      <c r="A217" s="4" t="s">
        <v>27</v>
      </c>
      <c r="B217" s="4" t="s">
        <v>20</v>
      </c>
      <c r="D217" s="4" t="s">
        <v>69</v>
      </c>
      <c r="E217" s="2"/>
      <c r="F217" s="35">
        <v>0.000418874</v>
      </c>
      <c r="G217" s="35"/>
      <c r="H217" s="35">
        <v>0.000352736</v>
      </c>
      <c r="I217" s="35"/>
      <c r="J217" s="35">
        <v>0.000242506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10">
        <v>0.022046</v>
      </c>
      <c r="BC217" s="10"/>
      <c r="BD217" s="10">
        <v>0.0242506</v>
      </c>
      <c r="BE217" s="10"/>
      <c r="BF217" s="10">
        <v>0.02160508</v>
      </c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37">
        <v>1.080254E-05</v>
      </c>
      <c r="CA217" s="37"/>
      <c r="CB217" s="37">
        <v>1.256622E-05</v>
      </c>
      <c r="CC217" s="37"/>
      <c r="CD217" s="37">
        <v>5.73196E-06</v>
      </c>
    </row>
    <row r="218" spans="1:82" ht="12.75">
      <c r="A218" s="4" t="s">
        <v>27</v>
      </c>
      <c r="B218" s="4" t="s">
        <v>23</v>
      </c>
      <c r="D218" s="4" t="s">
        <v>69</v>
      </c>
      <c r="E218" s="2"/>
      <c r="F218" s="35">
        <v>0.0595242</v>
      </c>
      <c r="G218" s="35"/>
      <c r="H218" s="35">
        <v>0.0617288</v>
      </c>
      <c r="I218" s="35"/>
      <c r="J218" s="35">
        <v>0.001940048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1">
        <v>0.0595242</v>
      </c>
      <c r="BC218" s="1"/>
      <c r="BD218" s="1">
        <v>0.0573196</v>
      </c>
      <c r="BE218" s="1"/>
      <c r="BF218" s="1">
        <v>0.0617288</v>
      </c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37">
        <v>0.00396828</v>
      </c>
      <c r="CA218" s="37"/>
      <c r="CB218" s="37">
        <v>0.00595242</v>
      </c>
      <c r="CC218" s="37"/>
      <c r="CD218" s="37">
        <v>0.00507058</v>
      </c>
    </row>
    <row r="219" spans="1:82" ht="12.75">
      <c r="A219" s="4" t="s">
        <v>27</v>
      </c>
      <c r="B219" s="4" t="s">
        <v>24</v>
      </c>
      <c r="D219" s="4" t="s">
        <v>69</v>
      </c>
      <c r="E219" s="2"/>
      <c r="F219" s="2">
        <v>0.22046</v>
      </c>
      <c r="G219" s="2"/>
      <c r="H219" s="2">
        <v>0.1455036</v>
      </c>
      <c r="I219" s="2"/>
      <c r="J219" s="2">
        <v>0.2116416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1">
        <v>0.0727518</v>
      </c>
      <c r="BC219" s="1"/>
      <c r="BD219" s="1">
        <v>0.0683426</v>
      </c>
      <c r="BE219" s="1"/>
      <c r="BF219" s="1">
        <v>0.0749564</v>
      </c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1">
        <v>0.0749564</v>
      </c>
      <c r="CA219" s="1"/>
      <c r="CB219" s="1">
        <v>0.0617288</v>
      </c>
      <c r="CC219" s="1"/>
      <c r="CD219" s="1">
        <v>0.0617288</v>
      </c>
    </row>
    <row r="220" spans="5:82" ht="12.7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</row>
    <row r="221" spans="2:82" ht="12.75">
      <c r="B221" s="30" t="s">
        <v>244</v>
      </c>
      <c r="C221" s="30"/>
      <c r="D221" s="30" t="s">
        <v>190</v>
      </c>
      <c r="E221" s="2"/>
      <c r="F221" s="2">
        <f>'emiss 2'!$G$237</f>
        <v>58184</v>
      </c>
      <c r="G221" s="2"/>
      <c r="H221" s="2">
        <f>'emiss 2'!$I$237</f>
        <v>54495</v>
      </c>
      <c r="I221" s="2"/>
      <c r="J221" s="2">
        <f>'emiss 2'!$K$237</f>
        <v>54525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>
        <f>'emiss 2'!$G$237</f>
        <v>58184</v>
      </c>
      <c r="AE221" s="2"/>
      <c r="AF221" s="2">
        <f>'emiss 2'!$I$237</f>
        <v>54495</v>
      </c>
      <c r="AG221" s="2"/>
      <c r="AH221" s="2">
        <f>'emiss 2'!$K$237</f>
        <v>54525</v>
      </c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>
        <f>'emiss 2'!$G$237</f>
        <v>58184</v>
      </c>
      <c r="BC221" s="2"/>
      <c r="BD221" s="2">
        <f>'emiss 2'!$I$237</f>
        <v>54495</v>
      </c>
      <c r="BE221" s="2"/>
      <c r="BF221" s="2">
        <f>'emiss 2'!$K$237</f>
        <v>54525</v>
      </c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>
        <f>'emiss 2'!$G$237</f>
        <v>58184</v>
      </c>
      <c r="CA221" s="2"/>
      <c r="CB221" s="2">
        <f>'emiss 2'!$I$237</f>
        <v>54495</v>
      </c>
      <c r="CC221" s="2"/>
      <c r="CD221" s="2">
        <f>'emiss 2'!$K$237</f>
        <v>54525</v>
      </c>
    </row>
    <row r="222" spans="2:82" ht="12.75">
      <c r="B222" s="30" t="s">
        <v>37</v>
      </c>
      <c r="C222" s="30"/>
      <c r="D222" s="30" t="s">
        <v>192</v>
      </c>
      <c r="E222" s="2"/>
      <c r="F222" s="2">
        <f>'emiss 2'!$G$238</f>
        <v>7.6</v>
      </c>
      <c r="G222" s="2"/>
      <c r="H222" s="2">
        <f>'emiss 2'!$I$238</f>
        <v>7.5</v>
      </c>
      <c r="I222" s="2"/>
      <c r="J222" s="2">
        <f>'emiss 2'!$K$238</f>
        <v>7.4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>
        <f>'emiss 2'!$G$238</f>
        <v>7.6</v>
      </c>
      <c r="AE222" s="2"/>
      <c r="AF222" s="2">
        <f>'emiss 2'!$I$238</f>
        <v>7.5</v>
      </c>
      <c r="AG222" s="2"/>
      <c r="AH222" s="2">
        <f>'emiss 2'!$K$238</f>
        <v>7.4</v>
      </c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>
        <f>'emiss 2'!$G$238</f>
        <v>7.6</v>
      </c>
      <c r="BC222" s="2"/>
      <c r="BD222" s="2">
        <f>'emiss 2'!$I$238</f>
        <v>7.5</v>
      </c>
      <c r="BE222" s="2"/>
      <c r="BF222" s="2">
        <f>'emiss 2'!$K$238</f>
        <v>7.4</v>
      </c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>
        <f>'emiss 2'!$G$238</f>
        <v>7.6</v>
      </c>
      <c r="CA222" s="2"/>
      <c r="CB222" s="2">
        <f>'emiss 2'!$I$238</f>
        <v>7.5</v>
      </c>
      <c r="CC222" s="2"/>
      <c r="CD222" s="2">
        <f>'emiss 2'!$K$238</f>
        <v>7.4</v>
      </c>
    </row>
    <row r="223" spans="2:82" ht="12.75">
      <c r="B223" s="30"/>
      <c r="C223" s="30"/>
      <c r="D223" s="3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</row>
    <row r="224" spans="2:102" ht="12.75">
      <c r="B224" s="30" t="s">
        <v>252</v>
      </c>
      <c r="C224" s="30"/>
      <c r="D224" s="30" t="s">
        <v>253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>
        <f>BB207*BB208/1000000</f>
        <v>200.00000000000134</v>
      </c>
      <c r="BC224" s="2"/>
      <c r="BD224" s="2">
        <f>BD207*BD208/1000000</f>
        <v>200</v>
      </c>
      <c r="BE224" s="2"/>
      <c r="BF224" s="2">
        <f>BF207*BF208/1000000</f>
        <v>201.00000000000108</v>
      </c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>
        <f>BZ207*BZ208/1000000</f>
        <v>0</v>
      </c>
      <c r="CA224" s="2"/>
      <c r="CB224" s="2">
        <f>CB207*CB208/1000000</f>
        <v>0</v>
      </c>
      <c r="CC224" s="2"/>
      <c r="CD224" s="2">
        <f>CD207*CD208/1000000</f>
        <v>0</v>
      </c>
      <c r="CL224" s="8">
        <f>BZ224+BN224+BB224+AD224+R224+F224</f>
        <v>200.00000000000134</v>
      </c>
      <c r="CN224" s="8">
        <f>CB224+BP224+BD224+AF224+T224+H224</f>
        <v>200</v>
      </c>
      <c r="CP224" s="8">
        <f>CD224+BR224+BF224+AH224+V224+J224</f>
        <v>201.00000000000108</v>
      </c>
      <c r="CR224" s="8"/>
      <c r="CT224" s="8"/>
      <c r="CV224" s="8"/>
      <c r="CX224" s="8">
        <f>AVERAGE(CL224,CN224,CP224)</f>
        <v>200.33333333333417</v>
      </c>
    </row>
    <row r="225" spans="2:102" ht="12.75">
      <c r="B225" s="30" t="s">
        <v>254</v>
      </c>
      <c r="C225" s="30"/>
      <c r="D225" s="30" t="s">
        <v>253</v>
      </c>
      <c r="E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L225" s="8">
        <f>F221/9000*60*(21-F222)/21</f>
        <v>247.51288888888888</v>
      </c>
      <c r="CN225" s="8">
        <f>H221/9000*60*(21-H222)/21</f>
        <v>233.54999999999995</v>
      </c>
      <c r="CP225" s="8">
        <f>J221/9000*60*(21-J222)/21</f>
        <v>235.4095238095238</v>
      </c>
      <c r="CX225" s="8">
        <f>AVERAGE(CL225,CN225,CP225)</f>
        <v>238.82413756613755</v>
      </c>
    </row>
    <row r="226" spans="5:82" ht="12.7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</row>
    <row r="227" spans="2:82" ht="12.75">
      <c r="B227" s="31" t="s">
        <v>245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</row>
    <row r="228" spans="2:113" ht="12.75">
      <c r="B228" s="4" t="s">
        <v>51</v>
      </c>
      <c r="D228" s="4" t="s">
        <v>10</v>
      </c>
      <c r="E228" s="2"/>
      <c r="F228" s="8">
        <f>F209*454*1000000/F$221*14/(21-F$222)/0.0283/60</f>
        <v>131246.97966311718</v>
      </c>
      <c r="G228" s="2"/>
      <c r="H228" s="8">
        <f>H209*454*1000000/H$221*14/(21-H$222)/0.0283/60</f>
        <v>127876.40889071791</v>
      </c>
      <c r="I228" s="2"/>
      <c r="J228" s="8">
        <f aca="true" t="shared" si="77" ref="J228:J238">J209*454*1000000/J$221*14/(21-J$222)/0.0283/60</f>
        <v>66771.73690012506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8">
        <f aca="true" t="shared" si="78" ref="AD228:AD238">AD209*454*1000000/AD$221*14/(21-AD$222)/0.0283/60</f>
        <v>0</v>
      </c>
      <c r="AE228" s="2"/>
      <c r="AF228" s="8">
        <f aca="true" t="shared" si="79" ref="AF228:AF238">AF209*454*1000000/AF$221*14/(21-AF$222)/0.0283/60</f>
        <v>0</v>
      </c>
      <c r="AG228" s="2"/>
      <c r="AH228" s="8">
        <f aca="true" t="shared" si="80" ref="AH228:AH238">AH209*454*1000000/AH$221*14/(21-AH$222)/0.0283/60</f>
        <v>0</v>
      </c>
      <c r="AI228" s="2"/>
      <c r="AJ228" s="2"/>
      <c r="AK228" s="2"/>
      <c r="AL228" s="2"/>
      <c r="AM228" s="2"/>
      <c r="AN228" s="2"/>
      <c r="AO228" s="2"/>
      <c r="AP228" s="8">
        <f>SUM(BZ228,F228)</f>
        <v>136539.19658501705</v>
      </c>
      <c r="AQ228" s="2"/>
      <c r="AR228" s="8">
        <f>SUM(CB228,H228)</f>
        <v>133260.67873874813</v>
      </c>
      <c r="AS228" s="2"/>
      <c r="AT228" s="8">
        <f>SUM(CD228,J228)</f>
        <v>79013.22199848133</v>
      </c>
      <c r="AU228" s="2"/>
      <c r="AV228" s="2"/>
      <c r="AW228" s="2"/>
      <c r="AX228" s="2"/>
      <c r="AY228" s="2"/>
      <c r="AZ228" s="2"/>
      <c r="BA228" s="2"/>
      <c r="BB228" s="8">
        <f aca="true" t="shared" si="81" ref="BB228:BB238">BB209*454*1000000/BB$221*14/(21-BB$222)/0.0283/60</f>
        <v>3916240.522205916</v>
      </c>
      <c r="BC228" s="2"/>
      <c r="BD228" s="8">
        <f aca="true" t="shared" si="82" ref="BD228:BD238">BD209*454*1000000/BD$221*14/(21-BD$222)/0.0283/60</f>
        <v>3813857.809021412</v>
      </c>
      <c r="BE228" s="2"/>
      <c r="BF228" s="8">
        <f aca="true" t="shared" si="83" ref="BF228:BF238">BF209*454*1000000/BF$221*14/(21-BF$222)/0.0283/60</f>
        <v>3449873.073173128</v>
      </c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8">
        <f aca="true" t="shared" si="84" ref="BZ228:BZ238">BZ209*454*1000000/BZ$221*14/(21-BZ$222)/0.0283/60</f>
        <v>5292.216921899886</v>
      </c>
      <c r="CA228" s="2"/>
      <c r="CB228" s="8">
        <f aca="true" t="shared" si="85" ref="CB228:CB238">CB209*454*1000000/CB$221*14/(21-CB$222)/0.0283/60</f>
        <v>5384.26984803023</v>
      </c>
      <c r="CC228" s="2"/>
      <c r="CD228" s="8">
        <f aca="true" t="shared" si="86" ref="CD228:CD238">CD209*454*1000000/CD$221*14/(21-CD$222)/0.0283/60</f>
        <v>12241.485098356263</v>
      </c>
      <c r="CL228" s="8">
        <f aca="true" t="shared" si="87" ref="CL228:CL240">BZ228+BN228+BB228+AD228+R228+F228</f>
        <v>4052779.718790933</v>
      </c>
      <c r="CN228" s="8">
        <f aca="true" t="shared" si="88" ref="CN228:CN240">CB228+BP228+BD228+AF228+T228+H228</f>
        <v>3947118.48776016</v>
      </c>
      <c r="CP228" s="8">
        <f aca="true" t="shared" si="89" ref="CP228:CP240">CD228+BR228+BF228+AH228+V228+J228</f>
        <v>3528886.2951716096</v>
      </c>
      <c r="CR228" s="8"/>
      <c r="CX228" s="8">
        <f aca="true" t="shared" si="90" ref="CX228:CX240">AVERAGE(CL228,CN228,CP228)</f>
        <v>3842928.167240901</v>
      </c>
      <c r="CZ228" s="8">
        <f>AVERAGE(BB228,BD228,BF228,BH228,BJ228,BL228)</f>
        <v>3726657.1348001524</v>
      </c>
      <c r="DA228" s="8">
        <f>AVERAGE(AD228,AF228,AH228,AJ228,AL228,AN228)</f>
        <v>0</v>
      </c>
      <c r="DB228" s="8">
        <f>AVERAGE(F228,H228,J228,L228,N228,P228)+AVERAGE(BZ228,CB228,CD228,CF228,CH228,CJ228)</f>
        <v>116271.03244074884</v>
      </c>
      <c r="DC228" s="8">
        <f>SUM(CZ228,DA228,DB228)</f>
        <v>3842928.1672409014</v>
      </c>
      <c r="DE228" s="8">
        <f aca="true" t="shared" si="91" ref="DE228:DE240">SUM(BZ228,AP228,F228)</f>
        <v>273078.3931700341</v>
      </c>
      <c r="DG228" s="8">
        <f aca="true" t="shared" si="92" ref="DG228:DG240">SUM(CB228,AR228,H228)</f>
        <v>266521.35747749626</v>
      </c>
      <c r="DI228" s="8">
        <f aca="true" t="shared" si="93" ref="DI228:DI240">SUM(CD228,AT228,J228)</f>
        <v>158026.44399696265</v>
      </c>
    </row>
    <row r="229" spans="2:113" ht="12.75">
      <c r="B229" s="4" t="s">
        <v>9</v>
      </c>
      <c r="D229" s="4" t="s">
        <v>10</v>
      </c>
      <c r="E229" s="2"/>
      <c r="F229" s="8">
        <f aca="true" t="shared" si="94" ref="F229:H238">F210*454*1000000/F$221*14/(21-F$222)/0.0283/60</f>
        <v>709.1570675345848</v>
      </c>
      <c r="G229" s="2"/>
      <c r="H229" s="8">
        <f t="shared" si="94"/>
        <v>762.7715618042823</v>
      </c>
      <c r="I229" s="2"/>
      <c r="J229" s="8">
        <f t="shared" si="77"/>
        <v>133.54347380025013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8">
        <f t="shared" si="78"/>
        <v>0</v>
      </c>
      <c r="AE229" s="2"/>
      <c r="AF229" s="8">
        <f t="shared" si="79"/>
        <v>0</v>
      </c>
      <c r="AG229" s="2"/>
      <c r="AH229" s="8">
        <f t="shared" si="80"/>
        <v>0</v>
      </c>
      <c r="AI229" s="2"/>
      <c r="AJ229" s="2"/>
      <c r="AK229" s="2"/>
      <c r="AL229" s="2"/>
      <c r="AM229" s="2"/>
      <c r="AN229" s="2"/>
      <c r="AO229" s="2"/>
      <c r="AP229" s="8">
        <f aca="true" t="shared" si="95" ref="AP229:AT240">SUM(BZ229,F229)</f>
        <v>1016.1056490047783</v>
      </c>
      <c r="AQ229" s="2"/>
      <c r="AR229" s="8">
        <f t="shared" si="95"/>
        <v>1054.4195119059198</v>
      </c>
      <c r="AS229" s="2"/>
      <c r="AT229" s="8">
        <f t="shared" si="95"/>
        <v>411.75904421743775</v>
      </c>
      <c r="AU229" s="2"/>
      <c r="AV229" s="2"/>
      <c r="AW229" s="2"/>
      <c r="AX229" s="2"/>
      <c r="AY229" s="2"/>
      <c r="AZ229" s="2"/>
      <c r="BA229" s="2"/>
      <c r="BB229" s="8">
        <f t="shared" si="81"/>
        <v>963.1834797857791</v>
      </c>
      <c r="BC229" s="2"/>
      <c r="BD229" s="8">
        <f t="shared" si="82"/>
        <v>987.1161388055419</v>
      </c>
      <c r="BE229" s="2"/>
      <c r="BF229" s="8">
        <f t="shared" si="83"/>
        <v>1224.1485098356259</v>
      </c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8">
        <f t="shared" si="84"/>
        <v>306.94858147019346</v>
      </c>
      <c r="CA229" s="2"/>
      <c r="CB229" s="8">
        <f t="shared" si="85"/>
        <v>291.6479501016374</v>
      </c>
      <c r="CC229" s="2"/>
      <c r="CD229" s="8">
        <f t="shared" si="86"/>
        <v>278.2155704171876</v>
      </c>
      <c r="CL229" s="8">
        <f t="shared" si="87"/>
        <v>1979.2891287905572</v>
      </c>
      <c r="CN229" s="8">
        <f t="shared" si="88"/>
        <v>2041.5356507114616</v>
      </c>
      <c r="CP229" s="8">
        <f t="shared" si="89"/>
        <v>1635.9075540530634</v>
      </c>
      <c r="CR229" s="8"/>
      <c r="CX229" s="8">
        <f t="shared" si="90"/>
        <v>1885.5774445183608</v>
      </c>
      <c r="DE229" s="8">
        <f t="shared" si="91"/>
        <v>2032.2112980095567</v>
      </c>
      <c r="DG229" s="8">
        <f t="shared" si="92"/>
        <v>2108.8390238118395</v>
      </c>
      <c r="DI229" s="8">
        <f t="shared" si="93"/>
        <v>823.5180884348755</v>
      </c>
    </row>
    <row r="230" spans="2:113" ht="12.75">
      <c r="B230" s="4" t="s">
        <v>12</v>
      </c>
      <c r="D230" s="4" t="s">
        <v>10</v>
      </c>
      <c r="E230" s="2"/>
      <c r="F230" s="8">
        <f t="shared" si="94"/>
        <v>2963.641476263935</v>
      </c>
      <c r="G230" s="2"/>
      <c r="H230" s="8">
        <f t="shared" si="94"/>
        <v>3477.340943519522</v>
      </c>
      <c r="I230" s="2"/>
      <c r="J230" s="8">
        <f t="shared" si="77"/>
        <v>3004.7281605056273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8">
        <f t="shared" si="78"/>
        <v>36574.53371226829</v>
      </c>
      <c r="AE230" s="2"/>
      <c r="AF230" s="8">
        <f t="shared" si="79"/>
        <v>38338.845770309585</v>
      </c>
      <c r="AG230" s="2"/>
      <c r="AH230" s="8">
        <f t="shared" si="80"/>
        <v>39540.28056024371</v>
      </c>
      <c r="AI230" s="2"/>
      <c r="AJ230" s="2"/>
      <c r="AK230" s="2"/>
      <c r="AL230" s="2"/>
      <c r="AM230" s="2"/>
      <c r="AN230" s="2"/>
      <c r="AO230" s="2"/>
      <c r="AP230" s="8">
        <f t="shared" si="95"/>
        <v>3641.0452422671206</v>
      </c>
      <c r="AQ230" s="2"/>
      <c r="AR230" s="8">
        <f t="shared" si="95"/>
        <v>4352.284793824434</v>
      </c>
      <c r="AS230" s="2"/>
      <c r="AT230" s="8">
        <f t="shared" si="95"/>
        <v>4084.2045737243157</v>
      </c>
      <c r="AU230" s="2"/>
      <c r="AV230" s="2"/>
      <c r="AW230" s="2"/>
      <c r="AX230" s="2"/>
      <c r="AY230" s="2"/>
      <c r="AZ230" s="2"/>
      <c r="BA230" s="2"/>
      <c r="BB230" s="8">
        <f t="shared" si="81"/>
        <v>2011.0424303219565</v>
      </c>
      <c r="BC230" s="2"/>
      <c r="BD230" s="8">
        <f t="shared" si="82"/>
        <v>1570.4120390088162</v>
      </c>
      <c r="BE230" s="2"/>
      <c r="BF230" s="8">
        <f t="shared" si="83"/>
        <v>1891.8658788368766</v>
      </c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8">
        <f t="shared" si="84"/>
        <v>677.4037660031853</v>
      </c>
      <c r="CA230" s="2"/>
      <c r="CB230" s="8">
        <f t="shared" si="85"/>
        <v>874.9438503049122</v>
      </c>
      <c r="CC230" s="2"/>
      <c r="CD230" s="8">
        <f t="shared" si="86"/>
        <v>1079.4764132186883</v>
      </c>
      <c r="CL230" s="8">
        <f t="shared" si="87"/>
        <v>42226.62138485737</v>
      </c>
      <c r="CN230" s="8">
        <f t="shared" si="88"/>
        <v>44261.542603142836</v>
      </c>
      <c r="CP230" s="8">
        <f t="shared" si="89"/>
        <v>45516.3510128049</v>
      </c>
      <c r="CR230" s="8"/>
      <c r="CX230" s="8">
        <f t="shared" si="90"/>
        <v>44001.50500026837</v>
      </c>
      <c r="DE230" s="8">
        <f t="shared" si="91"/>
        <v>7282.090484534241</v>
      </c>
      <c r="DG230" s="8">
        <f t="shared" si="92"/>
        <v>8704.569587648868</v>
      </c>
      <c r="DI230" s="8">
        <f t="shared" si="93"/>
        <v>8168.40914744863</v>
      </c>
    </row>
    <row r="231" spans="2:113" ht="12.75">
      <c r="B231" s="4" t="s">
        <v>13</v>
      </c>
      <c r="D231" s="4" t="s">
        <v>10</v>
      </c>
      <c r="E231" s="2"/>
      <c r="F231" s="8">
        <f t="shared" si="94"/>
        <v>63506.60306279863</v>
      </c>
      <c r="G231" s="2"/>
      <c r="H231" s="8">
        <f t="shared" si="94"/>
        <v>61694.75867534636</v>
      </c>
      <c r="I231" s="2"/>
      <c r="J231" s="8">
        <f t="shared" si="77"/>
        <v>53417.38952010004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8">
        <f t="shared" si="78"/>
        <v>0</v>
      </c>
      <c r="AE231" s="2"/>
      <c r="AF231" s="8">
        <f t="shared" si="79"/>
        <v>0</v>
      </c>
      <c r="AG231" s="2"/>
      <c r="AH231" s="8">
        <f t="shared" si="80"/>
        <v>0</v>
      </c>
      <c r="AI231" s="2"/>
      <c r="AJ231" s="2"/>
      <c r="AK231" s="2"/>
      <c r="AL231" s="2"/>
      <c r="AM231" s="2"/>
      <c r="AN231" s="2"/>
      <c r="AO231" s="2"/>
      <c r="AP231" s="8">
        <f t="shared" si="95"/>
        <v>79383.25382849829</v>
      </c>
      <c r="AQ231" s="2"/>
      <c r="AR231" s="8">
        <f t="shared" si="95"/>
        <v>80764.04772045343</v>
      </c>
      <c r="AS231" s="2"/>
      <c r="AT231" s="8">
        <f t="shared" si="95"/>
        <v>73448.91059013756</v>
      </c>
      <c r="AU231" s="2"/>
      <c r="AV231" s="2"/>
      <c r="AW231" s="2"/>
      <c r="AX231" s="2"/>
      <c r="AY231" s="2"/>
      <c r="AZ231" s="2"/>
      <c r="BA231" s="2"/>
      <c r="BB231" s="8">
        <f t="shared" si="81"/>
        <v>275195.2799387941</v>
      </c>
      <c r="BC231" s="2"/>
      <c r="BD231" s="8">
        <f t="shared" si="82"/>
        <v>269213.49240151147</v>
      </c>
      <c r="BE231" s="2"/>
      <c r="BF231" s="8">
        <f t="shared" si="83"/>
        <v>278215.5704171877</v>
      </c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8">
        <f t="shared" si="84"/>
        <v>15876.650765699658</v>
      </c>
      <c r="CA231" s="2"/>
      <c r="CB231" s="8">
        <f t="shared" si="85"/>
        <v>19069.28904510706</v>
      </c>
      <c r="CC231" s="2"/>
      <c r="CD231" s="8">
        <f t="shared" si="86"/>
        <v>20031.521070037514</v>
      </c>
      <c r="CL231" s="8">
        <f t="shared" si="87"/>
        <v>354578.5337672924</v>
      </c>
      <c r="CN231" s="8">
        <f t="shared" si="88"/>
        <v>349977.54012196494</v>
      </c>
      <c r="CP231" s="8">
        <f t="shared" si="89"/>
        <v>351664.48100732523</v>
      </c>
      <c r="CR231" s="8"/>
      <c r="CX231" s="8">
        <f t="shared" si="90"/>
        <v>352073.5182988609</v>
      </c>
      <c r="DE231" s="8">
        <f t="shared" si="91"/>
        <v>158766.50765699657</v>
      </c>
      <c r="DG231" s="8">
        <f t="shared" si="92"/>
        <v>161528.09544090685</v>
      </c>
      <c r="DI231" s="8">
        <f t="shared" si="93"/>
        <v>146897.82118027512</v>
      </c>
    </row>
    <row r="232" spans="2:113" ht="12.75">
      <c r="B232" s="4" t="s">
        <v>14</v>
      </c>
      <c r="D232" s="4" t="s">
        <v>10</v>
      </c>
      <c r="E232" s="2"/>
      <c r="F232" s="8">
        <f t="shared" si="94"/>
        <v>306.94858147019346</v>
      </c>
      <c r="G232" s="2"/>
      <c r="H232" s="8">
        <f t="shared" si="94"/>
        <v>325.2996366518263</v>
      </c>
      <c r="I232" s="2"/>
      <c r="J232" s="8">
        <f t="shared" si="77"/>
        <v>311.6014388672502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8">
        <f t="shared" si="78"/>
        <v>3005.4683780362225</v>
      </c>
      <c r="AE232" s="2"/>
      <c r="AF232" s="8">
        <f t="shared" si="79"/>
        <v>3159.7111112624093</v>
      </c>
      <c r="AG232" s="2"/>
      <c r="AH232" s="8">
        <f t="shared" si="80"/>
        <v>2761.2068768611393</v>
      </c>
      <c r="AI232" s="2"/>
      <c r="AJ232" s="2"/>
      <c r="AK232" s="2"/>
      <c r="AL232" s="2"/>
      <c r="AM232" s="2"/>
      <c r="AN232" s="2"/>
      <c r="AO232" s="2"/>
      <c r="AP232" s="8">
        <f t="shared" si="95"/>
        <v>348.22787346101256</v>
      </c>
      <c r="AQ232" s="2"/>
      <c r="AR232" s="8">
        <f t="shared" si="95"/>
        <v>381.38578090214116</v>
      </c>
      <c r="AS232" s="2"/>
      <c r="AT232" s="8">
        <f t="shared" si="95"/>
        <v>380.59890033071275</v>
      </c>
      <c r="AU232" s="2"/>
      <c r="AV232" s="2"/>
      <c r="AW232" s="2"/>
      <c r="AX232" s="2"/>
      <c r="AY232" s="2"/>
      <c r="AZ232" s="2"/>
      <c r="BA232" s="2"/>
      <c r="BB232" s="8">
        <f t="shared" si="81"/>
        <v>98.43523474733789</v>
      </c>
      <c r="BC232" s="2"/>
      <c r="BD232" s="8">
        <f t="shared" si="82"/>
        <v>96.46816811054158</v>
      </c>
      <c r="BE232" s="2"/>
      <c r="BF232" s="8">
        <f t="shared" si="83"/>
        <v>101.27046763185633</v>
      </c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8">
        <f t="shared" si="84"/>
        <v>41.27929199081911</v>
      </c>
      <c r="CA232" s="2"/>
      <c r="CB232" s="8">
        <f t="shared" si="85"/>
        <v>56.08614425031489</v>
      </c>
      <c r="CC232" s="2"/>
      <c r="CD232" s="8">
        <f t="shared" si="86"/>
        <v>68.99746146346256</v>
      </c>
      <c r="CL232" s="8">
        <f t="shared" si="87"/>
        <v>3452.131486244573</v>
      </c>
      <c r="CN232" s="8">
        <f t="shared" si="88"/>
        <v>3637.565060275092</v>
      </c>
      <c r="CP232" s="8">
        <f t="shared" si="89"/>
        <v>3243.0762448237083</v>
      </c>
      <c r="CR232" s="8"/>
      <c r="CX232" s="8">
        <f t="shared" si="90"/>
        <v>3444.257597114458</v>
      </c>
      <c r="DE232" s="8">
        <f t="shared" si="91"/>
        <v>696.4557469220251</v>
      </c>
      <c r="DG232" s="8">
        <f t="shared" si="92"/>
        <v>762.7715618042823</v>
      </c>
      <c r="DI232" s="8">
        <f t="shared" si="93"/>
        <v>761.1978006614255</v>
      </c>
    </row>
    <row r="233" spans="2:113" ht="12.75">
      <c r="B233" s="4" t="s">
        <v>15</v>
      </c>
      <c r="D233" s="4" t="s">
        <v>10</v>
      </c>
      <c r="E233" s="2"/>
      <c r="F233" s="8">
        <f t="shared" si="94"/>
        <v>28.577971378259388</v>
      </c>
      <c r="G233" s="2"/>
      <c r="H233" s="8">
        <f t="shared" si="94"/>
        <v>71.79026464040304</v>
      </c>
      <c r="I233" s="2"/>
      <c r="J233" s="8">
        <f t="shared" si="77"/>
        <v>67.8845991817938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8">
        <f t="shared" si="78"/>
        <v>10336.698750658128</v>
      </c>
      <c r="AE233" s="2"/>
      <c r="AF233" s="8">
        <f t="shared" si="79"/>
        <v>9234.904455622018</v>
      </c>
      <c r="AG233" s="2"/>
      <c r="AH233" s="8">
        <f t="shared" si="80"/>
        <v>9318.442220631927</v>
      </c>
      <c r="AI233" s="2"/>
      <c r="AJ233" s="2"/>
      <c r="AK233" s="2"/>
      <c r="AL233" s="2"/>
      <c r="AM233" s="2"/>
      <c r="AN233" s="2"/>
      <c r="AO233" s="2"/>
      <c r="AP233" s="8">
        <f t="shared" si="95"/>
        <v>33.65849962328328</v>
      </c>
      <c r="AQ233" s="2"/>
      <c r="AR233" s="8">
        <f t="shared" si="95"/>
        <v>81.21273687445594</v>
      </c>
      <c r="AS233" s="2"/>
      <c r="AT233" s="8">
        <f t="shared" si="95"/>
        <v>74.67305909997319</v>
      </c>
      <c r="AU233" s="2"/>
      <c r="AV233" s="2"/>
      <c r="AW233" s="2"/>
      <c r="AX233" s="2"/>
      <c r="AY233" s="2"/>
      <c r="AZ233" s="2"/>
      <c r="BA233" s="2"/>
      <c r="BB233" s="8">
        <f t="shared" si="81"/>
        <v>2751.9527993879406</v>
      </c>
      <c r="BC233" s="2"/>
      <c r="BD233" s="8">
        <f t="shared" si="82"/>
        <v>2692.134924015115</v>
      </c>
      <c r="BE233" s="2"/>
      <c r="BF233" s="8">
        <f t="shared" si="83"/>
        <v>2893.4419323387533</v>
      </c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8">
        <f t="shared" si="84"/>
        <v>5.080528245023889</v>
      </c>
      <c r="CA233" s="2"/>
      <c r="CB233" s="8">
        <f t="shared" si="85"/>
        <v>9.422472234052897</v>
      </c>
      <c r="CC233" s="2"/>
      <c r="CD233" s="8">
        <f t="shared" si="86"/>
        <v>6.788459918179381</v>
      </c>
      <c r="CL233" s="8">
        <f t="shared" si="87"/>
        <v>13122.310049669351</v>
      </c>
      <c r="CN233" s="8">
        <f t="shared" si="88"/>
        <v>12008.252116511589</v>
      </c>
      <c r="CP233" s="8">
        <f t="shared" si="89"/>
        <v>12286.557212070653</v>
      </c>
      <c r="CR233" s="8"/>
      <c r="CX233" s="8">
        <f t="shared" si="90"/>
        <v>12472.373126083863</v>
      </c>
      <c r="DE233" s="8">
        <f t="shared" si="91"/>
        <v>67.31699924656655</v>
      </c>
      <c r="DG233" s="8">
        <f t="shared" si="92"/>
        <v>162.42547374891188</v>
      </c>
      <c r="DI233" s="8">
        <f t="shared" si="93"/>
        <v>149.34611819994637</v>
      </c>
    </row>
    <row r="234" spans="2:113" ht="12.75">
      <c r="B234" s="4" t="s">
        <v>16</v>
      </c>
      <c r="D234" s="4" t="s">
        <v>10</v>
      </c>
      <c r="E234" s="2"/>
      <c r="F234" s="8">
        <f t="shared" si="94"/>
        <v>15876.650765699658</v>
      </c>
      <c r="G234" s="2"/>
      <c r="H234" s="8">
        <f t="shared" si="94"/>
        <v>12338.951735069275</v>
      </c>
      <c r="I234" s="2"/>
      <c r="J234" s="8">
        <f t="shared" si="77"/>
        <v>10906.050360353758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8">
        <f t="shared" si="78"/>
        <v>40962.709586909026</v>
      </c>
      <c r="AE234" s="2"/>
      <c r="AF234" s="8">
        <f t="shared" si="79"/>
        <v>41116.94925943886</v>
      </c>
      <c r="AG234" s="2"/>
      <c r="AH234" s="8">
        <f t="shared" si="80"/>
        <v>37904.75765694752</v>
      </c>
      <c r="AI234" s="2"/>
      <c r="AJ234" s="2"/>
      <c r="AK234" s="2"/>
      <c r="AL234" s="2"/>
      <c r="AM234" s="2"/>
      <c r="AN234" s="2"/>
      <c r="AO234" s="2"/>
      <c r="AP234" s="8">
        <f t="shared" si="95"/>
        <v>18946.13658040159</v>
      </c>
      <c r="AQ234" s="2"/>
      <c r="AR234" s="8">
        <f t="shared" si="95"/>
        <v>16152.809544090687</v>
      </c>
      <c r="AS234" s="2"/>
      <c r="AT234" s="8">
        <f t="shared" si="95"/>
        <v>14912.354574361263</v>
      </c>
      <c r="AU234" s="2"/>
      <c r="AV234" s="2"/>
      <c r="AW234" s="2"/>
      <c r="AX234" s="2"/>
      <c r="AY234" s="2"/>
      <c r="AZ234" s="2"/>
      <c r="BA234" s="2"/>
      <c r="BB234" s="8">
        <f t="shared" si="81"/>
        <v>24344.197840739474</v>
      </c>
      <c r="BC234" s="2"/>
      <c r="BD234" s="8">
        <f t="shared" si="82"/>
        <v>23556.18058513225</v>
      </c>
      <c r="BE234" s="2"/>
      <c r="BF234" s="8">
        <f t="shared" si="83"/>
        <v>25595.83247838127</v>
      </c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8">
        <f t="shared" si="84"/>
        <v>3069.4858147019336</v>
      </c>
      <c r="CA234" s="2"/>
      <c r="CB234" s="8">
        <f t="shared" si="85"/>
        <v>3813.857809021412</v>
      </c>
      <c r="CC234" s="2"/>
      <c r="CD234" s="8">
        <f t="shared" si="86"/>
        <v>4006.304214007504</v>
      </c>
      <c r="CL234" s="8">
        <f t="shared" si="87"/>
        <v>84253.04400805008</v>
      </c>
      <c r="CN234" s="8">
        <f t="shared" si="88"/>
        <v>80825.93938866179</v>
      </c>
      <c r="CP234" s="8">
        <f t="shared" si="89"/>
        <v>78412.94470969005</v>
      </c>
      <c r="CR234" s="8"/>
      <c r="CX234" s="8">
        <f t="shared" si="90"/>
        <v>81163.9760354673</v>
      </c>
      <c r="DE234" s="8">
        <f t="shared" si="91"/>
        <v>37892.27316080318</v>
      </c>
      <c r="DG234" s="8">
        <f t="shared" si="92"/>
        <v>32305.619088181375</v>
      </c>
      <c r="DI234" s="8">
        <f t="shared" si="93"/>
        <v>29824.709148722526</v>
      </c>
    </row>
    <row r="235" spans="2:113" ht="12.75">
      <c r="B235" s="4" t="s">
        <v>19</v>
      </c>
      <c r="D235" s="4" t="s">
        <v>10</v>
      </c>
      <c r="E235" s="2"/>
      <c r="F235" s="8">
        <f t="shared" si="94"/>
        <v>2116.8867687599536</v>
      </c>
      <c r="G235" s="2"/>
      <c r="H235" s="8">
        <f t="shared" si="94"/>
        <v>2916.4795010163743</v>
      </c>
      <c r="I235" s="2"/>
      <c r="J235" s="8">
        <f t="shared" si="77"/>
        <v>2448.2970196712517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8">
        <f t="shared" si="78"/>
        <v>84647.62455775822</v>
      </c>
      <c r="AE235" s="2"/>
      <c r="AF235" s="8">
        <f t="shared" si="79"/>
        <v>94857.47865904203</v>
      </c>
      <c r="AG235" s="2"/>
      <c r="AH235" s="8">
        <f t="shared" si="80"/>
        <v>92326.27747310829</v>
      </c>
      <c r="AI235" s="2"/>
      <c r="AJ235" s="2"/>
      <c r="AK235" s="2"/>
      <c r="AL235" s="2"/>
      <c r="AM235" s="2"/>
      <c r="AN235" s="2"/>
      <c r="AO235" s="2"/>
      <c r="AP235" s="8">
        <f t="shared" si="95"/>
        <v>7091.570675345845</v>
      </c>
      <c r="AQ235" s="2"/>
      <c r="AR235" s="8">
        <f t="shared" si="95"/>
        <v>9871.161388055418</v>
      </c>
      <c r="AS235" s="2"/>
      <c r="AT235" s="8">
        <f t="shared" si="95"/>
        <v>7567.4635153475065</v>
      </c>
      <c r="AU235" s="2"/>
      <c r="AV235" s="2"/>
      <c r="AW235" s="2"/>
      <c r="AX235" s="2"/>
      <c r="AY235" s="2"/>
      <c r="AZ235" s="2"/>
      <c r="BA235" s="2"/>
      <c r="BB235" s="8">
        <f t="shared" si="81"/>
        <v>22227.31107197952</v>
      </c>
      <c r="BC235" s="2"/>
      <c r="BD235" s="8">
        <f t="shared" si="82"/>
        <v>22434.457700125953</v>
      </c>
      <c r="BE235" s="2"/>
      <c r="BF235" s="8">
        <f t="shared" si="83"/>
        <v>23370.10791504377</v>
      </c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8">
        <f t="shared" si="84"/>
        <v>4974.683906585892</v>
      </c>
      <c r="CA235" s="2"/>
      <c r="CB235" s="8">
        <f t="shared" si="85"/>
        <v>6954.681887039044</v>
      </c>
      <c r="CC235" s="2"/>
      <c r="CD235" s="8">
        <f t="shared" si="86"/>
        <v>5119.166495676254</v>
      </c>
      <c r="CL235" s="8">
        <f t="shared" si="87"/>
        <v>113966.50630508357</v>
      </c>
      <c r="CN235" s="8">
        <f t="shared" si="88"/>
        <v>127163.09774722341</v>
      </c>
      <c r="CP235" s="8">
        <f t="shared" si="89"/>
        <v>123263.84890349957</v>
      </c>
      <c r="CR235" s="8"/>
      <c r="CX235" s="8">
        <f t="shared" si="90"/>
        <v>121464.48431860218</v>
      </c>
      <c r="DE235" s="8">
        <f t="shared" si="91"/>
        <v>14183.141350691692</v>
      </c>
      <c r="DG235" s="8">
        <f t="shared" si="92"/>
        <v>19742.322776110836</v>
      </c>
      <c r="DI235" s="8">
        <f t="shared" si="93"/>
        <v>15134.927030695013</v>
      </c>
    </row>
    <row r="236" spans="2:113" ht="12.75">
      <c r="B236" s="4" t="s">
        <v>20</v>
      </c>
      <c r="D236" s="4" t="s">
        <v>10</v>
      </c>
      <c r="E236" s="2"/>
      <c r="F236" s="8">
        <f t="shared" si="94"/>
        <v>2.0110424303219565</v>
      </c>
      <c r="G236" s="2"/>
      <c r="H236" s="8">
        <f t="shared" si="94"/>
        <v>1.7947566160100763</v>
      </c>
      <c r="I236" s="2"/>
      <c r="J236" s="8">
        <f t="shared" si="77"/>
        <v>1.2241485098356257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8">
        <f t="shared" si="78"/>
        <v>0</v>
      </c>
      <c r="AE236" s="2"/>
      <c r="AF236" s="8">
        <f t="shared" si="79"/>
        <v>0</v>
      </c>
      <c r="AG236" s="2"/>
      <c r="AH236" s="8">
        <f t="shared" si="80"/>
        <v>0</v>
      </c>
      <c r="AI236" s="2"/>
      <c r="AJ236" s="2"/>
      <c r="AK236" s="2"/>
      <c r="AL236" s="2"/>
      <c r="AM236" s="2"/>
      <c r="AN236" s="2"/>
      <c r="AO236" s="2"/>
      <c r="AP236" s="8">
        <f t="shared" si="95"/>
        <v>2.0629061561565756</v>
      </c>
      <c r="AQ236" s="2"/>
      <c r="AR236" s="8">
        <f t="shared" si="95"/>
        <v>1.8586948204554352</v>
      </c>
      <c r="AS236" s="2"/>
      <c r="AT236" s="8">
        <f t="shared" si="95"/>
        <v>1.2530829291590133</v>
      </c>
      <c r="AU236" s="2"/>
      <c r="AV236" s="2"/>
      <c r="AW236" s="2"/>
      <c r="AX236" s="2"/>
      <c r="AY236" s="2"/>
      <c r="AZ236" s="2"/>
      <c r="BA236" s="2"/>
      <c r="BB236" s="8">
        <f t="shared" si="81"/>
        <v>105.8443384379977</v>
      </c>
      <c r="BC236" s="2"/>
      <c r="BD236" s="8">
        <f t="shared" si="82"/>
        <v>123.38951735069274</v>
      </c>
      <c r="BE236" s="2"/>
      <c r="BF236" s="8">
        <f t="shared" si="83"/>
        <v>109.06050360353758</v>
      </c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8">
        <f t="shared" si="84"/>
        <v>0.051863725834618866</v>
      </c>
      <c r="CA236" s="2"/>
      <c r="CB236" s="8">
        <f t="shared" si="85"/>
        <v>0.06393820444535896</v>
      </c>
      <c r="CC236" s="2"/>
      <c r="CD236" s="8">
        <f t="shared" si="86"/>
        <v>0.028934419323387528</v>
      </c>
      <c r="CL236" s="8">
        <f t="shared" si="87"/>
        <v>107.90724459415428</v>
      </c>
      <c r="CN236" s="8">
        <f t="shared" si="88"/>
        <v>125.24821217114818</v>
      </c>
      <c r="CP236" s="8">
        <f t="shared" si="89"/>
        <v>110.3135865326966</v>
      </c>
      <c r="CR236" s="8"/>
      <c r="CX236" s="8">
        <f t="shared" si="90"/>
        <v>114.48968109933303</v>
      </c>
      <c r="CZ236" s="8">
        <f>AVERAGE(BB236,BD236,BF236,BH236,BJ236,BL236)</f>
        <v>112.76478646407601</v>
      </c>
      <c r="DA236" s="8">
        <f>AVERAGE(AD236,AF236,AH236,AJ236,AL236,AN236)</f>
        <v>0</v>
      </c>
      <c r="DB236" s="8">
        <f>AVERAGE(F236,H236,J236,L236,N236,P236)+AVERAGE(BZ236,CB236,CD236,CF236,CH236,CJ236)</f>
        <v>1.724894635257008</v>
      </c>
      <c r="DC236" s="8">
        <f>SUM(CZ236,DA236,DB236)</f>
        <v>114.48968109933301</v>
      </c>
      <c r="DE236" s="8">
        <f t="shared" si="91"/>
        <v>4.125812312313151</v>
      </c>
      <c r="DG236" s="8">
        <f t="shared" si="92"/>
        <v>3.7173896409108704</v>
      </c>
      <c r="DI236" s="8">
        <f t="shared" si="93"/>
        <v>2.5061658583180266</v>
      </c>
    </row>
    <row r="237" spans="2:113" ht="12.75">
      <c r="B237" s="4" t="s">
        <v>23</v>
      </c>
      <c r="D237" s="4" t="s">
        <v>10</v>
      </c>
      <c r="E237" s="2"/>
      <c r="F237" s="8">
        <f t="shared" si="94"/>
        <v>285.7797137825938</v>
      </c>
      <c r="G237" s="2"/>
      <c r="H237" s="8">
        <f t="shared" si="94"/>
        <v>314.0824078017633</v>
      </c>
      <c r="I237" s="2"/>
      <c r="J237" s="8">
        <f t="shared" si="77"/>
        <v>9.793188078685006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8">
        <f t="shared" si="78"/>
        <v>0</v>
      </c>
      <c r="AE237" s="2"/>
      <c r="AF237" s="8">
        <f t="shared" si="79"/>
        <v>0</v>
      </c>
      <c r="AG237" s="2"/>
      <c r="AH237" s="8">
        <f t="shared" si="80"/>
        <v>0</v>
      </c>
      <c r="AI237" s="2"/>
      <c r="AJ237" s="2"/>
      <c r="AK237" s="2"/>
      <c r="AL237" s="2"/>
      <c r="AM237" s="2"/>
      <c r="AN237" s="2"/>
      <c r="AO237" s="2"/>
      <c r="AP237" s="8">
        <f t="shared" si="95"/>
        <v>304.8316947014334</v>
      </c>
      <c r="AQ237" s="2"/>
      <c r="AR237" s="8">
        <f t="shared" si="95"/>
        <v>344.36892569693333</v>
      </c>
      <c r="AS237" s="2"/>
      <c r="AT237" s="8">
        <f t="shared" si="95"/>
        <v>35.38902055706628</v>
      </c>
      <c r="AU237" s="2"/>
      <c r="AV237" s="2"/>
      <c r="AW237" s="2"/>
      <c r="AX237" s="2"/>
      <c r="AY237" s="2"/>
      <c r="AZ237" s="2"/>
      <c r="BA237" s="2"/>
      <c r="BB237" s="8">
        <f t="shared" si="81"/>
        <v>285.7797137825938</v>
      </c>
      <c r="BC237" s="2"/>
      <c r="BD237" s="8">
        <f t="shared" si="82"/>
        <v>291.6479501016374</v>
      </c>
      <c r="BE237" s="2"/>
      <c r="BF237" s="8">
        <f t="shared" si="83"/>
        <v>311.6014388672502</v>
      </c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8">
        <f t="shared" si="84"/>
        <v>19.05198091883959</v>
      </c>
      <c r="CA237" s="2"/>
      <c r="CB237" s="8">
        <f t="shared" si="85"/>
        <v>30.286517895170036</v>
      </c>
      <c r="CC237" s="2"/>
      <c r="CD237" s="8">
        <f t="shared" si="86"/>
        <v>25.595832478381276</v>
      </c>
      <c r="CL237" s="8">
        <f t="shared" si="87"/>
        <v>590.6114084840272</v>
      </c>
      <c r="CN237" s="8">
        <f t="shared" si="88"/>
        <v>636.0168757985707</v>
      </c>
      <c r="CP237" s="8">
        <f t="shared" si="89"/>
        <v>346.99045942431644</v>
      </c>
      <c r="CR237" s="8"/>
      <c r="CX237" s="8">
        <f t="shared" si="90"/>
        <v>524.5395812356381</v>
      </c>
      <c r="DE237" s="8">
        <f t="shared" si="91"/>
        <v>609.6633894028668</v>
      </c>
      <c r="DG237" s="8">
        <f t="shared" si="92"/>
        <v>688.7378513938667</v>
      </c>
      <c r="DI237" s="8">
        <f t="shared" si="93"/>
        <v>70.77804111413256</v>
      </c>
    </row>
    <row r="238" spans="2:113" ht="12.75">
      <c r="B238" s="4" t="s">
        <v>24</v>
      </c>
      <c r="D238" s="4" t="s">
        <v>10</v>
      </c>
      <c r="E238" s="2"/>
      <c r="F238" s="8">
        <f t="shared" si="94"/>
        <v>1058.4433843799768</v>
      </c>
      <c r="G238" s="2"/>
      <c r="H238" s="8">
        <f t="shared" si="94"/>
        <v>740.3371041041565</v>
      </c>
      <c r="I238" s="2"/>
      <c r="J238" s="8">
        <f t="shared" si="77"/>
        <v>1068.347790402001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8">
        <f t="shared" si="78"/>
        <v>0</v>
      </c>
      <c r="AE238" s="2"/>
      <c r="AF238" s="8">
        <f t="shared" si="79"/>
        <v>0</v>
      </c>
      <c r="AG238" s="2"/>
      <c r="AH238" s="8">
        <f t="shared" si="80"/>
        <v>0</v>
      </c>
      <c r="AI238" s="2"/>
      <c r="AJ238" s="2"/>
      <c r="AK238" s="2"/>
      <c r="AL238" s="2"/>
      <c r="AM238" s="2"/>
      <c r="AN238" s="2"/>
      <c r="AO238" s="2"/>
      <c r="AP238" s="8">
        <f t="shared" si="95"/>
        <v>1418.314135069169</v>
      </c>
      <c r="AQ238" s="2"/>
      <c r="AR238" s="8">
        <f t="shared" si="95"/>
        <v>1054.4195119059198</v>
      </c>
      <c r="AS238" s="2"/>
      <c r="AT238" s="8">
        <f t="shared" si="95"/>
        <v>1379.9492292692512</v>
      </c>
      <c r="AU238" s="2"/>
      <c r="AV238" s="2"/>
      <c r="AW238" s="2"/>
      <c r="AX238" s="2"/>
      <c r="AY238" s="2"/>
      <c r="AZ238" s="2"/>
      <c r="BA238" s="2"/>
      <c r="BB238" s="8">
        <f t="shared" si="81"/>
        <v>349.28631684539243</v>
      </c>
      <c r="BC238" s="2"/>
      <c r="BD238" s="8">
        <f t="shared" si="82"/>
        <v>347.73409435195225</v>
      </c>
      <c r="BE238" s="2"/>
      <c r="BF238" s="8">
        <f t="shared" si="83"/>
        <v>378.37317576737524</v>
      </c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8">
        <f t="shared" si="84"/>
        <v>359.8707506891923</v>
      </c>
      <c r="CA238" s="2"/>
      <c r="CB238" s="8">
        <f t="shared" si="85"/>
        <v>314.0824078017633</v>
      </c>
      <c r="CC238" s="2"/>
      <c r="CD238" s="8">
        <f t="shared" si="86"/>
        <v>311.6014388672502</v>
      </c>
      <c r="CL238" s="8">
        <f t="shared" si="87"/>
        <v>1767.6004519145615</v>
      </c>
      <c r="CN238" s="8">
        <f t="shared" si="88"/>
        <v>1402.153606257872</v>
      </c>
      <c r="CP238" s="8">
        <f t="shared" si="89"/>
        <v>1758.3224050366264</v>
      </c>
      <c r="CR238" s="8"/>
      <c r="CX238" s="8">
        <f t="shared" si="90"/>
        <v>1642.69215440302</v>
      </c>
      <c r="DE238" s="8">
        <f t="shared" si="91"/>
        <v>2836.628270138338</v>
      </c>
      <c r="DG238" s="8">
        <f t="shared" si="92"/>
        <v>2108.8390238118395</v>
      </c>
      <c r="DI238" s="8">
        <f t="shared" si="93"/>
        <v>2759.8984585385024</v>
      </c>
    </row>
    <row r="239" spans="2:113" ht="12.75">
      <c r="B239" s="4" t="s">
        <v>67</v>
      </c>
      <c r="D239" s="4" t="s">
        <v>10</v>
      </c>
      <c r="E239" s="2"/>
      <c r="F239" s="8">
        <f>F233+F235</f>
        <v>2145.464740138213</v>
      </c>
      <c r="G239" s="2"/>
      <c r="H239" s="8">
        <f>H233+H235</f>
        <v>2988.2697656567775</v>
      </c>
      <c r="I239" s="2"/>
      <c r="J239" s="8">
        <f>J233+J235</f>
        <v>2516.1816188530456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8">
        <f>AD233+AD235</f>
        <v>94984.32330841635</v>
      </c>
      <c r="AE239" s="2"/>
      <c r="AF239" s="8">
        <f>AF233+AF235</f>
        <v>104092.38311466404</v>
      </c>
      <c r="AG239" s="2"/>
      <c r="AH239" s="8">
        <f>AH233+AH235</f>
        <v>101644.71969374022</v>
      </c>
      <c r="AI239" s="2"/>
      <c r="AJ239" s="2"/>
      <c r="AK239" s="2"/>
      <c r="AL239" s="2"/>
      <c r="AM239" s="2"/>
      <c r="AN239" s="2"/>
      <c r="AO239" s="2"/>
      <c r="AP239" s="8">
        <f t="shared" si="95"/>
        <v>7125.2291749691285</v>
      </c>
      <c r="AQ239" s="2"/>
      <c r="AR239" s="8">
        <f t="shared" si="95"/>
        <v>9952.374124929875</v>
      </c>
      <c r="AS239" s="2"/>
      <c r="AT239" s="8">
        <f t="shared" si="95"/>
        <v>7642.13657444748</v>
      </c>
      <c r="AU239" s="2"/>
      <c r="AV239" s="2"/>
      <c r="AW239" s="2"/>
      <c r="AX239" s="2"/>
      <c r="AY239" s="2"/>
      <c r="AZ239" s="2"/>
      <c r="BA239" s="2"/>
      <c r="BB239" s="8">
        <f>BB233+BB235</f>
        <v>24979.26387136746</v>
      </c>
      <c r="BC239" s="2"/>
      <c r="BD239" s="8">
        <f>BD233+BD235</f>
        <v>25126.592624141067</v>
      </c>
      <c r="BE239" s="2"/>
      <c r="BF239" s="8">
        <f>BF233+BF235</f>
        <v>26263.54984738252</v>
      </c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8">
        <f>BZ233+BZ235</f>
        <v>4979.764434830916</v>
      </c>
      <c r="CA239" s="2"/>
      <c r="CB239" s="8">
        <f>CB233+CB235</f>
        <v>6964.1043592730975</v>
      </c>
      <c r="CC239" s="2"/>
      <c r="CD239" s="8">
        <f>CD233+CD235</f>
        <v>5125.954955594434</v>
      </c>
      <c r="CL239" s="8">
        <f t="shared" si="87"/>
        <v>127088.81635475294</v>
      </c>
      <c r="CN239" s="8">
        <f t="shared" si="88"/>
        <v>139171.349863735</v>
      </c>
      <c r="CP239" s="8">
        <f t="shared" si="89"/>
        <v>135550.4061155702</v>
      </c>
      <c r="CR239" s="8"/>
      <c r="CX239" s="8">
        <f t="shared" si="90"/>
        <v>133936.85744468603</v>
      </c>
      <c r="CZ239" s="8">
        <f>AVERAGE(BB239,BD239,BF239,BH239,BJ239,BL239)</f>
        <v>25456.46878096368</v>
      </c>
      <c r="DA239" s="8">
        <f>AVERAGE(AD239,AF239,AH239,AJ239,AL239,AN239)</f>
        <v>100240.47537227355</v>
      </c>
      <c r="DB239" s="8">
        <f>AVERAGE(F239,H239,J239,L239,N239,P239)+AVERAGE(BZ239,CB239,CD239,CF239,CH239,CJ239)</f>
        <v>8239.913291448827</v>
      </c>
      <c r="DC239" s="8">
        <f>SUM(CZ239,DA239,DB239)</f>
        <v>133936.85744468606</v>
      </c>
      <c r="DE239" s="8">
        <f t="shared" si="91"/>
        <v>14250.458349938257</v>
      </c>
      <c r="DG239" s="8">
        <f t="shared" si="92"/>
        <v>19904.74824985975</v>
      </c>
      <c r="DI239" s="8">
        <f t="shared" si="93"/>
        <v>15284.273148894961</v>
      </c>
    </row>
    <row r="240" spans="2:113" ht="12.75">
      <c r="B240" s="4" t="s">
        <v>68</v>
      </c>
      <c r="D240" s="4" t="s">
        <v>10</v>
      </c>
      <c r="E240" s="2"/>
      <c r="F240" s="8">
        <f>F230+F232+F234</f>
        <v>19147.240823433785</v>
      </c>
      <c r="G240" s="2"/>
      <c r="H240" s="8">
        <f>H230+H232+H234</f>
        <v>16141.592315240623</v>
      </c>
      <c r="I240" s="2"/>
      <c r="J240" s="8">
        <f>J230+J232+J234</f>
        <v>14222.379959726635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8">
        <f>AD230+AD232+AD234</f>
        <v>80542.71167721355</v>
      </c>
      <c r="AE240" s="2"/>
      <c r="AF240" s="8">
        <f>AF230+AF232+AF234</f>
        <v>82615.50614101085</v>
      </c>
      <c r="AG240" s="2"/>
      <c r="AH240" s="8">
        <f>AH230+AH232+AH234</f>
        <v>80206.24509405237</v>
      </c>
      <c r="AI240" s="2"/>
      <c r="AJ240" s="2"/>
      <c r="AK240" s="2"/>
      <c r="AL240" s="2"/>
      <c r="AM240" s="2"/>
      <c r="AN240" s="2"/>
      <c r="AO240" s="2"/>
      <c r="AP240" s="8">
        <f t="shared" si="95"/>
        <v>22935.409696129725</v>
      </c>
      <c r="AQ240" s="2"/>
      <c r="AR240" s="8">
        <f t="shared" si="95"/>
        <v>20886.480118817264</v>
      </c>
      <c r="AS240" s="2"/>
      <c r="AT240" s="8">
        <f t="shared" si="95"/>
        <v>19377.15804841629</v>
      </c>
      <c r="AU240" s="2"/>
      <c r="AV240" s="2"/>
      <c r="AW240" s="2"/>
      <c r="AX240" s="2"/>
      <c r="AY240" s="2"/>
      <c r="AZ240" s="2"/>
      <c r="BA240" s="2"/>
      <c r="BB240" s="8">
        <f>BB230+BB232+BB234</f>
        <v>26453.67550580877</v>
      </c>
      <c r="BC240" s="2"/>
      <c r="BD240" s="8">
        <f>BD230+BD232+BD234</f>
        <v>25223.060792251606</v>
      </c>
      <c r="BE240" s="2"/>
      <c r="BF240" s="8">
        <f>BF230+BF232+BF234</f>
        <v>27588.968824850002</v>
      </c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8">
        <f>BZ230+BZ232+BZ234</f>
        <v>3788.1688726959383</v>
      </c>
      <c r="CA240" s="2"/>
      <c r="CB240" s="8">
        <f>CB230+CB232+CB234</f>
        <v>4744.887803576639</v>
      </c>
      <c r="CC240" s="2"/>
      <c r="CD240" s="8">
        <f>CD230+CD232+CD234</f>
        <v>5154.778088689654</v>
      </c>
      <c r="CL240" s="8">
        <f t="shared" si="87"/>
        <v>129931.79687915204</v>
      </c>
      <c r="CN240" s="8">
        <f t="shared" si="88"/>
        <v>128725.04705207971</v>
      </c>
      <c r="CP240" s="8">
        <f t="shared" si="89"/>
        <v>127172.37196731866</v>
      </c>
      <c r="CR240" s="8"/>
      <c r="CX240" s="8">
        <f t="shared" si="90"/>
        <v>128609.73863285013</v>
      </c>
      <c r="CZ240" s="8">
        <f>AVERAGE(BB240,BD240,BF240,BH240,BJ240,BL240)</f>
        <v>26421.901707636793</v>
      </c>
      <c r="DA240" s="8">
        <f>AVERAGE(AD240,AF240,AH240,AJ240,AL240,AN240)</f>
        <v>81121.48763742558</v>
      </c>
      <c r="DB240" s="8">
        <f>AVERAGE(F240,H240,J240,L240,N240,P240)+AVERAGE(BZ240,CB240,CD240,CF240,CH240,CJ240)</f>
        <v>21066.349287787758</v>
      </c>
      <c r="DC240" s="8">
        <f>SUM(CZ240,DA240,DB240)</f>
        <v>128609.73863285013</v>
      </c>
      <c r="DE240" s="8">
        <f t="shared" si="91"/>
        <v>45870.81939225945</v>
      </c>
      <c r="DG240" s="8">
        <f t="shared" si="92"/>
        <v>41772.96023763453</v>
      </c>
      <c r="DI240" s="8">
        <f t="shared" si="93"/>
        <v>38754.31609683258</v>
      </c>
    </row>
    <row r="241" spans="5:82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</row>
    <row r="242" spans="2:102" ht="12.75">
      <c r="B242" s="6" t="s">
        <v>30</v>
      </c>
      <c r="C242" s="6"/>
      <c r="D242" s="6"/>
      <c r="E242" s="2"/>
      <c r="F242" s="24" t="s">
        <v>54</v>
      </c>
      <c r="G242" s="24"/>
      <c r="H242" s="24" t="s">
        <v>55</v>
      </c>
      <c r="I242" s="24"/>
      <c r="J242" s="24" t="s">
        <v>56</v>
      </c>
      <c r="K242" s="24"/>
      <c r="L242" s="24" t="s">
        <v>57</v>
      </c>
      <c r="M242" s="24"/>
      <c r="N242" s="24" t="s">
        <v>58</v>
      </c>
      <c r="O242" s="24"/>
      <c r="P242" s="24" t="s">
        <v>59</v>
      </c>
      <c r="Q242" s="24"/>
      <c r="R242" s="24" t="s">
        <v>54</v>
      </c>
      <c r="S242" s="24"/>
      <c r="T242" s="24" t="s">
        <v>55</v>
      </c>
      <c r="U242" s="24"/>
      <c r="V242" s="24" t="s">
        <v>56</v>
      </c>
      <c r="W242" s="24"/>
      <c r="X242" s="24" t="s">
        <v>57</v>
      </c>
      <c r="Y242" s="24"/>
      <c r="Z242" s="24" t="s">
        <v>58</v>
      </c>
      <c r="AA242" s="24"/>
      <c r="AB242" s="24" t="s">
        <v>59</v>
      </c>
      <c r="AC242" s="24"/>
      <c r="AD242" s="24" t="s">
        <v>54</v>
      </c>
      <c r="AE242" s="24"/>
      <c r="AF242" s="24" t="s">
        <v>55</v>
      </c>
      <c r="AG242" s="24"/>
      <c r="AH242" s="24" t="s">
        <v>56</v>
      </c>
      <c r="AI242" s="24"/>
      <c r="AJ242" s="24" t="s">
        <v>57</v>
      </c>
      <c r="AK242" s="24"/>
      <c r="AL242" s="24" t="s">
        <v>58</v>
      </c>
      <c r="AM242" s="24"/>
      <c r="AN242" s="24" t="s">
        <v>59</v>
      </c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 t="s">
        <v>54</v>
      </c>
      <c r="BC242" s="24"/>
      <c r="BD242" s="24" t="s">
        <v>55</v>
      </c>
      <c r="BE242" s="24"/>
      <c r="BF242" s="24" t="s">
        <v>56</v>
      </c>
      <c r="BG242" s="24"/>
      <c r="BH242" s="24" t="s">
        <v>57</v>
      </c>
      <c r="BI242" s="24"/>
      <c r="BJ242" s="24" t="s">
        <v>58</v>
      </c>
      <c r="BK242" s="24"/>
      <c r="BL242" s="24" t="s">
        <v>59</v>
      </c>
      <c r="BM242" s="24"/>
      <c r="BN242" s="24" t="s">
        <v>54</v>
      </c>
      <c r="BO242" s="24"/>
      <c r="BP242" s="24" t="s">
        <v>55</v>
      </c>
      <c r="BQ242" s="24"/>
      <c r="BR242" s="24" t="s">
        <v>56</v>
      </c>
      <c r="BS242" s="24"/>
      <c r="BT242" s="24" t="s">
        <v>57</v>
      </c>
      <c r="BU242" s="24"/>
      <c r="BV242" s="24" t="s">
        <v>58</v>
      </c>
      <c r="BW242" s="24"/>
      <c r="BX242" s="24" t="s">
        <v>59</v>
      </c>
      <c r="BY242" s="24"/>
      <c r="BZ242" s="24" t="s">
        <v>54</v>
      </c>
      <c r="CA242" s="24"/>
      <c r="CB242" s="24" t="s">
        <v>55</v>
      </c>
      <c r="CC242" s="24"/>
      <c r="CD242" s="24" t="s">
        <v>56</v>
      </c>
      <c r="CE242" s="24"/>
      <c r="CF242" s="24" t="s">
        <v>57</v>
      </c>
      <c r="CG242" s="24"/>
      <c r="CH242" s="24" t="s">
        <v>58</v>
      </c>
      <c r="CI242" s="24"/>
      <c r="CJ242" s="24" t="s">
        <v>59</v>
      </c>
      <c r="CK242" s="24"/>
      <c r="CL242" s="24" t="s">
        <v>54</v>
      </c>
      <c r="CM242" s="24"/>
      <c r="CN242" s="24" t="s">
        <v>55</v>
      </c>
      <c r="CO242" s="24"/>
      <c r="CP242" s="24" t="s">
        <v>56</v>
      </c>
      <c r="CQ242" s="24"/>
      <c r="CR242" s="24" t="s">
        <v>57</v>
      </c>
      <c r="CS242" s="24"/>
      <c r="CT242" s="24" t="s">
        <v>58</v>
      </c>
      <c r="CU242" s="24"/>
      <c r="CV242" s="24" t="s">
        <v>59</v>
      </c>
      <c r="CW242" s="24"/>
      <c r="CX242" s="24" t="s">
        <v>61</v>
      </c>
    </row>
    <row r="243" spans="2:102" ht="12.75">
      <c r="B243" s="6"/>
      <c r="C243" s="6"/>
      <c r="D243" s="6"/>
      <c r="E243" s="2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</row>
    <row r="244" spans="2:102" ht="12.75">
      <c r="B244" s="30" t="s">
        <v>230</v>
      </c>
      <c r="C244" s="30"/>
      <c r="D244" s="6"/>
      <c r="E244" s="2"/>
      <c r="F244" s="24" t="s">
        <v>236</v>
      </c>
      <c r="G244" s="24"/>
      <c r="H244" s="24" t="s">
        <v>236</v>
      </c>
      <c r="I244" s="24"/>
      <c r="J244" s="24" t="s">
        <v>236</v>
      </c>
      <c r="K244" s="24"/>
      <c r="L244" s="24" t="s">
        <v>236</v>
      </c>
      <c r="M244" s="24"/>
      <c r="N244" s="24" t="s">
        <v>236</v>
      </c>
      <c r="O244" s="24"/>
      <c r="P244" s="24" t="s">
        <v>236</v>
      </c>
      <c r="Q244" s="24"/>
      <c r="R244" s="24" t="s">
        <v>237</v>
      </c>
      <c r="S244" s="24"/>
      <c r="T244" s="24" t="s">
        <v>237</v>
      </c>
      <c r="U244" s="24"/>
      <c r="V244" s="24" t="s">
        <v>237</v>
      </c>
      <c r="W244" s="24"/>
      <c r="X244" s="24" t="s">
        <v>237</v>
      </c>
      <c r="Y244" s="24"/>
      <c r="Z244" s="24" t="s">
        <v>237</v>
      </c>
      <c r="AA244" s="24"/>
      <c r="AB244" s="24" t="s">
        <v>237</v>
      </c>
      <c r="AC244" s="24"/>
      <c r="AD244" s="24" t="s">
        <v>238</v>
      </c>
      <c r="AE244" s="24"/>
      <c r="AF244" s="24" t="s">
        <v>238</v>
      </c>
      <c r="AG244" s="24"/>
      <c r="AH244" s="24" t="s">
        <v>238</v>
      </c>
      <c r="AI244" s="24"/>
      <c r="AJ244" s="24" t="s">
        <v>238</v>
      </c>
      <c r="AK244" s="24"/>
      <c r="AL244" s="24" t="s">
        <v>238</v>
      </c>
      <c r="AM244" s="24"/>
      <c r="AN244" s="24" t="s">
        <v>238</v>
      </c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 t="s">
        <v>240</v>
      </c>
      <c r="BC244" s="24"/>
      <c r="BD244" s="24" t="s">
        <v>240</v>
      </c>
      <c r="BE244" s="24"/>
      <c r="BF244" s="24" t="s">
        <v>240</v>
      </c>
      <c r="BG244" s="24"/>
      <c r="BH244" s="24" t="s">
        <v>240</v>
      </c>
      <c r="BI244" s="24"/>
      <c r="BJ244" s="24" t="s">
        <v>240</v>
      </c>
      <c r="BK244" s="24"/>
      <c r="BL244" s="24" t="s">
        <v>240</v>
      </c>
      <c r="BM244" s="24"/>
      <c r="BN244" s="24" t="s">
        <v>241</v>
      </c>
      <c r="BO244" s="24"/>
      <c r="BP244" s="24" t="s">
        <v>241</v>
      </c>
      <c r="BQ244" s="24"/>
      <c r="BR244" s="24" t="s">
        <v>241</v>
      </c>
      <c r="BS244" s="24"/>
      <c r="BT244" s="24" t="s">
        <v>241</v>
      </c>
      <c r="BU244" s="24"/>
      <c r="BV244" s="24" t="s">
        <v>241</v>
      </c>
      <c r="BW244" s="24"/>
      <c r="BX244" s="24" t="s">
        <v>241</v>
      </c>
      <c r="BY244" s="24"/>
      <c r="BZ244" s="24" t="s">
        <v>242</v>
      </c>
      <c r="CA244" s="24"/>
      <c r="CB244" s="24" t="s">
        <v>242</v>
      </c>
      <c r="CC244" s="24"/>
      <c r="CD244" s="24" t="s">
        <v>242</v>
      </c>
      <c r="CE244" s="24"/>
      <c r="CF244" s="24" t="s">
        <v>242</v>
      </c>
      <c r="CG244" s="24"/>
      <c r="CH244" s="24" t="s">
        <v>242</v>
      </c>
      <c r="CI244" s="24"/>
      <c r="CJ244" s="24" t="s">
        <v>242</v>
      </c>
      <c r="CK244" s="24"/>
      <c r="CL244" s="24" t="s">
        <v>243</v>
      </c>
      <c r="CM244" s="24"/>
      <c r="CN244" s="24" t="s">
        <v>243</v>
      </c>
      <c r="CO244" s="24"/>
      <c r="CP244" s="24" t="s">
        <v>243</v>
      </c>
      <c r="CQ244" s="24"/>
      <c r="CR244" s="24" t="s">
        <v>243</v>
      </c>
      <c r="CS244" s="24"/>
      <c r="CT244" s="24" t="s">
        <v>243</v>
      </c>
      <c r="CU244" s="24"/>
      <c r="CV244" s="24" t="s">
        <v>243</v>
      </c>
      <c r="CW244" s="24"/>
      <c r="CX244" s="24" t="s">
        <v>243</v>
      </c>
    </row>
    <row r="245" spans="2:102" ht="12.75">
      <c r="B245" s="30" t="s">
        <v>231</v>
      </c>
      <c r="C245" s="30"/>
      <c r="E245" s="2"/>
      <c r="F245" s="2" t="s">
        <v>235</v>
      </c>
      <c r="G245" s="2"/>
      <c r="H245" s="2" t="s">
        <v>235</v>
      </c>
      <c r="I245" s="2"/>
      <c r="J245" s="2" t="s">
        <v>235</v>
      </c>
      <c r="K245" s="2"/>
      <c r="L245" s="2" t="s">
        <v>235</v>
      </c>
      <c r="M245" s="2"/>
      <c r="N245" s="2" t="s">
        <v>235</v>
      </c>
      <c r="O245" s="2"/>
      <c r="P245" s="2" t="s">
        <v>235</v>
      </c>
      <c r="Q245" s="2"/>
      <c r="R245" s="2" t="s">
        <v>118</v>
      </c>
      <c r="S245" s="2"/>
      <c r="T245" s="2" t="s">
        <v>118</v>
      </c>
      <c r="U245" s="2"/>
      <c r="V245" s="2" t="s">
        <v>118</v>
      </c>
      <c r="W245" s="2"/>
      <c r="X245" s="2" t="s">
        <v>118</v>
      </c>
      <c r="Y245" s="2"/>
      <c r="Z245" s="2" t="s">
        <v>118</v>
      </c>
      <c r="AA245" s="2"/>
      <c r="AB245" s="2" t="s">
        <v>118</v>
      </c>
      <c r="AC245" s="2"/>
      <c r="AD245" s="2" t="s">
        <v>118</v>
      </c>
      <c r="AE245" s="2"/>
      <c r="AF245" s="2" t="s">
        <v>118</v>
      </c>
      <c r="AG245" s="2"/>
      <c r="AH245" s="2" t="s">
        <v>118</v>
      </c>
      <c r="AI245" s="2"/>
      <c r="AJ245" s="2" t="s">
        <v>118</v>
      </c>
      <c r="AK245" s="2"/>
      <c r="AL245" s="2" t="s">
        <v>118</v>
      </c>
      <c r="AM245" s="2"/>
      <c r="AN245" s="2" t="s">
        <v>118</v>
      </c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 t="s">
        <v>239</v>
      </c>
      <c r="BC245" s="2"/>
      <c r="BD245" s="2" t="s">
        <v>239</v>
      </c>
      <c r="BE245" s="2"/>
      <c r="BF245" s="2" t="s">
        <v>239</v>
      </c>
      <c r="BG245" s="2"/>
      <c r="BH245" s="2" t="s">
        <v>239</v>
      </c>
      <c r="BI245" s="2"/>
      <c r="BJ245" s="2" t="s">
        <v>239</v>
      </c>
      <c r="BK245" s="2"/>
      <c r="BL245" s="2" t="s">
        <v>239</v>
      </c>
      <c r="BM245" s="2"/>
      <c r="BN245" s="4" t="s">
        <v>65</v>
      </c>
      <c r="BO245" s="2"/>
      <c r="BP245" s="4" t="s">
        <v>65</v>
      </c>
      <c r="BQ245" s="2"/>
      <c r="BR245" s="4" t="s">
        <v>65</v>
      </c>
      <c r="BS245" s="2"/>
      <c r="BT245" s="4" t="s">
        <v>65</v>
      </c>
      <c r="BU245" s="2"/>
      <c r="BV245" s="4" t="s">
        <v>65</v>
      </c>
      <c r="BW245" s="2"/>
      <c r="BX245" s="4" t="s">
        <v>65</v>
      </c>
      <c r="BY245" s="2"/>
      <c r="BZ245" s="2" t="s">
        <v>235</v>
      </c>
      <c r="CA245" s="2"/>
      <c r="CB245" s="2" t="s">
        <v>235</v>
      </c>
      <c r="CC245" s="2"/>
      <c r="CD245" s="2" t="s">
        <v>235</v>
      </c>
      <c r="CF245" s="2" t="s">
        <v>235</v>
      </c>
      <c r="CH245" s="2" t="s">
        <v>235</v>
      </c>
      <c r="CJ245" s="2" t="s">
        <v>235</v>
      </c>
      <c r="CL245" s="4" t="s">
        <v>66</v>
      </c>
      <c r="CN245" s="4" t="s">
        <v>66</v>
      </c>
      <c r="CP245" s="4" t="s">
        <v>66</v>
      </c>
      <c r="CR245" s="4" t="s">
        <v>66</v>
      </c>
      <c r="CT245" s="4" t="s">
        <v>66</v>
      </c>
      <c r="CV245" s="4" t="s">
        <v>66</v>
      </c>
      <c r="CX245" s="4" t="s">
        <v>66</v>
      </c>
    </row>
    <row r="246" spans="2:102" ht="12.75">
      <c r="B246" s="30" t="s">
        <v>232</v>
      </c>
      <c r="C246" s="30"/>
      <c r="F246" s="4" t="s">
        <v>62</v>
      </c>
      <c r="H246" s="4" t="s">
        <v>62</v>
      </c>
      <c r="J246" s="4" t="s">
        <v>62</v>
      </c>
      <c r="L246" s="4" t="s">
        <v>62</v>
      </c>
      <c r="N246" s="4" t="s">
        <v>62</v>
      </c>
      <c r="P246" s="4" t="s">
        <v>62</v>
      </c>
      <c r="R246" s="4" t="s">
        <v>63</v>
      </c>
      <c r="T246" s="4" t="s">
        <v>63</v>
      </c>
      <c r="V246" s="4" t="s">
        <v>63</v>
      </c>
      <c r="X246" s="4" t="s">
        <v>63</v>
      </c>
      <c r="Z246" s="4" t="s">
        <v>63</v>
      </c>
      <c r="AB246" s="4" t="s">
        <v>63</v>
      </c>
      <c r="AD246" s="4" t="s">
        <v>63</v>
      </c>
      <c r="AF246" s="4" t="s">
        <v>63</v>
      </c>
      <c r="AH246" s="4" t="s">
        <v>63</v>
      </c>
      <c r="AJ246" s="4" t="s">
        <v>63</v>
      </c>
      <c r="AL246" s="4" t="s">
        <v>63</v>
      </c>
      <c r="AN246" s="4" t="s">
        <v>63</v>
      </c>
      <c r="BB246" s="4" t="s">
        <v>64</v>
      </c>
      <c r="BD246" s="4" t="s">
        <v>64</v>
      </c>
      <c r="BF246" s="4" t="s">
        <v>64</v>
      </c>
      <c r="BH246" s="4" t="s">
        <v>64</v>
      </c>
      <c r="BJ246" s="4" t="s">
        <v>64</v>
      </c>
      <c r="BL246" s="4" t="s">
        <v>64</v>
      </c>
      <c r="BN246" s="4" t="s">
        <v>65</v>
      </c>
      <c r="BP246" s="4" t="s">
        <v>65</v>
      </c>
      <c r="BR246" s="4" t="s">
        <v>65</v>
      </c>
      <c r="BT246" s="4" t="s">
        <v>65</v>
      </c>
      <c r="BV246" s="4" t="s">
        <v>65</v>
      </c>
      <c r="BX246" s="4" t="s">
        <v>65</v>
      </c>
      <c r="BZ246" s="4" t="s">
        <v>120</v>
      </c>
      <c r="CB246" s="4" t="s">
        <v>120</v>
      </c>
      <c r="CD246" s="4" t="s">
        <v>120</v>
      </c>
      <c r="CF246" s="4" t="s">
        <v>120</v>
      </c>
      <c r="CH246" s="4" t="s">
        <v>120</v>
      </c>
      <c r="CJ246" s="4" t="s">
        <v>120</v>
      </c>
      <c r="CL246" s="4" t="s">
        <v>66</v>
      </c>
      <c r="CN246" s="4" t="s">
        <v>66</v>
      </c>
      <c r="CP246" s="4" t="s">
        <v>66</v>
      </c>
      <c r="CR246" s="4" t="s">
        <v>66</v>
      </c>
      <c r="CT246" s="4" t="s">
        <v>66</v>
      </c>
      <c r="CV246" s="4" t="s">
        <v>66</v>
      </c>
      <c r="CX246" s="4" t="s">
        <v>66</v>
      </c>
    </row>
    <row r="247" spans="1:82" ht="12.75">
      <c r="A247" s="4" t="s">
        <v>30</v>
      </c>
      <c r="B247" s="4" t="s">
        <v>233</v>
      </c>
      <c r="D247" s="4" t="s">
        <v>69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8">
        <v>14351.946</v>
      </c>
      <c r="BC247" s="8"/>
      <c r="BD247" s="8">
        <v>14396.038</v>
      </c>
      <c r="BE247" s="8"/>
      <c r="BF247" s="8">
        <v>14219.67</v>
      </c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 ht="12.75">
      <c r="A248" s="4" t="s">
        <v>30</v>
      </c>
      <c r="B248" s="4" t="s">
        <v>234</v>
      </c>
      <c r="D248" s="4" t="s">
        <v>52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8">
        <v>11914.760548848219</v>
      </c>
      <c r="BC248" s="8"/>
      <c r="BD248" s="8">
        <v>12017.195286647617</v>
      </c>
      <c r="BE248" s="8"/>
      <c r="BF248" s="8">
        <v>12025.595530698</v>
      </c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 ht="12.75">
      <c r="A249" s="4" t="s">
        <v>30</v>
      </c>
      <c r="B249" s="4" t="s">
        <v>51</v>
      </c>
      <c r="D249" s="4" t="s">
        <v>69</v>
      </c>
      <c r="E249" s="2"/>
      <c r="F249" s="15">
        <v>6.17288</v>
      </c>
      <c r="G249" s="15"/>
      <c r="H249" s="15">
        <v>7.05472</v>
      </c>
      <c r="I249" s="15"/>
      <c r="J249" s="15">
        <v>17.41634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8">
        <v>507.058</v>
      </c>
      <c r="BC249" s="8"/>
      <c r="BD249" s="8">
        <v>705.472</v>
      </c>
      <c r="BE249" s="8"/>
      <c r="BF249" s="8">
        <v>749.564</v>
      </c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</row>
    <row r="250" spans="5:82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2:102" ht="12.75">
      <c r="B251" s="6" t="s">
        <v>31</v>
      </c>
      <c r="C251" s="6"/>
      <c r="D251" s="6"/>
      <c r="E251" s="2"/>
      <c r="F251" s="24" t="s">
        <v>54</v>
      </c>
      <c r="G251" s="24"/>
      <c r="H251" s="24" t="s">
        <v>55</v>
      </c>
      <c r="I251" s="24"/>
      <c r="J251" s="24" t="s">
        <v>56</v>
      </c>
      <c r="K251" s="24"/>
      <c r="L251" s="24" t="s">
        <v>57</v>
      </c>
      <c r="M251" s="24"/>
      <c r="N251" s="24" t="s">
        <v>58</v>
      </c>
      <c r="O251" s="24"/>
      <c r="P251" s="24" t="s">
        <v>59</v>
      </c>
      <c r="Q251" s="24"/>
      <c r="R251" s="24" t="s">
        <v>54</v>
      </c>
      <c r="S251" s="24"/>
      <c r="T251" s="24" t="s">
        <v>55</v>
      </c>
      <c r="U251" s="24"/>
      <c r="V251" s="24" t="s">
        <v>56</v>
      </c>
      <c r="W251" s="24"/>
      <c r="X251" s="24" t="s">
        <v>57</v>
      </c>
      <c r="Y251" s="24"/>
      <c r="Z251" s="24" t="s">
        <v>58</v>
      </c>
      <c r="AA251" s="24"/>
      <c r="AB251" s="24" t="s">
        <v>59</v>
      </c>
      <c r="AC251" s="24"/>
      <c r="AD251" s="24" t="s">
        <v>54</v>
      </c>
      <c r="AE251" s="24"/>
      <c r="AF251" s="24" t="s">
        <v>55</v>
      </c>
      <c r="AG251" s="24"/>
      <c r="AH251" s="24" t="s">
        <v>56</v>
      </c>
      <c r="AI251" s="24"/>
      <c r="AJ251" s="24" t="s">
        <v>57</v>
      </c>
      <c r="AK251" s="24"/>
      <c r="AL251" s="24" t="s">
        <v>58</v>
      </c>
      <c r="AM251" s="24"/>
      <c r="AN251" s="24" t="s">
        <v>59</v>
      </c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 t="s">
        <v>54</v>
      </c>
      <c r="BC251" s="24"/>
      <c r="BD251" s="24" t="s">
        <v>55</v>
      </c>
      <c r="BE251" s="24"/>
      <c r="BF251" s="24" t="s">
        <v>56</v>
      </c>
      <c r="BG251" s="24"/>
      <c r="BH251" s="24" t="s">
        <v>57</v>
      </c>
      <c r="BI251" s="24"/>
      <c r="BJ251" s="24" t="s">
        <v>58</v>
      </c>
      <c r="BK251" s="24"/>
      <c r="BL251" s="24" t="s">
        <v>59</v>
      </c>
      <c r="BM251" s="24"/>
      <c r="BN251" s="24" t="s">
        <v>54</v>
      </c>
      <c r="BO251" s="24"/>
      <c r="BP251" s="24" t="s">
        <v>55</v>
      </c>
      <c r="BQ251" s="24"/>
      <c r="BR251" s="24" t="s">
        <v>56</v>
      </c>
      <c r="BS251" s="24"/>
      <c r="BT251" s="24" t="s">
        <v>57</v>
      </c>
      <c r="BU251" s="24"/>
      <c r="BV251" s="24" t="s">
        <v>58</v>
      </c>
      <c r="BW251" s="24"/>
      <c r="BX251" s="24" t="s">
        <v>59</v>
      </c>
      <c r="BY251" s="24"/>
      <c r="BZ251" s="24" t="s">
        <v>54</v>
      </c>
      <c r="CA251" s="24"/>
      <c r="CB251" s="24" t="s">
        <v>55</v>
      </c>
      <c r="CC251" s="24"/>
      <c r="CD251" s="24" t="s">
        <v>56</v>
      </c>
      <c r="CE251" s="24"/>
      <c r="CF251" s="24" t="s">
        <v>57</v>
      </c>
      <c r="CG251" s="24"/>
      <c r="CH251" s="24" t="s">
        <v>58</v>
      </c>
      <c r="CI251" s="24"/>
      <c r="CJ251" s="24" t="s">
        <v>59</v>
      </c>
      <c r="CK251" s="24"/>
      <c r="CL251" s="24" t="s">
        <v>54</v>
      </c>
      <c r="CM251" s="24"/>
      <c r="CN251" s="24" t="s">
        <v>55</v>
      </c>
      <c r="CO251" s="24"/>
      <c r="CP251" s="24" t="s">
        <v>56</v>
      </c>
      <c r="CQ251" s="24"/>
      <c r="CR251" s="24" t="s">
        <v>57</v>
      </c>
      <c r="CS251" s="24"/>
      <c r="CT251" s="24" t="s">
        <v>58</v>
      </c>
      <c r="CU251" s="24"/>
      <c r="CV251" s="24" t="s">
        <v>59</v>
      </c>
      <c r="CW251" s="24"/>
      <c r="CX251" s="24" t="s">
        <v>61</v>
      </c>
    </row>
    <row r="252" spans="2:102" ht="12.75">
      <c r="B252" s="6"/>
      <c r="C252" s="6"/>
      <c r="D252" s="6"/>
      <c r="E252" s="2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</row>
    <row r="253" spans="2:102" ht="12.75">
      <c r="B253" s="30" t="s">
        <v>230</v>
      </c>
      <c r="C253" s="30"/>
      <c r="D253" s="6"/>
      <c r="E253" s="2"/>
      <c r="F253" s="24" t="s">
        <v>236</v>
      </c>
      <c r="G253" s="24"/>
      <c r="H253" s="24" t="s">
        <v>236</v>
      </c>
      <c r="I253" s="24"/>
      <c r="J253" s="24" t="s">
        <v>236</v>
      </c>
      <c r="K253" s="24"/>
      <c r="L253" s="24" t="s">
        <v>236</v>
      </c>
      <c r="M253" s="24"/>
      <c r="N253" s="24" t="s">
        <v>236</v>
      </c>
      <c r="O253" s="24"/>
      <c r="P253" s="24" t="s">
        <v>236</v>
      </c>
      <c r="Q253" s="24"/>
      <c r="R253" s="24" t="s">
        <v>237</v>
      </c>
      <c r="S253" s="24"/>
      <c r="T253" s="24" t="s">
        <v>237</v>
      </c>
      <c r="U253" s="24"/>
      <c r="V253" s="24" t="s">
        <v>237</v>
      </c>
      <c r="W253" s="24"/>
      <c r="X253" s="24" t="s">
        <v>237</v>
      </c>
      <c r="Y253" s="24"/>
      <c r="Z253" s="24" t="s">
        <v>237</v>
      </c>
      <c r="AA253" s="24"/>
      <c r="AB253" s="24" t="s">
        <v>237</v>
      </c>
      <c r="AC253" s="24"/>
      <c r="AD253" s="24" t="s">
        <v>238</v>
      </c>
      <c r="AE253" s="24"/>
      <c r="AF253" s="24" t="s">
        <v>238</v>
      </c>
      <c r="AG253" s="24"/>
      <c r="AH253" s="24" t="s">
        <v>238</v>
      </c>
      <c r="AI253" s="24"/>
      <c r="AJ253" s="24" t="s">
        <v>238</v>
      </c>
      <c r="AK253" s="24"/>
      <c r="AL253" s="24" t="s">
        <v>238</v>
      </c>
      <c r="AM253" s="24"/>
      <c r="AN253" s="24" t="s">
        <v>238</v>
      </c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 t="s">
        <v>240</v>
      </c>
      <c r="BC253" s="24"/>
      <c r="BD253" s="24" t="s">
        <v>240</v>
      </c>
      <c r="BE253" s="24"/>
      <c r="BF253" s="24" t="s">
        <v>240</v>
      </c>
      <c r="BG253" s="24"/>
      <c r="BH253" s="24" t="s">
        <v>240</v>
      </c>
      <c r="BI253" s="24"/>
      <c r="BJ253" s="24" t="s">
        <v>240</v>
      </c>
      <c r="BK253" s="24"/>
      <c r="BL253" s="24" t="s">
        <v>240</v>
      </c>
      <c r="BM253" s="24"/>
      <c r="BN253" s="24" t="s">
        <v>241</v>
      </c>
      <c r="BO253" s="24"/>
      <c r="BP253" s="24" t="s">
        <v>241</v>
      </c>
      <c r="BQ253" s="24"/>
      <c r="BR253" s="24" t="s">
        <v>241</v>
      </c>
      <c r="BS253" s="24"/>
      <c r="BT253" s="24" t="s">
        <v>241</v>
      </c>
      <c r="BU253" s="24"/>
      <c r="BV253" s="24" t="s">
        <v>241</v>
      </c>
      <c r="BW253" s="24"/>
      <c r="BX253" s="24" t="s">
        <v>241</v>
      </c>
      <c r="BY253" s="24"/>
      <c r="BZ253" s="24" t="s">
        <v>242</v>
      </c>
      <c r="CA253" s="24"/>
      <c r="CB253" s="24" t="s">
        <v>242</v>
      </c>
      <c r="CC253" s="24"/>
      <c r="CD253" s="24" t="s">
        <v>242</v>
      </c>
      <c r="CE253" s="24"/>
      <c r="CF253" s="24" t="s">
        <v>242</v>
      </c>
      <c r="CG253" s="24"/>
      <c r="CH253" s="24" t="s">
        <v>242</v>
      </c>
      <c r="CI253" s="24"/>
      <c r="CJ253" s="24" t="s">
        <v>242</v>
      </c>
      <c r="CK253" s="24"/>
      <c r="CL253" s="24" t="s">
        <v>243</v>
      </c>
      <c r="CM253" s="24"/>
      <c r="CN253" s="24" t="s">
        <v>243</v>
      </c>
      <c r="CO253" s="24"/>
      <c r="CP253" s="24" t="s">
        <v>243</v>
      </c>
      <c r="CQ253" s="24"/>
      <c r="CR253" s="24" t="s">
        <v>243</v>
      </c>
      <c r="CS253" s="24"/>
      <c r="CT253" s="24" t="s">
        <v>243</v>
      </c>
      <c r="CU253" s="24"/>
      <c r="CV253" s="24" t="s">
        <v>243</v>
      </c>
      <c r="CW253" s="24"/>
      <c r="CX253" s="24" t="s">
        <v>243</v>
      </c>
    </row>
    <row r="254" spans="2:102" ht="12.75">
      <c r="B254" s="30" t="s">
        <v>231</v>
      </c>
      <c r="C254" s="30"/>
      <c r="E254" s="2"/>
      <c r="F254" s="2" t="s">
        <v>235</v>
      </c>
      <c r="G254" s="2"/>
      <c r="H254" s="2" t="s">
        <v>235</v>
      </c>
      <c r="I254" s="2"/>
      <c r="J254" s="2" t="s">
        <v>235</v>
      </c>
      <c r="K254" s="2"/>
      <c r="L254" s="2" t="s">
        <v>235</v>
      </c>
      <c r="M254" s="2"/>
      <c r="N254" s="2" t="s">
        <v>235</v>
      </c>
      <c r="O254" s="2"/>
      <c r="P254" s="2" t="s">
        <v>235</v>
      </c>
      <c r="Q254" s="2"/>
      <c r="R254" s="2" t="s">
        <v>118</v>
      </c>
      <c r="S254" s="2"/>
      <c r="T254" s="2" t="s">
        <v>118</v>
      </c>
      <c r="U254" s="2"/>
      <c r="V254" s="2" t="s">
        <v>118</v>
      </c>
      <c r="W254" s="2"/>
      <c r="X254" s="2" t="s">
        <v>118</v>
      </c>
      <c r="Y254" s="2"/>
      <c r="Z254" s="2" t="s">
        <v>118</v>
      </c>
      <c r="AA254" s="2"/>
      <c r="AB254" s="2" t="s">
        <v>118</v>
      </c>
      <c r="AC254" s="2"/>
      <c r="AD254" s="2" t="s">
        <v>118</v>
      </c>
      <c r="AE254" s="2"/>
      <c r="AF254" s="2" t="s">
        <v>118</v>
      </c>
      <c r="AG254" s="2"/>
      <c r="AH254" s="2" t="s">
        <v>118</v>
      </c>
      <c r="AI254" s="2"/>
      <c r="AJ254" s="2" t="s">
        <v>118</v>
      </c>
      <c r="AK254" s="2"/>
      <c r="AL254" s="2" t="s">
        <v>118</v>
      </c>
      <c r="AM254" s="2"/>
      <c r="AN254" s="2" t="s">
        <v>118</v>
      </c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 t="s">
        <v>239</v>
      </c>
      <c r="BC254" s="2"/>
      <c r="BD254" s="2" t="s">
        <v>239</v>
      </c>
      <c r="BE254" s="2"/>
      <c r="BF254" s="2" t="s">
        <v>239</v>
      </c>
      <c r="BG254" s="2"/>
      <c r="BH254" s="2" t="s">
        <v>239</v>
      </c>
      <c r="BI254" s="2"/>
      <c r="BJ254" s="2" t="s">
        <v>239</v>
      </c>
      <c r="BK254" s="2"/>
      <c r="BL254" s="2" t="s">
        <v>239</v>
      </c>
      <c r="BM254" s="2"/>
      <c r="BN254" s="4" t="s">
        <v>65</v>
      </c>
      <c r="BO254" s="2"/>
      <c r="BP254" s="4" t="s">
        <v>65</v>
      </c>
      <c r="BQ254" s="2"/>
      <c r="BR254" s="4" t="s">
        <v>65</v>
      </c>
      <c r="BS254" s="2"/>
      <c r="BT254" s="4" t="s">
        <v>65</v>
      </c>
      <c r="BU254" s="2"/>
      <c r="BV254" s="4" t="s">
        <v>65</v>
      </c>
      <c r="BW254" s="2"/>
      <c r="BX254" s="4" t="s">
        <v>65</v>
      </c>
      <c r="BY254" s="2"/>
      <c r="BZ254" s="2" t="s">
        <v>235</v>
      </c>
      <c r="CA254" s="2"/>
      <c r="CB254" s="2" t="s">
        <v>235</v>
      </c>
      <c r="CC254" s="2"/>
      <c r="CD254" s="2" t="s">
        <v>235</v>
      </c>
      <c r="CF254" s="2" t="s">
        <v>235</v>
      </c>
      <c r="CH254" s="2" t="s">
        <v>235</v>
      </c>
      <c r="CJ254" s="2" t="s">
        <v>235</v>
      </c>
      <c r="CL254" s="4" t="s">
        <v>66</v>
      </c>
      <c r="CN254" s="4" t="s">
        <v>66</v>
      </c>
      <c r="CP254" s="4" t="s">
        <v>66</v>
      </c>
      <c r="CR254" s="4" t="s">
        <v>66</v>
      </c>
      <c r="CT254" s="4" t="s">
        <v>66</v>
      </c>
      <c r="CV254" s="4" t="s">
        <v>66</v>
      </c>
      <c r="CX254" s="4" t="s">
        <v>66</v>
      </c>
    </row>
    <row r="255" spans="2:102" ht="12.75">
      <c r="B255" s="30" t="s">
        <v>232</v>
      </c>
      <c r="C255" s="30"/>
      <c r="F255" s="4" t="s">
        <v>62</v>
      </c>
      <c r="H255" s="4" t="s">
        <v>62</v>
      </c>
      <c r="J255" s="4" t="s">
        <v>62</v>
      </c>
      <c r="L255" s="4" t="s">
        <v>62</v>
      </c>
      <c r="N255" s="4" t="s">
        <v>62</v>
      </c>
      <c r="P255" s="4" t="s">
        <v>62</v>
      </c>
      <c r="R255" s="4" t="s">
        <v>63</v>
      </c>
      <c r="T255" s="4" t="s">
        <v>63</v>
      </c>
      <c r="V255" s="4" t="s">
        <v>63</v>
      </c>
      <c r="X255" s="4" t="s">
        <v>63</v>
      </c>
      <c r="Z255" s="4" t="s">
        <v>63</v>
      </c>
      <c r="AB255" s="4" t="s">
        <v>63</v>
      </c>
      <c r="AD255" s="4" t="s">
        <v>63</v>
      </c>
      <c r="AF255" s="4" t="s">
        <v>63</v>
      </c>
      <c r="AH255" s="4" t="s">
        <v>63</v>
      </c>
      <c r="AJ255" s="4" t="s">
        <v>63</v>
      </c>
      <c r="AL255" s="4" t="s">
        <v>63</v>
      </c>
      <c r="AN255" s="4" t="s">
        <v>63</v>
      </c>
      <c r="BB255" s="4" t="s">
        <v>64</v>
      </c>
      <c r="BD255" s="4" t="s">
        <v>64</v>
      </c>
      <c r="BF255" s="4" t="s">
        <v>64</v>
      </c>
      <c r="BH255" s="4" t="s">
        <v>64</v>
      </c>
      <c r="BJ255" s="4" t="s">
        <v>64</v>
      </c>
      <c r="BL255" s="4" t="s">
        <v>64</v>
      </c>
      <c r="BN255" s="4" t="s">
        <v>65</v>
      </c>
      <c r="BP255" s="4" t="s">
        <v>65</v>
      </c>
      <c r="BR255" s="4" t="s">
        <v>65</v>
      </c>
      <c r="BT255" s="4" t="s">
        <v>65</v>
      </c>
      <c r="BV255" s="4" t="s">
        <v>65</v>
      </c>
      <c r="BX255" s="4" t="s">
        <v>65</v>
      </c>
      <c r="BZ255" s="4" t="s">
        <v>120</v>
      </c>
      <c r="CB255" s="4" t="s">
        <v>120</v>
      </c>
      <c r="CD255" s="4" t="s">
        <v>120</v>
      </c>
      <c r="CF255" s="4" t="s">
        <v>120</v>
      </c>
      <c r="CH255" s="4" t="s">
        <v>120</v>
      </c>
      <c r="CJ255" s="4" t="s">
        <v>120</v>
      </c>
      <c r="CL255" s="4" t="s">
        <v>66</v>
      </c>
      <c r="CN255" s="4" t="s">
        <v>66</v>
      </c>
      <c r="CP255" s="4" t="s">
        <v>66</v>
      </c>
      <c r="CR255" s="4" t="s">
        <v>66</v>
      </c>
      <c r="CT255" s="4" t="s">
        <v>66</v>
      </c>
      <c r="CV255" s="4" t="s">
        <v>66</v>
      </c>
      <c r="CX255" s="4" t="s">
        <v>66</v>
      </c>
    </row>
    <row r="256" spans="1:82" ht="12.75">
      <c r="A256" s="4" t="s">
        <v>31</v>
      </c>
      <c r="B256" s="4" t="s">
        <v>233</v>
      </c>
      <c r="D256" s="4" t="s">
        <v>69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8">
        <v>11111.184</v>
      </c>
      <c r="BC256" s="8"/>
      <c r="BD256" s="8">
        <v>11309.598</v>
      </c>
      <c r="BE256" s="8"/>
      <c r="BF256" s="8">
        <v>11309.598</v>
      </c>
      <c r="BG256" s="8"/>
      <c r="BH256" s="8"/>
      <c r="BI256" s="8"/>
      <c r="BJ256" s="8"/>
      <c r="BK256" s="8"/>
      <c r="BL256" s="8"/>
      <c r="BM256" s="8"/>
      <c r="BN256" s="8">
        <v>4409.2</v>
      </c>
      <c r="BO256" s="8"/>
      <c r="BP256" s="8">
        <v>4894.212</v>
      </c>
      <c r="BQ256" s="8"/>
      <c r="BR256" s="8">
        <v>4541.476</v>
      </c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ht="12.75">
      <c r="A257" s="4" t="s">
        <v>31</v>
      </c>
      <c r="B257" s="4" t="s">
        <v>234</v>
      </c>
      <c r="D257" s="4" t="s">
        <v>52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8">
        <v>9809.935646822158</v>
      </c>
      <c r="BC257" s="8"/>
      <c r="BD257" s="8">
        <v>9991.5134030405</v>
      </c>
      <c r="BE257" s="8"/>
      <c r="BF257" s="8">
        <v>11936.763800092629</v>
      </c>
      <c r="BG257" s="8"/>
      <c r="BH257" s="8"/>
      <c r="BI257" s="8"/>
      <c r="BJ257" s="8"/>
      <c r="BK257" s="8"/>
      <c r="BL257" s="8"/>
      <c r="BM257" s="8"/>
      <c r="BN257" s="8">
        <v>10840.968883244126</v>
      </c>
      <c r="BO257" s="8"/>
      <c r="BP257" s="8">
        <v>9623.612544777381</v>
      </c>
      <c r="BQ257" s="8"/>
      <c r="BR257" s="8">
        <v>10965.59796859</v>
      </c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1:82" ht="12.75">
      <c r="A258" s="4" t="s">
        <v>31</v>
      </c>
      <c r="B258" s="4" t="s">
        <v>51</v>
      </c>
      <c r="D258" s="4" t="s">
        <v>69</v>
      </c>
      <c r="E258" s="2"/>
      <c r="F258" s="34">
        <v>22.046</v>
      </c>
      <c r="G258" s="34"/>
      <c r="H258" s="34">
        <v>17.6368</v>
      </c>
      <c r="I258" s="34"/>
      <c r="J258" s="34">
        <v>11.68438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34">
        <v>167.5496</v>
      </c>
      <c r="BC258" s="34"/>
      <c r="BD258" s="34">
        <v>264.552</v>
      </c>
      <c r="BE258" s="34"/>
      <c r="BF258" s="34">
        <v>191.8002</v>
      </c>
      <c r="BG258" s="3"/>
      <c r="BH258" s="3"/>
      <c r="BI258" s="3"/>
      <c r="BJ258" s="3"/>
      <c r="BK258" s="3"/>
      <c r="BL258" s="3"/>
      <c r="BM258" s="3"/>
      <c r="BN258" s="3">
        <v>7.93656</v>
      </c>
      <c r="BO258" s="3"/>
      <c r="BP258" s="3">
        <v>7.27518</v>
      </c>
      <c r="BQ258" s="3"/>
      <c r="BR258" s="3">
        <v>6.17288</v>
      </c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7109375" style="0" customWidth="1"/>
    <col min="4" max="4" width="5.57421875" style="0" customWidth="1"/>
    <col min="5" max="10" width="6.28125" style="0" customWidth="1"/>
    <col min="11" max="13" width="5.7109375" style="0" customWidth="1"/>
  </cols>
  <sheetData>
    <row r="1" ht="12.75">
      <c r="C1" s="7" t="s">
        <v>181</v>
      </c>
    </row>
    <row r="3" ht="12.75">
      <c r="C3" s="7" t="str">
        <f>A5</f>
        <v>323C1</v>
      </c>
    </row>
    <row r="5" spans="1:31" s="4" customFormat="1" ht="12.75">
      <c r="A5" s="4" t="s">
        <v>32</v>
      </c>
      <c r="B5" s="4" t="s">
        <v>50</v>
      </c>
      <c r="C5" s="4" t="s">
        <v>176</v>
      </c>
      <c r="D5" s="4" t="s">
        <v>177</v>
      </c>
      <c r="E5" s="2">
        <v>2976</v>
      </c>
      <c r="F5" s="2">
        <v>3053</v>
      </c>
      <c r="G5" s="2">
        <v>2795</v>
      </c>
      <c r="H5" s="2">
        <v>3002</v>
      </c>
      <c r="I5" s="2">
        <v>3011</v>
      </c>
      <c r="J5" s="2">
        <v>2911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22" s="4" customFormat="1" ht="12.75">
      <c r="A6" s="4" t="s">
        <v>32</v>
      </c>
      <c r="B6" s="4" t="s">
        <v>50</v>
      </c>
      <c r="C6" s="4" t="s">
        <v>179</v>
      </c>
      <c r="D6" s="4" t="s">
        <v>177</v>
      </c>
      <c r="E6" s="2">
        <v>470</v>
      </c>
      <c r="F6" s="2">
        <v>481</v>
      </c>
      <c r="G6" s="2">
        <v>511</v>
      </c>
      <c r="H6" s="2">
        <v>496</v>
      </c>
      <c r="I6" s="2">
        <v>500</v>
      </c>
      <c r="J6" s="2">
        <v>487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s="4" customFormat="1" ht="12.75">
      <c r="A7" s="4" t="s">
        <v>32</v>
      </c>
      <c r="B7" s="4" t="s">
        <v>50</v>
      </c>
      <c r="C7" s="4" t="s">
        <v>180</v>
      </c>
      <c r="D7" s="4" t="s">
        <v>178</v>
      </c>
      <c r="E7" s="2">
        <v>38</v>
      </c>
      <c r="F7" s="2">
        <v>38</v>
      </c>
      <c r="G7" s="2">
        <v>78</v>
      </c>
      <c r="H7" s="2">
        <v>60</v>
      </c>
      <c r="I7" s="2">
        <v>64</v>
      </c>
      <c r="J7" s="2">
        <v>39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5:23" s="4" customFormat="1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s="4" customFormat="1" ht="12.75">
      <c r="C9" s="7" t="str">
        <f>A11</f>
        <v>323C2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5:23" s="4" customFormat="1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2" s="4" customFormat="1" ht="12.75">
      <c r="A11" s="4" t="s">
        <v>44</v>
      </c>
      <c r="B11" s="4" t="s">
        <v>50</v>
      </c>
      <c r="C11" s="4" t="s">
        <v>179</v>
      </c>
      <c r="D11" s="4" t="s">
        <v>177</v>
      </c>
      <c r="E11" s="2">
        <v>351</v>
      </c>
      <c r="F11" s="2">
        <v>354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5:22" s="4" customFormat="1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3:22" s="4" customFormat="1" ht="12.75">
      <c r="C13" s="7" t="str">
        <f>A15</f>
        <v>323C3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5:22" s="4" customFormat="1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4" customFormat="1" ht="12.75">
      <c r="A15" s="4" t="s">
        <v>45</v>
      </c>
      <c r="B15" s="4" t="s">
        <v>50</v>
      </c>
      <c r="C15" s="4" t="s">
        <v>179</v>
      </c>
      <c r="D15" s="4" t="s">
        <v>177</v>
      </c>
      <c r="E15" s="2">
        <v>354</v>
      </c>
      <c r="F15" s="2">
        <v>356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5:22" s="4" customFormat="1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2" s="4" customFormat="1" ht="12.75">
      <c r="C17" s="7" t="str">
        <f>A19</f>
        <v>323C4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5:22" s="4" customFormat="1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4" customFormat="1" ht="12.75">
      <c r="A19" s="4" t="s">
        <v>46</v>
      </c>
      <c r="B19" s="4" t="s">
        <v>50</v>
      </c>
      <c r="C19" s="4" t="s">
        <v>179</v>
      </c>
      <c r="D19" s="4" t="s">
        <v>177</v>
      </c>
      <c r="E19" s="2">
        <v>355</v>
      </c>
      <c r="F19" s="2">
        <v>360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5:22" s="4" customFormat="1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3:22" s="4" customFormat="1" ht="12.75">
      <c r="C21" s="7" t="str">
        <f>A23</f>
        <v>323C5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5:22" s="4" customFormat="1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4" customFormat="1" ht="12.75">
      <c r="A23" s="4" t="s">
        <v>47</v>
      </c>
      <c r="B23" s="4" t="s">
        <v>50</v>
      </c>
      <c r="C23" s="4" t="s">
        <v>179</v>
      </c>
      <c r="D23" s="4" t="s">
        <v>177</v>
      </c>
      <c r="E23" s="2">
        <v>354</v>
      </c>
      <c r="F23" s="2">
        <v>360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5:22" s="4" customFormat="1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3:22" s="4" customFormat="1" ht="12.75">
      <c r="C25" s="7" t="str">
        <f>A27</f>
        <v>323C6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5:22" s="4" customFormat="1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31" s="4" customFormat="1" ht="12.75">
      <c r="A27" s="4" t="s">
        <v>48</v>
      </c>
      <c r="B27" s="4" t="s">
        <v>50</v>
      </c>
      <c r="C27" s="4" t="s">
        <v>176</v>
      </c>
      <c r="D27" s="4" t="s">
        <v>177</v>
      </c>
      <c r="E27" s="2">
        <v>1719</v>
      </c>
      <c r="F27" s="2">
        <v>1700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22" s="4" customFormat="1" ht="12.75">
      <c r="A28" s="4" t="s">
        <v>48</v>
      </c>
      <c r="B28" s="4" t="s">
        <v>50</v>
      </c>
      <c r="C28" s="4" t="s">
        <v>179</v>
      </c>
      <c r="D28" s="4" t="s">
        <v>177</v>
      </c>
      <c r="E28" s="2">
        <v>360</v>
      </c>
      <c r="F28" s="2">
        <v>359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5:22" s="4" customFormat="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3:22" s="4" customFormat="1" ht="12.75">
      <c r="C30" s="7" t="str">
        <f>A32</f>
        <v>323C7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5:22" s="4" customFormat="1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31" s="4" customFormat="1" ht="12.75">
      <c r="A32" s="4" t="s">
        <v>49</v>
      </c>
      <c r="B32" s="4" t="s">
        <v>50</v>
      </c>
      <c r="C32" s="4" t="s">
        <v>176</v>
      </c>
      <c r="D32" s="4" t="s">
        <v>177</v>
      </c>
      <c r="E32" s="2">
        <v>1675</v>
      </c>
      <c r="F32" s="2">
        <v>1648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2" s="4" customFormat="1" ht="12.75">
      <c r="A33" s="4" t="s">
        <v>49</v>
      </c>
      <c r="B33" s="4" t="s">
        <v>50</v>
      </c>
      <c r="C33" s="4" t="s">
        <v>179</v>
      </c>
      <c r="D33" s="4" t="s">
        <v>177</v>
      </c>
      <c r="E33" s="2">
        <v>400</v>
      </c>
      <c r="F33" s="2">
        <v>399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5:22" s="4" customFormat="1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3:22" s="4" customFormat="1" ht="12.75">
      <c r="C35" s="7" t="str">
        <f>A37</f>
        <v>323C8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5:22" s="4" customFormat="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31" s="4" customFormat="1" ht="12.75">
      <c r="A37" s="4" t="s">
        <v>34</v>
      </c>
      <c r="B37" s="4" t="s">
        <v>50</v>
      </c>
      <c r="C37" s="4" t="s">
        <v>176</v>
      </c>
      <c r="D37" s="4" t="s">
        <v>177</v>
      </c>
      <c r="E37" s="2">
        <v>2633</v>
      </c>
      <c r="F37" s="2">
        <v>2628</v>
      </c>
      <c r="G37" s="2">
        <v>2613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22" s="4" customFormat="1" ht="12.75">
      <c r="A38" s="4" t="s">
        <v>34</v>
      </c>
      <c r="B38" s="4" t="s">
        <v>50</v>
      </c>
      <c r="C38" s="4" t="s">
        <v>179</v>
      </c>
      <c r="D38" s="4" t="s">
        <v>177</v>
      </c>
      <c r="E38" s="2">
        <v>406</v>
      </c>
      <c r="F38" s="2">
        <v>410</v>
      </c>
      <c r="G38" s="2">
        <v>422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5:22" s="4" customFormat="1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3:22" s="4" customFormat="1" ht="12.75">
      <c r="C40" s="7" t="str">
        <f>A42</f>
        <v>323C9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5:22" s="4" customFormat="1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31" s="4" customFormat="1" ht="12.75">
      <c r="A42" s="4" t="s">
        <v>35</v>
      </c>
      <c r="B42" s="4" t="s">
        <v>50</v>
      </c>
      <c r="C42" s="4" t="s">
        <v>176</v>
      </c>
      <c r="D42" s="4" t="s">
        <v>177</v>
      </c>
      <c r="E42" s="2">
        <v>2688</v>
      </c>
      <c r="F42" s="2">
        <v>2686</v>
      </c>
      <c r="G42" s="2">
        <v>2715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22" s="4" customFormat="1" ht="12.75">
      <c r="A43" s="4" t="s">
        <v>35</v>
      </c>
      <c r="B43" s="4" t="s">
        <v>50</v>
      </c>
      <c r="C43" s="4" t="s">
        <v>179</v>
      </c>
      <c r="D43" s="4" t="s">
        <v>177</v>
      </c>
      <c r="E43" s="2">
        <v>413.2</v>
      </c>
      <c r="F43" s="2">
        <v>412.6</v>
      </c>
      <c r="G43" s="2">
        <v>405.5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5:22" s="4" customFormat="1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3:22" s="4" customFormat="1" ht="12.75">
      <c r="C45" s="7" t="str">
        <f>A47</f>
        <v>323B1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5:22" s="4" customFormat="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31" s="4" customFormat="1" ht="12.75">
      <c r="A47" s="4" t="s">
        <v>0</v>
      </c>
      <c r="B47" s="4" t="s">
        <v>50</v>
      </c>
      <c r="C47" s="4" t="s">
        <v>176</v>
      </c>
      <c r="D47" s="4" t="s">
        <v>177</v>
      </c>
      <c r="E47" s="2">
        <v>2763</v>
      </c>
      <c r="F47" s="2">
        <v>2800</v>
      </c>
      <c r="G47" s="2">
        <v>2803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22" s="4" customFormat="1" ht="12.75">
      <c r="A48" s="4" t="s">
        <v>0</v>
      </c>
      <c r="B48" s="4" t="s">
        <v>50</v>
      </c>
      <c r="C48" s="4" t="s">
        <v>179</v>
      </c>
      <c r="D48" s="4" t="s">
        <v>177</v>
      </c>
      <c r="E48" s="2">
        <v>406.6</v>
      </c>
      <c r="F48" s="2">
        <v>405.2</v>
      </c>
      <c r="G48" s="2">
        <v>399.9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5:22" s="4" customFormat="1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3:22" s="4" customFormat="1" ht="12.75">
      <c r="C50" s="7" t="str">
        <f>A52</f>
        <v>323B2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5:22" s="4" customFormat="1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31" s="4" customFormat="1" ht="12.75">
      <c r="A52" s="4" t="s">
        <v>26</v>
      </c>
      <c r="B52" s="4" t="s">
        <v>50</v>
      </c>
      <c r="C52" s="4" t="s">
        <v>176</v>
      </c>
      <c r="D52" s="4" t="s">
        <v>177</v>
      </c>
      <c r="E52" s="2">
        <v>2737</v>
      </c>
      <c r="F52" s="2">
        <v>2744</v>
      </c>
      <c r="G52" s="2">
        <v>2745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22" s="4" customFormat="1" ht="12.75">
      <c r="A53" s="4" t="s">
        <v>26</v>
      </c>
      <c r="B53" s="4" t="s">
        <v>50</v>
      </c>
      <c r="C53" s="4" t="s">
        <v>179</v>
      </c>
      <c r="D53" s="4" t="s">
        <v>177</v>
      </c>
      <c r="E53" s="2">
        <v>357.8</v>
      </c>
      <c r="F53" s="2">
        <v>356.4</v>
      </c>
      <c r="G53" s="2">
        <v>362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5:22" s="4" customFormat="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3:22" s="4" customFormat="1" ht="12.75">
      <c r="C55" s="7" t="str">
        <f>A57</f>
        <v>323B3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5:22" s="4" customFormat="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31" s="4" customFormat="1" ht="12.75">
      <c r="A57" s="4" t="s">
        <v>27</v>
      </c>
      <c r="B57" s="4" t="s">
        <v>50</v>
      </c>
      <c r="C57" s="4" t="s">
        <v>176</v>
      </c>
      <c r="D57" s="4" t="s">
        <v>177</v>
      </c>
      <c r="E57" s="2">
        <v>2964</v>
      </c>
      <c r="F57" s="2">
        <v>3011</v>
      </c>
      <c r="G57" s="2">
        <v>3036</v>
      </c>
      <c r="H57" s="2">
        <v>2779</v>
      </c>
      <c r="I57" s="2">
        <v>2969</v>
      </c>
      <c r="J57" s="2">
        <v>3020</v>
      </c>
      <c r="K57" s="2">
        <v>2973</v>
      </c>
      <c r="L57" s="2">
        <v>3017</v>
      </c>
      <c r="M57" s="2">
        <v>3040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22" s="4" customFormat="1" ht="12.75">
      <c r="A58" s="4" t="s">
        <v>27</v>
      </c>
      <c r="B58" s="4" t="s">
        <v>50</v>
      </c>
      <c r="C58" s="4" t="s">
        <v>179</v>
      </c>
      <c r="D58" s="4" t="s">
        <v>177</v>
      </c>
      <c r="E58" s="2">
        <v>424</v>
      </c>
      <c r="F58" s="2">
        <v>431</v>
      </c>
      <c r="G58" s="2">
        <v>430</v>
      </c>
      <c r="H58" s="2">
        <v>394</v>
      </c>
      <c r="I58" s="2">
        <v>426</v>
      </c>
      <c r="J58" s="2">
        <v>431</v>
      </c>
      <c r="K58" s="2">
        <v>427</v>
      </c>
      <c r="L58" s="2">
        <v>430</v>
      </c>
      <c r="M58" s="2">
        <v>430</v>
      </c>
      <c r="N58" s="2"/>
      <c r="O58" s="2"/>
      <c r="P58" s="2"/>
      <c r="Q58" s="2"/>
      <c r="R58" s="2"/>
      <c r="S58" s="2"/>
      <c r="T58" s="2"/>
      <c r="U58" s="2"/>
      <c r="V58" s="2"/>
    </row>
    <row r="59" spans="1:23" s="4" customFormat="1" ht="12.75">
      <c r="A59" s="4" t="s">
        <v>27</v>
      </c>
      <c r="B59" s="4" t="s">
        <v>50</v>
      </c>
      <c r="C59" s="4" t="s">
        <v>180</v>
      </c>
      <c r="D59" s="4" t="s">
        <v>178</v>
      </c>
      <c r="E59" s="2">
        <v>71</v>
      </c>
      <c r="F59" s="2">
        <v>92</v>
      </c>
      <c r="G59" s="2">
        <v>90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5:23" s="4" customFormat="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3:23" s="4" customFormat="1" ht="12.75">
      <c r="C61" s="7" t="str">
        <f>A63</f>
        <v>323B4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5:23" s="4" customFormat="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31" s="4" customFormat="1" ht="12.75">
      <c r="A63" s="4" t="s">
        <v>30</v>
      </c>
      <c r="B63" s="4" t="s">
        <v>50</v>
      </c>
      <c r="C63" s="4" t="s">
        <v>176</v>
      </c>
      <c r="D63" s="4" t="s">
        <v>177</v>
      </c>
      <c r="E63" s="2">
        <v>2174</v>
      </c>
      <c r="F63" s="2">
        <v>2388</v>
      </c>
      <c r="G63" s="2">
        <v>2309</v>
      </c>
      <c r="H63" s="2">
        <v>2216</v>
      </c>
      <c r="I63" s="2">
        <v>2355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22" s="4" customFormat="1" ht="12.75">
      <c r="A64" s="4" t="s">
        <v>30</v>
      </c>
      <c r="B64" s="4" t="s">
        <v>50</v>
      </c>
      <c r="C64" s="4" t="s">
        <v>179</v>
      </c>
      <c r="D64" s="4" t="s">
        <v>177</v>
      </c>
      <c r="E64" s="2">
        <v>397</v>
      </c>
      <c r="F64" s="2">
        <v>390</v>
      </c>
      <c r="G64" s="2">
        <v>388</v>
      </c>
      <c r="H64" s="2">
        <v>396</v>
      </c>
      <c r="I64" s="2">
        <v>387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3" s="4" customFormat="1" ht="12.75">
      <c r="A65" s="4" t="s">
        <v>30</v>
      </c>
      <c r="B65" s="4" t="s">
        <v>50</v>
      </c>
      <c r="C65" s="4" t="s">
        <v>180</v>
      </c>
      <c r="D65" s="4" t="s">
        <v>178</v>
      </c>
      <c r="E65" s="2">
        <v>72</v>
      </c>
      <c r="F65" s="2">
        <v>69</v>
      </c>
      <c r="G65" s="2">
        <v>69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5:23" s="4" customFormat="1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3:23" s="4" customFormat="1" ht="12.75">
      <c r="C67" s="7" t="str">
        <f>A69</f>
        <v>323B5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5:23" s="4" customFormat="1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31" s="4" customFormat="1" ht="12.75">
      <c r="A69" s="4" t="s">
        <v>31</v>
      </c>
      <c r="B69" s="4" t="s">
        <v>50</v>
      </c>
      <c r="C69" s="4" t="s">
        <v>176</v>
      </c>
      <c r="D69" s="4" t="s">
        <v>177</v>
      </c>
      <c r="E69" s="2">
        <v>2693</v>
      </c>
      <c r="F69" s="2">
        <v>2498</v>
      </c>
      <c r="G69" s="2">
        <v>2623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22" s="4" customFormat="1" ht="12.75">
      <c r="A70" s="4" t="s">
        <v>31</v>
      </c>
      <c r="B70" s="4" t="s">
        <v>50</v>
      </c>
      <c r="C70" s="4" t="s">
        <v>179</v>
      </c>
      <c r="D70" s="4" t="s">
        <v>177</v>
      </c>
      <c r="E70" s="2">
        <v>396</v>
      </c>
      <c r="F70" s="2">
        <v>400</v>
      </c>
      <c r="G70" s="2">
        <v>388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3" s="4" customFormat="1" ht="12.75">
      <c r="A71" s="4" t="s">
        <v>31</v>
      </c>
      <c r="B71" s="4" t="s">
        <v>50</v>
      </c>
      <c r="C71" s="4" t="s">
        <v>180</v>
      </c>
      <c r="D71" s="4" t="s">
        <v>178</v>
      </c>
      <c r="E71" s="2">
        <v>113</v>
      </c>
      <c r="F71" s="2">
        <v>124</v>
      </c>
      <c r="G71" s="2">
        <v>120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3.7109375" style="0" hidden="1" customWidth="1"/>
    <col min="3" max="3" width="16.28125" style="0" bestFit="1" customWidth="1"/>
    <col min="5" max="5" width="3.57421875" style="0" bestFit="1" customWidth="1"/>
    <col min="6" max="8" width="9.140625" style="40" customWidth="1"/>
    <col min="9" max="9" width="3.57421875" style="0" bestFit="1" customWidth="1"/>
    <col min="10" max="12" width="9.140625" style="40" customWidth="1"/>
    <col min="13" max="13" width="3.57421875" style="0" bestFit="1" customWidth="1"/>
    <col min="14" max="16" width="9.140625" style="40" customWidth="1"/>
  </cols>
  <sheetData>
    <row r="1" spans="3:16" ht="12.75">
      <c r="C1" s="7" t="s">
        <v>32</v>
      </c>
      <c r="D1" s="11" t="s">
        <v>70</v>
      </c>
      <c r="F1" s="42" t="s">
        <v>54</v>
      </c>
      <c r="G1" s="42"/>
      <c r="H1" s="42"/>
      <c r="J1" s="42" t="s">
        <v>55</v>
      </c>
      <c r="K1" s="42"/>
      <c r="L1" s="42"/>
      <c r="N1" s="42" t="s">
        <v>56</v>
      </c>
      <c r="O1" s="42"/>
      <c r="P1" s="42"/>
    </row>
    <row r="2" spans="4:16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  <c r="M2" s="23"/>
      <c r="N2" s="39" t="s">
        <v>66</v>
      </c>
      <c r="O2" s="12" t="s">
        <v>66</v>
      </c>
      <c r="P2" s="12" t="s">
        <v>72</v>
      </c>
    </row>
    <row r="3" spans="3:16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  <c r="M3" s="23"/>
      <c r="N3" s="39" t="s">
        <v>73</v>
      </c>
      <c r="O3" s="12" t="s">
        <v>74</v>
      </c>
      <c r="P3" s="12" t="s">
        <v>74</v>
      </c>
    </row>
    <row r="4" spans="4:16" ht="12.75">
      <c r="D4" s="13"/>
      <c r="G4" s="14"/>
      <c r="H4" s="14"/>
      <c r="K4" s="14"/>
      <c r="L4" s="14"/>
      <c r="O4" s="14"/>
      <c r="P4" s="14"/>
    </row>
    <row r="5" spans="1:36" s="4" customFormat="1" ht="12.75">
      <c r="A5" s="4" t="s">
        <v>32</v>
      </c>
      <c r="B5" s="4">
        <v>1</v>
      </c>
      <c r="C5" s="4" t="s">
        <v>75</v>
      </c>
      <c r="D5" s="11">
        <v>1</v>
      </c>
      <c r="E5" s="2"/>
      <c r="F5" s="10">
        <v>0</v>
      </c>
      <c r="G5" s="14">
        <f>IF(F5=0,"",IF(E5=1,F5/2,F5))</f>
      </c>
      <c r="H5" s="14">
        <f>IF(G5="","",G5*$D5)</f>
      </c>
      <c r="I5" s="2"/>
      <c r="J5" s="10">
        <v>0.2884929715593332</v>
      </c>
      <c r="K5" s="14">
        <f>IF(J5=0,"",IF(I5=1,J5/2,J5))</f>
        <v>0.2884929715593332</v>
      </c>
      <c r="L5" s="14">
        <f>IF(K5="","",K5*$D5)</f>
        <v>0.2884929715593332</v>
      </c>
      <c r="M5" s="2"/>
      <c r="N5" s="10">
        <v>0</v>
      </c>
      <c r="O5" s="14">
        <f>IF(N5=0,"",IF(M5=1,N5/2,N5))</f>
      </c>
      <c r="P5" s="14">
        <f>IF(O5="","",O5*$D5)</f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32</v>
      </c>
      <c r="B6" s="4">
        <v>2</v>
      </c>
      <c r="C6" s="4" t="s">
        <v>76</v>
      </c>
      <c r="D6" s="11">
        <v>0</v>
      </c>
      <c r="E6" s="2"/>
      <c r="F6" s="10">
        <v>32.15138190954773</v>
      </c>
      <c r="G6" s="14">
        <f aca="true" t="shared" si="0" ref="G6:G37">IF(F6=0,"",IF(E6=1,F6/2,F6))</f>
        <v>32.15138190954773</v>
      </c>
      <c r="H6" s="14">
        <f aca="true" t="shared" si="1" ref="H6:H37">IF(G6="","",G6*$D6)</f>
        <v>0</v>
      </c>
      <c r="I6" s="2"/>
      <c r="J6" s="10">
        <v>95.70098665636422</v>
      </c>
      <c r="K6" s="14">
        <f aca="true" t="shared" si="2" ref="K6:K37">IF(J6=0,"",IF(I6=1,J6/2,J6))</f>
        <v>95.70098665636422</v>
      </c>
      <c r="L6" s="14">
        <f aca="true" t="shared" si="3" ref="L6:L37">IF(K6="","",K6*$D6)</f>
        <v>0</v>
      </c>
      <c r="M6" s="2"/>
      <c r="N6" s="10">
        <v>35.76442662575443</v>
      </c>
      <c r="O6" s="14">
        <f aca="true" t="shared" si="4" ref="O6:O37">IF(N6=0,"",IF(M6=1,N6/2,N6))</f>
        <v>35.76442662575443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32</v>
      </c>
      <c r="B7" s="4">
        <v>3</v>
      </c>
      <c r="C7" s="4" t="s">
        <v>77</v>
      </c>
      <c r="D7" s="11">
        <v>0</v>
      </c>
      <c r="E7" s="2"/>
      <c r="F7" s="10">
        <v>32.15138190954773</v>
      </c>
      <c r="G7" s="14">
        <f t="shared" si="0"/>
        <v>32.15138190954773</v>
      </c>
      <c r="H7" s="14">
        <f t="shared" si="1"/>
        <v>0</v>
      </c>
      <c r="I7" s="2"/>
      <c r="J7" s="10">
        <v>95.98947962792356</v>
      </c>
      <c r="K7" s="14">
        <f t="shared" si="2"/>
        <v>95.98947962792356</v>
      </c>
      <c r="L7" s="14">
        <f t="shared" si="3"/>
        <v>0</v>
      </c>
      <c r="M7" s="2"/>
      <c r="N7" s="10">
        <v>35.76442662575443</v>
      </c>
      <c r="O7" s="14">
        <f t="shared" si="4"/>
        <v>35.76442662575443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32</v>
      </c>
      <c r="B8" s="4">
        <v>4</v>
      </c>
      <c r="C8" s="4" t="s">
        <v>78</v>
      </c>
      <c r="D8" s="11">
        <v>0.5</v>
      </c>
      <c r="E8" s="2"/>
      <c r="F8" s="10">
        <v>0.4367481346124562</v>
      </c>
      <c r="G8" s="14">
        <f t="shared" si="0"/>
        <v>0.4367481346124562</v>
      </c>
      <c r="H8" s="14">
        <f t="shared" si="1"/>
        <v>0.2183740673062281</v>
      </c>
      <c r="I8" s="2"/>
      <c r="J8" s="10">
        <v>1.3900115902404233</v>
      </c>
      <c r="K8" s="14">
        <f t="shared" si="2"/>
        <v>1.3900115902404233</v>
      </c>
      <c r="L8" s="14">
        <f t="shared" si="3"/>
        <v>0.6950057951202117</v>
      </c>
      <c r="M8" s="2"/>
      <c r="N8" s="10">
        <v>0.48537436134952444</v>
      </c>
      <c r="O8" s="14">
        <f t="shared" si="4"/>
        <v>0.48537436134952444</v>
      </c>
      <c r="P8" s="14">
        <f t="shared" si="5"/>
        <v>0.24268718067476222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32</v>
      </c>
      <c r="B9" s="4">
        <v>5</v>
      </c>
      <c r="C9" s="4" t="s">
        <v>79</v>
      </c>
      <c r="D9" s="11">
        <v>0</v>
      </c>
      <c r="E9" s="2"/>
      <c r="F9" s="10">
        <v>45.25382594792142</v>
      </c>
      <c r="G9" s="14">
        <f t="shared" si="0"/>
        <v>45.25382594792142</v>
      </c>
      <c r="H9" s="14">
        <f t="shared" si="1"/>
        <v>0</v>
      </c>
      <c r="I9" s="2"/>
      <c r="J9" s="10">
        <v>162.526449523017</v>
      </c>
      <c r="K9" s="14">
        <f t="shared" si="2"/>
        <v>162.526449523017</v>
      </c>
      <c r="L9" s="14">
        <f t="shared" si="3"/>
        <v>0</v>
      </c>
      <c r="M9" s="2"/>
      <c r="N9" s="10">
        <v>46.774760822683135</v>
      </c>
      <c r="O9" s="14">
        <f t="shared" si="4"/>
        <v>46.774760822683135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32</v>
      </c>
      <c r="B10" s="4">
        <v>5</v>
      </c>
      <c r="C10" s="4" t="s">
        <v>80</v>
      </c>
      <c r="D10" s="11">
        <v>0</v>
      </c>
      <c r="E10" s="2"/>
      <c r="F10" s="10">
        <v>45.69057408253388</v>
      </c>
      <c r="G10" s="14">
        <f t="shared" si="0"/>
        <v>45.69057408253388</v>
      </c>
      <c r="H10" s="14">
        <f t="shared" si="1"/>
        <v>0</v>
      </c>
      <c r="I10" s="2"/>
      <c r="J10" s="10">
        <v>163.91646111325744</v>
      </c>
      <c r="K10" s="14">
        <f t="shared" si="2"/>
        <v>163.91646111325744</v>
      </c>
      <c r="L10" s="14">
        <f t="shared" si="3"/>
        <v>0</v>
      </c>
      <c r="M10" s="2"/>
      <c r="N10" s="10">
        <v>47.260135184032656</v>
      </c>
      <c r="O10" s="14">
        <f t="shared" si="4"/>
        <v>47.260135184032656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32</v>
      </c>
      <c r="B11" s="4">
        <v>7</v>
      </c>
      <c r="C11" s="4" t="s">
        <v>81</v>
      </c>
      <c r="D11" s="11">
        <v>0.1</v>
      </c>
      <c r="E11" s="2"/>
      <c r="F11" s="10">
        <v>0.8399002588701081</v>
      </c>
      <c r="G11" s="14">
        <f t="shared" si="0"/>
        <v>0.8399002588701081</v>
      </c>
      <c r="H11" s="14">
        <f t="shared" si="1"/>
        <v>0.08399002588701082</v>
      </c>
      <c r="I11" s="2"/>
      <c r="J11" s="10">
        <v>1.966997533359089</v>
      </c>
      <c r="K11" s="14">
        <f t="shared" si="2"/>
        <v>1.966997533359089</v>
      </c>
      <c r="L11" s="14">
        <f t="shared" si="3"/>
        <v>0.19669975333590892</v>
      </c>
      <c r="M11" s="2"/>
      <c r="N11" s="10">
        <v>0.6386504754599</v>
      </c>
      <c r="O11" s="14">
        <f t="shared" si="4"/>
        <v>0.6386504754599</v>
      </c>
      <c r="P11" s="14">
        <f t="shared" si="5"/>
        <v>0.06386504754599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32</v>
      </c>
      <c r="B12" s="4">
        <v>8</v>
      </c>
      <c r="C12" s="4" t="s">
        <v>82</v>
      </c>
      <c r="D12" s="11">
        <v>0.1</v>
      </c>
      <c r="E12" s="2"/>
      <c r="F12" s="10">
        <v>1.646204507385412</v>
      </c>
      <c r="G12" s="14">
        <f t="shared" si="0"/>
        <v>1.646204507385412</v>
      </c>
      <c r="H12" s="14">
        <f t="shared" si="1"/>
        <v>0.1646204507385412</v>
      </c>
      <c r="I12" s="2"/>
      <c r="J12" s="10">
        <v>3.7241819964932</v>
      </c>
      <c r="K12" s="14">
        <f t="shared" si="2"/>
        <v>3.7241819964932</v>
      </c>
      <c r="L12" s="14">
        <f t="shared" si="3"/>
        <v>0.37241819964932005</v>
      </c>
      <c r="M12" s="2"/>
      <c r="N12" s="10">
        <v>1.098478817791029</v>
      </c>
      <c r="O12" s="14">
        <f t="shared" si="4"/>
        <v>1.098478817791029</v>
      </c>
      <c r="P12" s="14">
        <f t="shared" si="5"/>
        <v>0.1098478817791029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32</v>
      </c>
      <c r="B13" s="4">
        <v>9</v>
      </c>
      <c r="C13" s="4" t="s">
        <v>83</v>
      </c>
      <c r="D13" s="11">
        <v>0.1</v>
      </c>
      <c r="E13" s="2"/>
      <c r="F13" s="10">
        <v>0.8399002588701081</v>
      </c>
      <c r="G13" s="14">
        <f t="shared" si="0"/>
        <v>0.8399002588701081</v>
      </c>
      <c r="H13" s="14">
        <f t="shared" si="1"/>
        <v>0.08399002588701082</v>
      </c>
      <c r="I13" s="2"/>
      <c r="J13" s="10">
        <v>2.20303723736218</v>
      </c>
      <c r="K13" s="14">
        <f t="shared" si="2"/>
        <v>2.20303723736218</v>
      </c>
      <c r="L13" s="14">
        <f t="shared" si="3"/>
        <v>0.22030372373621798</v>
      </c>
      <c r="M13" s="2"/>
      <c r="N13" s="10">
        <v>0.7152885325150886</v>
      </c>
      <c r="O13" s="14">
        <f t="shared" si="4"/>
        <v>0.7152885325150886</v>
      </c>
      <c r="P13" s="14">
        <f t="shared" si="5"/>
        <v>0.07152885325150886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32</v>
      </c>
      <c r="B14" s="4">
        <v>10</v>
      </c>
      <c r="C14" s="4" t="s">
        <v>84</v>
      </c>
      <c r="D14" s="11">
        <v>0</v>
      </c>
      <c r="E14" s="2"/>
      <c r="F14" s="10">
        <v>119.6353928734582</v>
      </c>
      <c r="G14" s="14">
        <f t="shared" si="0"/>
        <v>119.6353928734582</v>
      </c>
      <c r="H14" s="14">
        <f t="shared" si="1"/>
        <v>0</v>
      </c>
      <c r="I14" s="2"/>
      <c r="J14" s="10">
        <v>343.54267585961</v>
      </c>
      <c r="K14" s="14">
        <f t="shared" si="2"/>
        <v>343.54267585961</v>
      </c>
      <c r="L14" s="14">
        <f t="shared" si="3"/>
        <v>0</v>
      </c>
      <c r="M14" s="2"/>
      <c r="N14" s="10">
        <v>91.81239235211532</v>
      </c>
      <c r="O14" s="14">
        <f t="shared" si="4"/>
        <v>91.81239235211532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32</v>
      </c>
      <c r="B15" s="4">
        <v>11</v>
      </c>
      <c r="C15" s="4" t="s">
        <v>85</v>
      </c>
      <c r="D15" s="11">
        <v>0</v>
      </c>
      <c r="E15" s="2"/>
      <c r="F15" s="10">
        <v>122.96139789858381</v>
      </c>
      <c r="G15" s="14">
        <f t="shared" si="0"/>
        <v>122.96139789858381</v>
      </c>
      <c r="H15" s="14">
        <f t="shared" si="1"/>
        <v>0</v>
      </c>
      <c r="I15" s="2"/>
      <c r="J15" s="10">
        <v>351.4368926268239</v>
      </c>
      <c r="K15" s="14">
        <f t="shared" si="2"/>
        <v>351.4368926268239</v>
      </c>
      <c r="L15" s="14">
        <f t="shared" si="3"/>
        <v>0</v>
      </c>
      <c r="M15" s="2"/>
      <c r="N15" s="10">
        <v>94.26481017788134</v>
      </c>
      <c r="O15" s="14">
        <f t="shared" si="4"/>
        <v>94.26481017788134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32</v>
      </c>
      <c r="B16" s="4">
        <v>12</v>
      </c>
      <c r="C16" s="4" t="s">
        <v>86</v>
      </c>
      <c r="D16" s="11">
        <v>0.01</v>
      </c>
      <c r="E16" s="2"/>
      <c r="F16" s="10">
        <v>8.86934673366834</v>
      </c>
      <c r="G16" s="14">
        <f t="shared" si="0"/>
        <v>8.86934673366834</v>
      </c>
      <c r="H16" s="14">
        <f t="shared" si="1"/>
        <v>0.0886934673366834</v>
      </c>
      <c r="I16" s="2"/>
      <c r="J16" s="10">
        <v>20.299414544265804</v>
      </c>
      <c r="K16" s="14">
        <f t="shared" si="2"/>
        <v>20.299414544265804</v>
      </c>
      <c r="L16" s="14">
        <f t="shared" si="3"/>
        <v>0.20299414544265804</v>
      </c>
      <c r="M16" s="2"/>
      <c r="N16" s="10">
        <v>6.028860488341463</v>
      </c>
      <c r="O16" s="14">
        <f t="shared" si="4"/>
        <v>6.028860488341463</v>
      </c>
      <c r="P16" s="14">
        <f t="shared" si="5"/>
        <v>0.060288604883414636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32</v>
      </c>
      <c r="B17" s="4">
        <v>13</v>
      </c>
      <c r="C17" s="4" t="s">
        <v>87</v>
      </c>
      <c r="D17" s="11">
        <v>0</v>
      </c>
      <c r="E17" s="2"/>
      <c r="F17" s="10">
        <v>15.45416476321</v>
      </c>
      <c r="G17" s="14">
        <f t="shared" si="0"/>
        <v>15.45416476321</v>
      </c>
      <c r="H17" s="14">
        <f t="shared" si="1"/>
        <v>0</v>
      </c>
      <c r="I17" s="2"/>
      <c r="J17" s="10">
        <v>32.678385687539</v>
      </c>
      <c r="K17" s="14">
        <f t="shared" si="2"/>
        <v>32.678385687539</v>
      </c>
      <c r="L17" s="14">
        <f t="shared" si="3"/>
        <v>0</v>
      </c>
      <c r="M17" s="2"/>
      <c r="N17" s="10">
        <v>9.83521732208247</v>
      </c>
      <c r="O17" s="14">
        <f t="shared" si="4"/>
        <v>9.83521732208247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32</v>
      </c>
      <c r="B18" s="4">
        <v>14</v>
      </c>
      <c r="C18" s="4" t="s">
        <v>88</v>
      </c>
      <c r="D18" s="11">
        <v>0</v>
      </c>
      <c r="E18" s="2"/>
      <c r="F18" s="10">
        <v>24.323511496878332</v>
      </c>
      <c r="G18" s="14">
        <f t="shared" si="0"/>
        <v>24.323511496878332</v>
      </c>
      <c r="H18" s="14">
        <f t="shared" si="1"/>
        <v>0</v>
      </c>
      <c r="I18" s="2"/>
      <c r="J18" s="10">
        <v>52.97780023180481</v>
      </c>
      <c r="K18" s="14">
        <f t="shared" si="2"/>
        <v>52.97780023180481</v>
      </c>
      <c r="L18" s="14">
        <f t="shared" si="3"/>
        <v>0</v>
      </c>
      <c r="M18" s="2"/>
      <c r="N18" s="10">
        <v>15.864077810424</v>
      </c>
      <c r="O18" s="14">
        <f t="shared" si="4"/>
        <v>15.864077810424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32</v>
      </c>
      <c r="B19" s="4">
        <v>15</v>
      </c>
      <c r="C19" s="4" t="s">
        <v>89</v>
      </c>
      <c r="D19" s="11">
        <v>0.001</v>
      </c>
      <c r="E19" s="2"/>
      <c r="F19" s="10">
        <v>3.4267930561900406</v>
      </c>
      <c r="G19" s="14">
        <f t="shared" si="0"/>
        <v>3.4267930561900406</v>
      </c>
      <c r="H19" s="14">
        <f t="shared" si="1"/>
        <v>0.0034267930561900405</v>
      </c>
      <c r="I19" s="2"/>
      <c r="J19" s="10">
        <v>7.2385509227614495</v>
      </c>
      <c r="K19" s="14">
        <f t="shared" si="2"/>
        <v>7.2385509227614495</v>
      </c>
      <c r="L19" s="14">
        <f t="shared" si="3"/>
        <v>0.0072385509227614496</v>
      </c>
      <c r="M19" s="2"/>
      <c r="N19" s="10">
        <v>2.7334240349683743</v>
      </c>
      <c r="O19" s="14">
        <f t="shared" si="4"/>
        <v>2.7334240349683743</v>
      </c>
      <c r="P19" s="14">
        <f t="shared" si="5"/>
        <v>0.0027334240349683745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32</v>
      </c>
      <c r="B20" s="4">
        <v>16</v>
      </c>
      <c r="C20" s="4" t="s">
        <v>90</v>
      </c>
      <c r="D20" s="11">
        <v>0.1</v>
      </c>
      <c r="E20" s="2"/>
      <c r="F20" s="10">
        <v>0.7391122278056952</v>
      </c>
      <c r="G20" s="14">
        <f t="shared" si="0"/>
        <v>0.7391122278056952</v>
      </c>
      <c r="H20" s="14">
        <f t="shared" si="1"/>
        <v>0.07391122278056952</v>
      </c>
      <c r="I20" s="2"/>
      <c r="J20" s="10">
        <v>1.966997533359089</v>
      </c>
      <c r="K20" s="14">
        <f t="shared" si="2"/>
        <v>1.966997533359089</v>
      </c>
      <c r="L20" s="14">
        <f t="shared" si="3"/>
        <v>0.19669975333590892</v>
      </c>
      <c r="M20" s="2"/>
      <c r="N20" s="10">
        <v>0.76638057055188</v>
      </c>
      <c r="O20" s="14">
        <f t="shared" si="4"/>
        <v>0.76638057055188</v>
      </c>
      <c r="P20" s="14">
        <f t="shared" si="5"/>
        <v>0.076638057055188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32</v>
      </c>
      <c r="B21" s="4">
        <v>17</v>
      </c>
      <c r="C21" s="4" t="s">
        <v>91</v>
      </c>
      <c r="D21" s="11">
        <v>0</v>
      </c>
      <c r="E21" s="2"/>
      <c r="F21" s="10">
        <v>47.639142683112524</v>
      </c>
      <c r="G21" s="14">
        <f t="shared" si="0"/>
        <v>47.639142683112524</v>
      </c>
      <c r="H21" s="14">
        <f t="shared" si="1"/>
        <v>0</v>
      </c>
      <c r="I21" s="2"/>
      <c r="J21" s="10">
        <v>115.00378911706142</v>
      </c>
      <c r="K21" s="14">
        <f t="shared" si="2"/>
        <v>115.00378911706142</v>
      </c>
      <c r="L21" s="14">
        <f t="shared" si="3"/>
        <v>0</v>
      </c>
      <c r="M21" s="2"/>
      <c r="N21" s="10">
        <v>39.340869288329884</v>
      </c>
      <c r="O21" s="14">
        <f t="shared" si="4"/>
        <v>39.340869288329884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32</v>
      </c>
      <c r="B22" s="4">
        <v>18</v>
      </c>
      <c r="C22" s="4" t="s">
        <v>92</v>
      </c>
      <c r="D22" s="11">
        <v>0</v>
      </c>
      <c r="E22" s="2"/>
      <c r="F22" s="10">
        <v>48.37825491091822</v>
      </c>
      <c r="G22" s="14">
        <f t="shared" si="0"/>
        <v>48.37825491091822</v>
      </c>
      <c r="H22" s="14">
        <f t="shared" si="1"/>
        <v>0</v>
      </c>
      <c r="I22" s="2"/>
      <c r="J22" s="10">
        <v>116.97078665042</v>
      </c>
      <c r="K22" s="14">
        <f t="shared" si="2"/>
        <v>116.97078665042</v>
      </c>
      <c r="L22" s="14">
        <f t="shared" si="3"/>
        <v>0</v>
      </c>
      <c r="M22" s="2"/>
      <c r="N22" s="10">
        <v>40.107249858881765</v>
      </c>
      <c r="O22" s="14">
        <f t="shared" si="4"/>
        <v>40.107249858881765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32</v>
      </c>
      <c r="B23" s="4">
        <v>19</v>
      </c>
      <c r="C23" s="4" t="s">
        <v>93</v>
      </c>
      <c r="D23" s="11">
        <v>0.05</v>
      </c>
      <c r="E23" s="2"/>
      <c r="F23" s="10">
        <v>1.1758603624181514</v>
      </c>
      <c r="G23" s="14">
        <f t="shared" si="0"/>
        <v>1.1758603624181514</v>
      </c>
      <c r="H23" s="14">
        <f t="shared" si="1"/>
        <v>0.05879301812090757</v>
      </c>
      <c r="I23" s="2"/>
      <c r="J23" s="10">
        <v>3.51436892626824</v>
      </c>
      <c r="K23" s="14">
        <f t="shared" si="2"/>
        <v>3.51436892626824</v>
      </c>
      <c r="L23" s="14">
        <f t="shared" si="3"/>
        <v>0.17571844631341202</v>
      </c>
      <c r="M23" s="2"/>
      <c r="N23" s="10">
        <v>0.996294741717445</v>
      </c>
      <c r="O23" s="14">
        <f t="shared" si="4"/>
        <v>0.996294741717445</v>
      </c>
      <c r="P23" s="14">
        <f t="shared" si="5"/>
        <v>0.04981473708587225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32</v>
      </c>
      <c r="B24" s="4">
        <v>20</v>
      </c>
      <c r="C24" s="4" t="s">
        <v>94</v>
      </c>
      <c r="D24" s="11">
        <v>0.5</v>
      </c>
      <c r="E24" s="2"/>
      <c r="F24" s="10">
        <v>3.695561139028476</v>
      </c>
      <c r="G24" s="14">
        <f t="shared" si="0"/>
        <v>3.695561139028476</v>
      </c>
      <c r="H24" s="14">
        <f t="shared" si="1"/>
        <v>1.847780569514238</v>
      </c>
      <c r="I24" s="2"/>
      <c r="J24" s="10">
        <v>8.890828850783082</v>
      </c>
      <c r="K24" s="14">
        <f t="shared" si="2"/>
        <v>8.890828850783082</v>
      </c>
      <c r="L24" s="14">
        <f t="shared" si="3"/>
        <v>4.445414425391541</v>
      </c>
      <c r="M24" s="2"/>
      <c r="N24" s="10">
        <v>2.5290558828212</v>
      </c>
      <c r="O24" s="14">
        <f t="shared" si="4"/>
        <v>2.5290558828212</v>
      </c>
      <c r="P24" s="14">
        <f t="shared" si="5"/>
        <v>1.2645279414106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32</v>
      </c>
      <c r="B25" s="4">
        <v>21</v>
      </c>
      <c r="C25" s="4" t="s">
        <v>95</v>
      </c>
      <c r="D25" s="11">
        <v>0</v>
      </c>
      <c r="E25" s="2"/>
      <c r="F25" s="10">
        <v>37.123591442058775</v>
      </c>
      <c r="G25" s="14">
        <f t="shared" si="0"/>
        <v>37.123591442058775</v>
      </c>
      <c r="H25" s="14">
        <f t="shared" si="1"/>
        <v>0</v>
      </c>
      <c r="I25" s="2"/>
      <c r="J25" s="10">
        <v>82.27295016196618</v>
      </c>
      <c r="K25" s="14">
        <f t="shared" si="2"/>
        <v>82.27295016196618</v>
      </c>
      <c r="L25" s="14">
        <f t="shared" si="3"/>
        <v>0</v>
      </c>
      <c r="M25" s="2"/>
      <c r="N25" s="10">
        <v>24.830730485881</v>
      </c>
      <c r="O25" s="14">
        <f t="shared" si="4"/>
        <v>24.830730485881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32</v>
      </c>
      <c r="B26" s="4">
        <v>22</v>
      </c>
      <c r="C26" s="4" t="s">
        <v>96</v>
      </c>
      <c r="D26" s="11">
        <v>0</v>
      </c>
      <c r="E26" s="2"/>
      <c r="F26" s="10">
        <v>41.9950129435054</v>
      </c>
      <c r="G26" s="14">
        <f t="shared" si="0"/>
        <v>41.9950129435054</v>
      </c>
      <c r="H26" s="14">
        <f t="shared" si="1"/>
        <v>0</v>
      </c>
      <c r="I26" s="2"/>
      <c r="J26" s="10">
        <v>94.67814793901749</v>
      </c>
      <c r="K26" s="14">
        <f t="shared" si="2"/>
        <v>94.67814793901749</v>
      </c>
      <c r="L26" s="14">
        <f t="shared" si="3"/>
        <v>0</v>
      </c>
      <c r="M26" s="2"/>
      <c r="N26" s="10">
        <v>28.356081110419584</v>
      </c>
      <c r="O26" s="14">
        <f t="shared" si="4"/>
        <v>28.356081110419584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32</v>
      </c>
      <c r="B27" s="4">
        <v>23</v>
      </c>
      <c r="C27" s="4" t="s">
        <v>97</v>
      </c>
      <c r="D27" s="11">
        <v>0.1</v>
      </c>
      <c r="E27" s="2"/>
      <c r="F27" s="10">
        <v>4.0315212425765194</v>
      </c>
      <c r="G27" s="14">
        <f t="shared" si="0"/>
        <v>4.0315212425765194</v>
      </c>
      <c r="H27" s="14">
        <f t="shared" si="1"/>
        <v>0.40315212425765196</v>
      </c>
      <c r="I27" s="2"/>
      <c r="J27" s="10">
        <v>11.565945496151445</v>
      </c>
      <c r="K27" s="14">
        <f t="shared" si="2"/>
        <v>11.565945496151445</v>
      </c>
      <c r="L27" s="14">
        <f t="shared" si="3"/>
        <v>1.1565945496151444</v>
      </c>
      <c r="M27" s="2"/>
      <c r="N27" s="10">
        <v>2.784516073005167</v>
      </c>
      <c r="O27" s="14">
        <f t="shared" si="4"/>
        <v>2.784516073005167</v>
      </c>
      <c r="P27" s="14">
        <f t="shared" si="5"/>
        <v>0.2784516073005167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32</v>
      </c>
      <c r="B28" s="4">
        <v>24</v>
      </c>
      <c r="C28" s="4" t="s">
        <v>98</v>
      </c>
      <c r="D28" s="11">
        <v>0.1</v>
      </c>
      <c r="E28" s="2"/>
      <c r="F28" s="10">
        <v>1.4782244556114</v>
      </c>
      <c r="G28" s="14">
        <f t="shared" si="0"/>
        <v>1.4782244556114</v>
      </c>
      <c r="H28" s="14">
        <f t="shared" si="1"/>
        <v>0.14782244556114</v>
      </c>
      <c r="I28" s="2"/>
      <c r="J28" s="10">
        <v>3.8290885316057</v>
      </c>
      <c r="K28" s="14">
        <f t="shared" si="2"/>
        <v>3.8290885316057</v>
      </c>
      <c r="L28" s="14">
        <f t="shared" si="3"/>
        <v>0.38290885316057</v>
      </c>
      <c r="M28" s="2"/>
      <c r="N28" s="10">
        <v>0.9196566846622569</v>
      </c>
      <c r="O28" s="14">
        <f t="shared" si="4"/>
        <v>0.9196566846622569</v>
      </c>
      <c r="P28" s="14">
        <f t="shared" si="5"/>
        <v>0.0919656684662257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32</v>
      </c>
      <c r="B29" s="4">
        <v>25</v>
      </c>
      <c r="C29" s="4" t="s">
        <v>99</v>
      </c>
      <c r="D29" s="11">
        <v>0.1</v>
      </c>
      <c r="E29" s="2"/>
      <c r="F29" s="10">
        <v>0.3695561139028476</v>
      </c>
      <c r="G29" s="14">
        <f t="shared" si="0"/>
        <v>0.3695561139028476</v>
      </c>
      <c r="H29" s="14">
        <f t="shared" si="1"/>
        <v>0.03695561139028476</v>
      </c>
      <c r="I29" s="2"/>
      <c r="J29" s="10">
        <v>0.865478914678</v>
      </c>
      <c r="K29" s="14">
        <f t="shared" si="2"/>
        <v>0.865478914678</v>
      </c>
      <c r="L29" s="14">
        <f t="shared" si="3"/>
        <v>0.08654789146780001</v>
      </c>
      <c r="M29" s="2"/>
      <c r="N29" s="10">
        <v>0.17882213312877215</v>
      </c>
      <c r="O29" s="14">
        <f t="shared" si="4"/>
        <v>0.17882213312877215</v>
      </c>
      <c r="P29" s="14">
        <f t="shared" si="5"/>
        <v>0.017882213312877215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32</v>
      </c>
      <c r="B30" s="4">
        <v>26</v>
      </c>
      <c r="C30" s="4" t="s">
        <v>100</v>
      </c>
      <c r="D30" s="11">
        <v>0.1</v>
      </c>
      <c r="E30" s="2"/>
      <c r="F30" s="10">
        <v>3.527581087254454</v>
      </c>
      <c r="G30" s="14">
        <f t="shared" si="0"/>
        <v>3.527581087254454</v>
      </c>
      <c r="H30" s="14">
        <f t="shared" si="1"/>
        <v>0.35275810872544544</v>
      </c>
      <c r="I30" s="2"/>
      <c r="J30" s="10">
        <v>8.864602217004963</v>
      </c>
      <c r="K30" s="14">
        <f t="shared" si="2"/>
        <v>8.864602217004963</v>
      </c>
      <c r="L30" s="14">
        <f t="shared" si="3"/>
        <v>0.8864602217004963</v>
      </c>
      <c r="M30" s="2"/>
      <c r="N30" s="10">
        <v>2.069227540490078</v>
      </c>
      <c r="O30" s="14">
        <f t="shared" si="4"/>
        <v>2.069227540490078</v>
      </c>
      <c r="P30" s="14">
        <f t="shared" si="5"/>
        <v>0.20692275404900784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32</v>
      </c>
      <c r="B31" s="4">
        <v>27</v>
      </c>
      <c r="C31" s="4" t="s">
        <v>101</v>
      </c>
      <c r="D31" s="11">
        <v>0</v>
      </c>
      <c r="E31" s="2"/>
      <c r="F31" s="10">
        <v>11.489835541343</v>
      </c>
      <c r="G31" s="14">
        <f t="shared" si="0"/>
        <v>11.489835541343</v>
      </c>
      <c r="H31" s="14">
        <f t="shared" si="1"/>
        <v>0</v>
      </c>
      <c r="I31" s="2"/>
      <c r="J31" s="10">
        <v>26.803619721239855</v>
      </c>
      <c r="K31" s="14">
        <f t="shared" si="2"/>
        <v>26.803619721239855</v>
      </c>
      <c r="L31" s="14">
        <f t="shared" si="3"/>
        <v>0</v>
      </c>
      <c r="M31" s="2"/>
      <c r="N31" s="10">
        <v>6.386504754599</v>
      </c>
      <c r="O31" s="14">
        <f t="shared" si="4"/>
        <v>6.386504754599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32</v>
      </c>
      <c r="B32" s="4">
        <v>28</v>
      </c>
      <c r="C32" s="4" t="s">
        <v>102</v>
      </c>
      <c r="D32" s="11">
        <v>0</v>
      </c>
      <c r="E32" s="2"/>
      <c r="F32" s="10">
        <v>20.896718440688293</v>
      </c>
      <c r="G32" s="14">
        <f t="shared" si="0"/>
        <v>20.896718440688293</v>
      </c>
      <c r="H32" s="14">
        <f t="shared" si="1"/>
        <v>0</v>
      </c>
      <c r="I32" s="2"/>
      <c r="J32" s="10">
        <v>51.92873488068</v>
      </c>
      <c r="K32" s="14">
        <f t="shared" si="2"/>
        <v>51.92873488068</v>
      </c>
      <c r="L32" s="14">
        <f t="shared" si="3"/>
        <v>0</v>
      </c>
      <c r="M32" s="2"/>
      <c r="N32" s="10">
        <v>12.33872718588528</v>
      </c>
      <c r="O32" s="14">
        <f t="shared" si="4"/>
        <v>12.33872718588528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32</v>
      </c>
      <c r="B33" s="4">
        <v>29</v>
      </c>
      <c r="C33" s="4" t="s">
        <v>103</v>
      </c>
      <c r="D33" s="11">
        <v>0.01</v>
      </c>
      <c r="E33" s="2"/>
      <c r="F33" s="10">
        <v>2.1837406730622813</v>
      </c>
      <c r="G33" s="14">
        <f t="shared" si="0"/>
        <v>2.1837406730622813</v>
      </c>
      <c r="H33" s="14">
        <f t="shared" si="1"/>
        <v>0.021837406730622812</v>
      </c>
      <c r="I33" s="2"/>
      <c r="J33" s="10">
        <v>5.087966952955511</v>
      </c>
      <c r="K33" s="14">
        <f t="shared" si="2"/>
        <v>5.087966952955511</v>
      </c>
      <c r="L33" s="14">
        <f t="shared" si="3"/>
        <v>0.05087966952955511</v>
      </c>
      <c r="M33" s="2"/>
      <c r="N33" s="10">
        <v>1.4816691030669695</v>
      </c>
      <c r="O33" s="14">
        <f t="shared" si="4"/>
        <v>1.4816691030669695</v>
      </c>
      <c r="P33" s="14">
        <f t="shared" si="5"/>
        <v>0.014816691030669696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32</v>
      </c>
      <c r="B34" s="4">
        <v>30</v>
      </c>
      <c r="C34" s="4" t="s">
        <v>104</v>
      </c>
      <c r="D34" s="11">
        <v>0.01</v>
      </c>
      <c r="E34" s="2"/>
      <c r="F34" s="10">
        <v>0.8399002588701081</v>
      </c>
      <c r="G34" s="14">
        <f t="shared" si="0"/>
        <v>0.8399002588701081</v>
      </c>
      <c r="H34" s="14">
        <f t="shared" si="1"/>
        <v>0.008399002588701082</v>
      </c>
      <c r="I34" s="2"/>
      <c r="J34" s="10">
        <v>1.9932241671372106</v>
      </c>
      <c r="K34" s="14">
        <f t="shared" si="2"/>
        <v>1.9932241671372106</v>
      </c>
      <c r="L34" s="14">
        <f t="shared" si="3"/>
        <v>0.019932241671372107</v>
      </c>
      <c r="M34" s="2"/>
      <c r="N34" s="10">
        <v>0.4342823233127324</v>
      </c>
      <c r="O34" s="14">
        <f t="shared" si="4"/>
        <v>0.4342823233127324</v>
      </c>
      <c r="P34" s="14">
        <f t="shared" si="5"/>
        <v>0.004342823233127325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32</v>
      </c>
      <c r="B35" s="4">
        <v>31</v>
      </c>
      <c r="C35" s="4" t="s">
        <v>105</v>
      </c>
      <c r="D35" s="11">
        <v>0</v>
      </c>
      <c r="E35" s="2"/>
      <c r="F35" s="10">
        <v>2.3181247144815</v>
      </c>
      <c r="G35" s="14">
        <f t="shared" si="0"/>
        <v>2.3181247144815</v>
      </c>
      <c r="H35" s="14">
        <f t="shared" si="1"/>
        <v>0</v>
      </c>
      <c r="I35" s="2"/>
      <c r="J35" s="10">
        <v>5.481366459627329</v>
      </c>
      <c r="K35" s="14">
        <f t="shared" si="2"/>
        <v>5.481366459627329</v>
      </c>
      <c r="L35" s="14">
        <f t="shared" si="3"/>
        <v>0</v>
      </c>
      <c r="M35" s="2"/>
      <c r="N35" s="10">
        <v>1.3028469699382</v>
      </c>
      <c r="O35" s="14">
        <f t="shared" si="4"/>
        <v>1.3028469699382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32</v>
      </c>
      <c r="B36" s="4">
        <v>32</v>
      </c>
      <c r="C36" s="4" t="s">
        <v>106</v>
      </c>
      <c r="D36" s="11">
        <v>0</v>
      </c>
      <c r="E36" s="2"/>
      <c r="F36" s="10">
        <v>5.341765646413887</v>
      </c>
      <c r="G36" s="14">
        <f t="shared" si="0"/>
        <v>5.341765646413887</v>
      </c>
      <c r="H36" s="14">
        <f t="shared" si="1"/>
        <v>0</v>
      </c>
      <c r="I36" s="2"/>
      <c r="J36" s="10">
        <v>12.56255757972</v>
      </c>
      <c r="K36" s="14">
        <f t="shared" si="2"/>
        <v>12.56255757972</v>
      </c>
      <c r="L36" s="14">
        <f t="shared" si="3"/>
        <v>0</v>
      </c>
      <c r="M36" s="2"/>
      <c r="N36" s="10">
        <v>3.2187983963179</v>
      </c>
      <c r="O36" s="14">
        <f t="shared" si="4"/>
        <v>3.2187983963179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32</v>
      </c>
      <c r="B37" s="4">
        <v>33</v>
      </c>
      <c r="C37" s="4" t="s">
        <v>107</v>
      </c>
      <c r="D37" s="11">
        <v>0.001</v>
      </c>
      <c r="E37" s="2"/>
      <c r="F37" s="10">
        <v>0.5039401553220649</v>
      </c>
      <c r="G37" s="14">
        <f t="shared" si="0"/>
        <v>0.5039401553220649</v>
      </c>
      <c r="H37" s="14">
        <f t="shared" si="1"/>
        <v>0.0005039401553220649</v>
      </c>
      <c r="I37" s="2"/>
      <c r="J37" s="10">
        <v>1.4686914915747866</v>
      </c>
      <c r="K37" s="14">
        <f t="shared" si="2"/>
        <v>1.4686914915747866</v>
      </c>
      <c r="L37" s="14">
        <f t="shared" si="3"/>
        <v>0.0014686914915747866</v>
      </c>
      <c r="M37" s="2"/>
      <c r="N37" s="10">
        <v>0.16860372552141378</v>
      </c>
      <c r="O37" s="14">
        <f t="shared" si="4"/>
        <v>0.16860372552141378</v>
      </c>
      <c r="P37" s="14">
        <f t="shared" si="5"/>
        <v>0.00016860372552141378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32</v>
      </c>
      <c r="B38" s="4">
        <v>34</v>
      </c>
      <c r="C38" s="4" t="s">
        <v>108</v>
      </c>
      <c r="D38" s="2"/>
      <c r="E38" s="2"/>
      <c r="F38" s="10">
        <v>345.66935054058166</v>
      </c>
      <c r="G38" s="10">
        <f>G37+G36+G32+G26+G22+G19+G18+G15+G10+G7</f>
        <v>345.66935054058166</v>
      </c>
      <c r="H38" s="10"/>
      <c r="I38" s="2"/>
      <c r="J38" s="10">
        <v>949.1681030639838</v>
      </c>
      <c r="K38" s="10">
        <f>K37+K36+K32+K26+K22+K19+K18+K15+K10+K7</f>
        <v>949.1681030639834</v>
      </c>
      <c r="L38" s="10"/>
      <c r="M38" s="2"/>
      <c r="N38" s="10">
        <v>280.07633411008663</v>
      </c>
      <c r="O38" s="10">
        <f>O37+O36+O32+O26+O22+O19+O18+O15+O10+O7</f>
        <v>280.07633411008675</v>
      </c>
      <c r="P38" s="1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32</v>
      </c>
      <c r="B39" s="4">
        <v>35</v>
      </c>
      <c r="C39" s="4" t="s">
        <v>109</v>
      </c>
      <c r="D39" s="2"/>
      <c r="E39" s="34">
        <f>(F39-H39)*2/F39*100</f>
        <v>-4.9411759334868393E-14</v>
      </c>
      <c r="F39" s="10">
        <v>3.5950082800365473</v>
      </c>
      <c r="G39" s="10"/>
      <c r="H39" s="10">
        <f>SUM(H5:H37)</f>
        <v>3.595008280036548</v>
      </c>
      <c r="I39" s="34">
        <f>(J39-L39)*2/J39*100</f>
        <v>3.7852096255840175E-14</v>
      </c>
      <c r="J39" s="10">
        <v>9.385777883443787</v>
      </c>
      <c r="K39" s="10"/>
      <c r="L39" s="10">
        <f>SUM(L5:L37)</f>
        <v>9.385777883443785</v>
      </c>
      <c r="M39" s="34">
        <f>(N39-P39)*2/N39*100</f>
        <v>2.4319548198843473E-13</v>
      </c>
      <c r="N39" s="10">
        <v>2.5564820888393562</v>
      </c>
      <c r="O39" s="10"/>
      <c r="P39" s="10">
        <f>SUM(P5:P37)</f>
        <v>2.556482088839353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mergeCells count="3">
    <mergeCell ref="F1:H1"/>
    <mergeCell ref="J1:L1"/>
    <mergeCell ref="N1:P1"/>
  </mergeCells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4.57421875" style="0" hidden="1" customWidth="1"/>
    <col min="3" max="3" width="16.28125" style="0" customWidth="1"/>
    <col min="5" max="5" width="4.421875" style="0" customWidth="1"/>
    <col min="6" max="8" width="9.140625" style="40" customWidth="1"/>
    <col min="9" max="9" width="3.7109375" style="0" customWidth="1"/>
    <col min="10" max="12" width="9.140625" style="40" customWidth="1"/>
  </cols>
  <sheetData>
    <row r="1" spans="3:12" ht="12.75">
      <c r="C1" s="7" t="s">
        <v>44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44</v>
      </c>
      <c r="B5" s="4">
        <v>1</v>
      </c>
      <c r="C5" s="4" t="s">
        <v>75</v>
      </c>
      <c r="D5" s="11">
        <v>1</v>
      </c>
      <c r="E5" s="2">
        <v>2</v>
      </c>
      <c r="F5" s="10">
        <v>0.000573743869142746</v>
      </c>
      <c r="G5" s="14">
        <f>IF(F5=0,"",IF(E5=1,F5/2,F5))</f>
        <v>0.000573743869142746</v>
      </c>
      <c r="H5" s="14">
        <f>IF(G5="","",G5*$D5)</f>
        <v>0.000573743869142746</v>
      </c>
      <c r="I5" s="2">
        <v>1</v>
      </c>
      <c r="J5" s="10">
        <v>0.0021168103767603788</v>
      </c>
      <c r="K5" s="14">
        <f>IF(J5=0,"",IF(I5=1,J5/2,J5))</f>
        <v>0.0010584051883801894</v>
      </c>
      <c r="L5" s="14">
        <f>IF(K5="","",K5*$D5)</f>
        <v>0.0010584051883801894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44</v>
      </c>
      <c r="B6" s="4">
        <v>2</v>
      </c>
      <c r="C6" s="4" t="s">
        <v>76</v>
      </c>
      <c r="D6" s="11">
        <v>0</v>
      </c>
      <c r="E6" s="2"/>
      <c r="F6" s="10">
        <v>0.1753743760013</v>
      </c>
      <c r="G6" s="14">
        <f aca="true" t="shared" si="0" ref="G6:G37">IF(F6=0,"",IF(E6=1,F6/2,F6))</f>
        <v>0.1753743760013</v>
      </c>
      <c r="H6" s="14">
        <f aca="true" t="shared" si="1" ref="H6:H37">IF(G6="","",G6*$D6)</f>
        <v>0</v>
      </c>
      <c r="I6" s="2"/>
      <c r="J6" s="10">
        <v>0.139709484866185</v>
      </c>
      <c r="K6" s="14">
        <f aca="true" t="shared" si="2" ref="K6:K37">IF(J6=0,"",IF(I6=1,J6/2,J6))</f>
        <v>0.139709484866185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44</v>
      </c>
      <c r="B7" s="4">
        <v>3</v>
      </c>
      <c r="C7" s="4" t="s">
        <v>77</v>
      </c>
      <c r="D7" s="11">
        <v>0</v>
      </c>
      <c r="E7" s="2"/>
      <c r="F7" s="10">
        <v>0.1759481198704421</v>
      </c>
      <c r="G7" s="14">
        <f t="shared" si="0"/>
        <v>0.1759481198704421</v>
      </c>
      <c r="H7" s="14">
        <f t="shared" si="1"/>
        <v>0</v>
      </c>
      <c r="I7" s="2"/>
      <c r="J7" s="10">
        <v>0.14182629524294538</v>
      </c>
      <c r="K7" s="14">
        <f t="shared" si="2"/>
        <v>0.14182629524294538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44</v>
      </c>
      <c r="B8" s="4">
        <v>4</v>
      </c>
      <c r="C8" s="4" t="s">
        <v>78</v>
      </c>
      <c r="D8" s="11">
        <v>0.5</v>
      </c>
      <c r="E8" s="2"/>
      <c r="F8" s="10">
        <v>0.007649918255236612</v>
      </c>
      <c r="G8" s="14">
        <f t="shared" si="0"/>
        <v>0.007649918255236612</v>
      </c>
      <c r="H8" s="14">
        <f t="shared" si="1"/>
        <v>0.003824959127618306</v>
      </c>
      <c r="I8" s="2">
        <v>2</v>
      </c>
      <c r="J8" s="10">
        <v>0.006350431130281137</v>
      </c>
      <c r="K8" s="14">
        <f t="shared" si="2"/>
        <v>0.006350431130281137</v>
      </c>
      <c r="L8" s="14">
        <f t="shared" si="3"/>
        <v>0.0031752155651405684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44</v>
      </c>
      <c r="B9" s="4">
        <v>5</v>
      </c>
      <c r="C9" s="4" t="s">
        <v>79</v>
      </c>
      <c r="D9" s="11">
        <v>0</v>
      </c>
      <c r="E9" s="2"/>
      <c r="F9" s="10">
        <v>0.336596403230411</v>
      </c>
      <c r="G9" s="14">
        <f t="shared" si="0"/>
        <v>0.336596403230411</v>
      </c>
      <c r="H9" s="14">
        <f t="shared" si="1"/>
        <v>0</v>
      </c>
      <c r="I9" s="2"/>
      <c r="J9" s="10">
        <v>0.33233922915138</v>
      </c>
      <c r="K9" s="14">
        <f t="shared" si="2"/>
        <v>0.33233922915138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44</v>
      </c>
      <c r="B10" s="4">
        <v>5</v>
      </c>
      <c r="C10" s="4" t="s">
        <v>80</v>
      </c>
      <c r="D10" s="11">
        <v>0</v>
      </c>
      <c r="E10" s="2"/>
      <c r="F10" s="10">
        <v>0.34424632148564754</v>
      </c>
      <c r="G10" s="14">
        <f t="shared" si="0"/>
        <v>0.34424632148564754</v>
      </c>
      <c r="H10" s="14">
        <f t="shared" si="1"/>
        <v>0</v>
      </c>
      <c r="I10" s="2"/>
      <c r="J10" s="10">
        <v>0.33868966028166</v>
      </c>
      <c r="K10" s="14">
        <f t="shared" si="2"/>
        <v>0.33868966028166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44</v>
      </c>
      <c r="B11" s="4">
        <v>7</v>
      </c>
      <c r="C11" s="4" t="s">
        <v>81</v>
      </c>
      <c r="D11" s="11">
        <v>0.1</v>
      </c>
      <c r="E11" s="2"/>
      <c r="F11" s="10">
        <v>0.009562397819045767</v>
      </c>
      <c r="G11" s="14">
        <f t="shared" si="0"/>
        <v>0.009562397819045767</v>
      </c>
      <c r="H11" s="14">
        <f t="shared" si="1"/>
        <v>0.0009562397819045768</v>
      </c>
      <c r="I11" s="2"/>
      <c r="J11" s="10">
        <v>0.008467241507041515</v>
      </c>
      <c r="K11" s="14">
        <f t="shared" si="2"/>
        <v>0.008467241507041515</v>
      </c>
      <c r="L11" s="14">
        <f t="shared" si="3"/>
        <v>0.0008467241507041515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44</v>
      </c>
      <c r="B12" s="4">
        <v>8</v>
      </c>
      <c r="C12" s="4" t="s">
        <v>82</v>
      </c>
      <c r="D12" s="11">
        <v>0.1</v>
      </c>
      <c r="E12" s="2"/>
      <c r="F12" s="10">
        <v>0.034424632148564754</v>
      </c>
      <c r="G12" s="14">
        <f t="shared" si="0"/>
        <v>0.034424632148564754</v>
      </c>
      <c r="H12" s="14">
        <f t="shared" si="1"/>
        <v>0.0034424632148564757</v>
      </c>
      <c r="I12" s="2"/>
      <c r="J12" s="10">
        <v>0.035985776404926444</v>
      </c>
      <c r="K12" s="14">
        <f t="shared" si="2"/>
        <v>0.035985776404926444</v>
      </c>
      <c r="L12" s="14">
        <f t="shared" si="3"/>
        <v>0.0035985776404926445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44</v>
      </c>
      <c r="B13" s="4">
        <v>9</v>
      </c>
      <c r="C13" s="4" t="s">
        <v>83</v>
      </c>
      <c r="D13" s="11">
        <v>0.1</v>
      </c>
      <c r="E13" s="2"/>
      <c r="F13" s="10">
        <v>0.024862234329519</v>
      </c>
      <c r="G13" s="14">
        <f t="shared" si="0"/>
        <v>0.024862234329519</v>
      </c>
      <c r="H13" s="14">
        <f t="shared" si="1"/>
        <v>0.0024862234329519</v>
      </c>
      <c r="I13" s="2"/>
      <c r="J13" s="10">
        <v>0.027518534897885</v>
      </c>
      <c r="K13" s="14">
        <f t="shared" si="2"/>
        <v>0.027518534897885</v>
      </c>
      <c r="L13" s="14">
        <f t="shared" si="3"/>
        <v>0.0027518534897885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44</v>
      </c>
      <c r="B14" s="4">
        <v>10</v>
      </c>
      <c r="C14" s="4" t="s">
        <v>84</v>
      </c>
      <c r="D14" s="11">
        <v>0</v>
      </c>
      <c r="E14" s="2"/>
      <c r="F14" s="10">
        <v>0.6578929699503488</v>
      </c>
      <c r="G14" s="14">
        <f t="shared" si="0"/>
        <v>0.6578929699503488</v>
      </c>
      <c r="H14" s="14">
        <f t="shared" si="1"/>
        <v>0</v>
      </c>
      <c r="I14" s="2"/>
      <c r="J14" s="10">
        <v>0.7324163903590911</v>
      </c>
      <c r="K14" s="14">
        <f t="shared" si="2"/>
        <v>0.7324163903590911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44</v>
      </c>
      <c r="B15" s="4">
        <v>11</v>
      </c>
      <c r="C15" s="4" t="s">
        <v>85</v>
      </c>
      <c r="D15" s="11">
        <v>0</v>
      </c>
      <c r="E15" s="2"/>
      <c r="F15" s="10">
        <v>0.7267422342474783</v>
      </c>
      <c r="G15" s="14">
        <f t="shared" si="0"/>
        <v>0.7267422342474783</v>
      </c>
      <c r="H15" s="14">
        <f t="shared" si="1"/>
        <v>0</v>
      </c>
      <c r="I15" s="2"/>
      <c r="J15" s="10">
        <v>0.8043879431689439</v>
      </c>
      <c r="K15" s="14">
        <f t="shared" si="2"/>
        <v>0.8043879431689439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44</v>
      </c>
      <c r="B16" s="4">
        <v>12</v>
      </c>
      <c r="C16" s="4" t="s">
        <v>86</v>
      </c>
      <c r="D16" s="11">
        <v>0.01</v>
      </c>
      <c r="E16" s="2"/>
      <c r="F16" s="10">
        <v>0.1912479563809153</v>
      </c>
      <c r="G16" s="14">
        <f t="shared" si="0"/>
        <v>0.1912479563809153</v>
      </c>
      <c r="H16" s="14">
        <f t="shared" si="1"/>
        <v>0.001912479563809153</v>
      </c>
      <c r="I16" s="2"/>
      <c r="J16" s="10">
        <v>0.2116810376760379</v>
      </c>
      <c r="K16" s="14">
        <f t="shared" si="2"/>
        <v>0.2116810376760379</v>
      </c>
      <c r="L16" s="14">
        <f t="shared" si="3"/>
        <v>0.002116810376760379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44</v>
      </c>
      <c r="B17" s="4">
        <v>13</v>
      </c>
      <c r="C17" s="4" t="s">
        <v>87</v>
      </c>
      <c r="D17" s="11">
        <v>0</v>
      </c>
      <c r="E17" s="2"/>
      <c r="F17" s="10">
        <v>0.325121525847556</v>
      </c>
      <c r="G17" s="14">
        <f t="shared" si="0"/>
        <v>0.325121525847556</v>
      </c>
      <c r="H17" s="14">
        <f t="shared" si="1"/>
        <v>0</v>
      </c>
      <c r="I17" s="2"/>
      <c r="J17" s="10">
        <v>0.35985776404926445</v>
      </c>
      <c r="K17" s="14">
        <f t="shared" si="2"/>
        <v>0.35985776404926445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44</v>
      </c>
      <c r="B18" s="4">
        <v>14</v>
      </c>
      <c r="C18" s="4" t="s">
        <v>88</v>
      </c>
      <c r="D18" s="11">
        <v>0</v>
      </c>
      <c r="E18" s="2"/>
      <c r="F18" s="10">
        <v>0.5163694822284713</v>
      </c>
      <c r="G18" s="14">
        <f t="shared" si="0"/>
        <v>0.5163694822284713</v>
      </c>
      <c r="H18" s="14">
        <f t="shared" si="1"/>
        <v>0</v>
      </c>
      <c r="I18" s="2"/>
      <c r="J18" s="10">
        <v>0.5715388017253024</v>
      </c>
      <c r="K18" s="14">
        <f t="shared" si="2"/>
        <v>0.5715388017253024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44</v>
      </c>
      <c r="B19" s="4">
        <v>15</v>
      </c>
      <c r="C19" s="4" t="s">
        <v>89</v>
      </c>
      <c r="D19" s="11">
        <v>0.001</v>
      </c>
      <c r="E19" s="2"/>
      <c r="F19" s="10">
        <v>0.21037275201900682</v>
      </c>
      <c r="G19" s="14">
        <f t="shared" si="0"/>
        <v>0.21037275201900682</v>
      </c>
      <c r="H19" s="14">
        <f t="shared" si="1"/>
        <v>0.0002103727520190068</v>
      </c>
      <c r="I19" s="2"/>
      <c r="J19" s="10">
        <v>0.2540172452112454</v>
      </c>
      <c r="K19" s="14">
        <f t="shared" si="2"/>
        <v>0.2540172452112454</v>
      </c>
      <c r="L19" s="14">
        <f t="shared" si="3"/>
        <v>0.0002540172452112454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44</v>
      </c>
      <c r="B20" s="4">
        <v>16</v>
      </c>
      <c r="C20" s="4" t="s">
        <v>90</v>
      </c>
      <c r="D20" s="11">
        <v>0.1</v>
      </c>
      <c r="E20" s="2"/>
      <c r="F20" s="10">
        <v>0.06693678473332035</v>
      </c>
      <c r="G20" s="14">
        <f t="shared" si="0"/>
        <v>0.06693678473332035</v>
      </c>
      <c r="H20" s="14">
        <f t="shared" si="1"/>
        <v>0.006693678473332035</v>
      </c>
      <c r="I20" s="2"/>
      <c r="J20" s="10">
        <v>0.07408836318661326</v>
      </c>
      <c r="K20" s="14">
        <f t="shared" si="2"/>
        <v>0.07408836318661326</v>
      </c>
      <c r="L20" s="14">
        <f t="shared" si="3"/>
        <v>0.007408836318661326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44</v>
      </c>
      <c r="B21" s="4">
        <v>17</v>
      </c>
      <c r="C21" s="4" t="s">
        <v>91</v>
      </c>
      <c r="D21" s="11">
        <v>0</v>
      </c>
      <c r="E21" s="2"/>
      <c r="F21" s="10">
        <v>0.35380871930469326</v>
      </c>
      <c r="G21" s="14">
        <f t="shared" si="0"/>
        <v>0.35380871930469326</v>
      </c>
      <c r="H21" s="14">
        <f t="shared" si="1"/>
        <v>0</v>
      </c>
      <c r="I21" s="2"/>
      <c r="J21" s="10">
        <v>0.34927371216546255</v>
      </c>
      <c r="K21" s="14">
        <f t="shared" si="2"/>
        <v>0.34927371216546255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44</v>
      </c>
      <c r="B22" s="4">
        <v>18</v>
      </c>
      <c r="C22" s="4" t="s">
        <v>92</v>
      </c>
      <c r="D22" s="11">
        <v>0</v>
      </c>
      <c r="E22" s="2"/>
      <c r="F22" s="10">
        <v>0.42074550403801364</v>
      </c>
      <c r="G22" s="14">
        <f t="shared" si="0"/>
        <v>0.42074550403801364</v>
      </c>
      <c r="H22" s="14">
        <f t="shared" si="1"/>
        <v>0</v>
      </c>
      <c r="I22" s="2"/>
      <c r="J22" s="10">
        <v>0.4233620753520758</v>
      </c>
      <c r="K22" s="14">
        <f t="shared" si="2"/>
        <v>0.4233620753520758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44</v>
      </c>
      <c r="B23" s="4">
        <v>19</v>
      </c>
      <c r="C23" s="4" t="s">
        <v>93</v>
      </c>
      <c r="D23" s="11">
        <v>0.05</v>
      </c>
      <c r="E23" s="2">
        <v>2</v>
      </c>
      <c r="F23" s="10">
        <v>0.00573743869142746</v>
      </c>
      <c r="G23" s="14">
        <f t="shared" si="0"/>
        <v>0.00573743869142746</v>
      </c>
      <c r="H23" s="14">
        <f t="shared" si="1"/>
        <v>0.000286871934571373</v>
      </c>
      <c r="I23" s="2"/>
      <c r="J23" s="10">
        <v>0.006350431130281137</v>
      </c>
      <c r="K23" s="14">
        <f t="shared" si="2"/>
        <v>0.006350431130281137</v>
      </c>
      <c r="L23" s="14">
        <f t="shared" si="3"/>
        <v>0.00031752155651405687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44</v>
      </c>
      <c r="B24" s="4">
        <v>20</v>
      </c>
      <c r="C24" s="4" t="s">
        <v>94</v>
      </c>
      <c r="D24" s="11">
        <v>0.5</v>
      </c>
      <c r="E24" s="2">
        <v>2</v>
      </c>
      <c r="F24" s="10">
        <v>0.015299836510473223</v>
      </c>
      <c r="G24" s="14">
        <f t="shared" si="0"/>
        <v>0.015299836510473223</v>
      </c>
      <c r="H24" s="14">
        <f t="shared" si="1"/>
        <v>0.007649918255236612</v>
      </c>
      <c r="I24" s="2"/>
      <c r="J24" s="10">
        <v>0.014817672637322653</v>
      </c>
      <c r="K24" s="14">
        <f t="shared" si="2"/>
        <v>0.014817672637322653</v>
      </c>
      <c r="L24" s="14">
        <f t="shared" si="3"/>
        <v>0.007408836318661327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44</v>
      </c>
      <c r="B25" s="4">
        <v>21</v>
      </c>
      <c r="C25" s="4" t="s">
        <v>95</v>
      </c>
      <c r="D25" s="11">
        <v>0</v>
      </c>
      <c r="E25" s="2"/>
      <c r="F25" s="10">
        <v>0.162560762923778</v>
      </c>
      <c r="G25" s="14">
        <f t="shared" si="0"/>
        <v>0.162560762923778</v>
      </c>
      <c r="H25" s="14">
        <f t="shared" si="1"/>
        <v>0</v>
      </c>
      <c r="I25" s="2"/>
      <c r="J25" s="10">
        <v>0.17146164051759</v>
      </c>
      <c r="K25" s="14">
        <f t="shared" si="2"/>
        <v>0.17146164051759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44</v>
      </c>
      <c r="B26" s="4">
        <v>22</v>
      </c>
      <c r="C26" s="4" t="s">
        <v>96</v>
      </c>
      <c r="D26" s="11">
        <v>0</v>
      </c>
      <c r="E26" s="2"/>
      <c r="F26" s="10">
        <v>0.1835980381256787</v>
      </c>
      <c r="G26" s="14">
        <f t="shared" si="0"/>
        <v>0.1835980381256787</v>
      </c>
      <c r="H26" s="14">
        <f t="shared" si="1"/>
        <v>0</v>
      </c>
      <c r="I26" s="2"/>
      <c r="J26" s="10">
        <v>0.19262974428519444</v>
      </c>
      <c r="K26" s="14">
        <f t="shared" si="2"/>
        <v>0.19262974428519444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44</v>
      </c>
      <c r="B27" s="4">
        <v>23</v>
      </c>
      <c r="C27" s="4" t="s">
        <v>97</v>
      </c>
      <c r="D27" s="11">
        <v>0.1</v>
      </c>
      <c r="E27" s="2"/>
      <c r="F27" s="10">
        <v>0.024862234329519</v>
      </c>
      <c r="G27" s="14">
        <f t="shared" si="0"/>
        <v>0.024862234329519</v>
      </c>
      <c r="H27" s="14">
        <f t="shared" si="1"/>
        <v>0.0024862234329519</v>
      </c>
      <c r="I27" s="2"/>
      <c r="J27" s="10">
        <v>0.029635345274645307</v>
      </c>
      <c r="K27" s="14">
        <f t="shared" si="2"/>
        <v>0.029635345274645307</v>
      </c>
      <c r="L27" s="14">
        <f t="shared" si="3"/>
        <v>0.0029635345274645307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44</v>
      </c>
      <c r="B28" s="4">
        <v>24</v>
      </c>
      <c r="C28" s="4" t="s">
        <v>98</v>
      </c>
      <c r="D28" s="11">
        <v>0.1</v>
      </c>
      <c r="E28" s="2"/>
      <c r="F28" s="10">
        <v>0</v>
      </c>
      <c r="G28" s="14">
        <f t="shared" si="0"/>
      </c>
      <c r="H28" s="14">
        <f t="shared" si="1"/>
      </c>
      <c r="I28" s="2"/>
      <c r="J28" s="10">
        <v>0.016934483014083</v>
      </c>
      <c r="K28" s="14">
        <f t="shared" si="2"/>
        <v>0.016934483014083</v>
      </c>
      <c r="L28" s="14">
        <f t="shared" si="3"/>
        <v>0.0016934483014083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44</v>
      </c>
      <c r="B29" s="4">
        <v>25</v>
      </c>
      <c r="C29" s="4" t="s">
        <v>99</v>
      </c>
      <c r="D29" s="11">
        <v>0.1</v>
      </c>
      <c r="E29" s="2"/>
      <c r="F29" s="10">
        <v>0.001912479563809153</v>
      </c>
      <c r="G29" s="14">
        <f t="shared" si="0"/>
        <v>0.001912479563809153</v>
      </c>
      <c r="H29" s="14">
        <f t="shared" si="1"/>
        <v>0.0001912479563809153</v>
      </c>
      <c r="I29" s="2"/>
      <c r="J29" s="10">
        <v>0.0021168103767603788</v>
      </c>
      <c r="K29" s="14">
        <f t="shared" si="2"/>
        <v>0.0021168103767603788</v>
      </c>
      <c r="L29" s="14">
        <f t="shared" si="3"/>
        <v>0.00021168103767603788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44</v>
      </c>
      <c r="B30" s="4">
        <v>26</v>
      </c>
      <c r="C30" s="4" t="s">
        <v>100</v>
      </c>
      <c r="D30" s="11">
        <v>0.1</v>
      </c>
      <c r="E30" s="2"/>
      <c r="F30" s="10">
        <v>0.024862234329519</v>
      </c>
      <c r="G30" s="14">
        <f t="shared" si="0"/>
        <v>0.024862234329519</v>
      </c>
      <c r="H30" s="14">
        <f t="shared" si="1"/>
        <v>0.0024862234329519</v>
      </c>
      <c r="I30" s="2"/>
      <c r="J30" s="10">
        <v>0.029635345274645307</v>
      </c>
      <c r="K30" s="14">
        <f t="shared" si="2"/>
        <v>0.029635345274645307</v>
      </c>
      <c r="L30" s="14">
        <f t="shared" si="3"/>
        <v>0.0029635345274645307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44</v>
      </c>
      <c r="B31" s="4">
        <v>27</v>
      </c>
      <c r="C31" s="4" t="s">
        <v>101</v>
      </c>
      <c r="D31" s="11">
        <v>0</v>
      </c>
      <c r="E31" s="2"/>
      <c r="F31" s="10">
        <v>0.061199346041893</v>
      </c>
      <c r="G31" s="14">
        <f t="shared" si="0"/>
        <v>0.061199346041893</v>
      </c>
      <c r="H31" s="14">
        <f t="shared" si="1"/>
        <v>0</v>
      </c>
      <c r="I31" s="2"/>
      <c r="J31" s="10">
        <v>0.027518534897885</v>
      </c>
      <c r="K31" s="14">
        <f t="shared" si="2"/>
        <v>0.027518534897885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44</v>
      </c>
      <c r="B32" s="4">
        <v>28</v>
      </c>
      <c r="C32" s="4" t="s">
        <v>102</v>
      </c>
      <c r="D32" s="11">
        <v>0</v>
      </c>
      <c r="E32" s="2"/>
      <c r="F32" s="10">
        <v>0.11283629426474</v>
      </c>
      <c r="G32" s="14">
        <f t="shared" si="0"/>
        <v>0.11283629426474</v>
      </c>
      <c r="H32" s="14">
        <f t="shared" si="1"/>
        <v>0</v>
      </c>
      <c r="I32" s="2"/>
      <c r="J32" s="10">
        <v>0.10584051883801895</v>
      </c>
      <c r="K32" s="14">
        <f t="shared" si="2"/>
        <v>0.10584051883801895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44</v>
      </c>
      <c r="B33" s="4">
        <v>29</v>
      </c>
      <c r="C33" s="4" t="s">
        <v>103</v>
      </c>
      <c r="D33" s="11">
        <v>0.01</v>
      </c>
      <c r="E33" s="2"/>
      <c r="F33" s="10">
        <v>0.02677471389332815</v>
      </c>
      <c r="G33" s="14">
        <f t="shared" si="0"/>
        <v>0.02677471389332815</v>
      </c>
      <c r="H33" s="14">
        <f t="shared" si="1"/>
        <v>0.00026774713893328153</v>
      </c>
      <c r="I33" s="2"/>
      <c r="J33" s="10">
        <v>0.027518534897885</v>
      </c>
      <c r="K33" s="14">
        <f t="shared" si="2"/>
        <v>0.027518534897885</v>
      </c>
      <c r="L33" s="14">
        <f t="shared" si="3"/>
        <v>0.00027518534897885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44</v>
      </c>
      <c r="B34" s="4">
        <v>30</v>
      </c>
      <c r="C34" s="4" t="s">
        <v>104</v>
      </c>
      <c r="D34" s="11">
        <v>0.01</v>
      </c>
      <c r="E34" s="2"/>
      <c r="F34" s="10">
        <v>0.00573743869142746</v>
      </c>
      <c r="G34" s="14">
        <f t="shared" si="0"/>
        <v>0.00573743869142746</v>
      </c>
      <c r="H34" s="14">
        <f t="shared" si="1"/>
        <v>5.7374386914274596E-05</v>
      </c>
      <c r="I34" s="2">
        <v>2</v>
      </c>
      <c r="J34" s="10">
        <v>0.008467241507041515</v>
      </c>
      <c r="K34" s="14">
        <f t="shared" si="2"/>
        <v>0.008467241507041515</v>
      </c>
      <c r="L34" s="14">
        <f t="shared" si="3"/>
        <v>8.467241507041515E-05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44</v>
      </c>
      <c r="B35" s="4">
        <v>31</v>
      </c>
      <c r="C35" s="4" t="s">
        <v>105</v>
      </c>
      <c r="D35" s="11">
        <v>0</v>
      </c>
      <c r="E35" s="2"/>
      <c r="F35" s="10">
        <v>0.01070988555733125</v>
      </c>
      <c r="G35" s="14">
        <f t="shared" si="0"/>
        <v>0.01070988555733125</v>
      </c>
      <c r="H35" s="14">
        <f t="shared" si="1"/>
        <v>0</v>
      </c>
      <c r="I35" s="2"/>
      <c r="J35" s="10">
        <v>0.01481767263732265</v>
      </c>
      <c r="K35" s="14">
        <f t="shared" si="2"/>
        <v>0.01481767263732265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44</v>
      </c>
      <c r="B36" s="4">
        <v>32</v>
      </c>
      <c r="C36" s="4" t="s">
        <v>106</v>
      </c>
      <c r="D36" s="11">
        <v>0</v>
      </c>
      <c r="E36" s="2"/>
      <c r="F36" s="10">
        <v>0.04322203814208686</v>
      </c>
      <c r="G36" s="14">
        <f t="shared" si="0"/>
        <v>0.04322203814208686</v>
      </c>
      <c r="H36" s="14">
        <f t="shared" si="1"/>
        <v>0</v>
      </c>
      <c r="I36" s="2"/>
      <c r="J36" s="10">
        <v>0.050803449042249</v>
      </c>
      <c r="K36" s="14">
        <f t="shared" si="2"/>
        <v>0.050803449042249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44</v>
      </c>
      <c r="B37" s="4">
        <v>33</v>
      </c>
      <c r="C37" s="4" t="s">
        <v>107</v>
      </c>
      <c r="D37" s="11">
        <v>0.001</v>
      </c>
      <c r="E37" s="2">
        <v>2</v>
      </c>
      <c r="F37" s="10">
        <v>0.009562397819045767</v>
      </c>
      <c r="G37" s="14">
        <f t="shared" si="0"/>
        <v>0.009562397819045767</v>
      </c>
      <c r="H37" s="14">
        <f t="shared" si="1"/>
        <v>9.562397819045768E-06</v>
      </c>
      <c r="I37" s="2"/>
      <c r="J37" s="10">
        <v>0.006350431130281137</v>
      </c>
      <c r="K37" s="14">
        <f t="shared" si="2"/>
        <v>0.006350431130281137</v>
      </c>
      <c r="L37" s="14">
        <f t="shared" si="3"/>
        <v>6.3504311302811364E-06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44</v>
      </c>
      <c r="B38" s="4">
        <v>34</v>
      </c>
      <c r="C38" s="4" t="s">
        <v>108</v>
      </c>
      <c r="D38" s="2"/>
      <c r="E38" s="2"/>
      <c r="F38" s="10">
        <v>2.743643182240611</v>
      </c>
      <c r="G38" s="10">
        <f>G37+G36+G32+G26+G22+G19+G18+G15+G10+G7</f>
        <v>2.7436431822406107</v>
      </c>
      <c r="H38" s="10"/>
      <c r="I38" s="2"/>
      <c r="J38" s="10">
        <v>2.889446164277917</v>
      </c>
      <c r="K38" s="10">
        <f>K37+K36+K32+K26+K22+K19+K18+K15+K10+K7</f>
        <v>2.8894461642779166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44</v>
      </c>
      <c r="B39" s="4">
        <v>35</v>
      </c>
      <c r="C39" s="4" t="s">
        <v>109</v>
      </c>
      <c r="D39" s="2"/>
      <c r="E39" s="34">
        <f>(F39-H39)*2/F39*100</f>
        <v>-4.1382590119106647E-14</v>
      </c>
      <c r="F39" s="10">
        <v>0.0335353291513935</v>
      </c>
      <c r="G39" s="10"/>
      <c r="H39" s="10">
        <f>SUM(H5:H37)</f>
        <v>0.033535329151393505</v>
      </c>
      <c r="I39" s="34">
        <f>(J39-L39)*2/J39*100</f>
        <v>5.542315579449104</v>
      </c>
      <c r="J39" s="10">
        <v>0.03819360962788753</v>
      </c>
      <c r="K39" s="10"/>
      <c r="L39" s="10">
        <f>SUM(L5:L37)</f>
        <v>0.03713520443950734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4.57421875" style="0" customWidth="1"/>
    <col min="5" max="5" width="5.28125" style="0" customWidth="1"/>
    <col min="6" max="8" width="9.140625" style="40" customWidth="1"/>
    <col min="9" max="9" width="3.7109375" style="0" customWidth="1"/>
    <col min="10" max="12" width="9.140625" style="40" customWidth="1"/>
  </cols>
  <sheetData>
    <row r="1" spans="3:12" ht="12.75">
      <c r="C1" s="7" t="s">
        <v>45</v>
      </c>
      <c r="D1" s="11" t="s">
        <v>70</v>
      </c>
      <c r="F1" s="41" t="s">
        <v>54</v>
      </c>
      <c r="G1" s="41"/>
      <c r="H1" s="41"/>
      <c r="J1" s="41" t="s">
        <v>55</v>
      </c>
      <c r="K1" s="41"/>
      <c r="L1" s="41"/>
    </row>
    <row r="2" spans="4:12" ht="12.75">
      <c r="D2" s="11" t="s">
        <v>71</v>
      </c>
      <c r="F2" s="39" t="s">
        <v>66</v>
      </c>
      <c r="G2" s="12" t="s">
        <v>66</v>
      </c>
      <c r="H2" s="12" t="s">
        <v>72</v>
      </c>
      <c r="I2" s="23"/>
      <c r="J2" s="39" t="s">
        <v>66</v>
      </c>
      <c r="K2" s="12" t="s">
        <v>66</v>
      </c>
      <c r="L2" s="12" t="s">
        <v>72</v>
      </c>
    </row>
    <row r="3" spans="3:12" ht="12.75">
      <c r="C3" t="s">
        <v>173</v>
      </c>
      <c r="D3" s="11"/>
      <c r="F3" s="39" t="s">
        <v>73</v>
      </c>
      <c r="G3" s="12" t="s">
        <v>74</v>
      </c>
      <c r="H3" s="12" t="s">
        <v>74</v>
      </c>
      <c r="I3" s="23"/>
      <c r="J3" s="39" t="s">
        <v>73</v>
      </c>
      <c r="K3" s="12" t="s">
        <v>74</v>
      </c>
      <c r="L3" s="12" t="s">
        <v>74</v>
      </c>
    </row>
    <row r="4" spans="4:12" ht="12.75">
      <c r="D4" s="13"/>
      <c r="G4" s="14"/>
      <c r="H4" s="14"/>
      <c r="K4" s="14"/>
      <c r="L4" s="14"/>
    </row>
    <row r="5" spans="1:36" s="4" customFormat="1" ht="12.75">
      <c r="A5" s="4" t="s">
        <v>45</v>
      </c>
      <c r="B5" s="4">
        <v>1</v>
      </c>
      <c r="C5" s="4" t="s">
        <v>75</v>
      </c>
      <c r="D5" s="11">
        <v>1</v>
      </c>
      <c r="E5" s="2">
        <v>1</v>
      </c>
      <c r="F5" s="10">
        <v>0.00078373239867985</v>
      </c>
      <c r="G5" s="14">
        <f>IF(F5=0,"",IF(E5=1,F5/2,F5))</f>
        <v>0.000391866199339925</v>
      </c>
      <c r="H5" s="14">
        <f>IF(G5="","",G5*$D5)</f>
        <v>0.000391866199339925</v>
      </c>
      <c r="I5" s="2">
        <v>1</v>
      </c>
      <c r="J5" s="10">
        <v>0.001605392090380651</v>
      </c>
      <c r="K5" s="14">
        <f>IF(J5=0,"",IF(I5=1,J5/2,J5))</f>
        <v>0.0008026960451903255</v>
      </c>
      <c r="L5" s="14">
        <f>IF(K5="","",K5*$D5)</f>
        <v>0.0008026960451903255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4" customFormat="1" ht="12.75">
      <c r="A6" s="4" t="s">
        <v>45</v>
      </c>
      <c r="B6" s="4">
        <v>2</v>
      </c>
      <c r="C6" s="4" t="s">
        <v>76</v>
      </c>
      <c r="D6" s="11">
        <v>0</v>
      </c>
      <c r="E6" s="2"/>
      <c r="F6" s="10">
        <v>0.2735226071392677</v>
      </c>
      <c r="G6" s="14">
        <f aca="true" t="shared" si="0" ref="G6:G37">IF(F6=0,"",IF(E6=1,F6/2,F6))</f>
        <v>0.2735226071392677</v>
      </c>
      <c r="H6" s="14">
        <f aca="true" t="shared" si="1" ref="H6:H37">IF(G6="","",G6*$D6)</f>
        <v>0</v>
      </c>
      <c r="I6" s="2"/>
      <c r="J6" s="10">
        <v>0.379675229375024</v>
      </c>
      <c r="K6" s="14">
        <f aca="true" t="shared" si="2" ref="K6:K37">IF(J6=0,"",IF(I6=1,J6/2,J6))</f>
        <v>0.379675229375024</v>
      </c>
      <c r="L6" s="14">
        <f aca="true" t="shared" si="3" ref="L6:L37">IF(K6="","",K6*$D6)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4" customFormat="1" ht="12.75">
      <c r="A7" s="4" t="s">
        <v>45</v>
      </c>
      <c r="B7" s="4">
        <v>3</v>
      </c>
      <c r="C7" s="4" t="s">
        <v>77</v>
      </c>
      <c r="D7" s="11">
        <v>0</v>
      </c>
      <c r="E7" s="2"/>
      <c r="F7" s="10">
        <v>0.27430633953794753</v>
      </c>
      <c r="G7" s="14">
        <f t="shared" si="0"/>
        <v>0.27430633953794753</v>
      </c>
      <c r="H7" s="14">
        <f t="shared" si="1"/>
        <v>0</v>
      </c>
      <c r="I7" s="2"/>
      <c r="J7" s="10">
        <v>0.3812806214654046</v>
      </c>
      <c r="K7" s="14">
        <f t="shared" si="2"/>
        <v>0.3812806214654046</v>
      </c>
      <c r="L7" s="14">
        <f t="shared" si="3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45</v>
      </c>
      <c r="B8" s="4">
        <v>4</v>
      </c>
      <c r="C8" s="4" t="s">
        <v>78</v>
      </c>
      <c r="D8" s="11">
        <v>0.5</v>
      </c>
      <c r="E8" s="2">
        <v>2</v>
      </c>
      <c r="F8" s="10">
        <v>0.009796654983498127</v>
      </c>
      <c r="G8" s="14">
        <f t="shared" si="0"/>
        <v>0.009796654983498127</v>
      </c>
      <c r="H8" s="14">
        <f t="shared" si="1"/>
        <v>0.004898327491749063</v>
      </c>
      <c r="I8" s="2"/>
      <c r="J8" s="10">
        <v>0.010033700564879</v>
      </c>
      <c r="K8" s="14">
        <f t="shared" si="2"/>
        <v>0.010033700564879</v>
      </c>
      <c r="L8" s="14">
        <f t="shared" si="3"/>
        <v>0.0050168502824395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4" customFormat="1" ht="12.75">
      <c r="A9" s="4" t="s">
        <v>45</v>
      </c>
      <c r="B9" s="4">
        <v>5</v>
      </c>
      <c r="C9" s="4" t="s">
        <v>79</v>
      </c>
      <c r="D9" s="11">
        <v>0</v>
      </c>
      <c r="E9" s="2"/>
      <c r="F9" s="10">
        <v>0.42125616429042</v>
      </c>
      <c r="G9" s="14">
        <f t="shared" si="0"/>
        <v>0.42125616429042</v>
      </c>
      <c r="H9" s="14">
        <f t="shared" si="1"/>
        <v>0</v>
      </c>
      <c r="I9" s="2"/>
      <c r="J9" s="10">
        <v>0.451516525419558</v>
      </c>
      <c r="K9" s="14">
        <f t="shared" si="2"/>
        <v>0.451516525419558</v>
      </c>
      <c r="L9" s="14">
        <f t="shared" si="3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4" customFormat="1" ht="12.75">
      <c r="A10" s="4" t="s">
        <v>45</v>
      </c>
      <c r="B10" s="4">
        <v>5</v>
      </c>
      <c r="C10" s="4" t="s">
        <v>80</v>
      </c>
      <c r="D10" s="11">
        <v>0</v>
      </c>
      <c r="E10" s="2"/>
      <c r="F10" s="10">
        <v>0.43105281927391764</v>
      </c>
      <c r="G10" s="14">
        <f t="shared" si="0"/>
        <v>0.43105281927391764</v>
      </c>
      <c r="H10" s="14">
        <f t="shared" si="1"/>
        <v>0</v>
      </c>
      <c r="I10" s="2"/>
      <c r="J10" s="10">
        <v>0.4615502259844371</v>
      </c>
      <c r="K10" s="14">
        <f t="shared" si="2"/>
        <v>0.4615502259844371</v>
      </c>
      <c r="L10" s="14">
        <f t="shared" si="3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4" customFormat="1" ht="12.75">
      <c r="A11" s="4" t="s">
        <v>45</v>
      </c>
      <c r="B11" s="4">
        <v>7</v>
      </c>
      <c r="C11" s="4" t="s">
        <v>81</v>
      </c>
      <c r="D11" s="11">
        <v>0.1</v>
      </c>
      <c r="E11" s="2"/>
      <c r="F11" s="10">
        <v>0.009796654983498127</v>
      </c>
      <c r="G11" s="14">
        <f t="shared" si="0"/>
        <v>0.009796654983498127</v>
      </c>
      <c r="H11" s="14">
        <f t="shared" si="1"/>
        <v>0.0009796654983498128</v>
      </c>
      <c r="I11" s="2"/>
      <c r="J11" s="10">
        <v>0.010033700564879</v>
      </c>
      <c r="K11" s="14">
        <f t="shared" si="2"/>
        <v>0.010033700564879</v>
      </c>
      <c r="L11" s="14">
        <f t="shared" si="3"/>
        <v>0.0010033700564879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" customFormat="1" ht="12.75">
      <c r="A12" s="4" t="s">
        <v>45</v>
      </c>
      <c r="B12" s="4">
        <v>8</v>
      </c>
      <c r="C12" s="4" t="s">
        <v>82</v>
      </c>
      <c r="D12" s="11">
        <v>0.1</v>
      </c>
      <c r="E12" s="2"/>
      <c r="F12" s="10">
        <v>0.023511971960395506</v>
      </c>
      <c r="G12" s="14">
        <f t="shared" si="0"/>
        <v>0.023511971960395506</v>
      </c>
      <c r="H12" s="14">
        <f t="shared" si="1"/>
        <v>0.0023511971960395507</v>
      </c>
      <c r="I12" s="2"/>
      <c r="J12" s="10">
        <v>0.024080881355709762</v>
      </c>
      <c r="K12" s="14">
        <f t="shared" si="2"/>
        <v>0.024080881355709762</v>
      </c>
      <c r="L12" s="14">
        <f t="shared" si="3"/>
        <v>0.0024080881355709764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" customFormat="1" ht="12.75">
      <c r="A13" s="4" t="s">
        <v>45</v>
      </c>
      <c r="B13" s="4">
        <v>9</v>
      </c>
      <c r="C13" s="4" t="s">
        <v>83</v>
      </c>
      <c r="D13" s="11">
        <v>0.1</v>
      </c>
      <c r="E13" s="2"/>
      <c r="F13" s="10">
        <v>0.02155264096369588</v>
      </c>
      <c r="G13" s="14">
        <f t="shared" si="0"/>
        <v>0.02155264096369588</v>
      </c>
      <c r="H13" s="14">
        <f t="shared" si="1"/>
        <v>0.002155264096369588</v>
      </c>
      <c r="I13" s="2"/>
      <c r="J13" s="10">
        <v>0.020067401129758137</v>
      </c>
      <c r="K13" s="14">
        <f t="shared" si="2"/>
        <v>0.020067401129758137</v>
      </c>
      <c r="L13" s="14">
        <f t="shared" si="3"/>
        <v>0.002006740112975814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" customFormat="1" ht="12.75">
      <c r="A14" s="4" t="s">
        <v>45</v>
      </c>
      <c r="B14" s="4">
        <v>10</v>
      </c>
      <c r="C14" s="4" t="s">
        <v>84</v>
      </c>
      <c r="D14" s="11">
        <v>0</v>
      </c>
      <c r="E14" s="2"/>
      <c r="F14" s="10">
        <v>0.846430990574238</v>
      </c>
      <c r="G14" s="14">
        <f t="shared" si="0"/>
        <v>0.846430990574238</v>
      </c>
      <c r="H14" s="14">
        <f t="shared" si="1"/>
        <v>0</v>
      </c>
      <c r="I14" s="2"/>
      <c r="J14" s="10">
        <v>1.0896598813458667</v>
      </c>
      <c r="K14" s="14">
        <f t="shared" si="2"/>
        <v>1.0896598813458667</v>
      </c>
      <c r="L14" s="14">
        <f t="shared" si="3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" customFormat="1" ht="12.75">
      <c r="A15" s="4" t="s">
        <v>45</v>
      </c>
      <c r="B15" s="4">
        <v>11</v>
      </c>
      <c r="C15" s="4" t="s">
        <v>85</v>
      </c>
      <c r="D15" s="11">
        <v>0</v>
      </c>
      <c r="E15" s="2"/>
      <c r="F15" s="10">
        <v>0.9012922584818277</v>
      </c>
      <c r="G15" s="14">
        <f t="shared" si="0"/>
        <v>0.9012922584818277</v>
      </c>
      <c r="H15" s="14">
        <f t="shared" si="1"/>
        <v>0</v>
      </c>
      <c r="I15" s="2"/>
      <c r="J15" s="10">
        <v>1.1438418643962138</v>
      </c>
      <c r="K15" s="14">
        <f t="shared" si="2"/>
        <v>1.1438418643962138</v>
      </c>
      <c r="L15" s="14">
        <f t="shared" si="3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" customFormat="1" ht="12.75">
      <c r="A16" s="4" t="s">
        <v>45</v>
      </c>
      <c r="B16" s="4">
        <v>12</v>
      </c>
      <c r="C16" s="4" t="s">
        <v>86</v>
      </c>
      <c r="D16" s="11">
        <v>0.01</v>
      </c>
      <c r="E16" s="2"/>
      <c r="F16" s="10">
        <v>0.18613644468646443</v>
      </c>
      <c r="G16" s="14">
        <f t="shared" si="0"/>
        <v>0.18613644468646443</v>
      </c>
      <c r="H16" s="14">
        <f t="shared" si="1"/>
        <v>0.0018613644468646444</v>
      </c>
      <c r="I16" s="2"/>
      <c r="J16" s="10">
        <v>0.22074141242734</v>
      </c>
      <c r="K16" s="14">
        <f t="shared" si="2"/>
        <v>0.22074141242734</v>
      </c>
      <c r="L16" s="14">
        <f t="shared" si="3"/>
        <v>0.0022074141242734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4" customFormat="1" ht="12.75">
      <c r="A17" s="4" t="s">
        <v>45</v>
      </c>
      <c r="B17" s="4">
        <v>13</v>
      </c>
      <c r="C17" s="4" t="s">
        <v>87</v>
      </c>
      <c r="D17" s="11">
        <v>0</v>
      </c>
      <c r="E17" s="2"/>
      <c r="F17" s="10">
        <v>0.2841029945214457</v>
      </c>
      <c r="G17" s="14">
        <f t="shared" si="0"/>
        <v>0.2841029945214457</v>
      </c>
      <c r="H17" s="14">
        <f t="shared" si="1"/>
        <v>0</v>
      </c>
      <c r="I17" s="2"/>
      <c r="J17" s="10">
        <v>0.28094361581661387</v>
      </c>
      <c r="K17" s="14">
        <f t="shared" si="2"/>
        <v>0.28094361581661387</v>
      </c>
      <c r="L17" s="14">
        <f t="shared" si="3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4" customFormat="1" ht="12.75">
      <c r="A18" s="4" t="s">
        <v>45</v>
      </c>
      <c r="B18" s="4">
        <v>14</v>
      </c>
      <c r="C18" s="4" t="s">
        <v>88</v>
      </c>
      <c r="D18" s="11">
        <v>0</v>
      </c>
      <c r="E18" s="2"/>
      <c r="F18" s="10">
        <v>0.47023943920791</v>
      </c>
      <c r="G18" s="14">
        <f t="shared" si="0"/>
        <v>0.47023943920791</v>
      </c>
      <c r="H18" s="14">
        <f t="shared" si="1"/>
        <v>0</v>
      </c>
      <c r="I18" s="2"/>
      <c r="J18" s="10">
        <v>0.5016850282439534</v>
      </c>
      <c r="K18" s="14">
        <f t="shared" si="2"/>
        <v>0.5016850282439534</v>
      </c>
      <c r="L18" s="14">
        <f t="shared" si="3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" customFormat="1" ht="12.75">
      <c r="A19" s="4" t="s">
        <v>45</v>
      </c>
      <c r="B19" s="4">
        <v>15</v>
      </c>
      <c r="C19" s="4" t="s">
        <v>89</v>
      </c>
      <c r="D19" s="11">
        <v>0.001</v>
      </c>
      <c r="E19" s="2"/>
      <c r="F19" s="10">
        <v>0.13323450777557452</v>
      </c>
      <c r="G19" s="14">
        <f t="shared" si="0"/>
        <v>0.13323450777557452</v>
      </c>
      <c r="H19" s="14">
        <f t="shared" si="1"/>
        <v>0.00013323450777557452</v>
      </c>
      <c r="I19" s="2"/>
      <c r="J19" s="10">
        <v>0.14047180790830696</v>
      </c>
      <c r="K19" s="14">
        <f t="shared" si="2"/>
        <v>0.14047180790830696</v>
      </c>
      <c r="L19" s="14">
        <f t="shared" si="3"/>
        <v>0.00014047180790830696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4" customFormat="1" ht="12.75">
      <c r="A20" s="4" t="s">
        <v>45</v>
      </c>
      <c r="B20" s="4">
        <v>16</v>
      </c>
      <c r="C20" s="4" t="s">
        <v>90</v>
      </c>
      <c r="D20" s="11">
        <v>0.1</v>
      </c>
      <c r="E20" s="2"/>
      <c r="F20" s="10">
        <v>0.09796654983498128</v>
      </c>
      <c r="G20" s="14">
        <f t="shared" si="0"/>
        <v>0.09796654983498128</v>
      </c>
      <c r="H20" s="14">
        <f t="shared" si="1"/>
        <v>0.009796654983498129</v>
      </c>
      <c r="I20" s="2"/>
      <c r="J20" s="10">
        <v>0.10635722598771814</v>
      </c>
      <c r="K20" s="14">
        <f t="shared" si="2"/>
        <v>0.10635722598771814</v>
      </c>
      <c r="L20" s="14">
        <f t="shared" si="3"/>
        <v>0.010635722598771815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2.75">
      <c r="A21" s="4" t="s">
        <v>45</v>
      </c>
      <c r="B21" s="4">
        <v>17</v>
      </c>
      <c r="C21" s="4" t="s">
        <v>91</v>
      </c>
      <c r="D21" s="11">
        <v>0</v>
      </c>
      <c r="E21" s="2"/>
      <c r="F21" s="10">
        <v>0.5290193691088988</v>
      </c>
      <c r="G21" s="14">
        <f t="shared" si="0"/>
        <v>0.5290193691088988</v>
      </c>
      <c r="H21" s="14">
        <f t="shared" si="1"/>
        <v>0</v>
      </c>
      <c r="I21" s="2"/>
      <c r="J21" s="10">
        <v>0.495664807905026</v>
      </c>
      <c r="K21" s="14">
        <f t="shared" si="2"/>
        <v>0.495664807905026</v>
      </c>
      <c r="L21" s="14">
        <f t="shared" si="3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4" customFormat="1" ht="12.75">
      <c r="A22" s="4" t="s">
        <v>45</v>
      </c>
      <c r="B22" s="4">
        <v>18</v>
      </c>
      <c r="C22" s="4" t="s">
        <v>92</v>
      </c>
      <c r="D22" s="11">
        <v>0</v>
      </c>
      <c r="E22" s="2"/>
      <c r="F22" s="10">
        <v>0.62698591894388</v>
      </c>
      <c r="G22" s="14">
        <f t="shared" si="0"/>
        <v>0.62698591894388</v>
      </c>
      <c r="H22" s="14">
        <f t="shared" si="1"/>
        <v>0</v>
      </c>
      <c r="I22" s="2"/>
      <c r="J22" s="10">
        <v>0.6020220338927441</v>
      </c>
      <c r="K22" s="14">
        <f t="shared" si="2"/>
        <v>0.6020220338927441</v>
      </c>
      <c r="L22" s="14">
        <f t="shared" si="3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4" customFormat="1" ht="12.75">
      <c r="A23" s="4" t="s">
        <v>45</v>
      </c>
      <c r="B23" s="4">
        <v>19</v>
      </c>
      <c r="C23" s="4" t="s">
        <v>93</v>
      </c>
      <c r="D23" s="11">
        <v>0.05</v>
      </c>
      <c r="E23" s="2"/>
      <c r="F23" s="10">
        <v>0.0078373239867985</v>
      </c>
      <c r="G23" s="14">
        <f t="shared" si="0"/>
        <v>0.0078373239867985</v>
      </c>
      <c r="H23" s="14">
        <f t="shared" si="1"/>
        <v>0.00039186619933992504</v>
      </c>
      <c r="I23" s="2"/>
      <c r="J23" s="10">
        <v>0.008026960451903254</v>
      </c>
      <c r="K23" s="14">
        <f t="shared" si="2"/>
        <v>0.008026960451903254</v>
      </c>
      <c r="L23" s="14">
        <f t="shared" si="3"/>
        <v>0.0004013480225951627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4" customFormat="1" ht="12.75">
      <c r="A24" s="4" t="s">
        <v>45</v>
      </c>
      <c r="B24" s="4">
        <v>20</v>
      </c>
      <c r="C24" s="4" t="s">
        <v>94</v>
      </c>
      <c r="D24" s="11">
        <v>0.5</v>
      </c>
      <c r="E24" s="2"/>
      <c r="F24" s="10">
        <v>0.015674647973597</v>
      </c>
      <c r="G24" s="14">
        <f t="shared" si="0"/>
        <v>0.015674647973597</v>
      </c>
      <c r="H24" s="14">
        <f t="shared" si="1"/>
        <v>0.0078373239867985</v>
      </c>
      <c r="I24" s="2">
        <v>2</v>
      </c>
      <c r="J24" s="10">
        <v>0.016053920903806508</v>
      </c>
      <c r="K24" s="14">
        <f t="shared" si="2"/>
        <v>0.016053920903806508</v>
      </c>
      <c r="L24" s="14">
        <f t="shared" si="3"/>
        <v>0.008026960451903254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4" customFormat="1" ht="12.75">
      <c r="A25" s="4" t="s">
        <v>45</v>
      </c>
      <c r="B25" s="4">
        <v>21</v>
      </c>
      <c r="C25" s="4" t="s">
        <v>95</v>
      </c>
      <c r="D25" s="11">
        <v>0</v>
      </c>
      <c r="E25" s="2"/>
      <c r="F25" s="10">
        <v>0.12735651478547563</v>
      </c>
      <c r="G25" s="14">
        <f t="shared" si="0"/>
        <v>0.12735651478547563</v>
      </c>
      <c r="H25" s="14">
        <f t="shared" si="1"/>
        <v>0</v>
      </c>
      <c r="I25" s="2"/>
      <c r="J25" s="10">
        <v>0.1304381073434279</v>
      </c>
      <c r="K25" s="14">
        <f t="shared" si="2"/>
        <v>0.1304381073434279</v>
      </c>
      <c r="L25" s="14">
        <f t="shared" si="3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4" customFormat="1" ht="12.75">
      <c r="A26" s="4" t="s">
        <v>45</v>
      </c>
      <c r="B26" s="4">
        <v>22</v>
      </c>
      <c r="C26" s="4" t="s">
        <v>96</v>
      </c>
      <c r="D26" s="11">
        <v>0</v>
      </c>
      <c r="E26" s="2"/>
      <c r="F26" s="10">
        <v>0.15086848674587114</v>
      </c>
      <c r="G26" s="14">
        <f t="shared" si="0"/>
        <v>0.15086848674587114</v>
      </c>
      <c r="H26" s="14">
        <f t="shared" si="1"/>
        <v>0</v>
      </c>
      <c r="I26" s="2"/>
      <c r="J26" s="10">
        <v>0.15451898869913766</v>
      </c>
      <c r="K26" s="14">
        <f t="shared" si="2"/>
        <v>0.15451898869913766</v>
      </c>
      <c r="L26" s="14">
        <f t="shared" si="3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4" customFormat="1" ht="12.75">
      <c r="A27" s="4" t="s">
        <v>45</v>
      </c>
      <c r="B27" s="4">
        <v>23</v>
      </c>
      <c r="C27" s="4" t="s">
        <v>97</v>
      </c>
      <c r="D27" s="11">
        <v>0.1</v>
      </c>
      <c r="E27" s="2"/>
      <c r="F27" s="10">
        <v>0.019593309966996254</v>
      </c>
      <c r="G27" s="14">
        <f t="shared" si="0"/>
        <v>0.019593309966996254</v>
      </c>
      <c r="H27" s="14">
        <f t="shared" si="1"/>
        <v>0.0019593309966996256</v>
      </c>
      <c r="I27" s="2"/>
      <c r="J27" s="10">
        <v>0.016053920903806508</v>
      </c>
      <c r="K27" s="14">
        <f t="shared" si="2"/>
        <v>0.016053920903806508</v>
      </c>
      <c r="L27" s="14">
        <f t="shared" si="3"/>
        <v>0.0016053920903806509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4" customFormat="1" ht="12.75">
      <c r="A28" s="4" t="s">
        <v>45</v>
      </c>
      <c r="B28" s="4">
        <v>24</v>
      </c>
      <c r="C28" s="4" t="s">
        <v>98</v>
      </c>
      <c r="D28" s="11">
        <v>0.1</v>
      </c>
      <c r="E28" s="2"/>
      <c r="F28" s="10">
        <v>0.009796654983498127</v>
      </c>
      <c r="G28" s="14">
        <f t="shared" si="0"/>
        <v>0.009796654983498127</v>
      </c>
      <c r="H28" s="14">
        <f t="shared" si="1"/>
        <v>0.0009796654983498128</v>
      </c>
      <c r="I28" s="2"/>
      <c r="J28" s="10">
        <v>0.008026960451903254</v>
      </c>
      <c r="K28" s="14">
        <f t="shared" si="2"/>
        <v>0.008026960451903254</v>
      </c>
      <c r="L28" s="14">
        <f t="shared" si="3"/>
        <v>0.0008026960451903254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4" customFormat="1" ht="12.75">
      <c r="A29" s="4" t="s">
        <v>45</v>
      </c>
      <c r="B29" s="4">
        <v>25</v>
      </c>
      <c r="C29" s="4" t="s">
        <v>99</v>
      </c>
      <c r="D29" s="11">
        <v>0.1</v>
      </c>
      <c r="E29" s="2">
        <v>2</v>
      </c>
      <c r="F29" s="10">
        <v>0.0011755985980197753</v>
      </c>
      <c r="G29" s="14">
        <f t="shared" si="0"/>
        <v>0.0011755985980197753</v>
      </c>
      <c r="H29" s="14">
        <f t="shared" si="1"/>
        <v>0.00011755985980197754</v>
      </c>
      <c r="I29" s="2">
        <v>1</v>
      </c>
      <c r="J29" s="10">
        <v>0.001605392090380651</v>
      </c>
      <c r="K29" s="14">
        <f t="shared" si="2"/>
        <v>0.0008026960451903255</v>
      </c>
      <c r="L29" s="14">
        <f t="shared" si="3"/>
        <v>8.026960451903256E-05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4" customFormat="1" ht="12.75">
      <c r="A30" s="4" t="s">
        <v>45</v>
      </c>
      <c r="B30" s="4">
        <v>26</v>
      </c>
      <c r="C30" s="4" t="s">
        <v>100</v>
      </c>
      <c r="D30" s="11">
        <v>0.1</v>
      </c>
      <c r="E30" s="2"/>
      <c r="F30" s="10">
        <v>0.015674647973597</v>
      </c>
      <c r="G30" s="14">
        <f t="shared" si="0"/>
        <v>0.015674647973597</v>
      </c>
      <c r="H30" s="14">
        <f t="shared" si="1"/>
        <v>0.0015674647973597002</v>
      </c>
      <c r="I30" s="2"/>
      <c r="J30" s="10">
        <v>0.014047180790830699</v>
      </c>
      <c r="K30" s="14">
        <f t="shared" si="2"/>
        <v>0.014047180790830699</v>
      </c>
      <c r="L30" s="14">
        <f t="shared" si="3"/>
        <v>0.00140471807908307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4" customFormat="1" ht="12.75">
      <c r="A31" s="4" t="s">
        <v>45</v>
      </c>
      <c r="B31" s="4">
        <v>27</v>
      </c>
      <c r="C31" s="4" t="s">
        <v>101</v>
      </c>
      <c r="D31" s="11">
        <v>0</v>
      </c>
      <c r="E31" s="2"/>
      <c r="F31" s="10">
        <v>0.01449904937557724</v>
      </c>
      <c r="G31" s="14">
        <f t="shared" si="0"/>
        <v>0.01449904937557724</v>
      </c>
      <c r="H31" s="14">
        <f t="shared" si="1"/>
        <v>0</v>
      </c>
      <c r="I31" s="2"/>
      <c r="J31" s="10">
        <v>-0.001605392090380648</v>
      </c>
      <c r="K31" s="14">
        <f t="shared" si="2"/>
        <v>-0.001605392090380648</v>
      </c>
      <c r="L31" s="14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4" customFormat="1" ht="12.75">
      <c r="A32" s="4" t="s">
        <v>45</v>
      </c>
      <c r="B32" s="4">
        <v>28</v>
      </c>
      <c r="C32" s="4" t="s">
        <v>102</v>
      </c>
      <c r="D32" s="11">
        <v>0</v>
      </c>
      <c r="E32" s="2"/>
      <c r="F32" s="10">
        <v>0.06073926089768839</v>
      </c>
      <c r="G32" s="14">
        <f t="shared" si="0"/>
        <v>0.06073926089768839</v>
      </c>
      <c r="H32" s="14">
        <f t="shared" si="1"/>
        <v>0</v>
      </c>
      <c r="I32" s="2"/>
      <c r="J32" s="10">
        <v>0.038128062146540465</v>
      </c>
      <c r="K32" s="14">
        <f t="shared" si="2"/>
        <v>0.038128062146540465</v>
      </c>
      <c r="L32" s="14">
        <f t="shared" si="3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4" customFormat="1" ht="12.75">
      <c r="A33" s="4" t="s">
        <v>45</v>
      </c>
      <c r="B33" s="4">
        <v>29</v>
      </c>
      <c r="C33" s="4" t="s">
        <v>103</v>
      </c>
      <c r="D33" s="11">
        <v>0.01</v>
      </c>
      <c r="E33" s="2"/>
      <c r="F33" s="10">
        <v>0.01763397897029663</v>
      </c>
      <c r="G33" s="14">
        <f t="shared" si="0"/>
        <v>0.01763397897029663</v>
      </c>
      <c r="H33" s="14">
        <f t="shared" si="1"/>
        <v>0.0001763397897029663</v>
      </c>
      <c r="I33" s="2"/>
      <c r="J33" s="10">
        <v>0.008026960451903254</v>
      </c>
      <c r="K33" s="14">
        <f t="shared" si="2"/>
        <v>0.008026960451903254</v>
      </c>
      <c r="L33" s="14">
        <f t="shared" si="3"/>
        <v>8.026960451903254E-05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4" customFormat="1" ht="12.75">
      <c r="A34" s="4" t="s">
        <v>45</v>
      </c>
      <c r="B34" s="4">
        <v>30</v>
      </c>
      <c r="C34" s="4" t="s">
        <v>104</v>
      </c>
      <c r="D34" s="11">
        <v>0.01</v>
      </c>
      <c r="E34" s="2"/>
      <c r="F34" s="10">
        <v>0.0058779929900988764</v>
      </c>
      <c r="G34" s="14">
        <f t="shared" si="0"/>
        <v>0.0058779929900988764</v>
      </c>
      <c r="H34" s="14">
        <f t="shared" si="1"/>
        <v>5.8779929900988765E-05</v>
      </c>
      <c r="I34" s="2"/>
      <c r="J34" s="10">
        <v>0.004013480225951627</v>
      </c>
      <c r="K34" s="14">
        <f t="shared" si="2"/>
        <v>0.004013480225951627</v>
      </c>
      <c r="L34" s="14">
        <f t="shared" si="3"/>
        <v>4.013480225951627E-05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4" t="s">
        <v>45</v>
      </c>
      <c r="B35" s="4">
        <v>31</v>
      </c>
      <c r="C35" s="4" t="s">
        <v>105</v>
      </c>
      <c r="D35" s="11">
        <v>0</v>
      </c>
      <c r="E35" s="2"/>
      <c r="F35" s="10">
        <v>0.009796654983498125</v>
      </c>
      <c r="G35" s="14">
        <f t="shared" si="0"/>
        <v>0.009796654983498125</v>
      </c>
      <c r="H35" s="14">
        <f t="shared" si="1"/>
        <v>0</v>
      </c>
      <c r="I35" s="2"/>
      <c r="J35" s="10">
        <v>0.01204044067785488</v>
      </c>
      <c r="K35" s="14">
        <f t="shared" si="2"/>
        <v>0.01204044067785488</v>
      </c>
      <c r="L35" s="14">
        <f t="shared" si="3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4" customFormat="1" ht="12.75">
      <c r="A36" s="4" t="s">
        <v>45</v>
      </c>
      <c r="B36" s="4">
        <v>32</v>
      </c>
      <c r="C36" s="4" t="s">
        <v>106</v>
      </c>
      <c r="D36" s="11">
        <v>0</v>
      </c>
      <c r="E36" s="2"/>
      <c r="F36" s="10">
        <v>0.03330862694389363</v>
      </c>
      <c r="G36" s="14">
        <f t="shared" si="0"/>
        <v>0.03330862694389363</v>
      </c>
      <c r="H36" s="14">
        <f t="shared" si="1"/>
        <v>0</v>
      </c>
      <c r="I36" s="2"/>
      <c r="J36" s="10">
        <v>0.024080881355709762</v>
      </c>
      <c r="K36" s="14">
        <f t="shared" si="2"/>
        <v>0.024080881355709762</v>
      </c>
      <c r="L36" s="14">
        <f t="shared" si="3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4" customFormat="1" ht="12.75">
      <c r="A37" s="4" t="s">
        <v>45</v>
      </c>
      <c r="B37" s="4">
        <v>33</v>
      </c>
      <c r="C37" s="4" t="s">
        <v>107</v>
      </c>
      <c r="D37" s="11">
        <v>0.001</v>
      </c>
      <c r="E37" s="2">
        <v>2</v>
      </c>
      <c r="F37" s="10">
        <v>0.009796654983498127</v>
      </c>
      <c r="G37" s="14">
        <f t="shared" si="0"/>
        <v>0.009796654983498127</v>
      </c>
      <c r="H37" s="14">
        <f t="shared" si="1"/>
        <v>9.796654983498127E-06</v>
      </c>
      <c r="I37" s="2">
        <v>2</v>
      </c>
      <c r="J37" s="10">
        <v>0.012040440677854881</v>
      </c>
      <c r="K37" s="14">
        <f t="shared" si="2"/>
        <v>0.012040440677854881</v>
      </c>
      <c r="L37" s="14">
        <f t="shared" si="3"/>
        <v>1.204044067785488E-05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4" t="s">
        <v>45</v>
      </c>
      <c r="B38" s="4">
        <v>34</v>
      </c>
      <c r="C38" s="4" t="s">
        <v>108</v>
      </c>
      <c r="D38" s="2"/>
      <c r="E38" s="2"/>
      <c r="F38" s="10">
        <v>3.091824312792</v>
      </c>
      <c r="G38" s="10">
        <f>G37+G36+G32+G26+G22+G19+G18+G15+G10+G7</f>
        <v>3.091824312792009</v>
      </c>
      <c r="H38" s="10"/>
      <c r="I38" s="2"/>
      <c r="J38" s="10">
        <v>3.4596199547703</v>
      </c>
      <c r="K38" s="10">
        <f>K37+K36+K32+K26+K22+K19+K18+K15+K10+K7</f>
        <v>3.4596199547703033</v>
      </c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4" customFormat="1" ht="12.75">
      <c r="A39" s="4" t="s">
        <v>45</v>
      </c>
      <c r="B39" s="4">
        <v>35</v>
      </c>
      <c r="C39" s="4" t="s">
        <v>109</v>
      </c>
      <c r="D39" s="2"/>
      <c r="E39" s="34">
        <f>(F39-H39)*2/F39*100</f>
        <v>2.1735586589143785</v>
      </c>
      <c r="F39" s="10">
        <v>0.036057568332263215</v>
      </c>
      <c r="G39" s="10"/>
      <c r="H39" s="10">
        <f>SUM(H5:H37)</f>
        <v>0.03566570213292328</v>
      </c>
      <c r="I39" s="34">
        <f>(J39-L39)*2/J39*100</f>
        <v>4.701859371660781</v>
      </c>
      <c r="J39" s="10">
        <v>0.03755814795445533</v>
      </c>
      <c r="K39" s="10"/>
      <c r="L39" s="10">
        <f>SUM(L5:L37)</f>
        <v>0.03667518230474594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Alan Nguyen</cp:lastModifiedBy>
  <cp:lastPrinted>2004-02-25T00:53:04Z</cp:lastPrinted>
  <dcterms:created xsi:type="dcterms:W3CDTF">2002-05-26T22:03:40Z</dcterms:created>
  <dcterms:modified xsi:type="dcterms:W3CDTF">2005-03-10T17:36:52Z</dcterms:modified>
  <cp:category/>
  <cp:version/>
  <cp:contentType/>
  <cp:contentStatus/>
</cp:coreProperties>
</file>