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tabRatio="780" activeTab="1"/>
  </bookViews>
  <sheets>
    <sheet name="list" sheetId="1" r:id="rId1"/>
    <sheet name="source" sheetId="2" r:id="rId2"/>
    <sheet name="cond" sheetId="3" r:id="rId3"/>
    <sheet name="emiss 1" sheetId="4" r:id="rId4"/>
    <sheet name="emiss 2" sheetId="5" r:id="rId5"/>
    <sheet name="feed 1" sheetId="6" r:id="rId6"/>
    <sheet name="feed 2" sheetId="7" r:id="rId7"/>
    <sheet name="process 1" sheetId="8" r:id="rId8"/>
    <sheet name="process 2" sheetId="9" r:id="rId9"/>
    <sheet name="df c10" sheetId="10" r:id="rId10"/>
    <sheet name="df c2" sheetId="11" r:id="rId11"/>
  </sheets>
  <definedNames>
    <definedName name="_xlnm.Print_Titles" localSheetId="5">'feed 1'!$B:$B</definedName>
    <definedName name="_xlnm.Print_Titles" localSheetId="6">'feed 2'!$B:$B</definedName>
  </definedNames>
  <calcPr fullCalcOnLoad="1"/>
</workbook>
</file>

<file path=xl/sharedStrings.xml><?xml version="1.0" encoding="utf-8"?>
<sst xmlns="http://schemas.openxmlformats.org/spreadsheetml/2006/main" count="1613" uniqueCount="284">
  <si>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</si>
  <si>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</si>
  <si>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</si>
  <si>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</si>
  <si>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</si>
  <si>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</si>
  <si>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</si>
  <si>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</si>
  <si>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</si>
  <si>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</si>
  <si>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</si>
  <si>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</si>
  <si>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Units</t>
  </si>
  <si>
    <t>PM</t>
  </si>
  <si>
    <t>gr/dscf</t>
  </si>
  <si>
    <t>y</t>
  </si>
  <si>
    <t>ppmv</t>
  </si>
  <si>
    <t>dscfm</t>
  </si>
  <si>
    <t>%</t>
  </si>
  <si>
    <t>°F</t>
  </si>
  <si>
    <t>Feedstream Description</t>
  </si>
  <si>
    <t>Heating Value</t>
  </si>
  <si>
    <t>Btu/lb</t>
  </si>
  <si>
    <t>Chlorine</t>
  </si>
  <si>
    <t>HCl</t>
  </si>
  <si>
    <t>Cl2</t>
  </si>
  <si>
    <t>DRE</t>
  </si>
  <si>
    <t>lb/hr</t>
  </si>
  <si>
    <t>Run 1</t>
  </si>
  <si>
    <t>Run 2</t>
  </si>
  <si>
    <t>Run 3</t>
  </si>
  <si>
    <t>MMBtu/hr</t>
  </si>
  <si>
    <t>Spike</t>
  </si>
  <si>
    <t>ug/dscm</t>
  </si>
  <si>
    <t>SVM</t>
  </si>
  <si>
    <t>LVM</t>
  </si>
  <si>
    <t>Stack Gas Flowrate</t>
  </si>
  <si>
    <t>Oxygen</t>
  </si>
  <si>
    <t>HW</t>
  </si>
  <si>
    <t>ng/dscm</t>
  </si>
  <si>
    <t>Combustor Characteristics</t>
  </si>
  <si>
    <t>Supplemental Fuel</t>
  </si>
  <si>
    <t>Capacity (MMBtu/hr)</t>
  </si>
  <si>
    <t xml:space="preserve">    Gas Velocity (ft/sec)</t>
  </si>
  <si>
    <t xml:space="preserve">    Gas Temperature (°F)</t>
  </si>
  <si>
    <t>Feedrate MTEC Calculations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</si>
  <si>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</si>
  <si>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</si>
  <si>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</si>
  <si>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</si>
  <si>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</si>
  <si>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PM, HCl/Cl2</t>
  </si>
  <si>
    <t xml:space="preserve">   O2</t>
  </si>
  <si>
    <t xml:space="preserve">   Moisture</t>
  </si>
  <si>
    <t>Total Chlorine</t>
  </si>
  <si>
    <t>Sampling Train</t>
  </si>
  <si>
    <t>Trial burn</t>
  </si>
  <si>
    <t>*</t>
  </si>
  <si>
    <t>HWC Burn Status (Date if Terminated)</t>
  </si>
  <si>
    <t>Feed Rate</t>
  </si>
  <si>
    <t>Total</t>
  </si>
  <si>
    <t>Hazardous Wastes</t>
  </si>
  <si>
    <t>PCDD/PCDF</t>
  </si>
  <si>
    <t>Facility Name and ID:</t>
  </si>
  <si>
    <t>Condition ID:</t>
  </si>
  <si>
    <t>Condition/Test Date:</t>
  </si>
  <si>
    <t>I-TEF</t>
  </si>
  <si>
    <t>Wght Fact</t>
  </si>
  <si>
    <t xml:space="preserve"> TEQ</t>
  </si>
  <si>
    <t>TEQ</t>
  </si>
  <si>
    <t>1/2 ND</t>
  </si>
  <si>
    <t>2,3,7,8-TCDD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</si>
  <si>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</si>
  <si>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</si>
  <si>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</si>
  <si>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</si>
  <si>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</si>
  <si>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</si>
  <si>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</si>
  <si>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</si>
  <si>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</si>
  <si>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</si>
  <si>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</si>
  <si>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</si>
  <si>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</si>
  <si>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</si>
  <si>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</si>
  <si>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</si>
  <si>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 xml:space="preserve"> </t>
  </si>
  <si>
    <t>Gas sample volume (dscf)</t>
  </si>
  <si>
    <t>O2 (%)</t>
  </si>
  <si>
    <t>PCDD/PCDF (ng in sample)</t>
  </si>
  <si>
    <t>PCDD/PCDF (ng/dscm @ 7% O2)</t>
  </si>
  <si>
    <t>TEQ Cond Avg</t>
  </si>
  <si>
    <t>Total Cond Avg</t>
  </si>
  <si>
    <t>Detected in sample volume (ng)</t>
  </si>
  <si>
    <t>Arsenic</t>
  </si>
  <si>
    <t>Antimony</t>
  </si>
  <si>
    <t>Barium</t>
  </si>
  <si>
    <t>Beryllium</t>
  </si>
  <si>
    <t>Cadmium</t>
  </si>
  <si>
    <t>Chromium</t>
  </si>
  <si>
    <t>Copper</t>
  </si>
  <si>
    <t>Lead</t>
  </si>
  <si>
    <t>Mercury</t>
  </si>
  <si>
    <t>Nickel</t>
  </si>
  <si>
    <t>Selenium</t>
  </si>
  <si>
    <t>Silver</t>
  </si>
  <si>
    <t>Thallium</t>
  </si>
  <si>
    <t>Zinc</t>
  </si>
  <si>
    <t>Trial Burn</t>
  </si>
  <si>
    <t>Metals</t>
  </si>
  <si>
    <t>in. w.c.</t>
  </si>
  <si>
    <t>Virginia</t>
  </si>
  <si>
    <t>Solite Corp</t>
  </si>
  <si>
    <t>Solite/Entropy/Blue Ridge</t>
  </si>
  <si>
    <t>Entropy</t>
  </si>
  <si>
    <t>Cobalt</t>
  </si>
  <si>
    <t>LBM</t>
  </si>
  <si>
    <t>g/hr</t>
  </si>
  <si>
    <t>Max baghouse inlet temperature</t>
  </si>
  <si>
    <t>Trial Burn, organics DRE, HCl/Cl2 emissions limits</t>
  </si>
  <si>
    <t>POHC DRE</t>
  </si>
  <si>
    <t>POHC Feedrate</t>
  </si>
  <si>
    <t>Emission Rate</t>
  </si>
  <si>
    <t>Perchloroethylene</t>
  </si>
  <si>
    <t>1,2,4 Trichlorobenzene</t>
  </si>
  <si>
    <t>VAD042755082</t>
  </si>
  <si>
    <t>Arvonia</t>
  </si>
  <si>
    <t>WQ/FF</t>
  </si>
  <si>
    <t>HC (RA)</t>
  </si>
  <si>
    <t>Trial Burn Report, Solite Corporation, A. F. Old Facility, Arvonia, Virginia, March 2000; Entropy Stationary Sampling Report, Reference No. 1702, Solite Corp Arvonia, VA, November and December 1999</t>
  </si>
  <si>
    <t>Other TCDD</t>
  </si>
  <si>
    <t>Other PCDD</t>
  </si>
  <si>
    <t>Other HxCDD</t>
  </si>
  <si>
    <t>Other HpCDD</t>
  </si>
  <si>
    <t>Other TCDF</t>
  </si>
  <si>
    <t>Other PCDF</t>
  </si>
  <si>
    <t>Other HxCDF</t>
  </si>
  <si>
    <t>Other HpCDF</t>
  </si>
  <si>
    <t>Tier III for As, Be, Cd, Cr, Pb; Tier I for Hg, Sb, Ba, Ag, Tl</t>
  </si>
  <si>
    <t>CoC</t>
  </si>
  <si>
    <t>Raw Matl</t>
  </si>
  <si>
    <t>CO (RA)</t>
  </si>
  <si>
    <t>CO (MHRA)</t>
  </si>
  <si>
    <t>Max comb zone temperature</t>
  </si>
  <si>
    <t>HC/CO, PM, HCl/Cl2, POHC DRE, PCCD/F</t>
  </si>
  <si>
    <t>Metals, HCl/Cl2, PM, HC/CO</t>
  </si>
  <si>
    <t>Min baghouse pressure drop</t>
  </si>
  <si>
    <t>Solite, Arvonia</t>
  </si>
  <si>
    <t>Trial burn, 12/99</t>
  </si>
  <si>
    <t>HC (MHRA)</t>
  </si>
  <si>
    <t>Kiln # 8</t>
  </si>
  <si>
    <t>314C10</t>
  </si>
  <si>
    <t>314C11</t>
  </si>
  <si>
    <t>Min kiln exit temperature</t>
  </si>
  <si>
    <t>Min mid kiln temperature</t>
  </si>
  <si>
    <t>May 5-6, 1999</t>
  </si>
  <si>
    <t>CoC, metals and chlorine SRE testing</t>
  </si>
  <si>
    <t xml:space="preserve">Recertification of Compliance for Kilns 7 and 8, Solite Corp, Arvonia, VA, July 27, 1999; Entropy Stationary Sampling Report, Reference No. 17091, Solite Corp Arvonia, VA, May 1999; </t>
  </si>
  <si>
    <t>Manganese</t>
  </si>
  <si>
    <t>nd</t>
  </si>
  <si>
    <t>Cobolt</t>
  </si>
  <si>
    <t>Cond Avg</t>
  </si>
  <si>
    <t>R1</t>
  </si>
  <si>
    <t>R2</t>
  </si>
  <si>
    <t>R3</t>
  </si>
  <si>
    <t>Report Name/Date</t>
  </si>
  <si>
    <t>Report Preparation</t>
  </si>
  <si>
    <t>Testing Firm</t>
  </si>
  <si>
    <t>Testing Dates</t>
  </si>
  <si>
    <t>Condition Descr</t>
  </si>
  <si>
    <t>Content</t>
  </si>
  <si>
    <t>314C1</t>
  </si>
  <si>
    <t>Report Prepare</t>
  </si>
  <si>
    <t>Cond Descr</t>
  </si>
  <si>
    <t>MAX HW FEED,MAX RAW MATERIAL</t>
  </si>
  <si>
    <t>Test Dates</t>
  </si>
  <si>
    <t>Cond Date</t>
  </si>
  <si>
    <t>314C2</t>
  </si>
  <si>
    <t>PCDD/PCDF EMISSIONS TESTING</t>
  </si>
  <si>
    <t>314C3</t>
  </si>
  <si>
    <t/>
  </si>
  <si>
    <t>Chromium (Hex)</t>
  </si>
  <si>
    <t>Cr Hex</t>
  </si>
  <si>
    <t>Halogens</t>
  </si>
  <si>
    <t>averaged sample train values; do not have in test report copy</t>
  </si>
  <si>
    <t>Shale</t>
  </si>
  <si>
    <t>Liquid waste</t>
  </si>
  <si>
    <t>Condition Description</t>
  </si>
  <si>
    <t>Water quench, fabric filter, BHA, 29,000 ft2 bag area, fiberglass bags</t>
  </si>
  <si>
    <t>Stack Gas Emissions 1</t>
  </si>
  <si>
    <t>Feedstream 2</t>
  </si>
  <si>
    <t>Combustor Type</t>
  </si>
  <si>
    <t>Combustor Class</t>
  </si>
  <si>
    <t>31410</t>
  </si>
  <si>
    <t>Combustion Temperature</t>
  </si>
  <si>
    <t>F</t>
  </si>
  <si>
    <t>in H2O</t>
  </si>
  <si>
    <t>FF Temperature</t>
  </si>
  <si>
    <t>FF Pressure Drop</t>
  </si>
  <si>
    <t>Phase I ID No.</t>
  </si>
  <si>
    <t>Stack Gas Emissions 2</t>
  </si>
  <si>
    <t>Feedstream 1</t>
  </si>
  <si>
    <t>Process Information 1</t>
  </si>
  <si>
    <t>Process Information 2</t>
  </si>
  <si>
    <t>Emmision Test Results for No. 7 and No. 8 Aggregate Kilns, Solite Corporation, Arvonia, Virginia, Prepared by IEA, Project # 1381-003, August 8, 1992; COC Forms attached, August 21, 1992</t>
  </si>
  <si>
    <t>IEA</t>
  </si>
  <si>
    <t>COC Forms AF Old Kiln No. 8, Solite Corporation, Arvonia, Virginia, March 18, 1996</t>
  </si>
  <si>
    <t>Solite</t>
  </si>
  <si>
    <t>Carnes and Associates</t>
  </si>
  <si>
    <t>PCDD/PCDF Emissions Testing Kiln 8, Solite Corporation, Arvonia, Virginia, EPA ID # VAD042755082, January 1997</t>
  </si>
  <si>
    <t>Total PCDD/PCDF</t>
  </si>
  <si>
    <t>8F</t>
  </si>
  <si>
    <t>7F Total</t>
  </si>
  <si>
    <t>7F Other</t>
  </si>
  <si>
    <t>7F 1234789</t>
  </si>
  <si>
    <t>7F 1234678</t>
  </si>
  <si>
    <t>6F Total</t>
  </si>
  <si>
    <t>6F Other</t>
  </si>
  <si>
    <t>6F 234678</t>
  </si>
  <si>
    <t>6F 123789</t>
  </si>
  <si>
    <t>6F 123678</t>
  </si>
  <si>
    <t>6F 123478</t>
  </si>
  <si>
    <t>5F Total</t>
  </si>
  <si>
    <t>5F Other</t>
  </si>
  <si>
    <t>5F 23478</t>
  </si>
  <si>
    <t>5F 12378</t>
  </si>
  <si>
    <t>4F Total</t>
  </si>
  <si>
    <t>4F Other</t>
  </si>
  <si>
    <t>4F 2378</t>
  </si>
  <si>
    <t>8D</t>
  </si>
  <si>
    <t>7D Total</t>
  </si>
  <si>
    <t>7D Other</t>
  </si>
  <si>
    <t>7D 1234678</t>
  </si>
  <si>
    <t>6D Total</t>
  </si>
  <si>
    <t>6D Other</t>
  </si>
  <si>
    <t>6D 123789</t>
  </si>
  <si>
    <t>6D 123678</t>
  </si>
  <si>
    <t>6D 123478</t>
  </si>
  <si>
    <t>5D Total</t>
  </si>
  <si>
    <t>5D Other</t>
  </si>
  <si>
    <t>5D 12378</t>
  </si>
  <si>
    <t>4D Total</t>
  </si>
  <si>
    <t>4D Other</t>
  </si>
  <si>
    <t>4D 2378</t>
  </si>
  <si>
    <t>Full ND</t>
  </si>
  <si>
    <t>E1</t>
  </si>
  <si>
    <t>E2</t>
  </si>
  <si>
    <t>E3</t>
  </si>
  <si>
    <t>Cond Dates</t>
  </si>
  <si>
    <t>December 7-8, 1999</t>
  </si>
  <si>
    <t>Number of Sister Facilities</t>
  </si>
  <si>
    <t>APCS Detailed Acronym</t>
  </si>
  <si>
    <t>APCS General Class</t>
  </si>
  <si>
    <t>WQ, FF</t>
  </si>
  <si>
    <t>Liq</t>
  </si>
  <si>
    <t>source</t>
  </si>
  <si>
    <t>cond</t>
  </si>
  <si>
    <t>emiss 1</t>
  </si>
  <si>
    <t>emiss 2</t>
  </si>
  <si>
    <t>feed 1</t>
  </si>
  <si>
    <t>feed 2</t>
  </si>
  <si>
    <t>process 1</t>
  </si>
  <si>
    <t>process 2</t>
  </si>
  <si>
    <t>df c10</t>
  </si>
  <si>
    <t>df c2</t>
  </si>
  <si>
    <t>Lightweight Aggregate Kiln (LWAK)</t>
  </si>
  <si>
    <t>Feedstream Number</t>
  </si>
  <si>
    <t>Feed Class</t>
  </si>
  <si>
    <t>Raw Material</t>
  </si>
  <si>
    <t>F1</t>
  </si>
  <si>
    <t>Liq HW</t>
  </si>
  <si>
    <t>F2</t>
  </si>
  <si>
    <t>F3</t>
  </si>
  <si>
    <t>F4</t>
  </si>
  <si>
    <t>Feed Class 2</t>
  </si>
  <si>
    <t>RM</t>
  </si>
  <si>
    <t>Estimated Firing Rate</t>
  </si>
  <si>
    <t>The raw material was excavated from the Solite Arvonia quarry</t>
  </si>
  <si>
    <t>N</t>
  </si>
  <si>
    <t xml:space="preserve"> Kiln No. 8</t>
  </si>
  <si>
    <t>Thermal Feedrate</t>
  </si>
  <si>
    <t>lb/min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</si>
</sst>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  <numFmt numFmtId="177" formatCode="0.0000E+00"/>
    <numFmt numFmtId="178" formatCode="0.000E+00"/>
    <numFmt numFmtId="179" formatCode="0.00000E+00"/>
    <numFmt numFmtId="180" formatCode="0.000000E+00"/>
    <numFmt numFmtId="181" formatCode="0.0000000E+00"/>
    <numFmt numFmtId="182" formatCode="0.00000000E+00"/>
    <numFmt numFmtId="183" formatCode="0.E+00"/>
    <numFmt numFmtId="184" formatCode="0.0.E+00"/>
    <numFmt numFmtId="185" formatCode="0.00.E+00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_(* #,##0.0_);_(* \(#,##0.0\);_(* &quot;-&quot;_);_(@_)"/>
    <numFmt numFmtId="190" formatCode="_(* #,##0.00_);_(* \(#,##0.00\);_(* &quot;-&quot;_);_(@_)"/>
    <numFmt numFmtId="191" formatCode="0.0E+00"/>
    <numFmt numFmtId="192" formatCode="0E+00"/>
    <numFmt numFmtId="193" formatCode="dd\-mmm\-yy"/>
    <numFmt numFmtId="194" formatCode="0.00000%"/>
    <numFmt numFmtId="195" formatCode="0.000%"/>
    <numFmt numFmtId="196" formatCode="0.0000%"/>
    <numFmt numFmtId="197" formatCode="0.000000%"/>
    <numFmt numFmtId="198" formatCode="0.0000000%"/>
    <numFmt numFmtId="199" formatCode="0.00000000%"/>
    <numFmt numFmtId="200" formatCode="0.000000000%"/>
    <numFmt numFmtId="201" formatCode="0.0000000000%"/>
    <numFmt numFmtId="202" formatCode="0.00000000000%"/>
    <numFmt numFmtId="203" formatCode="mm/dd/yy"/>
  </numFmts>
  <fonts count="11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166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left"/>
    </xf>
    <xf numFmtId="1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Alignment="1">
      <alignment vertical="top" wrapText="1"/>
    </xf>
    <xf numFmtId="0" fontId="0" fillId="0" borderId="0" xfId="0" applyFont="1" applyBorder="1" applyAlignment="1">
      <alignment wrapText="1"/>
    </xf>
    <xf numFmtId="165" fontId="0" fillId="0" borderId="0" xfId="0" applyNumberFormat="1" applyFont="1" applyFill="1" applyAlignment="1">
      <alignment horizontal="left"/>
    </xf>
    <xf numFmtId="167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11" fontId="6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top"/>
    </xf>
    <xf numFmtId="11" fontId="0" fillId="0" borderId="0" xfId="0" applyNumberFormat="1" applyAlignment="1">
      <alignment/>
    </xf>
    <xf numFmtId="164" fontId="0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203" fontId="0" fillId="0" borderId="0" xfId="0" applyNumberFormat="1" applyAlignment="1">
      <alignment/>
    </xf>
    <xf numFmtId="171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167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Font="1" applyAlignment="1">
      <alignment horizontal="left" vertical="top"/>
    </xf>
    <xf numFmtId="17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5" fillId="0" borderId="0" xfId="0" applyFont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6" fontId="0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" fontId="0" fillId="0" borderId="0" xfId="15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B9" sqref="B9"/>
    </sheetView>
  </sheetViews>
  <sheetFormatPr defaultColWidth="9.140625" defaultRowHeight="12.75"/>
  <sheetData>
    <row r="1" ht="12.75">
      <c r="A1" t="s">
        <v>257</v>
      </c>
    </row>
    <row r="2" ht="12.75">
      <c r="A2" t="s">
        <v>258</v>
      </c>
    </row>
    <row r="3" ht="12.75">
      <c r="A3" t="s">
        <v>259</v>
      </c>
    </row>
    <row r="4" ht="12.75">
      <c r="A4" t="s">
        <v>260</v>
      </c>
    </row>
    <row r="5" ht="12.75">
      <c r="A5" t="s">
        <v>261</v>
      </c>
    </row>
    <row r="6" ht="12.75">
      <c r="A6" t="s">
        <v>262</v>
      </c>
    </row>
    <row r="7" ht="12.75">
      <c r="A7" t="s">
        <v>263</v>
      </c>
    </row>
    <row r="8" ht="12.75">
      <c r="A8" t="s">
        <v>264</v>
      </c>
    </row>
    <row r="9" ht="12.75">
      <c r="A9" t="s">
        <v>265</v>
      </c>
    </row>
    <row r="10" ht="12.75">
      <c r="A10" t="s">
        <v>266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5"/>
  <sheetViews>
    <sheetView workbookViewId="0" topLeftCell="A1">
      <selection activeCell="J23" sqref="J23"/>
    </sheetView>
  </sheetViews>
  <sheetFormatPr defaultColWidth="9.140625" defaultRowHeight="12.75"/>
  <cols>
    <col min="1" max="1" width="2.00390625" style="21" customWidth="1"/>
    <col min="2" max="2" width="25.8515625" style="21" customWidth="1"/>
    <col min="3" max="3" width="7.8515625" style="21" customWidth="1"/>
    <col min="4" max="4" width="3.421875" style="22" customWidth="1"/>
    <col min="5" max="5" width="8.7109375" style="37" customWidth="1"/>
    <col min="6" max="6" width="7.7109375" style="38" customWidth="1"/>
    <col min="7" max="7" width="8.57421875" style="37" customWidth="1"/>
    <col min="8" max="8" width="7.7109375" style="38" customWidth="1"/>
    <col min="9" max="9" width="3.57421875" style="24" customWidth="1"/>
    <col min="10" max="10" width="7.00390625" style="37" customWidth="1"/>
    <col min="11" max="11" width="8.28125" style="37" customWidth="1"/>
    <col min="12" max="12" width="9.140625" style="37" customWidth="1"/>
    <col min="13" max="13" width="8.28125" style="37" customWidth="1"/>
    <col min="14" max="14" width="3.57421875" style="24" customWidth="1"/>
    <col min="15" max="15" width="7.8515625" style="37" customWidth="1"/>
    <col min="16" max="18" width="8.7109375" style="37" customWidth="1"/>
    <col min="19" max="19" width="2.421875" style="0" customWidth="1"/>
    <col min="20" max="20" width="7.421875" style="0" customWidth="1"/>
    <col min="21" max="32" width="10.8515625" style="0" customWidth="1"/>
    <col min="33" max="16384" width="10.8515625" style="21" customWidth="1"/>
  </cols>
  <sheetData>
    <row r="1" ht="12.75">
      <c r="A1" s="36" t="s">
        <v>62</v>
      </c>
    </row>
    <row r="2" ht="12.75">
      <c r="A2" s="21" t="s">
        <v>280</v>
      </c>
    </row>
    <row r="3" spans="1:3" ht="12.75">
      <c r="A3" s="21" t="s">
        <v>63</v>
      </c>
      <c r="C3" s="8" t="s">
        <v>149</v>
      </c>
    </row>
    <row r="4" spans="1:18" ht="12.75">
      <c r="A4" s="21" t="s">
        <v>64</v>
      </c>
      <c r="C4" s="8" t="s">
        <v>153</v>
      </c>
      <c r="D4" s="8" t="s">
        <v>281</v>
      </c>
      <c r="E4" s="39"/>
      <c r="F4" s="40"/>
      <c r="G4" s="39"/>
      <c r="H4" s="40"/>
      <c r="J4" s="39"/>
      <c r="K4" s="39"/>
      <c r="L4" s="39"/>
      <c r="M4" s="39"/>
      <c r="O4" s="39"/>
      <c r="P4" s="39"/>
      <c r="Q4" s="39"/>
      <c r="R4" s="39"/>
    </row>
    <row r="5" spans="1:3" ht="12.75">
      <c r="A5" s="21" t="s">
        <v>65</v>
      </c>
      <c r="C5" s="8" t="s">
        <v>150</v>
      </c>
    </row>
    <row r="6" spans="3:17" ht="12.75">
      <c r="C6" s="22"/>
      <c r="E6" s="24"/>
      <c r="G6" s="24"/>
      <c r="J6" s="24"/>
      <c r="L6" s="24"/>
      <c r="O6" s="24"/>
      <c r="Q6" s="24"/>
    </row>
    <row r="7" spans="3:18" ht="12.75">
      <c r="C7" s="22" t="s">
        <v>66</v>
      </c>
      <c r="E7" s="58" t="s">
        <v>28</v>
      </c>
      <c r="F7" s="58"/>
      <c r="G7" s="58"/>
      <c r="H7" s="58"/>
      <c r="I7" s="59"/>
      <c r="J7" s="58" t="s">
        <v>29</v>
      </c>
      <c r="K7" s="58"/>
      <c r="L7" s="58"/>
      <c r="M7" s="58"/>
      <c r="N7" s="59"/>
      <c r="O7" s="58" t="s">
        <v>30</v>
      </c>
      <c r="P7" s="58"/>
      <c r="Q7" s="58"/>
      <c r="R7" s="58"/>
    </row>
    <row r="8" spans="3:18" ht="12.75">
      <c r="C8" s="22" t="s">
        <v>67</v>
      </c>
      <c r="E8" s="24" t="s">
        <v>60</v>
      </c>
      <c r="F8" s="40" t="s">
        <v>68</v>
      </c>
      <c r="G8" s="24" t="s">
        <v>60</v>
      </c>
      <c r="H8" s="40" t="s">
        <v>68</v>
      </c>
      <c r="J8" s="24" t="s">
        <v>60</v>
      </c>
      <c r="K8" s="24" t="s">
        <v>69</v>
      </c>
      <c r="L8" s="24" t="s">
        <v>60</v>
      </c>
      <c r="M8" s="24" t="s">
        <v>69</v>
      </c>
      <c r="O8" s="24" t="s">
        <v>60</v>
      </c>
      <c r="P8" s="24" t="s">
        <v>69</v>
      </c>
      <c r="Q8" s="24" t="s">
        <v>60</v>
      </c>
      <c r="R8" s="24" t="s">
        <v>69</v>
      </c>
    </row>
    <row r="9" spans="3:18" ht="12.75">
      <c r="C9" s="22"/>
      <c r="E9" s="24" t="s">
        <v>246</v>
      </c>
      <c r="F9" s="24" t="s">
        <v>246</v>
      </c>
      <c r="G9" s="24" t="s">
        <v>70</v>
      </c>
      <c r="H9" s="40" t="s">
        <v>70</v>
      </c>
      <c r="J9" s="24" t="s">
        <v>246</v>
      </c>
      <c r="K9" s="24" t="s">
        <v>246</v>
      </c>
      <c r="L9" s="24" t="s">
        <v>70</v>
      </c>
      <c r="M9" s="40" t="s">
        <v>70</v>
      </c>
      <c r="O9" s="24" t="s">
        <v>246</v>
      </c>
      <c r="P9" s="24" t="s">
        <v>246</v>
      </c>
      <c r="Q9" s="24" t="s">
        <v>70</v>
      </c>
      <c r="R9" s="40" t="s">
        <v>70</v>
      </c>
    </row>
    <row r="10" spans="1:15" ht="13.5" customHeight="1">
      <c r="A10" s="21" t="s">
        <v>95</v>
      </c>
      <c r="O10" s="23"/>
    </row>
    <row r="11" spans="2:18" ht="12.75">
      <c r="B11" s="21" t="s">
        <v>71</v>
      </c>
      <c r="C11" s="22">
        <v>1</v>
      </c>
      <c r="D11" s="95"/>
      <c r="E11" s="95">
        <v>0.06</v>
      </c>
      <c r="F11" s="38">
        <f aca="true" t="shared" si="0" ref="F11:H35">IF(E11="","",E11*$C11)</f>
        <v>0.06</v>
      </c>
      <c r="G11" s="42">
        <f aca="true" t="shared" si="1" ref="G11:G35">IF(E11=0,"",IF(D11="nd",E11/2,E11))</f>
        <v>0.06</v>
      </c>
      <c r="H11" s="38">
        <f t="shared" si="0"/>
        <v>0.06</v>
      </c>
      <c r="I11" s="95"/>
      <c r="J11" s="95">
        <v>0.0718</v>
      </c>
      <c r="K11" s="38">
        <f aca="true" t="shared" si="2" ref="K11:M35">IF(J11="","",J11*$C11)</f>
        <v>0.0718</v>
      </c>
      <c r="L11" s="42">
        <f>IF(J11=0,"",IF(I11="nd",J11/2,J11))</f>
        <v>0.0718</v>
      </c>
      <c r="M11" s="38">
        <f t="shared" si="2"/>
        <v>0.0718</v>
      </c>
      <c r="N11" s="95"/>
      <c r="O11" s="95">
        <v>0.1244</v>
      </c>
      <c r="P11" s="38">
        <f aca="true" t="shared" si="3" ref="P11:R35">IF(O11="","",O11*$C11)</f>
        <v>0.1244</v>
      </c>
      <c r="Q11" s="42">
        <f>IF(O11=0,"",IF(N11="nd",O11/2,O11))</f>
        <v>0.1244</v>
      </c>
      <c r="R11" s="38">
        <f t="shared" si="3"/>
        <v>0.1244</v>
      </c>
    </row>
    <row r="12" spans="2:18" ht="12.75">
      <c r="B12" s="21" t="s">
        <v>132</v>
      </c>
      <c r="C12" s="22">
        <v>0</v>
      </c>
      <c r="D12" s="95"/>
      <c r="E12" s="95">
        <v>1.64</v>
      </c>
      <c r="F12" s="38">
        <f t="shared" si="0"/>
        <v>0</v>
      </c>
      <c r="G12" s="42">
        <f t="shared" si="1"/>
        <v>1.64</v>
      </c>
      <c r="H12" s="38">
        <f t="shared" si="0"/>
        <v>0</v>
      </c>
      <c r="I12" s="95"/>
      <c r="J12" s="95">
        <v>1.4282</v>
      </c>
      <c r="K12" s="38">
        <f t="shared" si="2"/>
        <v>0</v>
      </c>
      <c r="L12" s="42">
        <f aca="true" t="shared" si="4" ref="L12:L35">IF(J12=0,"",IF(I12="nd",J12/2,J12))</f>
        <v>1.4282</v>
      </c>
      <c r="M12" s="38">
        <f t="shared" si="2"/>
        <v>0</v>
      </c>
      <c r="N12" s="95"/>
      <c r="O12" s="95">
        <v>2.0756</v>
      </c>
      <c r="P12" s="38">
        <f t="shared" si="3"/>
        <v>0</v>
      </c>
      <c r="Q12" s="42">
        <f aca="true" t="shared" si="5" ref="Q12:Q35">IF(O12=0,"",IF(N12="nd",O12/2,O12))</f>
        <v>2.0756</v>
      </c>
      <c r="R12" s="38">
        <f t="shared" si="3"/>
        <v>0</v>
      </c>
    </row>
    <row r="13" spans="2:18" ht="12.75">
      <c r="B13" s="21" t="s">
        <v>72</v>
      </c>
      <c r="C13" s="22">
        <v>0.5</v>
      </c>
      <c r="D13" s="95"/>
      <c r="E13" s="95">
        <v>0.12</v>
      </c>
      <c r="F13" s="38">
        <f t="shared" si="0"/>
        <v>0.06</v>
      </c>
      <c r="G13" s="42">
        <f t="shared" si="1"/>
        <v>0.12</v>
      </c>
      <c r="H13" s="38">
        <f t="shared" si="0"/>
        <v>0.06</v>
      </c>
      <c r="I13" s="95"/>
      <c r="J13" s="95">
        <v>0.2088</v>
      </c>
      <c r="K13" s="38">
        <f t="shared" si="2"/>
        <v>0.1044</v>
      </c>
      <c r="L13" s="42">
        <f t="shared" si="4"/>
        <v>0.2088</v>
      </c>
      <c r="M13" s="38">
        <f t="shared" si="2"/>
        <v>0.1044</v>
      </c>
      <c r="N13" s="95"/>
      <c r="O13" s="95">
        <v>0.2285</v>
      </c>
      <c r="P13" s="38">
        <f t="shared" si="3"/>
        <v>0.11425</v>
      </c>
      <c r="Q13" s="42">
        <f t="shared" si="5"/>
        <v>0.2285</v>
      </c>
      <c r="R13" s="38">
        <f t="shared" si="3"/>
        <v>0.11425</v>
      </c>
    </row>
    <row r="14" spans="2:18" ht="12.75">
      <c r="B14" s="21" t="s">
        <v>133</v>
      </c>
      <c r="C14" s="22">
        <v>0</v>
      </c>
      <c r="D14" s="95"/>
      <c r="E14" s="95">
        <v>2.08</v>
      </c>
      <c r="F14" s="38">
        <f t="shared" si="0"/>
        <v>0</v>
      </c>
      <c r="G14" s="42">
        <f t="shared" si="1"/>
        <v>2.08</v>
      </c>
      <c r="H14" s="38">
        <f t="shared" si="0"/>
        <v>0</v>
      </c>
      <c r="I14" s="95"/>
      <c r="J14" s="95">
        <v>2.3912</v>
      </c>
      <c r="K14" s="38">
        <f t="shared" si="2"/>
        <v>0</v>
      </c>
      <c r="L14" s="42">
        <f t="shared" si="4"/>
        <v>2.3912</v>
      </c>
      <c r="M14" s="38">
        <f t="shared" si="2"/>
        <v>0</v>
      </c>
      <c r="N14" s="95"/>
      <c r="O14" s="95">
        <v>3.271</v>
      </c>
      <c r="P14" s="38">
        <f t="shared" si="3"/>
        <v>0</v>
      </c>
      <c r="Q14" s="42">
        <f t="shared" si="5"/>
        <v>3.271</v>
      </c>
      <c r="R14" s="38">
        <f t="shared" si="3"/>
        <v>0</v>
      </c>
    </row>
    <row r="15" spans="2:18" ht="12.75">
      <c r="B15" s="21" t="s">
        <v>73</v>
      </c>
      <c r="C15" s="22">
        <v>0.1</v>
      </c>
      <c r="D15" s="95"/>
      <c r="E15" s="95">
        <v>0.08</v>
      </c>
      <c r="F15" s="38">
        <f t="shared" si="0"/>
        <v>0.008</v>
      </c>
      <c r="G15" s="42">
        <f t="shared" si="1"/>
        <v>0.08</v>
      </c>
      <c r="H15" s="38">
        <f t="shared" si="0"/>
        <v>0.008</v>
      </c>
      <c r="I15" s="95"/>
      <c r="J15" s="95">
        <v>0.1181</v>
      </c>
      <c r="K15" s="38">
        <f t="shared" si="2"/>
        <v>0.011810000000000001</v>
      </c>
      <c r="L15" s="42">
        <f t="shared" si="4"/>
        <v>0.1181</v>
      </c>
      <c r="M15" s="38">
        <f t="shared" si="2"/>
        <v>0.011810000000000001</v>
      </c>
      <c r="N15" s="95"/>
      <c r="O15" s="95">
        <v>0.2095</v>
      </c>
      <c r="P15" s="38">
        <f t="shared" si="3"/>
        <v>0.02095</v>
      </c>
      <c r="Q15" s="42">
        <f t="shared" si="5"/>
        <v>0.2095</v>
      </c>
      <c r="R15" s="38">
        <f t="shared" si="3"/>
        <v>0.02095</v>
      </c>
    </row>
    <row r="16" spans="2:18" ht="12.75">
      <c r="B16" s="21" t="s">
        <v>74</v>
      </c>
      <c r="C16" s="22">
        <v>0.1</v>
      </c>
      <c r="D16" s="95"/>
      <c r="E16" s="95">
        <v>0.1742</v>
      </c>
      <c r="F16" s="38">
        <f t="shared" si="0"/>
        <v>0.01742</v>
      </c>
      <c r="G16" s="42">
        <f t="shared" si="1"/>
        <v>0.1742</v>
      </c>
      <c r="H16" s="38">
        <f t="shared" si="0"/>
        <v>0.01742</v>
      </c>
      <c r="I16" s="95"/>
      <c r="J16" s="95">
        <v>0.278</v>
      </c>
      <c r="K16" s="38">
        <f t="shared" si="2"/>
        <v>0.027800000000000005</v>
      </c>
      <c r="L16" s="42">
        <f t="shared" si="4"/>
        <v>0.278</v>
      </c>
      <c r="M16" s="38">
        <f t="shared" si="2"/>
        <v>0.027800000000000005</v>
      </c>
      <c r="N16" s="95"/>
      <c r="O16" s="95">
        <v>0.401</v>
      </c>
      <c r="P16" s="38">
        <f t="shared" si="3"/>
        <v>0.040100000000000004</v>
      </c>
      <c r="Q16" s="42">
        <f t="shared" si="5"/>
        <v>0.401</v>
      </c>
      <c r="R16" s="38">
        <f t="shared" si="3"/>
        <v>0.040100000000000004</v>
      </c>
    </row>
    <row r="17" spans="2:18" ht="12.75">
      <c r="B17" s="21" t="s">
        <v>75</v>
      </c>
      <c r="C17" s="22">
        <v>0.1</v>
      </c>
      <c r="D17" s="95"/>
      <c r="E17" s="95">
        <v>0.1594</v>
      </c>
      <c r="F17" s="38">
        <f t="shared" si="0"/>
        <v>0.01594</v>
      </c>
      <c r="G17" s="42">
        <f t="shared" si="1"/>
        <v>0.1594</v>
      </c>
      <c r="H17" s="38">
        <f t="shared" si="0"/>
        <v>0.01594</v>
      </c>
      <c r="I17" s="95"/>
      <c r="J17" s="95">
        <v>0.2671</v>
      </c>
      <c r="K17" s="38">
        <f t="shared" si="2"/>
        <v>0.02671</v>
      </c>
      <c r="L17" s="42">
        <f t="shared" si="4"/>
        <v>0.2671</v>
      </c>
      <c r="M17" s="38">
        <f t="shared" si="2"/>
        <v>0.02671</v>
      </c>
      <c r="N17" s="95"/>
      <c r="O17" s="95">
        <v>0.37</v>
      </c>
      <c r="P17" s="38">
        <f t="shared" si="3"/>
        <v>0.037</v>
      </c>
      <c r="Q17" s="42">
        <f t="shared" si="5"/>
        <v>0.37</v>
      </c>
      <c r="R17" s="38">
        <f t="shared" si="3"/>
        <v>0.037</v>
      </c>
    </row>
    <row r="18" spans="2:18" ht="12.75">
      <c r="B18" s="21" t="s">
        <v>134</v>
      </c>
      <c r="C18" s="22">
        <v>0</v>
      </c>
      <c r="D18" s="95"/>
      <c r="E18" s="95">
        <v>1.6864</v>
      </c>
      <c r="F18" s="38">
        <f t="shared" si="0"/>
        <v>0</v>
      </c>
      <c r="G18" s="42">
        <f t="shared" si="1"/>
        <v>1.6864</v>
      </c>
      <c r="H18" s="38">
        <f t="shared" si="0"/>
        <v>0</v>
      </c>
      <c r="I18" s="95"/>
      <c r="J18" s="95">
        <v>2.3088</v>
      </c>
      <c r="K18" s="38">
        <f t="shared" si="2"/>
        <v>0</v>
      </c>
      <c r="L18" s="42">
        <f t="shared" si="4"/>
        <v>2.3088</v>
      </c>
      <c r="M18" s="38">
        <f t="shared" si="2"/>
        <v>0</v>
      </c>
      <c r="N18" s="95"/>
      <c r="O18" s="95">
        <v>2.9195</v>
      </c>
      <c r="P18" s="38">
        <f t="shared" si="3"/>
        <v>0</v>
      </c>
      <c r="Q18" s="42">
        <f t="shared" si="5"/>
        <v>2.9195</v>
      </c>
      <c r="R18" s="38">
        <f t="shared" si="3"/>
        <v>0</v>
      </c>
    </row>
    <row r="19" spans="2:18" ht="12.75">
      <c r="B19" s="21" t="s">
        <v>76</v>
      </c>
      <c r="C19" s="22">
        <v>0.01</v>
      </c>
      <c r="D19" s="95"/>
      <c r="E19" s="95">
        <v>0.492</v>
      </c>
      <c r="F19" s="38">
        <f t="shared" si="0"/>
        <v>0.00492</v>
      </c>
      <c r="G19" s="42">
        <f t="shared" si="1"/>
        <v>0.492</v>
      </c>
      <c r="H19" s="38">
        <f t="shared" si="0"/>
        <v>0.00492</v>
      </c>
      <c r="I19" s="95"/>
      <c r="J19" s="95">
        <v>0.8358</v>
      </c>
      <c r="K19" s="38">
        <f t="shared" si="2"/>
        <v>0.008358</v>
      </c>
      <c r="L19" s="42">
        <f t="shared" si="4"/>
        <v>0.8358</v>
      </c>
      <c r="M19" s="38">
        <f t="shared" si="2"/>
        <v>0.008358</v>
      </c>
      <c r="N19" s="95"/>
      <c r="O19" s="95">
        <v>1.449</v>
      </c>
      <c r="P19" s="38">
        <f t="shared" si="3"/>
        <v>0.014490000000000001</v>
      </c>
      <c r="Q19" s="42">
        <f t="shared" si="5"/>
        <v>1.449</v>
      </c>
      <c r="R19" s="38">
        <f t="shared" si="3"/>
        <v>0.014490000000000001</v>
      </c>
    </row>
    <row r="20" spans="2:18" ht="12.75">
      <c r="B20" s="21" t="s">
        <v>135</v>
      </c>
      <c r="C20" s="22">
        <v>0</v>
      </c>
      <c r="D20" s="95"/>
      <c r="E20" s="95">
        <v>0.44</v>
      </c>
      <c r="F20" s="38">
        <f t="shared" si="0"/>
        <v>0</v>
      </c>
      <c r="G20" s="42">
        <f t="shared" si="1"/>
        <v>0.44</v>
      </c>
      <c r="H20" s="38">
        <f t="shared" si="0"/>
        <v>0</v>
      </c>
      <c r="I20" s="95"/>
      <c r="J20" s="95">
        <v>0.6556</v>
      </c>
      <c r="K20" s="38">
        <f t="shared" si="2"/>
        <v>0</v>
      </c>
      <c r="L20" s="42">
        <f t="shared" si="4"/>
        <v>0.6556</v>
      </c>
      <c r="M20" s="38">
        <f t="shared" si="2"/>
        <v>0</v>
      </c>
      <c r="N20" s="95"/>
      <c r="O20" s="95">
        <v>1.3082</v>
      </c>
      <c r="P20" s="38">
        <f t="shared" si="3"/>
        <v>0</v>
      </c>
      <c r="Q20" s="42">
        <f t="shared" si="5"/>
        <v>1.3082</v>
      </c>
      <c r="R20" s="38">
        <f t="shared" si="3"/>
        <v>0</v>
      </c>
    </row>
    <row r="21" spans="2:18" ht="12.75">
      <c r="B21" s="21" t="s">
        <v>77</v>
      </c>
      <c r="C21" s="22">
        <v>0.001</v>
      </c>
      <c r="D21" s="95"/>
      <c r="E21" s="95">
        <v>0.5332</v>
      </c>
      <c r="F21" s="38">
        <f t="shared" si="0"/>
        <v>0.0005332000000000001</v>
      </c>
      <c r="G21" s="42">
        <f t="shared" si="1"/>
        <v>0.5332</v>
      </c>
      <c r="H21" s="38">
        <f t="shared" si="0"/>
        <v>0.0005332000000000001</v>
      </c>
      <c r="I21" s="95"/>
      <c r="J21" s="95">
        <v>0.84</v>
      </c>
      <c r="K21" s="38">
        <f t="shared" si="2"/>
        <v>0.00084</v>
      </c>
      <c r="L21" s="42">
        <f t="shared" si="4"/>
        <v>0.84</v>
      </c>
      <c r="M21" s="38">
        <f t="shared" si="2"/>
        <v>0.00084</v>
      </c>
      <c r="N21" s="95"/>
      <c r="O21" s="95">
        <v>1.9892</v>
      </c>
      <c r="P21" s="38">
        <f t="shared" si="3"/>
        <v>0.0019892</v>
      </c>
      <c r="Q21" s="42">
        <f t="shared" si="5"/>
        <v>1.9892</v>
      </c>
      <c r="R21" s="38">
        <f t="shared" si="3"/>
        <v>0.0019892</v>
      </c>
    </row>
    <row r="22" spans="2:18" ht="12.75">
      <c r="B22" s="21" t="s">
        <v>78</v>
      </c>
      <c r="C22" s="22">
        <v>0.1</v>
      </c>
      <c r="D22" s="95"/>
      <c r="E22" s="95">
        <v>0.9716</v>
      </c>
      <c r="F22" s="38">
        <f t="shared" si="0"/>
        <v>0.09716000000000001</v>
      </c>
      <c r="G22" s="42">
        <f t="shared" si="1"/>
        <v>0.9716</v>
      </c>
      <c r="H22" s="38">
        <f t="shared" si="0"/>
        <v>0.09716000000000001</v>
      </c>
      <c r="I22" s="95"/>
      <c r="J22" s="95">
        <v>0.8934</v>
      </c>
      <c r="K22" s="38">
        <f t="shared" si="2"/>
        <v>0.08934</v>
      </c>
      <c r="L22" s="42">
        <f t="shared" si="4"/>
        <v>0.8934</v>
      </c>
      <c r="M22" s="38">
        <f t="shared" si="2"/>
        <v>0.08934</v>
      </c>
      <c r="N22" s="95"/>
      <c r="O22" s="95">
        <v>1.4747</v>
      </c>
      <c r="P22" s="38">
        <f t="shared" si="3"/>
        <v>0.14747</v>
      </c>
      <c r="Q22" s="42">
        <f t="shared" si="5"/>
        <v>1.4747</v>
      </c>
      <c r="R22" s="38">
        <f t="shared" si="3"/>
        <v>0.14747</v>
      </c>
    </row>
    <row r="23" spans="2:18" ht="12.75">
      <c r="B23" s="21" t="s">
        <v>136</v>
      </c>
      <c r="C23" s="22">
        <v>0</v>
      </c>
      <c r="D23" s="95"/>
      <c r="E23" s="95">
        <v>29.0284</v>
      </c>
      <c r="F23" s="38">
        <f t="shared" si="0"/>
        <v>0</v>
      </c>
      <c r="G23" s="42">
        <f t="shared" si="1"/>
        <v>29.0284</v>
      </c>
      <c r="H23" s="38">
        <f t="shared" si="0"/>
        <v>0</v>
      </c>
      <c r="I23" s="95"/>
      <c r="J23" s="95">
        <v>27.8066</v>
      </c>
      <c r="K23" s="38">
        <f t="shared" si="2"/>
        <v>0</v>
      </c>
      <c r="L23" s="42">
        <f t="shared" si="4"/>
        <v>27.8066</v>
      </c>
      <c r="M23" s="38">
        <f t="shared" si="2"/>
        <v>0</v>
      </c>
      <c r="N23" s="95"/>
      <c r="O23" s="95">
        <v>40.2253</v>
      </c>
      <c r="P23" s="38">
        <f t="shared" si="3"/>
        <v>0</v>
      </c>
      <c r="Q23" s="42">
        <f t="shared" si="5"/>
        <v>40.2253</v>
      </c>
      <c r="R23" s="38">
        <f t="shared" si="3"/>
        <v>0</v>
      </c>
    </row>
    <row r="24" spans="2:18" ht="12.75">
      <c r="B24" s="21" t="s">
        <v>79</v>
      </c>
      <c r="C24" s="22">
        <v>0.05</v>
      </c>
      <c r="D24" s="95"/>
      <c r="E24" s="95">
        <v>0.876</v>
      </c>
      <c r="F24" s="38">
        <f t="shared" si="0"/>
        <v>0.043800000000000006</v>
      </c>
      <c r="G24" s="42">
        <f t="shared" si="1"/>
        <v>0.876</v>
      </c>
      <c r="H24" s="38">
        <f t="shared" si="0"/>
        <v>0.043800000000000006</v>
      </c>
      <c r="I24" s="95"/>
      <c r="J24" s="95">
        <v>1.11</v>
      </c>
      <c r="K24" s="38">
        <f t="shared" si="2"/>
        <v>0.05550000000000001</v>
      </c>
      <c r="L24" s="42">
        <f t="shared" si="4"/>
        <v>1.11</v>
      </c>
      <c r="M24" s="38">
        <f t="shared" si="2"/>
        <v>0.05550000000000001</v>
      </c>
      <c r="N24" s="95"/>
      <c r="O24" s="95">
        <v>1.6607</v>
      </c>
      <c r="P24" s="38">
        <f t="shared" si="3"/>
        <v>0.08303500000000001</v>
      </c>
      <c r="Q24" s="42">
        <f t="shared" si="5"/>
        <v>1.6607</v>
      </c>
      <c r="R24" s="38">
        <f t="shared" si="3"/>
        <v>0.08303500000000001</v>
      </c>
    </row>
    <row r="25" spans="2:18" ht="12.75">
      <c r="B25" s="21" t="s">
        <v>80</v>
      </c>
      <c r="C25" s="22">
        <v>0.5</v>
      </c>
      <c r="D25" s="95"/>
      <c r="E25" s="95">
        <v>1.5177</v>
      </c>
      <c r="F25" s="38">
        <f t="shared" si="0"/>
        <v>0.75885</v>
      </c>
      <c r="G25" s="42">
        <f t="shared" si="1"/>
        <v>1.5177</v>
      </c>
      <c r="H25" s="38">
        <f t="shared" si="0"/>
        <v>0.75885</v>
      </c>
      <c r="I25" s="95"/>
      <c r="J25" s="95">
        <v>1.7919</v>
      </c>
      <c r="K25" s="38">
        <f t="shared" si="2"/>
        <v>0.89595</v>
      </c>
      <c r="L25" s="42">
        <f t="shared" si="4"/>
        <v>1.7919</v>
      </c>
      <c r="M25" s="38">
        <f t="shared" si="2"/>
        <v>0.89595</v>
      </c>
      <c r="N25" s="95"/>
      <c r="O25" s="95">
        <v>3.0535</v>
      </c>
      <c r="P25" s="38">
        <f t="shared" si="3"/>
        <v>1.52675</v>
      </c>
      <c r="Q25" s="42">
        <f t="shared" si="5"/>
        <v>3.0535</v>
      </c>
      <c r="R25" s="38">
        <f t="shared" si="3"/>
        <v>1.52675</v>
      </c>
    </row>
    <row r="26" spans="2:18" ht="12.75">
      <c r="B26" s="21" t="s">
        <v>137</v>
      </c>
      <c r="C26" s="22">
        <v>0</v>
      </c>
      <c r="D26" s="95"/>
      <c r="E26" s="95">
        <v>12.9854</v>
      </c>
      <c r="F26" s="38">
        <f t="shared" si="0"/>
        <v>0</v>
      </c>
      <c r="G26" s="42">
        <f t="shared" si="1"/>
        <v>12.9854</v>
      </c>
      <c r="H26" s="38">
        <f t="shared" si="0"/>
        <v>0</v>
      </c>
      <c r="I26" s="95"/>
      <c r="J26" s="95">
        <v>13.9981</v>
      </c>
      <c r="K26" s="38">
        <f t="shared" si="2"/>
        <v>0</v>
      </c>
      <c r="L26" s="42">
        <f t="shared" si="4"/>
        <v>13.9981</v>
      </c>
      <c r="M26" s="38">
        <f t="shared" si="2"/>
        <v>0</v>
      </c>
      <c r="N26" s="95"/>
      <c r="O26" s="95">
        <v>21.985</v>
      </c>
      <c r="P26" s="38">
        <f t="shared" si="3"/>
        <v>0</v>
      </c>
      <c r="Q26" s="42">
        <f t="shared" si="5"/>
        <v>21.985</v>
      </c>
      <c r="R26" s="38">
        <f t="shared" si="3"/>
        <v>0</v>
      </c>
    </row>
    <row r="27" spans="2:18" ht="12.75">
      <c r="B27" s="21" t="s">
        <v>81</v>
      </c>
      <c r="C27" s="22">
        <v>0.1</v>
      </c>
      <c r="D27" s="95"/>
      <c r="E27" s="95">
        <v>0.8816</v>
      </c>
      <c r="F27" s="38">
        <f t="shared" si="0"/>
        <v>0.08816000000000002</v>
      </c>
      <c r="G27" s="42">
        <f t="shared" si="1"/>
        <v>0.8816</v>
      </c>
      <c r="H27" s="38">
        <f t="shared" si="0"/>
        <v>0.08816000000000002</v>
      </c>
      <c r="I27" s="95"/>
      <c r="J27" s="95">
        <v>1.4194</v>
      </c>
      <c r="K27" s="38">
        <f t="shared" si="2"/>
        <v>0.14194</v>
      </c>
      <c r="L27" s="42">
        <f t="shared" si="4"/>
        <v>1.4194</v>
      </c>
      <c r="M27" s="38">
        <f t="shared" si="2"/>
        <v>0.14194</v>
      </c>
      <c r="N27" s="95"/>
      <c r="O27" s="95">
        <v>2.204</v>
      </c>
      <c r="P27" s="38">
        <f t="shared" si="3"/>
        <v>0.22040000000000004</v>
      </c>
      <c r="Q27" s="42">
        <f t="shared" si="5"/>
        <v>2.204</v>
      </c>
      <c r="R27" s="38">
        <f t="shared" si="3"/>
        <v>0.22040000000000004</v>
      </c>
    </row>
    <row r="28" spans="2:18" ht="12.75">
      <c r="B28" s="21" t="s">
        <v>82</v>
      </c>
      <c r="C28" s="22">
        <v>0.1</v>
      </c>
      <c r="D28" s="95"/>
      <c r="E28" s="95">
        <v>0.4898</v>
      </c>
      <c r="F28" s="38">
        <f t="shared" si="0"/>
        <v>0.04898</v>
      </c>
      <c r="G28" s="42">
        <f t="shared" si="1"/>
        <v>0.4898</v>
      </c>
      <c r="H28" s="38">
        <f t="shared" si="0"/>
        <v>0.04898</v>
      </c>
      <c r="I28" s="95"/>
      <c r="J28" s="95">
        <v>0.7655</v>
      </c>
      <c r="K28" s="38">
        <f t="shared" si="2"/>
        <v>0.07655</v>
      </c>
      <c r="L28" s="42">
        <f t="shared" si="4"/>
        <v>0.7655</v>
      </c>
      <c r="M28" s="38">
        <f t="shared" si="2"/>
        <v>0.07655</v>
      </c>
      <c r="N28" s="95"/>
      <c r="O28" s="95">
        <v>1.171</v>
      </c>
      <c r="P28" s="38">
        <f t="shared" si="3"/>
        <v>0.11710000000000001</v>
      </c>
      <c r="Q28" s="42">
        <f t="shared" si="5"/>
        <v>1.171</v>
      </c>
      <c r="R28" s="38">
        <f t="shared" si="3"/>
        <v>0.11710000000000001</v>
      </c>
    </row>
    <row r="29" spans="2:18" ht="12.75">
      <c r="B29" s="21" t="s">
        <v>83</v>
      </c>
      <c r="C29" s="22">
        <v>0.1</v>
      </c>
      <c r="D29" s="95"/>
      <c r="E29" s="95">
        <v>0.4288</v>
      </c>
      <c r="F29" s="38">
        <f t="shared" si="0"/>
        <v>0.04288</v>
      </c>
      <c r="G29" s="42">
        <f t="shared" si="1"/>
        <v>0.4288</v>
      </c>
      <c r="H29" s="38">
        <f t="shared" si="0"/>
        <v>0.04288</v>
      </c>
      <c r="I29" s="95"/>
      <c r="J29" s="95">
        <v>0.6975</v>
      </c>
      <c r="K29" s="38">
        <f t="shared" si="2"/>
        <v>0.06975</v>
      </c>
      <c r="L29" s="42">
        <f t="shared" si="4"/>
        <v>0.6975</v>
      </c>
      <c r="M29" s="38">
        <f t="shared" si="2"/>
        <v>0.06975</v>
      </c>
      <c r="N29" s="95"/>
      <c r="O29" s="95">
        <v>1.1855</v>
      </c>
      <c r="P29" s="38">
        <f t="shared" si="3"/>
        <v>0.11855</v>
      </c>
      <c r="Q29" s="42">
        <f t="shared" si="5"/>
        <v>1.1855</v>
      </c>
      <c r="R29" s="38">
        <f t="shared" si="3"/>
        <v>0.11855</v>
      </c>
    </row>
    <row r="30" spans="2:18" ht="12.75">
      <c r="B30" s="21" t="s">
        <v>84</v>
      </c>
      <c r="C30" s="22">
        <v>0.1</v>
      </c>
      <c r="D30" s="95"/>
      <c r="E30" s="95">
        <v>0.04</v>
      </c>
      <c r="F30" s="38">
        <f t="shared" si="0"/>
        <v>0.004</v>
      </c>
      <c r="G30" s="42">
        <f t="shared" si="1"/>
        <v>0.04</v>
      </c>
      <c r="H30" s="38">
        <f t="shared" si="0"/>
        <v>0.004</v>
      </c>
      <c r="I30" s="95"/>
      <c r="J30" s="95">
        <v>0.0991</v>
      </c>
      <c r="K30" s="38">
        <f t="shared" si="2"/>
        <v>0.00991</v>
      </c>
      <c r="L30" s="42">
        <f t="shared" si="4"/>
        <v>0.0991</v>
      </c>
      <c r="M30" s="38">
        <f t="shared" si="2"/>
        <v>0.00991</v>
      </c>
      <c r="N30" s="95"/>
      <c r="O30" s="95">
        <v>0.12</v>
      </c>
      <c r="P30" s="38">
        <f t="shared" si="3"/>
        <v>0.012</v>
      </c>
      <c r="Q30" s="42">
        <f t="shared" si="5"/>
        <v>0.12</v>
      </c>
      <c r="R30" s="38">
        <f t="shared" si="3"/>
        <v>0.012</v>
      </c>
    </row>
    <row r="31" spans="2:18" ht="12.75">
      <c r="B31" s="21" t="s">
        <v>138</v>
      </c>
      <c r="C31" s="22">
        <v>0</v>
      </c>
      <c r="D31" s="95"/>
      <c r="E31" s="95">
        <v>2.5598</v>
      </c>
      <c r="F31" s="38">
        <f t="shared" si="0"/>
        <v>0</v>
      </c>
      <c r="G31" s="42">
        <f t="shared" si="1"/>
        <v>2.5598</v>
      </c>
      <c r="H31" s="38">
        <f t="shared" si="0"/>
        <v>0</v>
      </c>
      <c r="I31" s="95"/>
      <c r="J31" s="95">
        <v>3.6344</v>
      </c>
      <c r="K31" s="38">
        <f t="shared" si="2"/>
        <v>0</v>
      </c>
      <c r="L31" s="42">
        <f t="shared" si="4"/>
        <v>3.6344</v>
      </c>
      <c r="M31" s="38">
        <f t="shared" si="2"/>
        <v>0</v>
      </c>
      <c r="N31" s="95"/>
      <c r="O31" s="95">
        <v>5.5195</v>
      </c>
      <c r="P31" s="38">
        <f t="shared" si="3"/>
        <v>0</v>
      </c>
      <c r="Q31" s="42">
        <f t="shared" si="5"/>
        <v>5.5195</v>
      </c>
      <c r="R31" s="38">
        <f t="shared" si="3"/>
        <v>0</v>
      </c>
    </row>
    <row r="32" spans="2:18" ht="12.75">
      <c r="B32" s="21" t="s">
        <v>85</v>
      </c>
      <c r="C32" s="22">
        <v>0.01</v>
      </c>
      <c r="D32" s="95"/>
      <c r="E32" s="95">
        <v>0.4041</v>
      </c>
      <c r="F32" s="38">
        <f t="shared" si="0"/>
        <v>0.004041</v>
      </c>
      <c r="G32" s="42">
        <f t="shared" si="1"/>
        <v>0.4041</v>
      </c>
      <c r="H32" s="38">
        <f t="shared" si="0"/>
        <v>0.004041</v>
      </c>
      <c r="I32" s="95"/>
      <c r="J32" s="95">
        <v>0.7834</v>
      </c>
      <c r="K32" s="38">
        <f t="shared" si="2"/>
        <v>0.007834</v>
      </c>
      <c r="L32" s="42">
        <f t="shared" si="4"/>
        <v>0.7834</v>
      </c>
      <c r="M32" s="38">
        <f t="shared" si="2"/>
        <v>0.007834</v>
      </c>
      <c r="N32" s="95"/>
      <c r="O32" s="95">
        <v>1.616</v>
      </c>
      <c r="P32" s="38">
        <f t="shared" si="3"/>
        <v>0.01616</v>
      </c>
      <c r="Q32" s="42">
        <f t="shared" si="5"/>
        <v>1.616</v>
      </c>
      <c r="R32" s="38">
        <f t="shared" si="3"/>
        <v>0.01616</v>
      </c>
    </row>
    <row r="33" spans="2:18" ht="12.75">
      <c r="B33" s="21" t="s">
        <v>86</v>
      </c>
      <c r="C33" s="22">
        <v>0.01</v>
      </c>
      <c r="D33" s="95"/>
      <c r="E33" s="95">
        <v>0.1281</v>
      </c>
      <c r="F33" s="38">
        <f t="shared" si="0"/>
        <v>0.001281</v>
      </c>
      <c r="G33" s="42">
        <f t="shared" si="1"/>
        <v>0.1281</v>
      </c>
      <c r="H33" s="38">
        <f t="shared" si="0"/>
        <v>0.001281</v>
      </c>
      <c r="I33" s="95"/>
      <c r="J33" s="95">
        <v>0.2489</v>
      </c>
      <c r="K33" s="38">
        <f t="shared" si="2"/>
        <v>0.0024890000000000003</v>
      </c>
      <c r="L33" s="42">
        <f t="shared" si="4"/>
        <v>0.2489</v>
      </c>
      <c r="M33" s="38">
        <f t="shared" si="2"/>
        <v>0.0024890000000000003</v>
      </c>
      <c r="N33" s="95"/>
      <c r="O33" s="95">
        <v>0.4458</v>
      </c>
      <c r="P33" s="38">
        <f t="shared" si="3"/>
        <v>0.004458</v>
      </c>
      <c r="Q33" s="42">
        <f t="shared" si="5"/>
        <v>0.4458</v>
      </c>
      <c r="R33" s="38">
        <f t="shared" si="3"/>
        <v>0.004458</v>
      </c>
    </row>
    <row r="34" spans="2:18" ht="12.75">
      <c r="B34" s="21" t="s">
        <v>139</v>
      </c>
      <c r="C34" s="22">
        <v>0</v>
      </c>
      <c r="D34" s="95"/>
      <c r="E34" s="95">
        <v>0.2739</v>
      </c>
      <c r="F34" s="38">
        <f t="shared" si="0"/>
        <v>0</v>
      </c>
      <c r="G34" s="42">
        <f t="shared" si="1"/>
        <v>0.2739</v>
      </c>
      <c r="H34" s="38">
        <f t="shared" si="0"/>
        <v>0</v>
      </c>
      <c r="I34" s="95"/>
      <c r="J34" s="95">
        <v>0.5065</v>
      </c>
      <c r="K34" s="38">
        <f t="shared" si="2"/>
        <v>0</v>
      </c>
      <c r="L34" s="42">
        <f t="shared" si="4"/>
        <v>0.5065</v>
      </c>
      <c r="M34" s="38">
        <f t="shared" si="2"/>
        <v>0</v>
      </c>
      <c r="N34" s="95"/>
      <c r="O34" s="95">
        <v>0.926</v>
      </c>
      <c r="P34" s="38">
        <f t="shared" si="3"/>
        <v>0</v>
      </c>
      <c r="Q34" s="42">
        <f t="shared" si="5"/>
        <v>0.926</v>
      </c>
      <c r="R34" s="38">
        <f t="shared" si="3"/>
        <v>0</v>
      </c>
    </row>
    <row r="35" spans="2:18" ht="12.75">
      <c r="B35" s="21" t="s">
        <v>87</v>
      </c>
      <c r="C35" s="22">
        <v>0.001</v>
      </c>
      <c r="D35" s="95"/>
      <c r="E35" s="95">
        <v>0.2427</v>
      </c>
      <c r="F35" s="38">
        <f t="shared" si="0"/>
        <v>0.00024270000000000002</v>
      </c>
      <c r="G35" s="42">
        <f t="shared" si="1"/>
        <v>0.2427</v>
      </c>
      <c r="H35" s="38">
        <f t="shared" si="0"/>
        <v>0.00024270000000000002</v>
      </c>
      <c r="I35" s="95"/>
      <c r="J35" s="95">
        <v>0.39</v>
      </c>
      <c r="K35" s="38">
        <f t="shared" si="2"/>
        <v>0.00039000000000000005</v>
      </c>
      <c r="L35" s="42">
        <f t="shared" si="4"/>
        <v>0.39</v>
      </c>
      <c r="M35" s="38">
        <f t="shared" si="2"/>
        <v>0.00039000000000000005</v>
      </c>
      <c r="N35" s="95"/>
      <c r="O35" s="95">
        <v>0.9421</v>
      </c>
      <c r="P35" s="38">
        <f t="shared" si="3"/>
        <v>0.0009421000000000001</v>
      </c>
      <c r="Q35" s="42">
        <f t="shared" si="5"/>
        <v>0.9421</v>
      </c>
      <c r="R35" s="38">
        <f t="shared" si="3"/>
        <v>0.0009421000000000001</v>
      </c>
    </row>
    <row r="36" spans="5:17" ht="12.75">
      <c r="E36" s="41"/>
      <c r="G36" s="41"/>
      <c r="I36" s="63"/>
      <c r="J36" s="21"/>
      <c r="K36" s="23"/>
      <c r="L36" s="23"/>
      <c r="M36" s="23"/>
      <c r="N36" s="63"/>
      <c r="O36" s="21"/>
      <c r="Q36" s="41"/>
    </row>
    <row r="37" spans="2:18" ht="12.75">
      <c r="B37" s="21" t="s">
        <v>89</v>
      </c>
      <c r="E37" s="41"/>
      <c r="F37" s="41">
        <v>125.437</v>
      </c>
      <c r="G37" s="41">
        <v>125.437</v>
      </c>
      <c r="H37" s="41">
        <v>125.437</v>
      </c>
      <c r="I37" s="63"/>
      <c r="J37" s="41"/>
      <c r="K37" s="41">
        <v>120.08</v>
      </c>
      <c r="L37" s="41">
        <v>120.08</v>
      </c>
      <c r="M37" s="41">
        <v>120.08</v>
      </c>
      <c r="N37" s="63"/>
      <c r="O37" s="41"/>
      <c r="P37" s="41">
        <v>125.513</v>
      </c>
      <c r="Q37" s="41">
        <v>125.513</v>
      </c>
      <c r="R37" s="41">
        <v>125.513</v>
      </c>
    </row>
    <row r="38" spans="2:18" ht="12.75">
      <c r="B38" s="21" t="s">
        <v>90</v>
      </c>
      <c r="E38" s="41"/>
      <c r="F38" s="41">
        <v>16</v>
      </c>
      <c r="G38" s="41">
        <v>16</v>
      </c>
      <c r="H38" s="41">
        <v>16</v>
      </c>
      <c r="I38" s="63"/>
      <c r="J38" s="41"/>
      <c r="K38" s="23">
        <v>15.3</v>
      </c>
      <c r="L38" s="23">
        <v>15.3</v>
      </c>
      <c r="M38" s="23">
        <v>15.3</v>
      </c>
      <c r="N38" s="63"/>
      <c r="O38" s="41"/>
      <c r="P38" s="23">
        <v>15.2</v>
      </c>
      <c r="Q38" s="23">
        <v>15.2</v>
      </c>
      <c r="R38" s="23">
        <v>15.2</v>
      </c>
    </row>
    <row r="39" spans="5:18" ht="12.75">
      <c r="E39" s="41"/>
      <c r="G39" s="41"/>
      <c r="I39" s="22"/>
      <c r="J39" s="41"/>
      <c r="K39" s="23"/>
      <c r="L39" s="23"/>
      <c r="M39" s="23"/>
      <c r="N39" s="63"/>
      <c r="O39" s="41"/>
      <c r="P39" s="41"/>
      <c r="Q39" s="41"/>
      <c r="R39" s="41"/>
    </row>
    <row r="40" spans="2:18" ht="12" customHeight="1">
      <c r="B40" s="21" t="s">
        <v>91</v>
      </c>
      <c r="C40" s="38"/>
      <c r="D40" s="40"/>
      <c r="E40" s="23"/>
      <c r="F40" s="42">
        <f>SUM(F11:F35)</f>
        <v>1.2562079000000002</v>
      </c>
      <c r="G40" s="42">
        <f>SUM(G11:G35)</f>
        <v>58.2931</v>
      </c>
      <c r="H40" s="42">
        <f>SUM(H11:H35)</f>
        <v>1.2562079000000002</v>
      </c>
      <c r="I40" s="40"/>
      <c r="J40" s="23"/>
      <c r="K40" s="42">
        <f>SUM(K11:K35)</f>
        <v>1.6013709999999997</v>
      </c>
      <c r="L40" s="42">
        <f>SUM(L11:L35)</f>
        <v>63.548100000000005</v>
      </c>
      <c r="M40" s="42">
        <f>SUM(M11:M35)</f>
        <v>1.6013709999999997</v>
      </c>
      <c r="N40" s="40"/>
      <c r="O40" s="41"/>
      <c r="P40" s="42">
        <f>SUM(P11:P35)</f>
        <v>2.600044300000001</v>
      </c>
      <c r="Q40" s="42">
        <f>SUM(Q11:Q35)</f>
        <v>96.875</v>
      </c>
      <c r="R40" s="42">
        <f>SUM(R11:R35)</f>
        <v>2.600044300000001</v>
      </c>
    </row>
    <row r="41" spans="2:18" ht="12.75">
      <c r="B41" s="21" t="s">
        <v>92</v>
      </c>
      <c r="C41" s="38"/>
      <c r="D41" s="23">
        <f>(F41-H41)*2/F41*100</f>
        <v>0</v>
      </c>
      <c r="E41" s="41"/>
      <c r="F41" s="42">
        <f>(F40/F37/0.0283*(21-7)/(21-F38))</f>
        <v>0.9908489588244024</v>
      </c>
      <c r="G41" s="42">
        <f>(G40/G37/0.0283*(21-7)/(21-G38))</f>
        <v>45.97937765050416</v>
      </c>
      <c r="H41" s="42">
        <f>(H40/H37/0.0283*(21-7)/(21-H38))</f>
        <v>0.9908489588244024</v>
      </c>
      <c r="I41" s="23">
        <f>(K41-M41)*2/K41*100</f>
        <v>0</v>
      </c>
      <c r="J41" s="41"/>
      <c r="K41" s="42">
        <f>(K40/K37/0.0283*(21-7)/(21-K38))</f>
        <v>1.1574121168409992</v>
      </c>
      <c r="L41" s="42">
        <f>(L40/L37/0.0283*(21-7)/(21-L38))</f>
        <v>45.930231621668874</v>
      </c>
      <c r="M41" s="42">
        <f>(M40/M37/0.0283*(21-7)/(21-M38))</f>
        <v>1.1574121168409992</v>
      </c>
      <c r="N41" s="23">
        <f>(P41-R41)*2/P41*100</f>
        <v>0</v>
      </c>
      <c r="O41" s="41"/>
      <c r="P41" s="42">
        <f>(P40/P37/0.0283*(21-7)/(21-P38))</f>
        <v>1.7668742604027987</v>
      </c>
      <c r="Q41" s="42">
        <f>(Q40/Q37/0.0283*(21-7)/(21-Q38))</f>
        <v>65.83193370071466</v>
      </c>
      <c r="R41" s="42">
        <f>(R40/R37/0.0283*(21-7)/(21-R38))</f>
        <v>1.7668742604027987</v>
      </c>
    </row>
    <row r="42" spans="5:17" ht="12.75">
      <c r="E42" s="42"/>
      <c r="G42" s="42"/>
      <c r="I42" s="64"/>
      <c r="J42" s="42"/>
      <c r="K42" s="42"/>
      <c r="L42" s="42"/>
      <c r="M42" s="42"/>
      <c r="N42" s="64"/>
      <c r="O42" s="42"/>
      <c r="Q42" s="42"/>
    </row>
    <row r="43" spans="2:32" s="41" customFormat="1" ht="12.75">
      <c r="B43" s="41" t="s">
        <v>93</v>
      </c>
      <c r="C43" s="42">
        <f>AVERAGE(H41,M41,R41)</f>
        <v>1.3050451120227333</v>
      </c>
      <c r="D43" s="63"/>
      <c r="F43" s="38"/>
      <c r="H43" s="38"/>
      <c r="I43" s="63"/>
      <c r="N43" s="63"/>
      <c r="P43" s="37"/>
      <c r="R43" s="37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2:3" ht="12.75">
      <c r="B44" s="21" t="s">
        <v>94</v>
      </c>
      <c r="C44" s="42">
        <f>AVERAGE(G41,L41,Q41)</f>
        <v>52.580514324295905</v>
      </c>
    </row>
    <row r="45" spans="5:18" ht="12.75">
      <c r="E45" s="21"/>
      <c r="G45" s="21"/>
      <c r="I45" s="22"/>
      <c r="J45" s="21"/>
      <c r="K45" s="21"/>
      <c r="L45" s="21"/>
      <c r="M45" s="21"/>
      <c r="N45" s="22"/>
      <c r="O45" s="21"/>
      <c r="P45" s="21"/>
      <c r="Q45" s="21"/>
      <c r="R45" s="21"/>
    </row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</sheetData>
  <printOptions headings="1" horizontalCentered="1"/>
  <pageMargins left="0.25" right="0.25" top="0.5" bottom="0.5" header="0.2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C1">
      <selection activeCell="Q8" sqref="Q8"/>
    </sheetView>
  </sheetViews>
  <sheetFormatPr defaultColWidth="9.140625" defaultRowHeight="12.75"/>
  <cols>
    <col min="1" max="2" width="9.140625" style="0" hidden="1" customWidth="1"/>
    <col min="3" max="3" width="20.140625" style="0" customWidth="1"/>
    <col min="4" max="4" width="9.7109375" style="0" customWidth="1"/>
    <col min="5" max="5" width="5.8515625" style="0" customWidth="1"/>
    <col min="9" max="9" width="3.7109375" style="0" customWidth="1"/>
    <col min="13" max="13" width="3.28125" style="0" customWidth="1"/>
  </cols>
  <sheetData>
    <row r="1" spans="3:16" ht="12.75">
      <c r="C1" s="2" t="s">
        <v>179</v>
      </c>
      <c r="D1" s="22" t="s">
        <v>66</v>
      </c>
      <c r="F1" s="96" t="s">
        <v>28</v>
      </c>
      <c r="G1" s="96"/>
      <c r="H1" s="96"/>
      <c r="I1" s="81"/>
      <c r="J1" s="96" t="s">
        <v>29</v>
      </c>
      <c r="K1" s="96"/>
      <c r="L1" s="96"/>
      <c r="M1" s="81"/>
      <c r="N1" s="96" t="s">
        <v>30</v>
      </c>
      <c r="O1" s="96"/>
      <c r="P1" s="96"/>
    </row>
    <row r="2" spans="4:16" ht="12.75">
      <c r="D2" s="22" t="s">
        <v>67</v>
      </c>
      <c r="F2" s="81" t="s">
        <v>60</v>
      </c>
      <c r="G2" s="24" t="s">
        <v>60</v>
      </c>
      <c r="H2" s="40" t="s">
        <v>68</v>
      </c>
      <c r="I2" s="81"/>
      <c r="J2" s="81" t="s">
        <v>60</v>
      </c>
      <c r="K2" s="24" t="s">
        <v>60</v>
      </c>
      <c r="L2" s="40" t="s">
        <v>68</v>
      </c>
      <c r="M2" s="81"/>
      <c r="N2" s="81" t="s">
        <v>60</v>
      </c>
      <c r="O2" s="24" t="s">
        <v>60</v>
      </c>
      <c r="P2" s="40" t="s">
        <v>68</v>
      </c>
    </row>
    <row r="3" spans="1:16" ht="12.75">
      <c r="A3" s="77"/>
      <c r="B3" s="77"/>
      <c r="C3" s="77" t="s">
        <v>39</v>
      </c>
      <c r="D3" s="22"/>
      <c r="F3" s="81" t="s">
        <v>246</v>
      </c>
      <c r="G3" s="24" t="s">
        <v>70</v>
      </c>
      <c r="H3" s="40" t="s">
        <v>70</v>
      </c>
      <c r="I3" s="82"/>
      <c r="J3" s="81" t="s">
        <v>246</v>
      </c>
      <c r="K3" s="24" t="s">
        <v>70</v>
      </c>
      <c r="L3" s="40" t="s">
        <v>70</v>
      </c>
      <c r="M3" s="82"/>
      <c r="N3" s="81" t="s">
        <v>246</v>
      </c>
      <c r="O3" s="24" t="s">
        <v>70</v>
      </c>
      <c r="P3" s="40" t="s">
        <v>70</v>
      </c>
    </row>
    <row r="4" spans="1:16" ht="12.75">
      <c r="A4" s="77"/>
      <c r="B4" s="77"/>
      <c r="C4" s="77"/>
      <c r="E4" s="77"/>
      <c r="F4" s="82"/>
      <c r="G4" s="37"/>
      <c r="H4" s="38"/>
      <c r="I4" s="82"/>
      <c r="J4" s="82"/>
      <c r="K4" s="37"/>
      <c r="L4" s="38"/>
      <c r="M4" s="82"/>
      <c r="N4" s="82"/>
      <c r="O4" s="37"/>
      <c r="P4" s="38"/>
    </row>
    <row r="5" spans="1:16" ht="12.75">
      <c r="A5" s="77" t="s">
        <v>179</v>
      </c>
      <c r="B5" s="77"/>
      <c r="C5" s="77" t="s">
        <v>245</v>
      </c>
      <c r="D5" s="22">
        <v>1</v>
      </c>
      <c r="E5" s="75">
        <v>1</v>
      </c>
      <c r="F5" s="75">
        <v>0.0121</v>
      </c>
      <c r="G5" s="42">
        <f>IF(F5=0,"",IF(E5=1,F5/2,F5))</f>
        <v>0.00605</v>
      </c>
      <c r="H5" s="38">
        <f>IF(G5="","",G5*$D5)</f>
        <v>0.00605</v>
      </c>
      <c r="I5" s="75"/>
      <c r="J5" s="75">
        <v>0.0182</v>
      </c>
      <c r="K5" s="42">
        <f>IF(J5=0,"",IF(I5=1,J5/2,J5))</f>
        <v>0.0182</v>
      </c>
      <c r="L5" s="38">
        <f>IF(K5="","",K5*$D5)</f>
        <v>0.0182</v>
      </c>
      <c r="M5" s="75"/>
      <c r="N5" s="75">
        <v>0.0179</v>
      </c>
      <c r="O5" s="42">
        <f>IF(N5=0,"",IF(M5=1,N5/2,N5))</f>
        <v>0.0179</v>
      </c>
      <c r="P5" s="38">
        <f>IF(O5="","",O5*$D5)</f>
        <v>0.0179</v>
      </c>
    </row>
    <row r="6" spans="1:16" ht="12.75">
      <c r="A6" s="77" t="s">
        <v>179</v>
      </c>
      <c r="B6" s="77"/>
      <c r="C6" s="77" t="s">
        <v>244</v>
      </c>
      <c r="D6" s="22">
        <v>0</v>
      </c>
      <c r="E6" s="75"/>
      <c r="F6" s="75">
        <v>1.16</v>
      </c>
      <c r="G6" s="42">
        <f aca="true" t="shared" si="0" ref="G6:G37">IF(F6=0,"",IF(E6=1,F6/2,F6))</f>
        <v>1.16</v>
      </c>
      <c r="H6" s="38">
        <f aca="true" t="shared" si="1" ref="H6:H37">IF(G6="","",G6*$D6)</f>
        <v>0</v>
      </c>
      <c r="I6" s="75"/>
      <c r="J6" s="75">
        <v>1.26</v>
      </c>
      <c r="K6" s="42">
        <f aca="true" t="shared" si="2" ref="K6:K37">IF(J6=0,"",IF(I6=1,J6/2,J6))</f>
        <v>1.26</v>
      </c>
      <c r="L6" s="38">
        <f aca="true" t="shared" si="3" ref="L6:L37">IF(K6="","",K6*$D6)</f>
        <v>0</v>
      </c>
      <c r="M6" s="75"/>
      <c r="N6" s="75">
        <v>0.765</v>
      </c>
      <c r="O6" s="42">
        <f aca="true" t="shared" si="4" ref="O6:O37">IF(N6=0,"",IF(M6=1,N6/2,N6))</f>
        <v>0.765</v>
      </c>
      <c r="P6" s="38">
        <f aca="true" t="shared" si="5" ref="P6:P37">IF(O6="","",O6*$D6)</f>
        <v>0</v>
      </c>
    </row>
    <row r="7" spans="1:16" ht="12.75">
      <c r="A7" s="77" t="s">
        <v>179</v>
      </c>
      <c r="B7" s="77"/>
      <c r="C7" s="77" t="s">
        <v>243</v>
      </c>
      <c r="D7" s="22">
        <v>0</v>
      </c>
      <c r="E7" s="75"/>
      <c r="F7" s="75">
        <v>1.1721</v>
      </c>
      <c r="G7" s="42">
        <f t="shared" si="0"/>
        <v>1.1721</v>
      </c>
      <c r="H7" s="38">
        <f t="shared" si="1"/>
        <v>0</v>
      </c>
      <c r="I7" s="75"/>
      <c r="J7" s="75">
        <v>1.2782</v>
      </c>
      <c r="K7" s="42">
        <f t="shared" si="2"/>
        <v>1.2782</v>
      </c>
      <c r="L7" s="38">
        <f t="shared" si="3"/>
        <v>0</v>
      </c>
      <c r="M7" s="75"/>
      <c r="N7" s="75">
        <v>0.7829</v>
      </c>
      <c r="O7" s="42">
        <f t="shared" si="4"/>
        <v>0.7829</v>
      </c>
      <c r="P7" s="38">
        <f t="shared" si="5"/>
        <v>0</v>
      </c>
    </row>
    <row r="8" spans="1:16" ht="12.75">
      <c r="A8" s="77" t="s">
        <v>179</v>
      </c>
      <c r="B8" s="77"/>
      <c r="C8" s="77" t="s">
        <v>242</v>
      </c>
      <c r="D8" s="22">
        <v>0.5</v>
      </c>
      <c r="E8" s="75"/>
      <c r="F8" s="75">
        <v>0.0268</v>
      </c>
      <c r="G8" s="42">
        <f t="shared" si="0"/>
        <v>0.0268</v>
      </c>
      <c r="H8" s="38">
        <f t="shared" si="1"/>
        <v>0.0134</v>
      </c>
      <c r="I8" s="75"/>
      <c r="J8" s="75">
        <v>0.0551</v>
      </c>
      <c r="K8" s="42">
        <f t="shared" si="2"/>
        <v>0.0551</v>
      </c>
      <c r="L8" s="38">
        <f t="shared" si="3"/>
        <v>0.02755</v>
      </c>
      <c r="M8" s="75"/>
      <c r="N8" s="75">
        <v>0.0478</v>
      </c>
      <c r="O8" s="42">
        <f t="shared" si="4"/>
        <v>0.0478</v>
      </c>
      <c r="P8" s="38">
        <f t="shared" si="5"/>
        <v>0.0239</v>
      </c>
    </row>
    <row r="9" spans="1:16" ht="12.75">
      <c r="A9" s="77" t="s">
        <v>179</v>
      </c>
      <c r="B9" s="77"/>
      <c r="C9" s="77" t="s">
        <v>241</v>
      </c>
      <c r="D9" s="22">
        <v>0</v>
      </c>
      <c r="E9" s="75"/>
      <c r="F9" s="75">
        <v>0.615</v>
      </c>
      <c r="G9" s="42">
        <f t="shared" si="0"/>
        <v>0.615</v>
      </c>
      <c r="H9" s="38">
        <f t="shared" si="1"/>
        <v>0</v>
      </c>
      <c r="I9" s="75"/>
      <c r="J9" s="75">
        <v>1.31</v>
      </c>
      <c r="K9" s="42">
        <f t="shared" si="2"/>
        <v>1.31</v>
      </c>
      <c r="L9" s="38">
        <f t="shared" si="3"/>
        <v>0</v>
      </c>
      <c r="M9" s="75"/>
      <c r="N9" s="75">
        <v>1.07</v>
      </c>
      <c r="O9" s="42">
        <f t="shared" si="4"/>
        <v>1.07</v>
      </c>
      <c r="P9" s="38">
        <f t="shared" si="5"/>
        <v>0</v>
      </c>
    </row>
    <row r="10" spans="1:16" ht="12.75">
      <c r="A10" s="77" t="s">
        <v>179</v>
      </c>
      <c r="B10" s="77"/>
      <c r="C10" s="77" t="s">
        <v>240</v>
      </c>
      <c r="D10" s="22">
        <v>0</v>
      </c>
      <c r="E10" s="75"/>
      <c r="F10" s="75">
        <v>0.6418</v>
      </c>
      <c r="G10" s="42">
        <f t="shared" si="0"/>
        <v>0.6418</v>
      </c>
      <c r="H10" s="38">
        <f t="shared" si="1"/>
        <v>0</v>
      </c>
      <c r="I10" s="75"/>
      <c r="J10" s="75">
        <v>1.3651</v>
      </c>
      <c r="K10" s="42">
        <f t="shared" si="2"/>
        <v>1.3651</v>
      </c>
      <c r="L10" s="38">
        <f t="shared" si="3"/>
        <v>0</v>
      </c>
      <c r="M10" s="75"/>
      <c r="N10" s="75">
        <v>1.1178</v>
      </c>
      <c r="O10" s="42">
        <f t="shared" si="4"/>
        <v>1.1178</v>
      </c>
      <c r="P10" s="38">
        <f t="shared" si="5"/>
        <v>0</v>
      </c>
    </row>
    <row r="11" spans="1:16" ht="12.75">
      <c r="A11" s="77" t="s">
        <v>179</v>
      </c>
      <c r="B11" s="77"/>
      <c r="C11" s="77" t="s">
        <v>239</v>
      </c>
      <c r="D11" s="22">
        <v>0.1</v>
      </c>
      <c r="E11" s="75"/>
      <c r="F11" s="75">
        <v>0.0232</v>
      </c>
      <c r="G11" s="42">
        <f t="shared" si="0"/>
        <v>0.0232</v>
      </c>
      <c r="H11" s="38">
        <f t="shared" si="1"/>
        <v>0.00232</v>
      </c>
      <c r="I11" s="75"/>
      <c r="J11" s="75">
        <v>0.0249</v>
      </c>
      <c r="K11" s="42">
        <f t="shared" si="2"/>
        <v>0.0249</v>
      </c>
      <c r="L11" s="38">
        <f t="shared" si="3"/>
        <v>0.00249</v>
      </c>
      <c r="M11" s="75"/>
      <c r="N11" s="75">
        <v>0.0437</v>
      </c>
      <c r="O11" s="42">
        <f t="shared" si="4"/>
        <v>0.0437</v>
      </c>
      <c r="P11" s="38">
        <f t="shared" si="5"/>
        <v>0.004370000000000001</v>
      </c>
    </row>
    <row r="12" spans="1:16" ht="12.75">
      <c r="A12" s="77" t="s">
        <v>179</v>
      </c>
      <c r="B12" s="77"/>
      <c r="C12" s="77" t="s">
        <v>238</v>
      </c>
      <c r="D12" s="22">
        <v>0.1</v>
      </c>
      <c r="E12" s="75"/>
      <c r="F12" s="75">
        <v>0.0861</v>
      </c>
      <c r="G12" s="42">
        <f t="shared" si="0"/>
        <v>0.0861</v>
      </c>
      <c r="H12" s="38">
        <f t="shared" si="1"/>
        <v>0.00861</v>
      </c>
      <c r="I12" s="75"/>
      <c r="J12" s="75">
        <v>0.0913</v>
      </c>
      <c r="K12" s="42">
        <f t="shared" si="2"/>
        <v>0.0913</v>
      </c>
      <c r="L12" s="38">
        <f t="shared" si="3"/>
        <v>0.009130000000000001</v>
      </c>
      <c r="M12" s="75"/>
      <c r="N12" s="75">
        <v>0.111</v>
      </c>
      <c r="O12" s="42">
        <f t="shared" si="4"/>
        <v>0.111</v>
      </c>
      <c r="P12" s="38">
        <f t="shared" si="5"/>
        <v>0.0111</v>
      </c>
    </row>
    <row r="13" spans="1:16" ht="12.75">
      <c r="A13" s="77" t="s">
        <v>179</v>
      </c>
      <c r="B13" s="77"/>
      <c r="C13" s="77" t="s">
        <v>237</v>
      </c>
      <c r="D13" s="22">
        <v>0.1</v>
      </c>
      <c r="E13" s="75"/>
      <c r="F13" s="75">
        <v>0.0723</v>
      </c>
      <c r="G13" s="42">
        <f t="shared" si="0"/>
        <v>0.0723</v>
      </c>
      <c r="H13" s="38">
        <f t="shared" si="1"/>
        <v>0.00723</v>
      </c>
      <c r="I13" s="75"/>
      <c r="J13" s="75">
        <v>0.0497</v>
      </c>
      <c r="K13" s="42">
        <f t="shared" si="2"/>
        <v>0.0497</v>
      </c>
      <c r="L13" s="38">
        <f t="shared" si="3"/>
        <v>0.0049700000000000005</v>
      </c>
      <c r="M13" s="75"/>
      <c r="N13" s="75">
        <v>0.0895</v>
      </c>
      <c r="O13" s="42">
        <f t="shared" si="4"/>
        <v>0.0895</v>
      </c>
      <c r="P13" s="38">
        <f t="shared" si="5"/>
        <v>0.00895</v>
      </c>
    </row>
    <row r="14" spans="1:16" ht="12.75">
      <c r="A14" s="77" t="s">
        <v>179</v>
      </c>
      <c r="B14" s="77"/>
      <c r="C14" s="77" t="s">
        <v>236</v>
      </c>
      <c r="D14" s="22">
        <v>0</v>
      </c>
      <c r="E14" s="75"/>
      <c r="F14" s="75">
        <v>0.688</v>
      </c>
      <c r="G14" s="42">
        <f t="shared" si="0"/>
        <v>0.688</v>
      </c>
      <c r="H14" s="38">
        <f t="shared" si="1"/>
        <v>0</v>
      </c>
      <c r="I14" s="75"/>
      <c r="J14" s="75">
        <v>0.91</v>
      </c>
      <c r="K14" s="42">
        <f t="shared" si="2"/>
        <v>0.91</v>
      </c>
      <c r="L14" s="38">
        <f t="shared" si="3"/>
        <v>0</v>
      </c>
      <c r="M14" s="75"/>
      <c r="N14" s="75">
        <v>1.12</v>
      </c>
      <c r="O14" s="42">
        <f t="shared" si="4"/>
        <v>1.12</v>
      </c>
      <c r="P14" s="38">
        <f t="shared" si="5"/>
        <v>0</v>
      </c>
    </row>
    <row r="15" spans="1:16" ht="12.75">
      <c r="A15" s="77" t="s">
        <v>179</v>
      </c>
      <c r="B15" s="77"/>
      <c r="C15" s="77" t="s">
        <v>235</v>
      </c>
      <c r="D15" s="22">
        <v>0</v>
      </c>
      <c r="E15" s="75"/>
      <c r="F15" s="75">
        <v>0.8696</v>
      </c>
      <c r="G15" s="42">
        <f t="shared" si="0"/>
        <v>0.8696</v>
      </c>
      <c r="H15" s="38">
        <f t="shared" si="1"/>
        <v>0</v>
      </c>
      <c r="I15" s="75"/>
      <c r="J15" s="75">
        <v>1.0759</v>
      </c>
      <c r="K15" s="42">
        <f t="shared" si="2"/>
        <v>1.0759</v>
      </c>
      <c r="L15" s="38">
        <f t="shared" si="3"/>
        <v>0</v>
      </c>
      <c r="M15" s="75"/>
      <c r="N15" s="75">
        <v>1.3642</v>
      </c>
      <c r="O15" s="42">
        <f t="shared" si="4"/>
        <v>1.3642</v>
      </c>
      <c r="P15" s="38">
        <f t="shared" si="5"/>
        <v>0</v>
      </c>
    </row>
    <row r="16" spans="1:16" ht="12.75">
      <c r="A16" s="77" t="s">
        <v>179</v>
      </c>
      <c r="B16" s="77"/>
      <c r="C16" s="77" t="s">
        <v>234</v>
      </c>
      <c r="D16" s="22">
        <v>0.01</v>
      </c>
      <c r="E16" s="75"/>
      <c r="F16" s="75">
        <v>0.446</v>
      </c>
      <c r="G16" s="42">
        <f t="shared" si="0"/>
        <v>0.446</v>
      </c>
      <c r="H16" s="38">
        <f t="shared" si="1"/>
        <v>0.00446</v>
      </c>
      <c r="I16" s="75"/>
      <c r="J16" s="75">
        <v>0.445</v>
      </c>
      <c r="K16" s="42">
        <f t="shared" si="2"/>
        <v>0.445</v>
      </c>
      <c r="L16" s="38">
        <f t="shared" si="3"/>
        <v>0.00445</v>
      </c>
      <c r="M16" s="75"/>
      <c r="N16" s="75">
        <v>0.525</v>
      </c>
      <c r="O16" s="42">
        <f t="shared" si="4"/>
        <v>0.525</v>
      </c>
      <c r="P16" s="38">
        <f t="shared" si="5"/>
        <v>0.00525</v>
      </c>
    </row>
    <row r="17" spans="1:16" ht="12.75">
      <c r="A17" s="77" t="s">
        <v>179</v>
      </c>
      <c r="B17" s="77"/>
      <c r="C17" s="77" t="s">
        <v>233</v>
      </c>
      <c r="D17" s="22">
        <v>0</v>
      </c>
      <c r="E17" s="75"/>
      <c r="F17" s="75">
        <v>0.381</v>
      </c>
      <c r="G17" s="42">
        <f t="shared" si="0"/>
        <v>0.381</v>
      </c>
      <c r="H17" s="38">
        <f t="shared" si="1"/>
        <v>0</v>
      </c>
      <c r="I17" s="75"/>
      <c r="J17" s="75">
        <v>0.414</v>
      </c>
      <c r="K17" s="42">
        <f t="shared" si="2"/>
        <v>0.414</v>
      </c>
      <c r="L17" s="38">
        <f t="shared" si="3"/>
        <v>0</v>
      </c>
      <c r="M17" s="75"/>
      <c r="N17" s="75">
        <v>0.538</v>
      </c>
      <c r="O17" s="42">
        <f t="shared" si="4"/>
        <v>0.538</v>
      </c>
      <c r="P17" s="38">
        <f t="shared" si="5"/>
        <v>0</v>
      </c>
    </row>
    <row r="18" spans="1:16" ht="12.75">
      <c r="A18" s="77" t="s">
        <v>179</v>
      </c>
      <c r="B18" s="77"/>
      <c r="C18" s="77" t="s">
        <v>232</v>
      </c>
      <c r="D18" s="22">
        <v>0</v>
      </c>
      <c r="E18" s="75"/>
      <c r="F18" s="75">
        <v>0.827</v>
      </c>
      <c r="G18" s="42">
        <f t="shared" si="0"/>
        <v>0.827</v>
      </c>
      <c r="H18" s="38">
        <f t="shared" si="1"/>
        <v>0</v>
      </c>
      <c r="I18" s="75"/>
      <c r="J18" s="75">
        <v>0.859</v>
      </c>
      <c r="K18" s="42">
        <f t="shared" si="2"/>
        <v>0.859</v>
      </c>
      <c r="L18" s="38">
        <f t="shared" si="3"/>
        <v>0</v>
      </c>
      <c r="M18" s="75"/>
      <c r="N18" s="75">
        <v>1.063</v>
      </c>
      <c r="O18" s="42">
        <f t="shared" si="4"/>
        <v>1.063</v>
      </c>
      <c r="P18" s="38">
        <f t="shared" si="5"/>
        <v>0</v>
      </c>
    </row>
    <row r="19" spans="1:16" ht="12.75">
      <c r="A19" s="77" t="s">
        <v>179</v>
      </c>
      <c r="B19" s="77"/>
      <c r="C19" s="77" t="s">
        <v>231</v>
      </c>
      <c r="D19" s="22">
        <v>0.001</v>
      </c>
      <c r="E19" s="75"/>
      <c r="F19" s="75">
        <v>0.791</v>
      </c>
      <c r="G19" s="42">
        <f t="shared" si="0"/>
        <v>0.791</v>
      </c>
      <c r="H19" s="38">
        <f t="shared" si="1"/>
        <v>0.000791</v>
      </c>
      <c r="I19" s="75"/>
      <c r="J19" s="75">
        <v>0.902</v>
      </c>
      <c r="K19" s="42">
        <f t="shared" si="2"/>
        <v>0.902</v>
      </c>
      <c r="L19" s="38">
        <f t="shared" si="3"/>
        <v>0.000902</v>
      </c>
      <c r="M19" s="75"/>
      <c r="N19" s="75">
        <v>0.827</v>
      </c>
      <c r="O19" s="42">
        <f t="shared" si="4"/>
        <v>0.827</v>
      </c>
      <c r="P19" s="38">
        <f t="shared" si="5"/>
        <v>0.0008269999999999999</v>
      </c>
    </row>
    <row r="20" spans="1:16" ht="12.75">
      <c r="A20" s="77" t="s">
        <v>179</v>
      </c>
      <c r="B20" s="77"/>
      <c r="C20" s="77" t="s">
        <v>230</v>
      </c>
      <c r="D20" s="22">
        <v>0.1</v>
      </c>
      <c r="E20" s="75"/>
      <c r="F20" s="75">
        <v>0.269</v>
      </c>
      <c r="G20" s="42">
        <f t="shared" si="0"/>
        <v>0.269</v>
      </c>
      <c r="H20" s="38">
        <f t="shared" si="1"/>
        <v>0.026900000000000004</v>
      </c>
      <c r="I20" s="75">
        <v>1</v>
      </c>
      <c r="J20" s="75">
        <v>0.0723</v>
      </c>
      <c r="K20" s="42">
        <f t="shared" si="2"/>
        <v>0.03615</v>
      </c>
      <c r="L20" s="38">
        <f t="shared" si="3"/>
        <v>0.003615</v>
      </c>
      <c r="M20" s="75"/>
      <c r="N20" s="75">
        <v>0.323</v>
      </c>
      <c r="O20" s="42">
        <f t="shared" si="4"/>
        <v>0.323</v>
      </c>
      <c r="P20" s="38">
        <f t="shared" si="5"/>
        <v>0.0323</v>
      </c>
    </row>
    <row r="21" spans="1:16" ht="12.75">
      <c r="A21" s="77" t="s">
        <v>179</v>
      </c>
      <c r="B21" s="77"/>
      <c r="C21" s="77" t="s">
        <v>229</v>
      </c>
      <c r="D21" s="22">
        <v>0</v>
      </c>
      <c r="E21" s="75"/>
      <c r="F21" s="75">
        <v>6.74</v>
      </c>
      <c r="G21" s="42">
        <f t="shared" si="0"/>
        <v>6.74</v>
      </c>
      <c r="H21" s="38">
        <f t="shared" si="1"/>
        <v>0</v>
      </c>
      <c r="I21" s="75"/>
      <c r="J21" s="75">
        <v>10.5</v>
      </c>
      <c r="K21" s="42">
        <f t="shared" si="2"/>
        <v>10.5</v>
      </c>
      <c r="L21" s="38">
        <f t="shared" si="3"/>
        <v>0</v>
      </c>
      <c r="M21" s="75"/>
      <c r="N21" s="75">
        <v>7.06</v>
      </c>
      <c r="O21" s="42">
        <f t="shared" si="4"/>
        <v>7.06</v>
      </c>
      <c r="P21" s="38">
        <f t="shared" si="5"/>
        <v>0</v>
      </c>
    </row>
    <row r="22" spans="1:16" ht="12.75">
      <c r="A22" s="77" t="s">
        <v>179</v>
      </c>
      <c r="B22" s="77"/>
      <c r="C22" s="77" t="s">
        <v>228</v>
      </c>
      <c r="D22" s="22">
        <v>0</v>
      </c>
      <c r="E22" s="75"/>
      <c r="F22" s="75">
        <v>7.009</v>
      </c>
      <c r="G22" s="42">
        <f t="shared" si="0"/>
        <v>7.009</v>
      </c>
      <c r="H22" s="38">
        <f t="shared" si="1"/>
        <v>0</v>
      </c>
      <c r="I22" s="75"/>
      <c r="J22" s="75">
        <v>10.5723</v>
      </c>
      <c r="K22" s="42">
        <f t="shared" si="2"/>
        <v>10.5723</v>
      </c>
      <c r="L22" s="38">
        <f t="shared" si="3"/>
        <v>0</v>
      </c>
      <c r="M22" s="75"/>
      <c r="N22" s="75">
        <v>7.383</v>
      </c>
      <c r="O22" s="42">
        <f t="shared" si="4"/>
        <v>7.383</v>
      </c>
      <c r="P22" s="38">
        <f t="shared" si="5"/>
        <v>0</v>
      </c>
    </row>
    <row r="23" spans="1:16" ht="12.75">
      <c r="A23" s="77" t="s">
        <v>179</v>
      </c>
      <c r="B23" s="77"/>
      <c r="C23" s="77" t="s">
        <v>227</v>
      </c>
      <c r="D23" s="22">
        <v>0.05</v>
      </c>
      <c r="E23" s="75">
        <v>1</v>
      </c>
      <c r="F23" s="75">
        <v>0.131</v>
      </c>
      <c r="G23" s="42">
        <f t="shared" si="0"/>
        <v>0.0655</v>
      </c>
      <c r="H23" s="38">
        <f t="shared" si="1"/>
        <v>0.003275</v>
      </c>
      <c r="I23" s="75"/>
      <c r="J23" s="75">
        <v>0.319</v>
      </c>
      <c r="K23" s="42">
        <f t="shared" si="2"/>
        <v>0.319</v>
      </c>
      <c r="L23" s="38">
        <f t="shared" si="3"/>
        <v>0.015950000000000002</v>
      </c>
      <c r="M23" s="75"/>
      <c r="N23" s="75">
        <v>0.252</v>
      </c>
      <c r="O23" s="42">
        <f t="shared" si="4"/>
        <v>0.252</v>
      </c>
      <c r="P23" s="38">
        <f t="shared" si="5"/>
        <v>0.0126</v>
      </c>
    </row>
    <row r="24" spans="1:16" ht="12.75">
      <c r="A24" s="77" t="s">
        <v>179</v>
      </c>
      <c r="B24" s="77"/>
      <c r="C24" s="77" t="s">
        <v>226</v>
      </c>
      <c r="D24" s="22">
        <v>0.5</v>
      </c>
      <c r="E24" s="75">
        <v>1</v>
      </c>
      <c r="F24" s="75">
        <v>0.137</v>
      </c>
      <c r="G24" s="42">
        <f t="shared" si="0"/>
        <v>0.0685</v>
      </c>
      <c r="H24" s="38">
        <f t="shared" si="1"/>
        <v>0.03425</v>
      </c>
      <c r="I24" s="75"/>
      <c r="J24" s="75">
        <v>0.341</v>
      </c>
      <c r="K24" s="42">
        <f t="shared" si="2"/>
        <v>0.341</v>
      </c>
      <c r="L24" s="38">
        <f t="shared" si="3"/>
        <v>0.1705</v>
      </c>
      <c r="M24" s="75"/>
      <c r="N24" s="75">
        <v>0.318</v>
      </c>
      <c r="O24" s="42">
        <f t="shared" si="4"/>
        <v>0.318</v>
      </c>
      <c r="P24" s="38">
        <f t="shared" si="5"/>
        <v>0.159</v>
      </c>
    </row>
    <row r="25" spans="1:16" ht="12.75">
      <c r="A25" s="77" t="s">
        <v>179</v>
      </c>
      <c r="B25" s="77"/>
      <c r="C25" s="77" t="s">
        <v>225</v>
      </c>
      <c r="D25" s="22">
        <v>0</v>
      </c>
      <c r="E25" s="75"/>
      <c r="F25" s="75">
        <v>1.67</v>
      </c>
      <c r="G25" s="42">
        <f t="shared" si="0"/>
        <v>1.67</v>
      </c>
      <c r="H25" s="38">
        <f t="shared" si="1"/>
        <v>0</v>
      </c>
      <c r="I25" s="75"/>
      <c r="J25" s="75">
        <v>4</v>
      </c>
      <c r="K25" s="42">
        <f t="shared" si="2"/>
        <v>4</v>
      </c>
      <c r="L25" s="38">
        <f t="shared" si="3"/>
        <v>0</v>
      </c>
      <c r="M25" s="75"/>
      <c r="N25" s="75">
        <v>3.3</v>
      </c>
      <c r="O25" s="42">
        <f t="shared" si="4"/>
        <v>3.3</v>
      </c>
      <c r="P25" s="38">
        <f t="shared" si="5"/>
        <v>0</v>
      </c>
    </row>
    <row r="26" spans="1:16" ht="12.75">
      <c r="A26" s="77" t="s">
        <v>179</v>
      </c>
      <c r="B26" s="77"/>
      <c r="C26" s="77" t="s">
        <v>224</v>
      </c>
      <c r="D26" s="22">
        <v>0</v>
      </c>
      <c r="E26" s="75"/>
      <c r="F26" s="75">
        <v>1.938</v>
      </c>
      <c r="G26" s="42">
        <f t="shared" si="0"/>
        <v>1.938</v>
      </c>
      <c r="H26" s="38">
        <f t="shared" si="1"/>
        <v>0</v>
      </c>
      <c r="I26" s="75"/>
      <c r="J26" s="75">
        <v>4.66</v>
      </c>
      <c r="K26" s="42">
        <f t="shared" si="2"/>
        <v>4.66</v>
      </c>
      <c r="L26" s="38">
        <f t="shared" si="3"/>
        <v>0</v>
      </c>
      <c r="M26" s="75"/>
      <c r="N26" s="75">
        <v>3.87</v>
      </c>
      <c r="O26" s="42">
        <f t="shared" si="4"/>
        <v>3.87</v>
      </c>
      <c r="P26" s="38">
        <f t="shared" si="5"/>
        <v>0</v>
      </c>
    </row>
    <row r="27" spans="1:16" ht="12.75">
      <c r="A27" s="77" t="s">
        <v>179</v>
      </c>
      <c r="B27" s="77"/>
      <c r="C27" s="77" t="s">
        <v>223</v>
      </c>
      <c r="D27" s="22">
        <v>0.1</v>
      </c>
      <c r="E27" s="75"/>
      <c r="F27" s="75">
        <v>0.124</v>
      </c>
      <c r="G27" s="42">
        <f t="shared" si="0"/>
        <v>0.124</v>
      </c>
      <c r="H27" s="38">
        <f t="shared" si="1"/>
        <v>0.012400000000000001</v>
      </c>
      <c r="I27" s="75"/>
      <c r="J27" s="75">
        <v>0.269</v>
      </c>
      <c r="K27" s="42">
        <f t="shared" si="2"/>
        <v>0.269</v>
      </c>
      <c r="L27" s="38">
        <f t="shared" si="3"/>
        <v>0.026900000000000004</v>
      </c>
      <c r="M27" s="75"/>
      <c r="N27" s="75">
        <v>0.33</v>
      </c>
      <c r="O27" s="42">
        <f t="shared" si="4"/>
        <v>0.33</v>
      </c>
      <c r="P27" s="38">
        <f t="shared" si="5"/>
        <v>0.033</v>
      </c>
    </row>
    <row r="28" spans="1:16" ht="12.75">
      <c r="A28" s="77" t="s">
        <v>179</v>
      </c>
      <c r="B28" s="77"/>
      <c r="C28" s="77" t="s">
        <v>222</v>
      </c>
      <c r="D28" s="22">
        <v>0.1</v>
      </c>
      <c r="E28" s="75"/>
      <c r="F28" s="75">
        <v>0.0677</v>
      </c>
      <c r="G28" s="42">
        <f t="shared" si="0"/>
        <v>0.0677</v>
      </c>
      <c r="H28" s="38">
        <f t="shared" si="1"/>
        <v>0.00677</v>
      </c>
      <c r="I28" s="75"/>
      <c r="J28" s="75">
        <v>0.117</v>
      </c>
      <c r="K28" s="42">
        <f t="shared" si="2"/>
        <v>0.117</v>
      </c>
      <c r="L28" s="38">
        <f t="shared" si="3"/>
        <v>0.011700000000000002</v>
      </c>
      <c r="M28" s="75"/>
      <c r="N28" s="75">
        <v>0.148</v>
      </c>
      <c r="O28" s="42">
        <f t="shared" si="4"/>
        <v>0.148</v>
      </c>
      <c r="P28" s="38">
        <f t="shared" si="5"/>
        <v>0.0148</v>
      </c>
    </row>
    <row r="29" spans="1:16" ht="12.75">
      <c r="A29" s="77" t="s">
        <v>179</v>
      </c>
      <c r="B29" s="77"/>
      <c r="C29" s="77" t="s">
        <v>221</v>
      </c>
      <c r="D29" s="22">
        <v>0.1</v>
      </c>
      <c r="E29" s="75"/>
      <c r="F29" s="75">
        <v>0.00816</v>
      </c>
      <c r="G29" s="42">
        <f t="shared" si="0"/>
        <v>0.00816</v>
      </c>
      <c r="H29" s="38">
        <f t="shared" si="1"/>
        <v>0.0008160000000000001</v>
      </c>
      <c r="I29" s="75"/>
      <c r="J29" s="75">
        <v>0.00897</v>
      </c>
      <c r="K29" s="42">
        <f t="shared" si="2"/>
        <v>0.00897</v>
      </c>
      <c r="L29" s="38">
        <f t="shared" si="3"/>
        <v>0.0008970000000000001</v>
      </c>
      <c r="M29" s="75"/>
      <c r="N29" s="75">
        <v>0.0682</v>
      </c>
      <c r="O29" s="42">
        <f t="shared" si="4"/>
        <v>0.0682</v>
      </c>
      <c r="P29" s="38">
        <f t="shared" si="5"/>
        <v>0.00682</v>
      </c>
    </row>
    <row r="30" spans="1:16" ht="12.75">
      <c r="A30" s="77" t="s">
        <v>179</v>
      </c>
      <c r="B30" s="77"/>
      <c r="C30" s="77" t="s">
        <v>220</v>
      </c>
      <c r="D30" s="22">
        <v>0.1</v>
      </c>
      <c r="E30" s="75"/>
      <c r="F30" s="75">
        <v>0.0536</v>
      </c>
      <c r="G30" s="42">
        <f t="shared" si="0"/>
        <v>0.0536</v>
      </c>
      <c r="H30" s="38">
        <f t="shared" si="1"/>
        <v>0.00536</v>
      </c>
      <c r="I30" s="75"/>
      <c r="J30" s="75">
        <v>0.0462</v>
      </c>
      <c r="K30" s="42">
        <f t="shared" si="2"/>
        <v>0.0462</v>
      </c>
      <c r="L30" s="38">
        <f t="shared" si="3"/>
        <v>0.00462</v>
      </c>
      <c r="M30" s="75"/>
      <c r="N30" s="75">
        <v>0.0866</v>
      </c>
      <c r="O30" s="42">
        <f t="shared" si="4"/>
        <v>0.0866</v>
      </c>
      <c r="P30" s="38">
        <f t="shared" si="5"/>
        <v>0.00866</v>
      </c>
    </row>
    <row r="31" spans="1:16" ht="12.75">
      <c r="A31" s="77" t="s">
        <v>179</v>
      </c>
      <c r="B31" s="77"/>
      <c r="C31" s="77" t="s">
        <v>219</v>
      </c>
      <c r="D31" s="22">
        <v>0</v>
      </c>
      <c r="E31" s="75"/>
      <c r="F31" s="75">
        <v>0.293</v>
      </c>
      <c r="G31" s="42">
        <f t="shared" si="0"/>
        <v>0.293</v>
      </c>
      <c r="H31" s="38">
        <f t="shared" si="1"/>
        <v>0</v>
      </c>
      <c r="I31" s="75"/>
      <c r="J31" s="75">
        <v>0.652</v>
      </c>
      <c r="K31" s="42">
        <f t="shared" si="2"/>
        <v>0.652</v>
      </c>
      <c r="L31" s="38">
        <f t="shared" si="3"/>
        <v>0</v>
      </c>
      <c r="M31" s="75"/>
      <c r="N31" s="75">
        <v>0.866</v>
      </c>
      <c r="O31" s="42">
        <f t="shared" si="4"/>
        <v>0.866</v>
      </c>
      <c r="P31" s="38">
        <f t="shared" si="5"/>
        <v>0</v>
      </c>
    </row>
    <row r="32" spans="1:16" ht="12.75">
      <c r="A32" s="77" t="s">
        <v>179</v>
      </c>
      <c r="B32" s="77"/>
      <c r="C32" s="77" t="s">
        <v>218</v>
      </c>
      <c r="D32" s="22">
        <v>0</v>
      </c>
      <c r="E32" s="75"/>
      <c r="F32" s="75">
        <v>0.54646</v>
      </c>
      <c r="G32" s="42">
        <f t="shared" si="0"/>
        <v>0.54646</v>
      </c>
      <c r="H32" s="38">
        <f t="shared" si="1"/>
        <v>0</v>
      </c>
      <c r="I32" s="75"/>
      <c r="J32" s="75">
        <v>1.09317</v>
      </c>
      <c r="K32" s="42">
        <f t="shared" si="2"/>
        <v>1.09317</v>
      </c>
      <c r="L32" s="38">
        <f t="shared" si="3"/>
        <v>0</v>
      </c>
      <c r="M32" s="75"/>
      <c r="N32" s="75">
        <v>1.4988</v>
      </c>
      <c r="O32" s="42">
        <f t="shared" si="4"/>
        <v>1.4988</v>
      </c>
      <c r="P32" s="38">
        <f t="shared" si="5"/>
        <v>0</v>
      </c>
    </row>
    <row r="33" spans="1:16" ht="12.75">
      <c r="A33" s="77" t="s">
        <v>179</v>
      </c>
      <c r="B33" s="77"/>
      <c r="C33" s="77" t="s">
        <v>217</v>
      </c>
      <c r="D33" s="22">
        <v>0.01</v>
      </c>
      <c r="E33" s="75"/>
      <c r="F33" s="75">
        <v>0.175</v>
      </c>
      <c r="G33" s="42">
        <f t="shared" si="0"/>
        <v>0.175</v>
      </c>
      <c r="H33" s="38">
        <f t="shared" si="1"/>
        <v>0.0017499999999999998</v>
      </c>
      <c r="I33" s="75"/>
      <c r="J33" s="75">
        <v>0.199</v>
      </c>
      <c r="K33" s="42">
        <f t="shared" si="2"/>
        <v>0.199</v>
      </c>
      <c r="L33" s="38">
        <f t="shared" si="3"/>
        <v>0.00199</v>
      </c>
      <c r="M33" s="75"/>
      <c r="N33" s="75">
        <v>0.127</v>
      </c>
      <c r="O33" s="42">
        <f t="shared" si="4"/>
        <v>0.127</v>
      </c>
      <c r="P33" s="38">
        <f t="shared" si="5"/>
        <v>0.00127</v>
      </c>
    </row>
    <row r="34" spans="1:16" ht="12.75">
      <c r="A34" s="77" t="s">
        <v>179</v>
      </c>
      <c r="B34" s="77"/>
      <c r="C34" s="77" t="s">
        <v>216</v>
      </c>
      <c r="D34" s="22">
        <v>0.01</v>
      </c>
      <c r="E34" s="75"/>
      <c r="F34" s="75">
        <v>0.0412</v>
      </c>
      <c r="G34" s="42">
        <f t="shared" si="0"/>
        <v>0.0412</v>
      </c>
      <c r="H34" s="38">
        <f t="shared" si="1"/>
        <v>0.00041200000000000004</v>
      </c>
      <c r="I34" s="75"/>
      <c r="J34" s="75">
        <v>0.0363</v>
      </c>
      <c r="K34" s="42">
        <f t="shared" si="2"/>
        <v>0.0363</v>
      </c>
      <c r="L34" s="38">
        <f t="shared" si="3"/>
        <v>0.000363</v>
      </c>
      <c r="M34" s="75"/>
      <c r="N34" s="75">
        <v>0.026</v>
      </c>
      <c r="O34" s="42">
        <f t="shared" si="4"/>
        <v>0.026</v>
      </c>
      <c r="P34" s="38">
        <f t="shared" si="5"/>
        <v>0.00026</v>
      </c>
    </row>
    <row r="35" spans="1:16" ht="12.75">
      <c r="A35" s="77" t="s">
        <v>179</v>
      </c>
      <c r="B35" s="77"/>
      <c r="C35" s="77" t="s">
        <v>215</v>
      </c>
      <c r="D35" s="22">
        <v>0</v>
      </c>
      <c r="E35" s="75"/>
      <c r="F35" s="75">
        <v>0.0566</v>
      </c>
      <c r="G35" s="42">
        <f t="shared" si="0"/>
        <v>0.0566</v>
      </c>
      <c r="H35" s="38">
        <f t="shared" si="1"/>
        <v>0</v>
      </c>
      <c r="I35" s="75"/>
      <c r="J35" s="75">
        <v>0.0585</v>
      </c>
      <c r="K35" s="42">
        <f t="shared" si="2"/>
        <v>0.0585</v>
      </c>
      <c r="L35" s="38">
        <f t="shared" si="3"/>
        <v>0</v>
      </c>
      <c r="M35" s="75"/>
      <c r="N35" s="75">
        <v>0.0816</v>
      </c>
      <c r="O35" s="42">
        <f t="shared" si="4"/>
        <v>0.0816</v>
      </c>
      <c r="P35" s="38">
        <f t="shared" si="5"/>
        <v>0</v>
      </c>
    </row>
    <row r="36" spans="1:16" ht="12.75">
      <c r="A36" s="77" t="s">
        <v>179</v>
      </c>
      <c r="B36" s="77"/>
      <c r="C36" s="77" t="s">
        <v>214</v>
      </c>
      <c r="D36" s="22">
        <v>0</v>
      </c>
      <c r="E36" s="75"/>
      <c r="F36" s="75">
        <v>0.2728</v>
      </c>
      <c r="G36" s="42">
        <f t="shared" si="0"/>
        <v>0.2728</v>
      </c>
      <c r="H36" s="38">
        <f t="shared" si="1"/>
        <v>0</v>
      </c>
      <c r="I36" s="75"/>
      <c r="J36" s="75">
        <v>0.2938</v>
      </c>
      <c r="K36" s="42">
        <f t="shared" si="2"/>
        <v>0.2938</v>
      </c>
      <c r="L36" s="38">
        <f t="shared" si="3"/>
        <v>0</v>
      </c>
      <c r="M36" s="75"/>
      <c r="N36" s="75">
        <v>0.2346</v>
      </c>
      <c r="O36" s="42">
        <f t="shared" si="4"/>
        <v>0.2346</v>
      </c>
      <c r="P36" s="38">
        <f t="shared" si="5"/>
        <v>0</v>
      </c>
    </row>
    <row r="37" spans="1:16" ht="12.75">
      <c r="A37" s="77" t="s">
        <v>179</v>
      </c>
      <c r="B37" s="77"/>
      <c r="C37" s="77" t="s">
        <v>213</v>
      </c>
      <c r="D37" s="22">
        <v>0.001</v>
      </c>
      <c r="E37" s="75"/>
      <c r="F37" s="75">
        <v>0.0719</v>
      </c>
      <c r="G37" s="42">
        <f t="shared" si="0"/>
        <v>0.0719</v>
      </c>
      <c r="H37" s="38">
        <f t="shared" si="1"/>
        <v>7.190000000000001E-05</v>
      </c>
      <c r="I37" s="75"/>
      <c r="J37" s="75">
        <v>0.0878</v>
      </c>
      <c r="K37" s="42">
        <f t="shared" si="2"/>
        <v>0.0878</v>
      </c>
      <c r="L37" s="38">
        <f t="shared" si="3"/>
        <v>8.78E-05</v>
      </c>
      <c r="M37" s="75">
        <v>1</v>
      </c>
      <c r="N37" s="75">
        <v>0.112</v>
      </c>
      <c r="O37" s="42">
        <f t="shared" si="4"/>
        <v>0.056</v>
      </c>
      <c r="P37" s="38">
        <f t="shared" si="5"/>
        <v>5.6E-05</v>
      </c>
    </row>
    <row r="38" spans="1:16" ht="12.75">
      <c r="A38" s="77" t="s">
        <v>179</v>
      </c>
      <c r="B38" s="77"/>
      <c r="C38" s="77" t="s">
        <v>212</v>
      </c>
      <c r="E38" s="75"/>
      <c r="F38" s="75">
        <v>14.13966</v>
      </c>
      <c r="G38" s="85">
        <f>G37+G36+G32+G26+G22+G19+G18+G15+G10+G7</f>
        <v>14.139660000000001</v>
      </c>
      <c r="H38" s="77"/>
      <c r="I38" s="75"/>
      <c r="J38" s="75">
        <v>22.18727</v>
      </c>
      <c r="K38" s="85">
        <f>K37+K36+K32+K26+K22+K19+K18+K15+K10+K7</f>
        <v>22.187270000000005</v>
      </c>
      <c r="L38" s="77"/>
      <c r="M38" s="75"/>
      <c r="N38" s="75">
        <v>18.2533</v>
      </c>
      <c r="O38" s="85">
        <f>O37+O36+O32+O26+O22+O19+O18+O15+O10+O7</f>
        <v>18.197300000000002</v>
      </c>
      <c r="P38" s="77"/>
    </row>
    <row r="39" spans="1:16" ht="12.75">
      <c r="A39" s="77" t="s">
        <v>179</v>
      </c>
      <c r="B39" s="77"/>
      <c r="C39" s="77" t="s">
        <v>69</v>
      </c>
      <c r="E39" s="79">
        <f>(F39-H39)*2/F39*100</f>
        <v>48.839699867014765</v>
      </c>
      <c r="F39" s="86">
        <v>0.1784409</v>
      </c>
      <c r="G39" s="77"/>
      <c r="H39" s="86">
        <f>SUM(H5:H37)</f>
        <v>0.13486590000000004</v>
      </c>
      <c r="I39" s="79">
        <f>(J39-L39)*2/J39*100</f>
        <v>2.347937744252086</v>
      </c>
      <c r="J39" s="75">
        <v>0.3079298</v>
      </c>
      <c r="K39" s="77"/>
      <c r="L39" s="86">
        <f>SUM(L5:L37)</f>
        <v>0.3043148</v>
      </c>
      <c r="M39" s="79">
        <f>(N39-P39)*2/N39*100</f>
        <v>0.03283311688882794</v>
      </c>
      <c r="N39" s="75">
        <v>0.341119</v>
      </c>
      <c r="O39" s="77"/>
      <c r="P39" s="86">
        <f>SUM(P5:P37)</f>
        <v>0.341063</v>
      </c>
    </row>
  </sheetData>
  <mergeCells count="3">
    <mergeCell ref="N1:P1"/>
    <mergeCell ref="F1:H1"/>
    <mergeCell ref="J1:L1"/>
  </mergeCells>
  <printOptions headings="1" horizontalCentered="1"/>
  <pageMargins left="0.25" right="0.25" top="0.5" bottom="0.5" header="0.2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460"/>
  <sheetViews>
    <sheetView tabSelected="1" workbookViewId="0" topLeftCell="B1">
      <selection activeCell="C1" sqref="C1"/>
    </sheetView>
  </sheetViews>
  <sheetFormatPr defaultColWidth="9.140625" defaultRowHeight="12.75"/>
  <cols>
    <col min="1" max="1" width="5.57421875" style="1" hidden="1" customWidth="1"/>
    <col min="2" max="2" width="23.8515625" style="1" customWidth="1"/>
    <col min="3" max="3" width="63.8515625" style="1" customWidth="1"/>
    <col min="4" max="4" width="12.7109375" style="1" customWidth="1"/>
    <col min="5" max="16384" width="8.8515625" style="1" customWidth="1"/>
  </cols>
  <sheetData>
    <row r="1" spans="2:12" ht="12.75">
      <c r="B1" s="2" t="s">
        <v>46</v>
      </c>
      <c r="C1" s="31"/>
      <c r="D1" s="9"/>
      <c r="E1" s="9"/>
      <c r="F1" s="9"/>
      <c r="G1" s="9"/>
      <c r="H1" s="9"/>
      <c r="I1" s="9"/>
      <c r="J1" s="9"/>
      <c r="K1" s="9"/>
      <c r="L1" s="9"/>
    </row>
    <row r="2" spans="2:12" ht="12.75"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2.75">
      <c r="B3" s="9" t="s">
        <v>201</v>
      </c>
      <c r="C3" s="10">
        <v>314</v>
      </c>
      <c r="D3" s="9"/>
      <c r="E3" s="9"/>
      <c r="F3" s="9"/>
      <c r="G3" s="9"/>
      <c r="H3" s="9"/>
      <c r="I3" s="9"/>
      <c r="J3" s="9"/>
      <c r="K3" s="9"/>
      <c r="L3" s="9"/>
    </row>
    <row r="4" spans="2:12" ht="12.75">
      <c r="B4" s="9" t="s">
        <v>0</v>
      </c>
      <c r="C4" s="31" t="s">
        <v>127</v>
      </c>
      <c r="D4" s="9"/>
      <c r="E4" s="9"/>
      <c r="F4" s="9"/>
      <c r="G4" s="9"/>
      <c r="H4" s="9"/>
      <c r="I4" s="9"/>
      <c r="J4" s="9"/>
      <c r="K4" s="9"/>
      <c r="L4" s="9"/>
    </row>
    <row r="5" spans="2:12" ht="12.75">
      <c r="B5" s="9" t="s">
        <v>1</v>
      </c>
      <c r="C5" s="9" t="s">
        <v>114</v>
      </c>
      <c r="D5" s="9"/>
      <c r="E5" s="9"/>
      <c r="F5" s="9"/>
      <c r="G5" s="9"/>
      <c r="H5" s="9"/>
      <c r="I5" s="9"/>
      <c r="J5" s="9"/>
      <c r="K5" s="9"/>
      <c r="L5" s="9"/>
    </row>
    <row r="6" spans="2:12" ht="12.75">
      <c r="B6" s="9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</row>
    <row r="7" spans="2:12" ht="12.75">
      <c r="B7" s="9" t="s">
        <v>3</v>
      </c>
      <c r="C7" s="9" t="s">
        <v>128</v>
      </c>
      <c r="D7" s="9"/>
      <c r="E7" s="9"/>
      <c r="F7" s="9"/>
      <c r="G7" s="9"/>
      <c r="H7" s="9"/>
      <c r="I7" s="9"/>
      <c r="J7" s="9"/>
      <c r="K7" s="9"/>
      <c r="L7" s="9"/>
    </row>
    <row r="8" spans="2:12" ht="12.75">
      <c r="B8" s="9" t="s">
        <v>4</v>
      </c>
      <c r="C8" s="9" t="s">
        <v>113</v>
      </c>
      <c r="D8" s="9"/>
      <c r="E8" s="9"/>
      <c r="F8" s="9"/>
      <c r="G8" s="9"/>
      <c r="H8" s="9"/>
      <c r="I8" s="9"/>
      <c r="J8" s="9"/>
      <c r="K8" s="9"/>
      <c r="L8" s="9"/>
    </row>
    <row r="9" spans="2:12" ht="12.75">
      <c r="B9" s="9" t="s">
        <v>5</v>
      </c>
      <c r="C9" s="9" t="s">
        <v>152</v>
      </c>
      <c r="D9" s="9"/>
      <c r="E9" s="9"/>
      <c r="F9" s="9"/>
      <c r="G9" s="9"/>
      <c r="H9" s="9"/>
      <c r="I9" s="9"/>
      <c r="J9" s="9"/>
      <c r="K9" s="9"/>
      <c r="L9" s="9"/>
    </row>
    <row r="10" spans="2:12" ht="12.75">
      <c r="B10" s="9" t="s">
        <v>6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2:12" ht="12.75">
      <c r="B11" s="9" t="s">
        <v>252</v>
      </c>
      <c r="C11" s="10">
        <v>0</v>
      </c>
      <c r="D11" s="9"/>
      <c r="E11" s="9"/>
      <c r="F11" s="9"/>
      <c r="G11" s="9"/>
      <c r="H11" s="9"/>
      <c r="I11" s="9"/>
      <c r="J11" s="9"/>
      <c r="K11" s="9"/>
      <c r="L11" s="9"/>
    </row>
    <row r="12" spans="2:12" ht="12.75">
      <c r="B12" s="9" t="s">
        <v>194</v>
      </c>
      <c r="C12" s="9" t="s">
        <v>267</v>
      </c>
      <c r="D12" s="9"/>
      <c r="E12" s="9"/>
      <c r="F12" s="9"/>
      <c r="G12" s="9"/>
      <c r="H12" s="9"/>
      <c r="I12" s="9"/>
      <c r="J12" s="9"/>
      <c r="K12" s="9"/>
      <c r="L12" s="9"/>
    </row>
    <row r="13" spans="2:12" ht="12.75">
      <c r="B13" s="9" t="s">
        <v>193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2:12" s="26" customFormat="1" ht="12.75">
      <c r="B14" s="25" t="s">
        <v>40</v>
      </c>
      <c r="C14" s="49"/>
      <c r="D14" s="30"/>
      <c r="E14" s="25"/>
      <c r="F14" s="25"/>
      <c r="G14" s="25"/>
      <c r="H14" s="25"/>
      <c r="I14" s="25"/>
      <c r="J14" s="25"/>
      <c r="K14" s="25"/>
      <c r="L14" s="25"/>
    </row>
    <row r="15" spans="2:12" s="26" customFormat="1" ht="12.75">
      <c r="B15" s="25" t="s">
        <v>42</v>
      </c>
      <c r="C15" s="53"/>
      <c r="D15" s="25"/>
      <c r="E15" s="25"/>
      <c r="F15" s="25"/>
      <c r="G15" s="25"/>
      <c r="H15" s="25"/>
      <c r="I15" s="25"/>
      <c r="J15" s="25"/>
      <c r="K15" s="25"/>
      <c r="L15" s="25"/>
    </row>
    <row r="16" spans="2:12" s="26" customFormat="1" ht="12.75">
      <c r="B16" s="9" t="s">
        <v>47</v>
      </c>
      <c r="C16" s="25"/>
      <c r="F16" s="25"/>
      <c r="G16" s="25"/>
      <c r="H16" s="25"/>
      <c r="I16" s="25"/>
      <c r="J16" s="25"/>
      <c r="K16" s="25"/>
      <c r="L16" s="25"/>
    </row>
    <row r="17" spans="2:12" s="26" customFormat="1" ht="12.75">
      <c r="B17" s="9" t="s">
        <v>253</v>
      </c>
      <c r="C17" s="49" t="s">
        <v>129</v>
      </c>
      <c r="D17" s="25"/>
      <c r="E17" s="25"/>
      <c r="F17" s="25"/>
      <c r="G17" s="25"/>
      <c r="H17" s="25"/>
      <c r="I17" s="25"/>
      <c r="J17" s="25"/>
      <c r="K17" s="25"/>
      <c r="L17" s="25"/>
    </row>
    <row r="18" spans="2:12" s="26" customFormat="1" ht="12.75">
      <c r="B18" s="9" t="s">
        <v>254</v>
      </c>
      <c r="C18" s="49" t="s">
        <v>255</v>
      </c>
      <c r="D18" s="25"/>
      <c r="E18" s="25"/>
      <c r="F18" s="25"/>
      <c r="G18" s="25"/>
      <c r="H18" s="25"/>
      <c r="I18" s="25"/>
      <c r="J18" s="25"/>
      <c r="K18" s="25"/>
      <c r="L18" s="25"/>
    </row>
    <row r="19" spans="2:12" ht="12.75">
      <c r="B19" s="25" t="s">
        <v>7</v>
      </c>
      <c r="C19" s="25" t="s">
        <v>190</v>
      </c>
      <c r="D19" s="9"/>
      <c r="E19" s="9"/>
      <c r="F19" s="9"/>
      <c r="G19" s="9"/>
      <c r="H19" s="9"/>
      <c r="I19" s="9"/>
      <c r="J19" s="9"/>
      <c r="K19" s="9"/>
      <c r="L19" s="9"/>
    </row>
    <row r="20" spans="2:12" ht="12.75">
      <c r="B20" s="9" t="s">
        <v>61</v>
      </c>
      <c r="C20" s="1" t="s">
        <v>256</v>
      </c>
      <c r="D20" s="31"/>
      <c r="E20" s="9"/>
      <c r="F20" s="9"/>
      <c r="G20" s="9"/>
      <c r="H20" s="9"/>
      <c r="I20" s="9"/>
      <c r="J20" s="9"/>
      <c r="K20" s="9"/>
      <c r="L20" s="9"/>
    </row>
    <row r="21" spans="2:12" ht="12.75">
      <c r="B21" s="32" t="s">
        <v>48</v>
      </c>
      <c r="C21" s="33" t="s">
        <v>279</v>
      </c>
      <c r="D21" s="9"/>
      <c r="E21" s="9"/>
      <c r="F21" s="9"/>
      <c r="G21" s="9"/>
      <c r="H21" s="9"/>
      <c r="I21" s="9"/>
      <c r="J21" s="9"/>
      <c r="K21" s="9"/>
      <c r="L21" s="9"/>
    </row>
    <row r="22" spans="2:12" ht="12.75">
      <c r="B22" s="9" t="s">
        <v>41</v>
      </c>
      <c r="C22" s="25"/>
      <c r="D22" s="9"/>
      <c r="E22" s="9"/>
      <c r="F22" s="9"/>
      <c r="G22" s="9"/>
      <c r="H22" s="9"/>
      <c r="I22" s="9"/>
      <c r="J22" s="9"/>
      <c r="K22" s="9"/>
      <c r="L22" s="9"/>
    </row>
    <row r="23" spans="2:12" ht="12.75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2:12" ht="12.75">
      <c r="B24" s="9" t="s">
        <v>8</v>
      </c>
      <c r="C24" s="10"/>
      <c r="D24" s="9"/>
      <c r="E24" s="9"/>
      <c r="F24" s="9"/>
      <c r="G24" s="9"/>
      <c r="H24" s="9"/>
      <c r="I24" s="9"/>
      <c r="J24" s="9"/>
      <c r="K24" s="9"/>
      <c r="L24" s="9"/>
    </row>
    <row r="25" spans="2:12" ht="12.75">
      <c r="B25" s="9" t="s">
        <v>9</v>
      </c>
      <c r="C25" s="51">
        <v>4.333121877001313</v>
      </c>
      <c r="D25" s="9"/>
      <c r="E25" s="9"/>
      <c r="F25" s="9"/>
      <c r="G25" s="9"/>
      <c r="H25" s="9"/>
      <c r="I25" s="9"/>
      <c r="J25" s="9"/>
      <c r="K25" s="9"/>
      <c r="L25" s="9"/>
    </row>
    <row r="26" spans="2:12" ht="12.75">
      <c r="B26" s="9" t="s">
        <v>10</v>
      </c>
      <c r="C26" s="51">
        <v>80</v>
      </c>
      <c r="D26" s="9"/>
      <c r="E26" s="9"/>
      <c r="F26" s="9"/>
      <c r="G26" s="9"/>
      <c r="H26" s="9"/>
      <c r="I26" s="9"/>
      <c r="J26" s="9"/>
      <c r="K26" s="9"/>
      <c r="L26" s="9"/>
    </row>
    <row r="27" spans="2:12" ht="12.75">
      <c r="B27" s="9" t="s">
        <v>43</v>
      </c>
      <c r="C27" s="11">
        <v>13.13919694530516</v>
      </c>
      <c r="D27" s="9"/>
      <c r="E27" s="9"/>
      <c r="F27" s="9"/>
      <c r="G27" s="9"/>
      <c r="H27" s="9"/>
      <c r="I27" s="9"/>
      <c r="J27" s="9"/>
      <c r="K27" s="9"/>
      <c r="L27" s="9"/>
    </row>
    <row r="28" spans="2:12" ht="14.25" customHeight="1">
      <c r="B28" s="9" t="s">
        <v>44</v>
      </c>
      <c r="C28" s="11">
        <v>337.8333333333333</v>
      </c>
      <c r="D28" s="9"/>
      <c r="E28" s="9"/>
      <c r="F28" s="9"/>
      <c r="G28" s="9"/>
      <c r="H28" s="9"/>
      <c r="I28" s="9"/>
      <c r="J28" s="9"/>
      <c r="K28" s="9"/>
      <c r="L28" s="9"/>
    </row>
    <row r="29" spans="2:12" ht="12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ht="12.75">
      <c r="B30" s="32" t="s">
        <v>11</v>
      </c>
      <c r="C30" s="33" t="s">
        <v>140</v>
      </c>
      <c r="D30" s="9"/>
      <c r="E30" s="9"/>
      <c r="F30" s="9"/>
      <c r="G30" s="9"/>
      <c r="H30" s="9"/>
      <c r="I30" s="9"/>
      <c r="J30" s="9"/>
      <c r="K30" s="9"/>
      <c r="L30" s="9"/>
    </row>
    <row r="31" spans="2:12" ht="12.75">
      <c r="B31" s="9" t="s">
        <v>58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2:12" ht="14.2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50" spans="2:12" ht="12.75">
      <c r="B50" s="21"/>
      <c r="C50" s="48"/>
      <c r="D50" s="9"/>
      <c r="E50" s="9"/>
      <c r="F50" s="9"/>
      <c r="G50" s="9"/>
      <c r="H50" s="9"/>
      <c r="I50" s="9"/>
      <c r="J50" s="9"/>
      <c r="K50" s="9"/>
      <c r="L50" s="9"/>
    </row>
    <row r="51" spans="2:12" ht="12.75">
      <c r="B51" s="21"/>
      <c r="C51" s="50"/>
      <c r="D51" s="9"/>
      <c r="E51" s="9"/>
      <c r="F51" s="9"/>
      <c r="G51" s="9"/>
      <c r="H51" s="9"/>
      <c r="I51" s="9"/>
      <c r="J51" s="9"/>
      <c r="K51" s="9"/>
      <c r="L51" s="9"/>
    </row>
    <row r="52" spans="2:12" ht="12.75">
      <c r="B52" s="21"/>
      <c r="C52" s="48"/>
      <c r="D52" s="9"/>
      <c r="E52" s="9"/>
      <c r="F52" s="9"/>
      <c r="G52" s="9"/>
      <c r="H52" s="9"/>
      <c r="I52" s="9"/>
      <c r="J52" s="9"/>
      <c r="K52" s="9"/>
      <c r="L52" s="9"/>
    </row>
    <row r="53" spans="2:12" ht="12.75">
      <c r="B53" s="21"/>
      <c r="C53" s="21"/>
      <c r="D53" s="9"/>
      <c r="E53" s="9"/>
      <c r="F53" s="9"/>
      <c r="G53" s="9"/>
      <c r="H53" s="9"/>
      <c r="I53" s="9"/>
      <c r="J53" s="9"/>
      <c r="K53" s="9"/>
      <c r="L53" s="9"/>
    </row>
    <row r="54" spans="2:12" ht="12.75">
      <c r="B54" s="21"/>
      <c r="C54" s="48"/>
      <c r="D54" s="9"/>
      <c r="E54" s="9"/>
      <c r="F54" s="9"/>
      <c r="G54" s="9"/>
      <c r="H54" s="9"/>
      <c r="I54" s="9"/>
      <c r="J54" s="9"/>
      <c r="K54" s="9"/>
      <c r="L54" s="9"/>
    </row>
    <row r="55" spans="2:12" ht="12.75">
      <c r="B55" s="21"/>
      <c r="C55" s="50"/>
      <c r="D55" s="9"/>
      <c r="E55" s="9"/>
      <c r="F55" s="9"/>
      <c r="G55" s="9"/>
      <c r="H55" s="9"/>
      <c r="I55" s="9"/>
      <c r="J55" s="9"/>
      <c r="K55" s="9"/>
      <c r="L55" s="9"/>
    </row>
    <row r="56" spans="2:12" ht="12.75">
      <c r="B56" s="21"/>
      <c r="C56" s="48"/>
      <c r="D56" s="9"/>
      <c r="E56" s="9"/>
      <c r="F56" s="9"/>
      <c r="G56" s="9"/>
      <c r="H56" s="9"/>
      <c r="I56" s="9"/>
      <c r="J56" s="9"/>
      <c r="K56" s="9"/>
      <c r="L56" s="9"/>
    </row>
    <row r="57" spans="2:12" ht="12.75">
      <c r="B57" s="21"/>
      <c r="C57" s="21"/>
      <c r="D57" s="9"/>
      <c r="E57" s="9"/>
      <c r="F57" s="9"/>
      <c r="G57" s="9"/>
      <c r="H57" s="9"/>
      <c r="I57" s="9"/>
      <c r="J57" s="9"/>
      <c r="K57" s="9"/>
      <c r="L57" s="9"/>
    </row>
    <row r="58" spans="2:12" ht="12.75">
      <c r="B58" s="21"/>
      <c r="C58" s="21"/>
      <c r="D58" s="9"/>
      <c r="E58" s="9"/>
      <c r="F58" s="9"/>
      <c r="G58" s="9"/>
      <c r="H58" s="9"/>
      <c r="I58" s="9"/>
      <c r="J58" s="9"/>
      <c r="K58" s="9"/>
      <c r="L58" s="9"/>
    </row>
    <row r="59" spans="2:12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2:12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2:12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2:12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2:12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2:12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2:12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2:12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2:12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2:12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2:12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2:12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2:12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2:12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2:12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2:12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2:12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2:12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2:12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2:12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2:12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2:12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2:12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2:12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2:12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2:12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2:12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2:12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2:12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2:12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2:12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2:12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2:12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2:12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2:12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2:12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2:12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2:12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2:12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2:12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2:12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2:12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2:12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2:12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2:12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2:12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2:12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2:12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2:12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2:12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2:12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2:12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2:12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2:12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2:12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2:12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2:12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2:12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2:12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2:12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2:12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2:12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2:12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2:12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2:12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2:12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2:12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2:12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2:12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2:12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2:12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2:12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2:12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2:12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2:12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2:12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2:12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2:12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2:12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2:12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2:12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2:12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2:12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2:12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2:12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2:12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2:12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2:12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2:12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2:12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2:12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2:12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2:12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2:12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2:12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2:12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2:12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2:12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2:12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2:12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2:12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2:12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2:12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2:12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2:12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2:12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2:12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2:12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2:12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2:12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2:12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2:12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2:12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2:12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2:12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2:12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2:12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2:12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2:12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2:12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2:12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2:12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2:12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2:12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2:12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2:12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2:12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2:12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2:12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2:12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2:12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2:12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2:12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2:12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2:12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2:12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2:12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2:12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2:12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2:12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2:12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2:12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2:12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2:12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2:12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2:12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2:12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2:12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2:12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2:12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2:12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2:12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2:12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2:12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2:12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2:12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2:12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2:12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2:12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2:12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2:12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2:12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2:12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2:12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2:12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2:12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2:12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2:12" ht="12.7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2:12" ht="12.7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2:12" ht="12.7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2:12" ht="12.7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2:12" ht="12.7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2:12" ht="12.7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2:12" ht="12.7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2:12" ht="12.7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2:12" ht="12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2:12" ht="12.7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2:12" ht="12.7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2:12" ht="12.7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2:12" ht="12.7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2:12" ht="12.7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2:12" ht="12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2:12" ht="12.7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2:12" ht="12.7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2:12" ht="12.7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2:12" ht="12.7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2:12" ht="12.7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2:12" ht="12.7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2:12" ht="12.7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2:12" ht="12.7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2:12" ht="12.7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2:12" ht="12.7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2:12" ht="12.7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2:12" ht="12.7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2:12" ht="12.7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</row>
    <row r="254" spans="2:12" ht="12.7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2:12" ht="12.7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</row>
    <row r="256" spans="2:12" ht="12.7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2:12" ht="12.7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2:12" ht="12.7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</row>
    <row r="259" spans="2:12" ht="12.7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</row>
    <row r="260" spans="2:12" ht="12.7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</row>
    <row r="261" spans="2:12" ht="12.7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</row>
    <row r="262" spans="2:12" ht="12.7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</row>
    <row r="263" spans="2:12" ht="12.7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</row>
    <row r="264" spans="2:12" ht="12.7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</row>
    <row r="265" spans="2:12" ht="12.7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</row>
    <row r="266" spans="2:12" ht="12.7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</row>
    <row r="267" spans="2:12" ht="12.7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</row>
    <row r="268" spans="2:12" ht="12.7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</row>
    <row r="269" spans="2:12" ht="12.7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</row>
    <row r="270" spans="2:12" ht="12.7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</row>
    <row r="271" spans="2:12" ht="12.7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</row>
    <row r="272" spans="2:12" ht="12.7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</row>
    <row r="273" spans="2:12" ht="12.7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</row>
    <row r="274" spans="2:12" ht="12.7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</row>
    <row r="275" spans="2:12" ht="12.7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</row>
    <row r="276" spans="2:12" ht="12.7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</row>
    <row r="277" spans="2:12" ht="12.7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</row>
    <row r="278" spans="2:12" ht="12.7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</row>
    <row r="279" spans="2:12" ht="12.7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</row>
    <row r="280" spans="2:12" ht="12.7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</row>
    <row r="281" spans="2:12" ht="12.7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</row>
    <row r="282" spans="2:12" ht="12.7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</row>
    <row r="283" spans="2:12" ht="12.7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</row>
    <row r="284" spans="2:12" ht="12.7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</row>
    <row r="285" spans="2:12" ht="12.7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</row>
    <row r="286" spans="2:12" ht="12.7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</row>
    <row r="287" spans="2:12" ht="12.7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</row>
    <row r="288" spans="2:12" ht="12.7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</row>
    <row r="289" spans="2:12" ht="12.7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</row>
    <row r="290" spans="2:12" ht="12.7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</row>
    <row r="291" spans="2:12" ht="12.7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</row>
    <row r="292" spans="2:12" ht="12.7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</row>
    <row r="293" spans="2:12" ht="12.7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</row>
    <row r="294" spans="2:12" ht="12.7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</row>
    <row r="295" spans="2:12" ht="12.7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</row>
    <row r="296" spans="2:12" ht="12.7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</row>
    <row r="297" spans="2:12" ht="12.7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</row>
    <row r="298" spans="2:12" ht="12.7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</row>
    <row r="299" spans="2:12" ht="12.7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</row>
    <row r="300" spans="2:12" ht="12.7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</row>
    <row r="301" spans="2:12" ht="12.7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</row>
    <row r="302" spans="2:12" ht="12.7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</row>
    <row r="303" spans="2:12" ht="12.7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</row>
    <row r="304" spans="2:12" ht="12.7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</row>
    <row r="305" spans="2:12" ht="12.7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</row>
    <row r="306" spans="2:12" ht="12.7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</row>
    <row r="307" spans="2:12" ht="12.7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</row>
    <row r="308" spans="2:12" ht="12.7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</row>
    <row r="309" spans="2:12" ht="12.7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</row>
    <row r="310" spans="2:12" ht="12.7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</row>
    <row r="311" spans="2:12" ht="12.7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</row>
    <row r="312" spans="2:12" ht="12.7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</row>
    <row r="313" spans="2:12" ht="12.7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</row>
    <row r="314" spans="2:12" ht="12.7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</row>
    <row r="315" spans="2:12" ht="12.7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</row>
    <row r="316" spans="2:12" ht="12.7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</row>
    <row r="317" spans="2:12" ht="12.7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</row>
    <row r="318" spans="2:12" ht="12.7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</row>
    <row r="319" spans="2:12" ht="12.7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</row>
    <row r="320" spans="2:12" ht="12.7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</row>
    <row r="321" spans="2:12" ht="12.7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</row>
    <row r="322" spans="2:12" ht="12.7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</row>
    <row r="323" spans="2:12" ht="12.7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</row>
    <row r="324" spans="2:12" ht="12.7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</row>
    <row r="325" spans="2:12" ht="12.7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</row>
    <row r="326" spans="2:12" ht="12.7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</row>
    <row r="327" spans="2:12" ht="12.7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</row>
    <row r="328" spans="2:12" ht="12.7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</row>
    <row r="329" spans="2:12" ht="12.7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</row>
    <row r="330" spans="2:12" ht="12.7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</row>
    <row r="331" spans="2:12" ht="12.7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</row>
    <row r="332" spans="2:12" ht="12.7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</row>
    <row r="333" spans="2:12" ht="12.7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</row>
    <row r="334" spans="2:12" ht="12.7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</row>
    <row r="335" spans="2:12" ht="12.7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</row>
    <row r="336" spans="2:12" ht="12.7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</row>
    <row r="337" spans="2:12" ht="12.7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</row>
    <row r="338" spans="2:12" ht="12.7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</row>
    <row r="339" spans="2:12" ht="12.7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</row>
    <row r="340" spans="2:12" ht="12.7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</row>
    <row r="341" spans="2:12" ht="12.7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</row>
    <row r="342" spans="2:12" ht="12.7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</row>
    <row r="343" spans="2:12" ht="12.7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</row>
    <row r="344" spans="2:12" ht="12.7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</row>
    <row r="345" spans="2:12" ht="12.7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</row>
    <row r="346" spans="2:12" ht="12.7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</row>
    <row r="347" spans="2:12" ht="12.7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</row>
    <row r="348" spans="2:12" ht="12.7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</row>
    <row r="349" spans="2:12" ht="12.7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</row>
    <row r="350" spans="2:12" ht="12.7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</row>
    <row r="351" spans="2:12" ht="12.7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</row>
    <row r="352" spans="2:12" ht="12.7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</row>
    <row r="353" spans="2:12" ht="12.7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</row>
    <row r="354" spans="2:12" ht="12.7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</row>
    <row r="355" spans="2:12" ht="12.7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</row>
    <row r="356" spans="2:12" ht="12.7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</row>
    <row r="357" spans="2:12" ht="12.7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</row>
    <row r="358" spans="2:12" ht="12.7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</row>
    <row r="359" spans="2:12" ht="12.7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</row>
    <row r="360" spans="2:12" ht="12.7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</row>
    <row r="361" spans="2:12" ht="12.7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</row>
    <row r="362" spans="2:12" ht="12.7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</row>
    <row r="363" spans="2:12" ht="12.7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</row>
    <row r="364" spans="2:12" ht="12.7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</row>
    <row r="365" spans="2:12" ht="12.7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</row>
    <row r="366" spans="2:12" ht="12.7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</row>
    <row r="367" spans="2:12" ht="12.7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</row>
    <row r="368" spans="2:12" ht="12.7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</row>
    <row r="369" spans="2:12" ht="12.7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</row>
    <row r="370" spans="2:12" ht="12.7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</row>
    <row r="371" spans="2:12" ht="12.7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</row>
    <row r="372" spans="2:12" ht="12.7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</row>
    <row r="373" spans="2:12" ht="12.7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</row>
    <row r="374" spans="2:12" ht="12.7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</row>
    <row r="375" spans="2:12" ht="12.7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</row>
    <row r="376" spans="2:12" ht="12.7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</row>
    <row r="377" spans="2:12" ht="12.7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</row>
    <row r="378" spans="2:12" ht="12.7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</row>
    <row r="379" spans="2:12" ht="12.7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</row>
    <row r="380" spans="2:12" ht="12.7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</row>
    <row r="381" spans="2:12" ht="12.7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</row>
    <row r="382" spans="2:12" ht="12.7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</row>
    <row r="383" spans="2:12" ht="12.7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</row>
    <row r="384" spans="2:12" ht="12.7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</row>
    <row r="385" spans="2:12" ht="12.7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</row>
    <row r="386" spans="2:12" ht="12.7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</row>
    <row r="387" spans="2:12" ht="12.7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</row>
    <row r="388" spans="2:12" ht="12.7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</row>
    <row r="389" spans="2:12" ht="12.7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</row>
    <row r="390" spans="2:12" ht="12.7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</row>
    <row r="391" spans="2:12" ht="12.7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</row>
    <row r="392" spans="2:12" ht="12.7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</row>
    <row r="393" spans="2:12" ht="12.7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</row>
    <row r="394" spans="2:12" ht="12.7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</row>
    <row r="395" spans="2:12" ht="12.7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</row>
    <row r="396" spans="2:12" ht="12.7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</row>
    <row r="397" spans="2:12" ht="12.7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</row>
    <row r="398" spans="2:12" ht="12.7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</row>
    <row r="399" spans="2:12" ht="12.7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</row>
    <row r="400" spans="2:12" ht="12.7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</row>
    <row r="401" spans="2:12" ht="12.7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</row>
    <row r="402" spans="2:12" ht="12.7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</row>
    <row r="403" spans="2:12" ht="12.7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</row>
    <row r="404" spans="2:12" ht="12.7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</row>
    <row r="405" spans="2:12" ht="12.7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</row>
    <row r="406" spans="2:12" ht="12.7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</row>
    <row r="407" spans="2:12" ht="12.7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</row>
    <row r="408" spans="2:12" ht="12.7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</row>
    <row r="409" spans="2:12" ht="12.7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</row>
    <row r="410" spans="2:12" ht="12.7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</row>
    <row r="411" spans="2:12" ht="12.7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</row>
    <row r="412" spans="2:12" ht="12.7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</row>
    <row r="413" spans="2:12" ht="12.7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</row>
    <row r="414" spans="2:12" ht="12.7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</row>
    <row r="415" spans="2:12" ht="12.7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</row>
    <row r="416" spans="2:12" ht="12.7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</row>
    <row r="417" spans="2:12" ht="12.7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</row>
    <row r="418" spans="2:12" ht="12.7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</row>
    <row r="419" spans="2:12" ht="12.7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</row>
    <row r="420" spans="2:12" ht="12.7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</row>
    <row r="421" spans="2:12" ht="12.7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</row>
    <row r="422" spans="2:12" ht="12.7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</row>
    <row r="423" spans="2:12" ht="12.7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</row>
    <row r="424" spans="2:12" ht="12.7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</row>
    <row r="425" spans="2:12" ht="12.7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</row>
    <row r="426" spans="2:12" ht="12.7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</row>
    <row r="427" spans="2:12" ht="12.7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</row>
    <row r="428" spans="2:12" ht="12.7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</row>
    <row r="429" spans="2:12" ht="12.7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</row>
    <row r="430" spans="2:12" ht="12.7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</row>
    <row r="431" spans="2:12" ht="12.7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</row>
    <row r="432" spans="2:12" ht="12.7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</row>
    <row r="433" spans="2:12" ht="12.7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</row>
    <row r="434" spans="2:12" ht="12.7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</row>
    <row r="435" spans="2:12" ht="12.7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</row>
    <row r="436" spans="2:12" ht="12.7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</row>
    <row r="437" spans="2:12" ht="12.7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</row>
    <row r="438" spans="2:12" ht="12.7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</row>
    <row r="439" spans="2:12" ht="12.7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</row>
    <row r="440" spans="2:12" ht="12.7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</row>
    <row r="441" spans="2:12" ht="12.7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</row>
    <row r="442" spans="2:12" ht="12.7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</row>
    <row r="443" spans="2:12" ht="12.7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</row>
    <row r="444" spans="2:12" ht="12.7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</row>
    <row r="445" spans="2:12" ht="12.7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</row>
    <row r="446" spans="2:12" ht="12.7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</row>
    <row r="447" spans="2:12" ht="12.7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</row>
    <row r="448" spans="2:12" ht="12.7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</row>
    <row r="449" spans="2:12" ht="12.7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</row>
    <row r="450" spans="2:12" ht="12.7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</row>
    <row r="451" spans="2:12" ht="12.7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</row>
    <row r="452" spans="2:12" ht="12.7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</row>
    <row r="453" spans="2:12" ht="12.7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</row>
    <row r="454" spans="2:12" ht="12.75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</row>
    <row r="455" spans="2:12" ht="12.75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</row>
    <row r="456" spans="2:12" ht="12.75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</row>
    <row r="457" spans="2:12" ht="12.75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</row>
    <row r="458" spans="2:12" ht="12.75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</row>
    <row r="459" spans="2:12" ht="12.75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</row>
    <row r="460" spans="2:12" ht="12.75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B1">
      <selection activeCell="C13" sqref="C13"/>
    </sheetView>
  </sheetViews>
  <sheetFormatPr defaultColWidth="9.140625" defaultRowHeight="12.75"/>
  <cols>
    <col min="1" max="1" width="2.00390625" style="0" hidden="1" customWidth="1"/>
    <col min="2" max="2" width="20.57421875" style="0" customWidth="1"/>
    <col min="3" max="3" width="70.28125" style="71" bestFit="1" customWidth="1"/>
  </cols>
  <sheetData>
    <row r="1" ht="12.75">
      <c r="B1" s="2" t="s">
        <v>189</v>
      </c>
    </row>
    <row r="3" spans="1:12" s="1" customFormat="1" ht="12.75">
      <c r="A3" s="1">
        <v>10</v>
      </c>
      <c r="B3" s="2" t="s">
        <v>153</v>
      </c>
      <c r="C3" s="9"/>
      <c r="D3" s="29"/>
      <c r="E3" s="9"/>
      <c r="F3" s="9"/>
      <c r="G3" s="9"/>
      <c r="H3" s="9"/>
      <c r="I3" s="9"/>
      <c r="J3" s="9"/>
      <c r="K3" s="9"/>
      <c r="L3" s="9"/>
    </row>
    <row r="4" spans="2:12" s="1" customFormat="1" ht="12.75">
      <c r="B4" s="2"/>
      <c r="C4" s="9"/>
      <c r="D4" s="29"/>
      <c r="E4" s="9"/>
      <c r="F4" s="9"/>
      <c r="G4" s="9"/>
      <c r="H4" s="9"/>
      <c r="I4" s="9"/>
      <c r="J4" s="9"/>
      <c r="K4" s="9"/>
      <c r="L4" s="9"/>
    </row>
    <row r="5" spans="2:12" s="66" customFormat="1" ht="38.25">
      <c r="B5" s="65" t="s">
        <v>167</v>
      </c>
      <c r="C5" s="49" t="s">
        <v>131</v>
      </c>
      <c r="D5" s="65"/>
      <c r="E5" s="65"/>
      <c r="F5" s="65"/>
      <c r="G5" s="65"/>
      <c r="H5" s="65"/>
      <c r="I5" s="65"/>
      <c r="J5" s="65"/>
      <c r="K5" s="65"/>
      <c r="L5" s="65"/>
    </row>
    <row r="6" spans="2:12" s="66" customFormat="1" ht="12.75">
      <c r="B6" s="65" t="s">
        <v>168</v>
      </c>
      <c r="C6" s="65" t="s">
        <v>115</v>
      </c>
      <c r="D6" s="67"/>
      <c r="E6" s="65"/>
      <c r="F6" s="65"/>
      <c r="G6" s="65"/>
      <c r="H6" s="65"/>
      <c r="I6" s="65"/>
      <c r="J6" s="65"/>
      <c r="K6" s="65"/>
      <c r="L6" s="65"/>
    </row>
    <row r="7" spans="2:12" s="66" customFormat="1" ht="12.75">
      <c r="B7" s="65" t="s">
        <v>169</v>
      </c>
      <c r="C7" s="65" t="s">
        <v>116</v>
      </c>
      <c r="D7" s="65"/>
      <c r="E7" s="65"/>
      <c r="F7" s="65"/>
      <c r="G7" s="65"/>
      <c r="H7" s="65"/>
      <c r="I7" s="65"/>
      <c r="J7" s="65"/>
      <c r="K7" s="65"/>
      <c r="L7" s="65"/>
    </row>
    <row r="8" spans="2:12" s="66" customFormat="1" ht="12.75">
      <c r="B8" s="65" t="s">
        <v>170</v>
      </c>
      <c r="C8" s="69" t="s">
        <v>251</v>
      </c>
      <c r="D8" s="65"/>
      <c r="E8" s="65"/>
      <c r="F8" s="65"/>
      <c r="G8" s="65"/>
      <c r="H8" s="65"/>
      <c r="I8" s="65"/>
      <c r="J8" s="65"/>
      <c r="K8" s="65"/>
      <c r="L8" s="65"/>
    </row>
    <row r="9" spans="2:12" s="66" customFormat="1" ht="12.75">
      <c r="B9" s="65" t="s">
        <v>250</v>
      </c>
      <c r="C9" s="88">
        <v>36495</v>
      </c>
      <c r="D9" s="65"/>
      <c r="E9" s="65"/>
      <c r="F9" s="65"/>
      <c r="G9" s="65"/>
      <c r="H9" s="65"/>
      <c r="I9" s="65"/>
      <c r="J9" s="65"/>
      <c r="K9" s="65"/>
      <c r="L9" s="65"/>
    </row>
    <row r="10" spans="2:12" s="66" customFormat="1" ht="12.75">
      <c r="B10" s="65" t="s">
        <v>171</v>
      </c>
      <c r="C10" s="25" t="s">
        <v>121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2:12" s="66" customFormat="1" ht="12.75">
      <c r="B11" s="65" t="s">
        <v>172</v>
      </c>
      <c r="C11" s="69" t="s">
        <v>146</v>
      </c>
      <c r="D11" s="65"/>
      <c r="E11" s="65"/>
      <c r="F11" s="65"/>
      <c r="G11" s="65"/>
      <c r="H11" s="65"/>
      <c r="I11" s="65"/>
      <c r="J11" s="65"/>
      <c r="K11" s="65"/>
      <c r="L11" s="65"/>
    </row>
    <row r="12" spans="2:12" s="66" customFormat="1" ht="12.75">
      <c r="B12" s="65"/>
      <c r="C12" s="69"/>
      <c r="D12" s="65"/>
      <c r="E12" s="65"/>
      <c r="F12" s="65"/>
      <c r="G12" s="65"/>
      <c r="H12" s="65"/>
      <c r="I12" s="65"/>
      <c r="J12" s="65"/>
      <c r="K12" s="65"/>
      <c r="L12" s="65"/>
    </row>
    <row r="13" spans="1:12" s="66" customFormat="1" ht="12.75">
      <c r="A13" s="66">
        <v>11</v>
      </c>
      <c r="B13" s="70" t="s">
        <v>154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2:12" s="66" customFormat="1" ht="12.75">
      <c r="B14" s="70"/>
      <c r="C14" s="65"/>
      <c r="D14" s="65"/>
      <c r="E14" s="65"/>
      <c r="F14" s="65"/>
      <c r="G14" s="65"/>
      <c r="H14" s="65"/>
      <c r="I14" s="65"/>
      <c r="J14" s="65"/>
      <c r="K14" s="65"/>
      <c r="L14" s="65"/>
    </row>
    <row r="15" spans="2:12" s="66" customFormat="1" ht="38.25">
      <c r="B15" s="65" t="s">
        <v>167</v>
      </c>
      <c r="C15" s="49" t="s">
        <v>159</v>
      </c>
      <c r="D15" s="65"/>
      <c r="E15" s="65"/>
      <c r="F15" s="65"/>
      <c r="G15" s="65"/>
      <c r="H15" s="65"/>
      <c r="I15" s="65"/>
      <c r="J15" s="65"/>
      <c r="K15" s="65"/>
      <c r="L15" s="65"/>
    </row>
    <row r="16" spans="2:12" s="66" customFormat="1" ht="12.75">
      <c r="B16" s="65" t="s">
        <v>168</v>
      </c>
      <c r="C16" s="65" t="s">
        <v>115</v>
      </c>
      <c r="D16" s="65"/>
      <c r="E16" s="65"/>
      <c r="F16" s="65"/>
      <c r="G16" s="65"/>
      <c r="H16" s="65"/>
      <c r="I16" s="65"/>
      <c r="J16" s="65"/>
      <c r="K16" s="65"/>
      <c r="L16" s="65"/>
    </row>
    <row r="17" spans="2:12" s="66" customFormat="1" ht="12.75">
      <c r="B17" s="65" t="s">
        <v>169</v>
      </c>
      <c r="C17" s="69" t="s">
        <v>147</v>
      </c>
      <c r="D17" s="65"/>
      <c r="E17" s="65"/>
      <c r="F17" s="65"/>
      <c r="G17" s="65"/>
      <c r="H17" s="65"/>
      <c r="I17" s="65"/>
      <c r="J17" s="65"/>
      <c r="K17" s="65"/>
      <c r="L17" s="65"/>
    </row>
    <row r="18" spans="2:12" s="66" customFormat="1" ht="12.75">
      <c r="B18" s="65" t="s">
        <v>170</v>
      </c>
      <c r="C18" s="69" t="s">
        <v>157</v>
      </c>
      <c r="D18" s="65"/>
      <c r="E18" s="65"/>
      <c r="F18" s="65"/>
      <c r="G18" s="65"/>
      <c r="H18" s="65"/>
      <c r="I18" s="65"/>
      <c r="J18" s="65"/>
      <c r="K18" s="65"/>
      <c r="L18" s="65"/>
    </row>
    <row r="19" spans="2:12" s="66" customFormat="1" ht="12.75">
      <c r="B19" s="65" t="s">
        <v>250</v>
      </c>
      <c r="C19" s="88">
        <v>36281</v>
      </c>
      <c r="D19" s="65"/>
      <c r="E19" s="65"/>
      <c r="F19" s="65"/>
      <c r="G19" s="65"/>
      <c r="H19" s="65"/>
      <c r="I19" s="65"/>
      <c r="J19" s="65"/>
      <c r="K19" s="65"/>
      <c r="L19" s="65"/>
    </row>
    <row r="20" spans="2:12" s="66" customFormat="1" ht="12.75">
      <c r="B20" s="9" t="s">
        <v>171</v>
      </c>
      <c r="C20" s="25" t="s">
        <v>158</v>
      </c>
      <c r="E20" s="65"/>
      <c r="F20" s="65"/>
      <c r="G20" s="65"/>
      <c r="H20" s="65"/>
      <c r="I20" s="65"/>
      <c r="J20" s="65"/>
      <c r="K20" s="65"/>
      <c r="L20" s="65"/>
    </row>
    <row r="21" spans="2:12" s="66" customFormat="1" ht="12.75">
      <c r="B21" s="9" t="s">
        <v>172</v>
      </c>
      <c r="C21" s="65" t="s">
        <v>116</v>
      </c>
      <c r="D21" s="65"/>
      <c r="E21" s="65"/>
      <c r="F21" s="65"/>
      <c r="G21" s="65"/>
      <c r="H21" s="65"/>
      <c r="I21" s="65"/>
      <c r="J21" s="65"/>
      <c r="K21" s="65"/>
      <c r="L21" s="65"/>
    </row>
    <row r="22" spans="2:12" s="66" customFormat="1" ht="12.75">
      <c r="B22" s="9"/>
      <c r="D22" s="65"/>
      <c r="E22" s="65"/>
      <c r="F22" s="65"/>
      <c r="G22" s="65"/>
      <c r="H22" s="65"/>
      <c r="I22" s="65"/>
      <c r="J22" s="65"/>
      <c r="K22" s="65"/>
      <c r="L22" s="65"/>
    </row>
    <row r="23" spans="1:2" ht="12.75">
      <c r="A23">
        <v>1</v>
      </c>
      <c r="B23" s="2" t="s">
        <v>173</v>
      </c>
    </row>
    <row r="25" spans="2:3" ht="38.25">
      <c r="B25" s="72" t="s">
        <v>167</v>
      </c>
      <c r="C25" s="83" t="s">
        <v>206</v>
      </c>
    </row>
    <row r="26" spans="2:3" ht="12.75">
      <c r="B26" t="s">
        <v>174</v>
      </c>
      <c r="C26" s="71" t="s">
        <v>207</v>
      </c>
    </row>
    <row r="27" spans="2:3" ht="12.75">
      <c r="B27" t="s">
        <v>169</v>
      </c>
      <c r="C27" s="71" t="s">
        <v>207</v>
      </c>
    </row>
    <row r="28" spans="1:3" ht="12.75">
      <c r="A28" t="s">
        <v>173</v>
      </c>
      <c r="B28" t="s">
        <v>175</v>
      </c>
      <c r="C28" s="71" t="s">
        <v>176</v>
      </c>
    </row>
    <row r="29" spans="2:5" ht="12.75">
      <c r="B29" s="65" t="s">
        <v>170</v>
      </c>
      <c r="E29" s="73"/>
    </row>
    <row r="30" spans="2:5" ht="12.75">
      <c r="B30" s="65" t="s">
        <v>250</v>
      </c>
      <c r="C30" s="89">
        <v>33824</v>
      </c>
      <c r="E30" s="73"/>
    </row>
    <row r="31" ht="12.75">
      <c r="E31" s="73"/>
    </row>
    <row r="32" spans="2:5" ht="12.75">
      <c r="B32" s="2" t="s">
        <v>179</v>
      </c>
      <c r="E32" s="73"/>
    </row>
    <row r="33" ht="12.75">
      <c r="E33" s="73"/>
    </row>
    <row r="34" spans="2:5" ht="25.5">
      <c r="B34" s="72" t="s">
        <v>167</v>
      </c>
      <c r="C34" s="84" t="s">
        <v>211</v>
      </c>
      <c r="E34" s="73"/>
    </row>
    <row r="35" spans="2:5" ht="12.75">
      <c r="B35" t="s">
        <v>174</v>
      </c>
      <c r="C35" s="71" t="s">
        <v>209</v>
      </c>
      <c r="E35" s="73"/>
    </row>
    <row r="36" spans="2:5" ht="12.75">
      <c r="B36" t="s">
        <v>169</v>
      </c>
      <c r="E36" s="73"/>
    </row>
    <row r="37" spans="1:3" ht="12.75">
      <c r="A37" t="s">
        <v>179</v>
      </c>
      <c r="B37" t="s">
        <v>175</v>
      </c>
      <c r="C37" s="71" t="s">
        <v>180</v>
      </c>
    </row>
    <row r="38" spans="2:5" ht="12.75">
      <c r="B38" s="65" t="s">
        <v>170</v>
      </c>
      <c r="C38" s="69">
        <v>35409</v>
      </c>
      <c r="E38" s="73"/>
    </row>
    <row r="39" spans="2:5" ht="12.75">
      <c r="B39" s="65" t="s">
        <v>250</v>
      </c>
      <c r="C39" s="89">
        <v>35400</v>
      </c>
      <c r="E39" s="73"/>
    </row>
    <row r="40" ht="12.75">
      <c r="E40" s="73"/>
    </row>
    <row r="41" spans="2:5" ht="12.75">
      <c r="B41" s="2" t="s">
        <v>181</v>
      </c>
      <c r="E41" s="73"/>
    </row>
    <row r="42" ht="12.75">
      <c r="E42" s="73"/>
    </row>
    <row r="43" spans="2:5" ht="12.75">
      <c r="B43" s="72" t="s">
        <v>167</v>
      </c>
      <c r="C43" s="71" t="s">
        <v>208</v>
      </c>
      <c r="E43" s="73"/>
    </row>
    <row r="44" spans="2:5" ht="12.75">
      <c r="B44" t="s">
        <v>174</v>
      </c>
      <c r="C44" s="71" t="s">
        <v>209</v>
      </c>
      <c r="E44" s="73"/>
    </row>
    <row r="45" spans="1:3" ht="12.75">
      <c r="A45" t="s">
        <v>181</v>
      </c>
      <c r="B45" t="s">
        <v>169</v>
      </c>
      <c r="C45" s="71" t="s">
        <v>210</v>
      </c>
    </row>
    <row r="46" spans="2:3" ht="12.75">
      <c r="B46" t="s">
        <v>175</v>
      </c>
      <c r="C46" s="71" t="s">
        <v>176</v>
      </c>
    </row>
    <row r="47" spans="2:3" ht="12.75">
      <c r="B47" t="s">
        <v>177</v>
      </c>
      <c r="C47" s="90">
        <v>34823</v>
      </c>
    </row>
    <row r="48" spans="2:3" ht="12.75">
      <c r="B48" t="s">
        <v>178</v>
      </c>
      <c r="C48" s="89">
        <v>34820</v>
      </c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workbookViewId="0" topLeftCell="B1">
      <selection activeCell="D1" sqref="D1"/>
    </sheetView>
  </sheetViews>
  <sheetFormatPr defaultColWidth="9.140625" defaultRowHeight="12.75"/>
  <cols>
    <col min="1" max="1" width="3.140625" style="13" hidden="1" customWidth="1"/>
    <col min="2" max="2" width="19.8515625" style="13" customWidth="1"/>
    <col min="3" max="3" width="5.7109375" style="13" customWidth="1"/>
    <col min="4" max="4" width="8.7109375" style="4" customWidth="1"/>
    <col min="5" max="5" width="7.7109375" style="4" customWidth="1"/>
    <col min="6" max="6" width="2.7109375" style="4" customWidth="1"/>
    <col min="7" max="7" width="10.28125" style="13" customWidth="1"/>
    <col min="8" max="8" width="2.7109375" style="13" customWidth="1"/>
    <col min="9" max="9" width="10.140625" style="14" customWidth="1"/>
    <col min="10" max="10" width="2.57421875" style="13" customWidth="1"/>
    <col min="11" max="11" width="10.421875" style="13" customWidth="1"/>
    <col min="12" max="12" width="2.57421875" style="13" customWidth="1"/>
    <col min="13" max="13" width="10.57421875" style="13" customWidth="1"/>
    <col min="14" max="14" width="2.140625" style="13" customWidth="1"/>
    <col min="15" max="15" width="8.8515625" style="13" customWidth="1"/>
    <col min="16" max="16" width="2.140625" style="13" customWidth="1"/>
    <col min="17" max="16384" width="8.8515625" style="13" customWidth="1"/>
  </cols>
  <sheetData>
    <row r="1" spans="2:5" ht="12" customHeight="1">
      <c r="B1" s="12" t="s">
        <v>191</v>
      </c>
      <c r="C1" s="12"/>
      <c r="E1" s="28"/>
    </row>
    <row r="2" spans="2:5" ht="12" customHeight="1">
      <c r="B2" s="12"/>
      <c r="C2" s="12"/>
      <c r="E2" s="28"/>
    </row>
    <row r="3" spans="2:5" ht="12" customHeight="1">
      <c r="B3" s="12"/>
      <c r="C3" s="12"/>
      <c r="E3" s="28"/>
    </row>
    <row r="4" spans="1:13" ht="12.75">
      <c r="A4" s="15">
        <v>10</v>
      </c>
      <c r="B4" s="12" t="s">
        <v>153</v>
      </c>
      <c r="C4" s="12" t="s">
        <v>110</v>
      </c>
      <c r="G4" s="15" t="s">
        <v>164</v>
      </c>
      <c r="H4" s="15"/>
      <c r="I4" s="15" t="s">
        <v>165</v>
      </c>
      <c r="J4" s="15"/>
      <c r="K4" s="15" t="s">
        <v>166</v>
      </c>
      <c r="M4" s="15" t="s">
        <v>163</v>
      </c>
    </row>
    <row r="5" spans="3:6" ht="12.75">
      <c r="C5" s="8"/>
      <c r="D5" s="15"/>
      <c r="E5" s="62"/>
      <c r="F5" s="13"/>
    </row>
    <row r="6" spans="4:9" ht="12.75">
      <c r="D6" s="16"/>
      <c r="E6" s="13"/>
      <c r="F6" s="13"/>
      <c r="I6" s="13"/>
    </row>
    <row r="7" spans="2:13" ht="12.75">
      <c r="B7" s="4" t="s">
        <v>13</v>
      </c>
      <c r="C7" s="4" t="s">
        <v>247</v>
      </c>
      <c r="D7" s="4" t="s">
        <v>14</v>
      </c>
      <c r="E7" s="4" t="s">
        <v>15</v>
      </c>
      <c r="F7" s="15"/>
      <c r="G7">
        <v>0.0677</v>
      </c>
      <c r="H7"/>
      <c r="I7">
        <v>0.0288</v>
      </c>
      <c r="J7"/>
      <c r="K7">
        <v>0.0283</v>
      </c>
      <c r="M7" s="56">
        <f aca="true" t="shared" si="0" ref="M7:M14">AVERAGE(K7,I7,G7)</f>
        <v>0.0416</v>
      </c>
    </row>
    <row r="8" spans="2:13" ht="12.75">
      <c r="B8" s="4" t="s">
        <v>143</v>
      </c>
      <c r="C8" s="4" t="s">
        <v>247</v>
      </c>
      <c r="D8" s="4" t="s">
        <v>16</v>
      </c>
      <c r="E8" s="4" t="s">
        <v>15</v>
      </c>
      <c r="F8" s="15"/>
      <c r="G8">
        <v>33.62</v>
      </c>
      <c r="H8"/>
      <c r="I8">
        <v>35.23</v>
      </c>
      <c r="J8"/>
      <c r="K8">
        <v>23.09</v>
      </c>
      <c r="M8" s="17">
        <f t="shared" si="0"/>
        <v>30.646666666666665</v>
      </c>
    </row>
    <row r="9" spans="2:13" ht="12.75">
      <c r="B9" s="4" t="s">
        <v>144</v>
      </c>
      <c r="C9" s="4" t="s">
        <v>247</v>
      </c>
      <c r="D9" s="4" t="s">
        <v>16</v>
      </c>
      <c r="E9" s="4" t="s">
        <v>15</v>
      </c>
      <c r="F9" s="15"/>
      <c r="G9">
        <v>57.85</v>
      </c>
      <c r="H9"/>
      <c r="I9">
        <v>68.92</v>
      </c>
      <c r="J9"/>
      <c r="K9">
        <v>35.33</v>
      </c>
      <c r="M9" s="17">
        <f t="shared" si="0"/>
        <v>54.03333333333333</v>
      </c>
    </row>
    <row r="10" spans="2:13" ht="12.75">
      <c r="B10" s="4" t="s">
        <v>130</v>
      </c>
      <c r="C10" s="4" t="s">
        <v>247</v>
      </c>
      <c r="D10" s="4" t="s">
        <v>16</v>
      </c>
      <c r="E10" s="4" t="s">
        <v>15</v>
      </c>
      <c r="F10" s="15"/>
      <c r="G10">
        <v>0.3</v>
      </c>
      <c r="H10"/>
      <c r="I10">
        <v>0.3</v>
      </c>
      <c r="J10"/>
      <c r="K10">
        <v>0.1</v>
      </c>
      <c r="M10" s="17">
        <f t="shared" si="0"/>
        <v>0.2333333333333333</v>
      </c>
    </row>
    <row r="11" spans="2:13" ht="12.75">
      <c r="B11" s="4" t="s">
        <v>151</v>
      </c>
      <c r="C11" s="4" t="s">
        <v>247</v>
      </c>
      <c r="D11" s="4" t="s">
        <v>16</v>
      </c>
      <c r="E11" s="4" t="s">
        <v>15</v>
      </c>
      <c r="F11" s="15"/>
      <c r="G11">
        <v>0.8</v>
      </c>
      <c r="H11"/>
      <c r="I11">
        <v>0.6</v>
      </c>
      <c r="J11"/>
      <c r="K11">
        <v>0.6</v>
      </c>
      <c r="M11" s="17">
        <f t="shared" si="0"/>
        <v>0.6666666666666666</v>
      </c>
    </row>
    <row r="12" spans="2:13" ht="12.75">
      <c r="B12" s="4" t="s">
        <v>24</v>
      </c>
      <c r="C12" s="4" t="s">
        <v>247</v>
      </c>
      <c r="D12" s="4" t="s">
        <v>16</v>
      </c>
      <c r="E12" s="4" t="s">
        <v>15</v>
      </c>
      <c r="F12" s="15"/>
      <c r="G12">
        <v>957</v>
      </c>
      <c r="H12"/>
      <c r="I12">
        <v>1015</v>
      </c>
      <c r="J12"/>
      <c r="K12">
        <v>516</v>
      </c>
      <c r="L12" s="18"/>
      <c r="M12" s="17">
        <f t="shared" si="0"/>
        <v>829.3333333333334</v>
      </c>
    </row>
    <row r="13" spans="2:13" ht="12.75">
      <c r="B13" s="4" t="s">
        <v>25</v>
      </c>
      <c r="C13" s="4" t="s">
        <v>247</v>
      </c>
      <c r="D13" s="4" t="s">
        <v>16</v>
      </c>
      <c r="E13" s="4" t="s">
        <v>15</v>
      </c>
      <c r="F13" s="15"/>
      <c r="G13">
        <v>1.33</v>
      </c>
      <c r="H13"/>
      <c r="I13">
        <v>5.44</v>
      </c>
      <c r="J13"/>
      <c r="K13">
        <v>3.66</v>
      </c>
      <c r="L13" s="18"/>
      <c r="M13" s="45">
        <f t="shared" si="0"/>
        <v>3.476666666666667</v>
      </c>
    </row>
    <row r="14" spans="2:13" ht="12.75">
      <c r="B14" s="4" t="s">
        <v>54</v>
      </c>
      <c r="C14" s="4" t="s">
        <v>247</v>
      </c>
      <c r="D14" s="4" t="s">
        <v>16</v>
      </c>
      <c r="E14" s="4" t="s">
        <v>15</v>
      </c>
      <c r="F14" s="15"/>
      <c r="G14" s="61">
        <f>G12+2*G13</f>
        <v>959.66</v>
      </c>
      <c r="H14"/>
      <c r="I14" s="61">
        <f>I12+2*I13</f>
        <v>1025.88</v>
      </c>
      <c r="J14"/>
      <c r="K14" s="61">
        <f>K12+2*K13</f>
        <v>523.32</v>
      </c>
      <c r="L14" s="18"/>
      <c r="M14" s="17">
        <f t="shared" si="0"/>
        <v>836.2866666666667</v>
      </c>
    </row>
    <row r="15" spans="2:13" ht="12.75">
      <c r="B15" s="4"/>
      <c r="C15" s="4"/>
      <c r="G15" s="23"/>
      <c r="H15" s="18"/>
      <c r="I15" s="23"/>
      <c r="J15" s="18"/>
      <c r="K15" s="23"/>
      <c r="M15" s="17"/>
    </row>
    <row r="16" spans="2:13" ht="12.75">
      <c r="B16" s="4" t="s">
        <v>122</v>
      </c>
      <c r="C16" s="4" t="s">
        <v>125</v>
      </c>
      <c r="G16" s="23"/>
      <c r="H16" s="18"/>
      <c r="I16" s="23"/>
      <c r="J16" s="18"/>
      <c r="K16" s="23"/>
      <c r="M16" s="17"/>
    </row>
    <row r="17" spans="2:13" ht="12.75">
      <c r="B17" s="4" t="s">
        <v>123</v>
      </c>
      <c r="C17" s="4"/>
      <c r="D17" s="4" t="s">
        <v>27</v>
      </c>
      <c r="G17">
        <v>31.23</v>
      </c>
      <c r="H17"/>
      <c r="I17">
        <v>31.23</v>
      </c>
      <c r="J17"/>
      <c r="K17">
        <v>33.32</v>
      </c>
      <c r="L17" s="20"/>
      <c r="M17" s="45">
        <f>AVERAGE(G17,I17,K17)</f>
        <v>31.926666666666666</v>
      </c>
    </row>
    <row r="18" spans="2:13" ht="12.75">
      <c r="B18" s="4" t="s">
        <v>124</v>
      </c>
      <c r="C18" s="4" t="s">
        <v>248</v>
      </c>
      <c r="D18" s="4" t="s">
        <v>27</v>
      </c>
      <c r="G18">
        <v>0.000734</v>
      </c>
      <c r="H18"/>
      <c r="I18">
        <v>0.00061</v>
      </c>
      <c r="J18"/>
      <c r="K18">
        <v>0.000517</v>
      </c>
      <c r="M18" s="57">
        <f>AVERAGE(G18,I18,K18)</f>
        <v>0.0006203333333333333</v>
      </c>
    </row>
    <row r="19" spans="2:13" ht="12.75">
      <c r="B19" s="4" t="s">
        <v>26</v>
      </c>
      <c r="C19" s="4" t="s">
        <v>248</v>
      </c>
      <c r="D19" s="4" t="s">
        <v>18</v>
      </c>
      <c r="G19" s="94">
        <f>(G17-G18)/G17*100</f>
        <v>99.99764969580531</v>
      </c>
      <c r="H19" s="94"/>
      <c r="I19" s="94">
        <f>(I17-I18)/I17*100</f>
        <v>99.99804674991995</v>
      </c>
      <c r="J19" s="94"/>
      <c r="K19" s="94">
        <f>(K17-K18)/K17*100</f>
        <v>99.99844837935173</v>
      </c>
      <c r="M19" s="45"/>
    </row>
    <row r="20" spans="2:13" ht="12.75">
      <c r="B20" s="4"/>
      <c r="C20" s="4"/>
      <c r="G20" s="18"/>
      <c r="H20" s="18"/>
      <c r="I20" s="18"/>
      <c r="J20" s="18"/>
      <c r="K20" s="18"/>
      <c r="M20" s="20"/>
    </row>
    <row r="21" spans="2:13" ht="12.75">
      <c r="B21" s="4" t="s">
        <v>122</v>
      </c>
      <c r="C21" s="4" t="s">
        <v>126</v>
      </c>
      <c r="G21" s="23"/>
      <c r="H21" s="18"/>
      <c r="I21" s="23"/>
      <c r="J21" s="18"/>
      <c r="K21" s="23"/>
      <c r="M21" s="17"/>
    </row>
    <row r="22" spans="2:13" ht="12.75">
      <c r="B22" s="4" t="s">
        <v>123</v>
      </c>
      <c r="C22" s="4"/>
      <c r="D22" s="4" t="s">
        <v>27</v>
      </c>
      <c r="G22">
        <v>31.2</v>
      </c>
      <c r="H22"/>
      <c r="I22">
        <v>31.2</v>
      </c>
      <c r="J22"/>
      <c r="K22">
        <v>49.8</v>
      </c>
      <c r="M22" s="45">
        <f>AVERAGE(G22,I22,K22)</f>
        <v>37.4</v>
      </c>
    </row>
    <row r="23" spans="2:13" ht="12.75">
      <c r="B23" s="4" t="s">
        <v>124</v>
      </c>
      <c r="C23" s="4" t="s">
        <v>248</v>
      </c>
      <c r="D23" s="4" t="s">
        <v>27</v>
      </c>
      <c r="G23">
        <v>0.000829</v>
      </c>
      <c r="H23"/>
      <c r="I23">
        <v>0.000621</v>
      </c>
      <c r="J23"/>
      <c r="K23">
        <v>0.000637</v>
      </c>
      <c r="M23" s="57">
        <f>AVERAGE(G23,I23,K23)</f>
        <v>0.0006956666666666666</v>
      </c>
    </row>
    <row r="24" spans="2:13" ht="12.75">
      <c r="B24" s="4" t="s">
        <v>26</v>
      </c>
      <c r="C24" s="4" t="s">
        <v>248</v>
      </c>
      <c r="D24" s="4" t="s">
        <v>18</v>
      </c>
      <c r="G24" s="94">
        <f>(G22-G23)/G22*100</f>
        <v>99.99734294871794</v>
      </c>
      <c r="H24" s="94"/>
      <c r="I24" s="94">
        <f>(I22-I23)/I22*100</f>
        <v>99.99800961538462</v>
      </c>
      <c r="J24" s="94"/>
      <c r="K24" s="94">
        <f>(K22-K23)/K22*100</f>
        <v>99.99872088353415</v>
      </c>
      <c r="L24" s="15"/>
      <c r="M24" s="20"/>
    </row>
    <row r="25" spans="2:13" ht="12.75">
      <c r="B25" s="4"/>
      <c r="C25" s="4"/>
      <c r="G25" s="18"/>
      <c r="H25" s="18"/>
      <c r="I25" s="19"/>
      <c r="J25" s="18"/>
      <c r="K25" s="18"/>
      <c r="M25" s="45"/>
    </row>
    <row r="26" spans="2:12" ht="12.75">
      <c r="B26" s="4" t="s">
        <v>55</v>
      </c>
      <c r="C26" s="4" t="s">
        <v>51</v>
      </c>
      <c r="D26" s="4" t="s">
        <v>247</v>
      </c>
      <c r="F26" s="15"/>
      <c r="G26"/>
      <c r="H26"/>
      <c r="I26"/>
      <c r="J26"/>
      <c r="K26"/>
      <c r="L26" s="18"/>
    </row>
    <row r="27" spans="2:13" ht="12.75">
      <c r="B27" s="4" t="s">
        <v>50</v>
      </c>
      <c r="C27" s="4"/>
      <c r="D27" s="4" t="s">
        <v>17</v>
      </c>
      <c r="F27" s="15"/>
      <c r="G27">
        <v>27517</v>
      </c>
      <c r="H27"/>
      <c r="I27">
        <v>23889</v>
      </c>
      <c r="J27"/>
      <c r="K27">
        <v>24878</v>
      </c>
      <c r="L27" s="18"/>
      <c r="M27" s="17">
        <f>AVERAGE(G27,I27,K27)</f>
        <v>25428</v>
      </c>
    </row>
    <row r="28" spans="2:13" ht="12.75">
      <c r="B28" s="4" t="s">
        <v>52</v>
      </c>
      <c r="C28" s="4"/>
      <c r="D28" s="4" t="s">
        <v>18</v>
      </c>
      <c r="F28" s="15" t="s">
        <v>88</v>
      </c>
      <c r="G28">
        <v>16</v>
      </c>
      <c r="H28"/>
      <c r="I28">
        <v>16</v>
      </c>
      <c r="J28"/>
      <c r="K28">
        <v>15.2</v>
      </c>
      <c r="L28" s="18"/>
      <c r="M28" s="17">
        <f>AVERAGE(G28,I28,K28)</f>
        <v>15.733333333333334</v>
      </c>
    </row>
    <row r="29" spans="2:13" ht="12.75">
      <c r="B29" s="4" t="s">
        <v>53</v>
      </c>
      <c r="C29" s="4"/>
      <c r="D29" s="4" t="s">
        <v>18</v>
      </c>
      <c r="F29" s="15"/>
      <c r="G29">
        <v>10.6</v>
      </c>
      <c r="H29"/>
      <c r="I29">
        <v>11.4</v>
      </c>
      <c r="J29"/>
      <c r="K29">
        <v>12.5</v>
      </c>
      <c r="L29" s="18"/>
      <c r="M29" s="17">
        <f>AVERAGE(G29,I29,K29)</f>
        <v>11.5</v>
      </c>
    </row>
    <row r="30" spans="2:13" ht="12.75">
      <c r="B30" s="4" t="s">
        <v>49</v>
      </c>
      <c r="C30" s="4"/>
      <c r="D30" s="4" t="s">
        <v>19</v>
      </c>
      <c r="F30" s="15"/>
      <c r="G30">
        <v>334</v>
      </c>
      <c r="H30"/>
      <c r="I30">
        <v>340</v>
      </c>
      <c r="J30"/>
      <c r="K30">
        <v>344</v>
      </c>
      <c r="L30" s="18"/>
      <c r="M30" s="17">
        <f>AVERAGE(G30,I30,K30)</f>
        <v>339.3333333333333</v>
      </c>
    </row>
    <row r="31" spans="2:13" ht="12.75">
      <c r="B31" s="4"/>
      <c r="C31" s="4"/>
      <c r="F31" s="15"/>
      <c r="G31"/>
      <c r="H31"/>
      <c r="I31"/>
      <c r="J31"/>
      <c r="K31"/>
      <c r="L31" s="18"/>
      <c r="M31" s="20"/>
    </row>
    <row r="32" spans="2:12" ht="12.75">
      <c r="B32" s="4" t="s">
        <v>55</v>
      </c>
      <c r="C32" s="4" t="s">
        <v>62</v>
      </c>
      <c r="D32" s="4" t="s">
        <v>248</v>
      </c>
      <c r="F32" s="15"/>
      <c r="G32"/>
      <c r="H32"/>
      <c r="I32"/>
      <c r="J32"/>
      <c r="K32"/>
      <c r="L32" s="18"/>
    </row>
    <row r="33" spans="2:13" ht="12.75">
      <c r="B33" s="4" t="s">
        <v>50</v>
      </c>
      <c r="C33" s="4"/>
      <c r="D33" s="4" t="s">
        <v>17</v>
      </c>
      <c r="F33" s="15"/>
      <c r="G33">
        <v>24582</v>
      </c>
      <c r="H33"/>
      <c r="I33">
        <v>23634</v>
      </c>
      <c r="J33"/>
      <c r="K33">
        <v>26795</v>
      </c>
      <c r="L33" s="18"/>
      <c r="M33" s="20">
        <f>AVERAGE(G33,I33,K33)</f>
        <v>25003.666666666668</v>
      </c>
    </row>
    <row r="34" spans="2:13" ht="12.75">
      <c r="B34" s="4" t="s">
        <v>52</v>
      </c>
      <c r="C34" s="4"/>
      <c r="D34" s="4" t="s">
        <v>18</v>
      </c>
      <c r="F34" s="15" t="s">
        <v>88</v>
      </c>
      <c r="G34">
        <v>16</v>
      </c>
      <c r="H34"/>
      <c r="I34">
        <v>15.3</v>
      </c>
      <c r="J34"/>
      <c r="K34">
        <v>15.2</v>
      </c>
      <c r="L34" s="18"/>
      <c r="M34" s="17">
        <f>AVERAGE(G34,I34,K34)</f>
        <v>15.5</v>
      </c>
    </row>
    <row r="35" spans="2:13" ht="12.75">
      <c r="B35" s="4" t="s">
        <v>53</v>
      </c>
      <c r="C35" s="4"/>
      <c r="D35" s="4" t="s">
        <v>18</v>
      </c>
      <c r="F35" s="15"/>
      <c r="G35">
        <v>10.8</v>
      </c>
      <c r="H35"/>
      <c r="I35">
        <v>11.3</v>
      </c>
      <c r="J35"/>
      <c r="K35">
        <v>10</v>
      </c>
      <c r="L35" s="18"/>
      <c r="M35" s="20">
        <f>AVERAGE(G35,I35,K35)</f>
        <v>10.700000000000001</v>
      </c>
    </row>
    <row r="36" spans="2:13" ht="12.75">
      <c r="B36" s="4" t="s">
        <v>49</v>
      </c>
      <c r="C36" s="4"/>
      <c r="D36" s="4" t="s">
        <v>19</v>
      </c>
      <c r="F36" s="15"/>
      <c r="G36">
        <v>346</v>
      </c>
      <c r="H36"/>
      <c r="I36">
        <v>347</v>
      </c>
      <c r="J36"/>
      <c r="K36">
        <v>356</v>
      </c>
      <c r="L36" s="18"/>
      <c r="M36" s="20">
        <f>AVERAGE(G36,I36,K36)</f>
        <v>349.6666666666667</v>
      </c>
    </row>
    <row r="37" spans="2:11" ht="12.75">
      <c r="B37" s="4"/>
      <c r="C37" s="4"/>
      <c r="E37" s="15"/>
      <c r="F37" s="13"/>
      <c r="G37" s="45"/>
      <c r="I37" s="45"/>
      <c r="K37" s="45"/>
    </row>
    <row r="38" spans="1:13" ht="12.75">
      <c r="A38" s="15">
        <v>11</v>
      </c>
      <c r="B38" s="12" t="s">
        <v>154</v>
      </c>
      <c r="C38" s="12" t="s">
        <v>141</v>
      </c>
      <c r="G38" s="15" t="s">
        <v>164</v>
      </c>
      <c r="H38" s="15"/>
      <c r="I38" s="15" t="s">
        <v>165</v>
      </c>
      <c r="J38" s="15"/>
      <c r="K38" s="15" t="s">
        <v>166</v>
      </c>
      <c r="M38" s="15" t="s">
        <v>163</v>
      </c>
    </row>
    <row r="39" spans="3:6" ht="14.25" customHeight="1">
      <c r="C39" s="22"/>
      <c r="D39" s="15"/>
      <c r="E39" s="54"/>
      <c r="F39" s="13"/>
    </row>
    <row r="40" spans="4:9" ht="12.75">
      <c r="D40" s="16"/>
      <c r="E40" s="13"/>
      <c r="F40" s="13"/>
      <c r="I40" s="13"/>
    </row>
    <row r="41" spans="2:13" ht="12.75">
      <c r="B41" s="4" t="s">
        <v>13</v>
      </c>
      <c r="C41" s="4" t="s">
        <v>247</v>
      </c>
      <c r="D41" s="4" t="s">
        <v>14</v>
      </c>
      <c r="E41" s="15" t="s">
        <v>15</v>
      </c>
      <c r="G41">
        <v>0.0382</v>
      </c>
      <c r="H41"/>
      <c r="I41">
        <v>0.00452</v>
      </c>
      <c r="J41"/>
      <c r="K41">
        <v>0.00874</v>
      </c>
      <c r="M41" s="56">
        <f aca="true" t="shared" si="1" ref="M41:M46">AVERAGE(G41,I41,K41)</f>
        <v>0.01715333333333333</v>
      </c>
    </row>
    <row r="42" spans="2:13" ht="12.75">
      <c r="B42" s="4" t="s">
        <v>143</v>
      </c>
      <c r="C42" s="4" t="s">
        <v>247</v>
      </c>
      <c r="D42" s="4" t="s">
        <v>16</v>
      </c>
      <c r="E42" s="15" t="s">
        <v>15</v>
      </c>
      <c r="G42">
        <v>12.3</v>
      </c>
      <c r="H42"/>
      <c r="I42">
        <v>2.1</v>
      </c>
      <c r="J42"/>
      <c r="K42">
        <v>2.5</v>
      </c>
      <c r="L42" s="17"/>
      <c r="M42" s="17">
        <f t="shared" si="1"/>
        <v>5.633333333333333</v>
      </c>
    </row>
    <row r="43" spans="2:13" ht="12.75">
      <c r="B43" s="4" t="s">
        <v>144</v>
      </c>
      <c r="C43" s="4" t="s">
        <v>247</v>
      </c>
      <c r="D43" s="4" t="s">
        <v>16</v>
      </c>
      <c r="E43" s="15" t="s">
        <v>15</v>
      </c>
      <c r="G43">
        <v>34.8</v>
      </c>
      <c r="H43"/>
      <c r="I43">
        <v>15</v>
      </c>
      <c r="J43"/>
      <c r="K43">
        <v>3.6</v>
      </c>
      <c r="L43" s="17"/>
      <c r="M43" s="17">
        <f t="shared" si="1"/>
        <v>17.8</v>
      </c>
    </row>
    <row r="44" spans="2:13" ht="12.75">
      <c r="B44" s="4"/>
      <c r="C44" s="4"/>
      <c r="E44" s="15"/>
      <c r="G44"/>
      <c r="H44"/>
      <c r="I44"/>
      <c r="J44"/>
      <c r="K44"/>
      <c r="L44" s="17"/>
      <c r="M44" s="17"/>
    </row>
    <row r="45" spans="2:15" ht="12.75">
      <c r="B45" s="4" t="s">
        <v>24</v>
      </c>
      <c r="C45" s="4" t="s">
        <v>247</v>
      </c>
      <c r="D45" s="4" t="s">
        <v>16</v>
      </c>
      <c r="E45" s="15" t="s">
        <v>15</v>
      </c>
      <c r="G45">
        <v>1604</v>
      </c>
      <c r="H45"/>
      <c r="I45">
        <v>883</v>
      </c>
      <c r="J45"/>
      <c r="K45">
        <v>1010</v>
      </c>
      <c r="M45" s="17">
        <f t="shared" si="1"/>
        <v>1165.6666666666667</v>
      </c>
      <c r="O45" s="34"/>
    </row>
    <row r="46" spans="2:15" ht="12.75">
      <c r="B46" s="4" t="s">
        <v>25</v>
      </c>
      <c r="C46" s="4" t="s">
        <v>247</v>
      </c>
      <c r="D46" s="4" t="s">
        <v>16</v>
      </c>
      <c r="E46" s="15" t="s">
        <v>15</v>
      </c>
      <c r="G46">
        <v>0.79</v>
      </c>
      <c r="H46"/>
      <c r="I46">
        <v>0.444</v>
      </c>
      <c r="J46"/>
      <c r="K46">
        <v>0.31</v>
      </c>
      <c r="M46" s="17">
        <f t="shared" si="1"/>
        <v>0.5146666666666667</v>
      </c>
      <c r="O46" s="34"/>
    </row>
    <row r="47" spans="2:13" ht="12.75">
      <c r="B47" s="13" t="s">
        <v>54</v>
      </c>
      <c r="C47" s="4" t="s">
        <v>247</v>
      </c>
      <c r="D47" s="13" t="s">
        <v>16</v>
      </c>
      <c r="E47" s="15" t="s">
        <v>15</v>
      </c>
      <c r="F47" s="13"/>
      <c r="G47" s="17">
        <f>G45+2*G46</f>
        <v>1605.58</v>
      </c>
      <c r="I47" s="17">
        <f>I45+2*I46</f>
        <v>883.888</v>
      </c>
      <c r="K47" s="17">
        <f>K45+2*K46</f>
        <v>1010.62</v>
      </c>
      <c r="M47" s="17">
        <f>M45+2*M46</f>
        <v>1166.6960000000001</v>
      </c>
    </row>
    <row r="48" spans="4:9" ht="12.75">
      <c r="D48" s="13"/>
      <c r="E48" s="13"/>
      <c r="F48" s="13"/>
      <c r="I48" s="13"/>
    </row>
    <row r="49" spans="2:13" ht="12.75">
      <c r="B49" s="4" t="s">
        <v>97</v>
      </c>
      <c r="D49" s="4" t="s">
        <v>27</v>
      </c>
      <c r="E49" s="13"/>
      <c r="F49"/>
      <c r="G49" s="68">
        <v>0.000295</v>
      </c>
      <c r="H49"/>
      <c r="I49" s="68">
        <v>4.26E-05</v>
      </c>
      <c r="J49"/>
      <c r="K49" s="68">
        <v>3.93E-05</v>
      </c>
      <c r="M49" s="44"/>
    </row>
    <row r="50" spans="2:13" ht="12.75">
      <c r="B50" s="4" t="s">
        <v>96</v>
      </c>
      <c r="D50" s="4" t="s">
        <v>27</v>
      </c>
      <c r="E50" s="13"/>
      <c r="F50"/>
      <c r="G50">
        <v>0.0036</v>
      </c>
      <c r="H50"/>
      <c r="I50">
        <v>0.00173</v>
      </c>
      <c r="J50"/>
      <c r="K50">
        <v>0.00185</v>
      </c>
      <c r="M50" s="44"/>
    </row>
    <row r="51" spans="2:13" ht="12.75">
      <c r="B51" s="4" t="s">
        <v>98</v>
      </c>
      <c r="D51" s="4" t="s">
        <v>27</v>
      </c>
      <c r="E51" s="13"/>
      <c r="F51"/>
      <c r="G51" s="68">
        <v>0.00311</v>
      </c>
      <c r="H51"/>
      <c r="I51" s="68">
        <v>0.000719</v>
      </c>
      <c r="J51"/>
      <c r="K51" s="68">
        <v>0.000715</v>
      </c>
      <c r="M51" s="44"/>
    </row>
    <row r="52" spans="2:13" ht="12.75">
      <c r="B52" s="4" t="s">
        <v>99</v>
      </c>
      <c r="D52" s="4" t="s">
        <v>27</v>
      </c>
      <c r="E52" s="13"/>
      <c r="F52"/>
      <c r="G52" s="68">
        <v>0.000299</v>
      </c>
      <c r="H52"/>
      <c r="I52" s="68">
        <v>0.000185</v>
      </c>
      <c r="J52"/>
      <c r="K52" s="68">
        <v>0.000168</v>
      </c>
      <c r="M52" s="44"/>
    </row>
    <row r="53" spans="2:13" ht="12.75">
      <c r="B53" s="4" t="s">
        <v>100</v>
      </c>
      <c r="D53" s="4" t="s">
        <v>27</v>
      </c>
      <c r="E53" s="13"/>
      <c r="F53"/>
      <c r="G53" s="68">
        <v>0.00186</v>
      </c>
      <c r="H53"/>
      <c r="I53" s="68">
        <v>0.000936</v>
      </c>
      <c r="J53"/>
      <c r="K53" s="68">
        <v>0.000868</v>
      </c>
      <c r="M53" s="44"/>
    </row>
    <row r="54" spans="2:13" ht="12.75">
      <c r="B54" s="4" t="s">
        <v>101</v>
      </c>
      <c r="D54" s="4" t="s">
        <v>27</v>
      </c>
      <c r="E54" s="13"/>
      <c r="F54"/>
      <c r="G54">
        <v>0.00461</v>
      </c>
      <c r="H54"/>
      <c r="I54">
        <v>0.00231</v>
      </c>
      <c r="J54"/>
      <c r="K54">
        <v>0.002</v>
      </c>
      <c r="M54" s="44"/>
    </row>
    <row r="55" spans="2:13" ht="12.75">
      <c r="B55" s="76" t="s">
        <v>183</v>
      </c>
      <c r="D55" s="4" t="s">
        <v>27</v>
      </c>
      <c r="E55" s="13"/>
      <c r="F55" t="s">
        <v>161</v>
      </c>
      <c r="G55" s="68">
        <v>5.61E-05</v>
      </c>
      <c r="H55" t="s">
        <v>161</v>
      </c>
      <c r="I55" s="68">
        <v>6.18E-05</v>
      </c>
      <c r="J55" t="s">
        <v>161</v>
      </c>
      <c r="K55" s="68">
        <v>5.64E-05</v>
      </c>
      <c r="M55" s="44"/>
    </row>
    <row r="56" spans="2:13" ht="12.75">
      <c r="B56" s="4" t="s">
        <v>117</v>
      </c>
      <c r="D56" s="4" t="s">
        <v>27</v>
      </c>
      <c r="E56" s="13"/>
      <c r="F56"/>
      <c r="G56" s="68">
        <v>0.000337</v>
      </c>
      <c r="H56"/>
      <c r="I56" s="68">
        <v>0.0001</v>
      </c>
      <c r="J56"/>
      <c r="K56" s="68">
        <v>5.73E-05</v>
      </c>
      <c r="M56" s="44"/>
    </row>
    <row r="57" spans="2:13" ht="12.75">
      <c r="B57" s="4" t="s">
        <v>102</v>
      </c>
      <c r="D57" s="4" t="s">
        <v>27</v>
      </c>
      <c r="E57" s="13"/>
      <c r="F57"/>
      <c r="G57" s="68">
        <v>0.00113</v>
      </c>
      <c r="H57"/>
      <c r="I57" s="68">
        <v>0.000464</v>
      </c>
      <c r="J57"/>
      <c r="K57" s="68">
        <v>0.00061</v>
      </c>
      <c r="M57" s="44"/>
    </row>
    <row r="58" spans="2:13" ht="12.75">
      <c r="B58" s="4" t="s">
        <v>103</v>
      </c>
      <c r="D58" s="4" t="s">
        <v>27</v>
      </c>
      <c r="E58" s="13"/>
      <c r="F58"/>
      <c r="G58">
        <v>0.0342</v>
      </c>
      <c r="H58"/>
      <c r="I58">
        <v>0.0155</v>
      </c>
      <c r="J58"/>
      <c r="K58">
        <v>0.0167</v>
      </c>
      <c r="M58" s="44"/>
    </row>
    <row r="59" spans="2:13" ht="12.75">
      <c r="B59" s="4" t="s">
        <v>160</v>
      </c>
      <c r="D59" s="4" t="s">
        <v>27</v>
      </c>
      <c r="E59" s="13"/>
      <c r="F59"/>
      <c r="G59" s="68">
        <v>0.00279</v>
      </c>
      <c r="H59"/>
      <c r="I59" s="68">
        <v>0.000952</v>
      </c>
      <c r="J59"/>
      <c r="K59" s="68">
        <v>0.000502</v>
      </c>
      <c r="M59" s="44"/>
    </row>
    <row r="60" spans="2:13" ht="12.75">
      <c r="B60" s="4" t="s">
        <v>104</v>
      </c>
      <c r="D60" s="4" t="s">
        <v>27</v>
      </c>
      <c r="E60" s="13"/>
      <c r="F60"/>
      <c r="G60" s="68">
        <v>0.000125</v>
      </c>
      <c r="H60"/>
      <c r="I60" s="68">
        <v>0.00058</v>
      </c>
      <c r="J60"/>
      <c r="K60" s="68">
        <v>0.000521</v>
      </c>
      <c r="M60" s="44"/>
    </row>
    <row r="61" spans="2:13" ht="12.75">
      <c r="B61" s="4" t="s">
        <v>105</v>
      </c>
      <c r="D61" s="4" t="s">
        <v>27</v>
      </c>
      <c r="E61" s="13"/>
      <c r="F61"/>
      <c r="G61" s="68">
        <v>0.000418</v>
      </c>
      <c r="H61"/>
      <c r="I61" s="68">
        <v>9.08E-05</v>
      </c>
      <c r="J61"/>
      <c r="K61" s="68">
        <v>0.000123</v>
      </c>
      <c r="M61" s="44"/>
    </row>
    <row r="62" spans="2:13" ht="12.75">
      <c r="B62" s="4" t="s">
        <v>106</v>
      </c>
      <c r="D62" s="4" t="s">
        <v>27</v>
      </c>
      <c r="E62" s="13"/>
      <c r="F62"/>
      <c r="G62" s="68">
        <v>0.00012</v>
      </c>
      <c r="H62"/>
      <c r="I62" s="68">
        <v>5.95E-05</v>
      </c>
      <c r="J62"/>
      <c r="K62" s="68">
        <v>0.000101</v>
      </c>
      <c r="M62" s="44"/>
    </row>
    <row r="63" spans="2:13" ht="12.75">
      <c r="B63" s="4" t="s">
        <v>107</v>
      </c>
      <c r="D63" s="4" t="s">
        <v>27</v>
      </c>
      <c r="E63" s="13"/>
      <c r="F63"/>
      <c r="G63" s="68">
        <v>4.05E-05</v>
      </c>
      <c r="H63" t="s">
        <v>161</v>
      </c>
      <c r="I63" s="68">
        <v>1.5E-05</v>
      </c>
      <c r="J63"/>
      <c r="K63" s="68">
        <v>2.33E-05</v>
      </c>
      <c r="M63" s="44"/>
    </row>
    <row r="64" spans="2:13" ht="12.75">
      <c r="B64" s="4" t="s">
        <v>108</v>
      </c>
      <c r="D64" s="4" t="s">
        <v>27</v>
      </c>
      <c r="E64" s="13"/>
      <c r="F64"/>
      <c r="G64" s="68">
        <v>5.54E-05</v>
      </c>
      <c r="H64" t="s">
        <v>161</v>
      </c>
      <c r="I64" s="68">
        <v>3.75E-05</v>
      </c>
      <c r="J64" t="s">
        <v>161</v>
      </c>
      <c r="K64" s="68">
        <v>3.93E-05</v>
      </c>
      <c r="M64" s="44"/>
    </row>
    <row r="65" spans="2:13" ht="12.75">
      <c r="B65" s="4" t="s">
        <v>109</v>
      </c>
      <c r="D65" s="4" t="s">
        <v>27</v>
      </c>
      <c r="E65" s="13"/>
      <c r="F65"/>
      <c r="G65">
        <v>0.00464</v>
      </c>
      <c r="H65"/>
      <c r="I65">
        <v>0.00165</v>
      </c>
      <c r="J65"/>
      <c r="K65">
        <v>0.00172</v>
      </c>
      <c r="M65" s="44"/>
    </row>
    <row r="66" spans="2:13" ht="12.75">
      <c r="B66" s="4"/>
      <c r="C66" s="4"/>
      <c r="G66" s="18"/>
      <c r="H66" s="18"/>
      <c r="I66" s="19"/>
      <c r="J66" s="18"/>
      <c r="K66" s="18"/>
      <c r="L66" s="15"/>
      <c r="M66" s="20"/>
    </row>
    <row r="67" spans="2:13" ht="12.75">
      <c r="B67" s="4" t="s">
        <v>55</v>
      </c>
      <c r="C67" s="4" t="s">
        <v>51</v>
      </c>
      <c r="D67" s="4" t="s">
        <v>247</v>
      </c>
      <c r="L67" s="15"/>
      <c r="M67" s="45"/>
    </row>
    <row r="68" spans="2:13" ht="12.75">
      <c r="B68" s="4" t="s">
        <v>50</v>
      </c>
      <c r="C68" s="4"/>
      <c r="D68" s="4" t="s">
        <v>17</v>
      </c>
      <c r="G68">
        <v>21520</v>
      </c>
      <c r="H68"/>
      <c r="I68">
        <v>21448</v>
      </c>
      <c r="J68"/>
      <c r="K68">
        <v>22017</v>
      </c>
      <c r="M68" s="20">
        <f>AVERAGE(G68,I68,K68)</f>
        <v>21661.666666666668</v>
      </c>
    </row>
    <row r="69" spans="2:13" ht="12.75">
      <c r="B69" s="4" t="s">
        <v>52</v>
      </c>
      <c r="C69" s="4"/>
      <c r="D69" s="4" t="s">
        <v>18</v>
      </c>
      <c r="G69">
        <v>14.1</v>
      </c>
      <c r="H69"/>
      <c r="I69">
        <v>13.8</v>
      </c>
      <c r="J69"/>
      <c r="K69">
        <v>14.2</v>
      </c>
      <c r="M69" s="17">
        <f>AVERAGE(G69,I69,K69)</f>
        <v>14.033333333333331</v>
      </c>
    </row>
    <row r="70" spans="2:13" ht="12.75">
      <c r="B70" s="4" t="s">
        <v>53</v>
      </c>
      <c r="C70" s="4"/>
      <c r="D70" s="4" t="s">
        <v>18</v>
      </c>
      <c r="G70">
        <v>19</v>
      </c>
      <c r="H70"/>
      <c r="I70">
        <v>19.5</v>
      </c>
      <c r="J70"/>
      <c r="K70">
        <v>18.9</v>
      </c>
      <c r="M70" s="17">
        <f>AVERAGE(G70,I70,K70)</f>
        <v>19.133333333333333</v>
      </c>
    </row>
    <row r="71" spans="2:13" ht="12.75">
      <c r="B71" s="4" t="s">
        <v>49</v>
      </c>
      <c r="C71" s="4"/>
      <c r="D71" s="4" t="s">
        <v>19</v>
      </c>
      <c r="G71">
        <v>344</v>
      </c>
      <c r="H71"/>
      <c r="I71">
        <v>345</v>
      </c>
      <c r="J71"/>
      <c r="K71">
        <v>355</v>
      </c>
      <c r="M71" s="20">
        <f>AVERAGE(G71,I71,K71)</f>
        <v>348</v>
      </c>
    </row>
    <row r="72" spans="2:13" ht="12.75">
      <c r="B72" s="4"/>
      <c r="C72" s="4"/>
      <c r="G72"/>
      <c r="H72"/>
      <c r="I72"/>
      <c r="J72"/>
      <c r="K72"/>
      <c r="M72" s="45"/>
    </row>
    <row r="73" spans="2:13" ht="12.75">
      <c r="B73" s="4" t="s">
        <v>55</v>
      </c>
      <c r="C73" s="4" t="s">
        <v>111</v>
      </c>
      <c r="D73" s="4" t="s">
        <v>248</v>
      </c>
      <c r="G73"/>
      <c r="H73"/>
      <c r="I73"/>
      <c r="J73"/>
      <c r="K73"/>
      <c r="M73" s="45"/>
    </row>
    <row r="74" spans="2:13" ht="12.75">
      <c r="B74" s="4" t="s">
        <v>50</v>
      </c>
      <c r="C74" s="4"/>
      <c r="D74" s="4" t="s">
        <v>17</v>
      </c>
      <c r="G74">
        <v>21477</v>
      </c>
      <c r="H74"/>
      <c r="I74">
        <v>21003</v>
      </c>
      <c r="J74"/>
      <c r="K74">
        <v>22664</v>
      </c>
      <c r="M74" s="17">
        <f>AVERAGE(G74,I74,K74)</f>
        <v>21714.666666666668</v>
      </c>
    </row>
    <row r="75" spans="2:13" ht="12.75">
      <c r="B75" s="4" t="s">
        <v>52</v>
      </c>
      <c r="C75" s="4"/>
      <c r="D75" s="4" t="s">
        <v>18</v>
      </c>
      <c r="G75">
        <v>14.1</v>
      </c>
      <c r="H75"/>
      <c r="I75">
        <v>13.8</v>
      </c>
      <c r="J75"/>
      <c r="K75">
        <v>14.2</v>
      </c>
      <c r="M75" s="17">
        <f>AVERAGE(G75,I75,K75)</f>
        <v>14.033333333333331</v>
      </c>
    </row>
    <row r="76" spans="2:13" ht="12.75">
      <c r="B76" s="4" t="s">
        <v>53</v>
      </c>
      <c r="C76" s="4"/>
      <c r="D76" s="4" t="s">
        <v>18</v>
      </c>
      <c r="G76">
        <v>19</v>
      </c>
      <c r="H76"/>
      <c r="I76">
        <v>19.5</v>
      </c>
      <c r="J76"/>
      <c r="K76">
        <v>18.4</v>
      </c>
      <c r="M76" s="17">
        <f>AVERAGE(G76,I76,K76)</f>
        <v>18.966666666666665</v>
      </c>
    </row>
    <row r="77" spans="2:13" ht="12.75">
      <c r="B77" s="4" t="s">
        <v>49</v>
      </c>
      <c r="C77" s="4"/>
      <c r="D77" s="4" t="s">
        <v>19</v>
      </c>
      <c r="G77">
        <v>347</v>
      </c>
      <c r="H77"/>
      <c r="I77">
        <v>349</v>
      </c>
      <c r="J77"/>
      <c r="K77">
        <v>351</v>
      </c>
      <c r="M77" s="17">
        <f>AVERAGE(G77,I77,K77)</f>
        <v>349</v>
      </c>
    </row>
    <row r="78" spans="2:13" ht="12.75">
      <c r="B78" s="4"/>
      <c r="C78" s="4"/>
      <c r="E78" s="15"/>
      <c r="G78" s="5"/>
      <c r="H78" s="6"/>
      <c r="I78" s="5"/>
      <c r="J78" s="6"/>
      <c r="K78" s="5"/>
      <c r="L78" s="6"/>
      <c r="M78" s="20"/>
    </row>
    <row r="79" spans="2:13" ht="12.75">
      <c r="B79" s="4" t="s">
        <v>97</v>
      </c>
      <c r="C79" s="4" t="s">
        <v>248</v>
      </c>
      <c r="D79" s="4" t="s">
        <v>33</v>
      </c>
      <c r="E79" s="15" t="s">
        <v>15</v>
      </c>
      <c r="F79" s="13"/>
      <c r="G79" s="5">
        <f aca="true" t="shared" si="2" ref="G79:G88">G49*1/60*454*1000000/(G$74*0.0283)*(21-7)/(21-G$75)</f>
        <v>7.451530968744642</v>
      </c>
      <c r="H79" s="44"/>
      <c r="I79" s="5">
        <f aca="true" t="shared" si="3" ref="I79:I88">I49*1/60*454*1000000/(I$74*0.0283)*(21-7)/(21-I$75)</f>
        <v>1.0544888038411178</v>
      </c>
      <c r="J79" s="13" t="s">
        <v>161</v>
      </c>
      <c r="K79" s="5">
        <f aca="true" t="shared" si="4" ref="K79:K88">K49*1/60*454*1000000/(K$74*0.0283)*(21-7)/(21-K$75)</f>
        <v>0.9545381242230582</v>
      </c>
      <c r="L79" s="6"/>
      <c r="M79" s="45">
        <f aca="true" t="shared" si="5" ref="M79:M88">AVERAGE(G79,I79,K79)</f>
        <v>3.1535192989362724</v>
      </c>
    </row>
    <row r="80" spans="2:13" ht="12.75">
      <c r="B80" s="4" t="s">
        <v>96</v>
      </c>
      <c r="C80" s="4" t="s">
        <v>248</v>
      </c>
      <c r="D80" s="4" t="s">
        <v>33</v>
      </c>
      <c r="E80" s="15" t="s">
        <v>15</v>
      </c>
      <c r="F80" s="13"/>
      <c r="G80" s="5">
        <f t="shared" si="2"/>
        <v>90.93393724569731</v>
      </c>
      <c r="I80" s="5">
        <f t="shared" si="3"/>
        <v>42.82313686960408</v>
      </c>
      <c r="K80" s="5">
        <f t="shared" si="4"/>
        <v>44.93372849396076</v>
      </c>
      <c r="L80" s="15"/>
      <c r="M80" s="45">
        <f t="shared" si="5"/>
        <v>59.56360086975405</v>
      </c>
    </row>
    <row r="81" spans="1:13" ht="12.75">
      <c r="A81" s="15"/>
      <c r="B81" s="4" t="s">
        <v>98</v>
      </c>
      <c r="C81" s="4" t="s">
        <v>248</v>
      </c>
      <c r="D81" s="4" t="s">
        <v>33</v>
      </c>
      <c r="E81" s="15" t="s">
        <v>15</v>
      </c>
      <c r="F81" s="13"/>
      <c r="G81" s="5">
        <f t="shared" si="2"/>
        <v>78.55681800947738</v>
      </c>
      <c r="I81" s="5">
        <f t="shared" si="3"/>
        <v>17.797592722107126</v>
      </c>
      <c r="K81" s="5">
        <f t="shared" si="4"/>
        <v>17.36627885036862</v>
      </c>
      <c r="L81" s="18"/>
      <c r="M81" s="45">
        <f t="shared" si="5"/>
        <v>37.906896527317706</v>
      </c>
    </row>
    <row r="82" spans="2:13" ht="12.75">
      <c r="B82" s="4" t="s">
        <v>99</v>
      </c>
      <c r="C82" s="4" t="s">
        <v>248</v>
      </c>
      <c r="D82" s="4" t="s">
        <v>33</v>
      </c>
      <c r="E82" s="15" t="s">
        <v>15</v>
      </c>
      <c r="F82" s="13"/>
      <c r="G82" s="5">
        <f t="shared" si="2"/>
        <v>7.552568676795415</v>
      </c>
      <c r="I82" s="5">
        <f t="shared" si="3"/>
        <v>4.579352786633961</v>
      </c>
      <c r="J82" s="44"/>
      <c r="K82" s="5">
        <f t="shared" si="4"/>
        <v>4.080468317289409</v>
      </c>
      <c r="M82" s="45">
        <f t="shared" si="5"/>
        <v>5.404129926906261</v>
      </c>
    </row>
    <row r="83" spans="2:13" ht="12.75">
      <c r="B83" s="4" t="s">
        <v>100</v>
      </c>
      <c r="C83" s="4" t="s">
        <v>248</v>
      </c>
      <c r="D83" s="4" t="s">
        <v>33</v>
      </c>
      <c r="E83" s="15" t="s">
        <v>15</v>
      </c>
      <c r="F83" s="13"/>
      <c r="G83" s="5">
        <f t="shared" si="2"/>
        <v>46.98253424361028</v>
      </c>
      <c r="I83" s="5">
        <f t="shared" si="3"/>
        <v>23.16904977453723</v>
      </c>
      <c r="K83" s="5">
        <f t="shared" si="4"/>
        <v>21.082419639328613</v>
      </c>
      <c r="M83" s="45">
        <f t="shared" si="5"/>
        <v>30.411334552492036</v>
      </c>
    </row>
    <row r="84" spans="2:13" ht="12.75">
      <c r="B84" s="4" t="s">
        <v>101</v>
      </c>
      <c r="C84" s="4" t="s">
        <v>248</v>
      </c>
      <c r="D84" s="4" t="s">
        <v>33</v>
      </c>
      <c r="E84" s="15" t="s">
        <v>15</v>
      </c>
      <c r="F84" s="13"/>
      <c r="G84" s="5">
        <f t="shared" si="2"/>
        <v>116.44595852851795</v>
      </c>
      <c r="I84" s="5">
        <f t="shared" si="3"/>
        <v>57.18002668715919</v>
      </c>
      <c r="K84" s="5">
        <f t="shared" si="4"/>
        <v>48.57700377725487</v>
      </c>
      <c r="M84" s="45">
        <f t="shared" si="5"/>
        <v>74.067662997644</v>
      </c>
    </row>
    <row r="85" spans="2:13" ht="12.75">
      <c r="B85" s="76" t="s">
        <v>183</v>
      </c>
      <c r="C85" s="4" t="s">
        <v>248</v>
      </c>
      <c r="D85" s="4" t="s">
        <v>33</v>
      </c>
      <c r="E85" s="15" t="s">
        <v>15</v>
      </c>
      <c r="F85" s="13"/>
      <c r="G85" s="5">
        <f t="shared" si="2"/>
        <v>1.4170538554121164</v>
      </c>
      <c r="I85" s="5">
        <f t="shared" si="3"/>
        <v>1.529751363318804</v>
      </c>
      <c r="K85" s="5">
        <f t="shared" si="4"/>
        <v>1.3698715065185874</v>
      </c>
      <c r="L85" s="17"/>
      <c r="M85" s="45">
        <f t="shared" si="5"/>
        <v>1.438892241749836</v>
      </c>
    </row>
    <row r="86" spans="2:13" ht="12.75">
      <c r="B86" s="4" t="s">
        <v>117</v>
      </c>
      <c r="C86" s="4" t="s">
        <v>248</v>
      </c>
      <c r="D86" s="4" t="s">
        <v>33</v>
      </c>
      <c r="E86" s="15" t="s">
        <v>15</v>
      </c>
      <c r="F86"/>
      <c r="G86" s="5">
        <f t="shared" si="2"/>
        <v>8.512426903277776</v>
      </c>
      <c r="H86"/>
      <c r="I86" s="5">
        <f t="shared" si="3"/>
        <v>2.4753258306129515</v>
      </c>
      <c r="J86"/>
      <c r="K86" s="5">
        <f t="shared" si="4"/>
        <v>1.391731158218352</v>
      </c>
      <c r="L86" s="17"/>
      <c r="M86" s="45">
        <f t="shared" si="5"/>
        <v>4.126494630703026</v>
      </c>
    </row>
    <row r="87" spans="2:13" ht="12.75">
      <c r="B87" s="4" t="s">
        <v>102</v>
      </c>
      <c r="C87" s="4" t="s">
        <v>248</v>
      </c>
      <c r="D87" s="4" t="s">
        <v>33</v>
      </c>
      <c r="E87" s="15" t="s">
        <v>15</v>
      </c>
      <c r="F87"/>
      <c r="G87" s="5">
        <f t="shared" si="2"/>
        <v>28.543152524343874</v>
      </c>
      <c r="H87"/>
      <c r="I87" s="5">
        <f t="shared" si="3"/>
        <v>11.485511854044097</v>
      </c>
      <c r="J87"/>
      <c r="K87" s="5">
        <f t="shared" si="4"/>
        <v>14.815986152062736</v>
      </c>
      <c r="M87" s="45">
        <f t="shared" si="5"/>
        <v>18.281550176816904</v>
      </c>
    </row>
    <row r="88" spans="2:13" ht="12.75">
      <c r="B88" s="4" t="s">
        <v>103</v>
      </c>
      <c r="C88" s="4" t="s">
        <v>248</v>
      </c>
      <c r="D88" s="4" t="s">
        <v>33</v>
      </c>
      <c r="E88" s="15" t="s">
        <v>15</v>
      </c>
      <c r="F88"/>
      <c r="G88" s="5">
        <f t="shared" si="2"/>
        <v>863.8724038341245</v>
      </c>
      <c r="H88"/>
      <c r="I88" s="5">
        <f t="shared" si="3"/>
        <v>383.67550374500763</v>
      </c>
      <c r="J88"/>
      <c r="K88" s="5">
        <f t="shared" si="4"/>
        <v>405.6179815400782</v>
      </c>
      <c r="M88" s="45">
        <f t="shared" si="5"/>
        <v>551.0552963730702</v>
      </c>
    </row>
    <row r="89" spans="2:13" ht="12.75">
      <c r="B89" s="4" t="s">
        <v>104</v>
      </c>
      <c r="C89" s="4" t="s">
        <v>248</v>
      </c>
      <c r="D89" s="4" t="s">
        <v>33</v>
      </c>
      <c r="E89" s="15" t="s">
        <v>15</v>
      </c>
      <c r="F89"/>
      <c r="G89" s="5">
        <f aca="true" t="shared" si="6" ref="G89:G94">G60*1/60*454*1000000/(G$74*0.0283)*(21-7)/(21-G$75)</f>
        <v>3.1574283765867124</v>
      </c>
      <c r="H89"/>
      <c r="I89" s="5">
        <f aca="true" t="shared" si="7" ref="I89:I94">I60*1/60*454*1000000/(I$74*0.0283)*(21-7)/(21-I$75)</f>
        <v>14.356889817555123</v>
      </c>
      <c r="J89"/>
      <c r="K89" s="5">
        <f aca="true" t="shared" si="8" ref="K89:K94">K60*1/60*454*1000000/(K$74*0.0283)*(21-7)/(21-K$75)</f>
        <v>12.654309483974897</v>
      </c>
      <c r="M89" s="45">
        <f aca="true" t="shared" si="9" ref="M89:M94">AVERAGE(G89,I89,K89)</f>
        <v>10.056209226038911</v>
      </c>
    </row>
    <row r="90" spans="2:13" ht="12.75">
      <c r="B90" s="4" t="s">
        <v>105</v>
      </c>
      <c r="C90" s="4" t="s">
        <v>248</v>
      </c>
      <c r="D90" s="4" t="s">
        <v>33</v>
      </c>
      <c r="E90" s="15" t="s">
        <v>15</v>
      </c>
      <c r="F90"/>
      <c r="G90" s="5">
        <f t="shared" si="6"/>
        <v>10.558440491305968</v>
      </c>
      <c r="H90"/>
      <c r="I90" s="5">
        <f t="shared" si="7"/>
        <v>2.247595854196561</v>
      </c>
      <c r="J90"/>
      <c r="K90" s="5">
        <f t="shared" si="8"/>
        <v>2.987485732301175</v>
      </c>
      <c r="M90" s="45">
        <f t="shared" si="9"/>
        <v>5.264507359267902</v>
      </c>
    </row>
    <row r="91" spans="2:13" ht="12.75">
      <c r="B91" s="4" t="s">
        <v>106</v>
      </c>
      <c r="C91" s="4" t="s">
        <v>248</v>
      </c>
      <c r="D91" s="4" t="s">
        <v>33</v>
      </c>
      <c r="E91" s="15" t="s">
        <v>15</v>
      </c>
      <c r="F91"/>
      <c r="G91" s="5">
        <f t="shared" si="6"/>
        <v>3.0311312415232434</v>
      </c>
      <c r="H91"/>
      <c r="I91" s="5">
        <f t="shared" si="7"/>
        <v>1.4728188692147064</v>
      </c>
      <c r="J91"/>
      <c r="K91" s="5">
        <f t="shared" si="8"/>
        <v>2.4531386907513713</v>
      </c>
      <c r="M91" s="45">
        <f t="shared" si="9"/>
        <v>2.3190296004964406</v>
      </c>
    </row>
    <row r="92" spans="2:13" ht="12.75">
      <c r="B92" s="4" t="s">
        <v>107</v>
      </c>
      <c r="C92" s="4" t="s">
        <v>248</v>
      </c>
      <c r="D92" s="4" t="s">
        <v>33</v>
      </c>
      <c r="E92" s="15" t="s">
        <v>15</v>
      </c>
      <c r="F92"/>
      <c r="G92" s="5">
        <f t="shared" si="6"/>
        <v>1.0230067940140948</v>
      </c>
      <c r="H92"/>
      <c r="I92" s="5">
        <f t="shared" si="7"/>
        <v>0.3712988745919428</v>
      </c>
      <c r="J92"/>
      <c r="K92" s="5">
        <f t="shared" si="8"/>
        <v>0.5659220940050192</v>
      </c>
      <c r="M92" s="45">
        <f t="shared" si="9"/>
        <v>0.6534092542036856</v>
      </c>
    </row>
    <row r="93" spans="2:13" ht="12.75">
      <c r="B93" s="4" t="s">
        <v>108</v>
      </c>
      <c r="C93" s="4" t="s">
        <v>248</v>
      </c>
      <c r="D93" s="4" t="s">
        <v>33</v>
      </c>
      <c r="E93" s="15" t="s">
        <v>15</v>
      </c>
      <c r="F93"/>
      <c r="G93" s="5">
        <f t="shared" si="6"/>
        <v>1.399372256503231</v>
      </c>
      <c r="H93"/>
      <c r="I93" s="5">
        <f t="shared" si="7"/>
        <v>0.928247186479857</v>
      </c>
      <c r="J93"/>
      <c r="K93" s="5">
        <f t="shared" si="8"/>
        <v>0.9545381242230582</v>
      </c>
      <c r="M93" s="45">
        <f t="shared" si="9"/>
        <v>1.0940525224020485</v>
      </c>
    </row>
    <row r="94" spans="2:13" ht="12.75">
      <c r="B94" s="4" t="s">
        <v>109</v>
      </c>
      <c r="C94" s="4" t="s">
        <v>248</v>
      </c>
      <c r="D94" s="4" t="s">
        <v>33</v>
      </c>
      <c r="E94" s="15" t="s">
        <v>15</v>
      </c>
      <c r="F94"/>
      <c r="G94" s="5">
        <f t="shared" si="6"/>
        <v>117.20374133889877</v>
      </c>
      <c r="H94"/>
      <c r="I94" s="5">
        <f t="shared" si="7"/>
        <v>40.84287620511372</v>
      </c>
      <c r="J94"/>
      <c r="K94" s="5">
        <f t="shared" si="8"/>
        <v>41.77622324843918</v>
      </c>
      <c r="M94" s="45">
        <f t="shared" si="9"/>
        <v>66.60761359748389</v>
      </c>
    </row>
    <row r="95" spans="2:13" ht="12.75">
      <c r="B95" s="4"/>
      <c r="C95" s="4"/>
      <c r="E95" s="15"/>
      <c r="F95" s="13"/>
      <c r="G95" s="5"/>
      <c r="I95" s="5"/>
      <c r="K95" s="5"/>
      <c r="M95" s="45"/>
    </row>
    <row r="96" spans="2:13" ht="12.75">
      <c r="B96" s="4" t="s">
        <v>35</v>
      </c>
      <c r="C96" s="4" t="s">
        <v>248</v>
      </c>
      <c r="D96" s="4" t="s">
        <v>33</v>
      </c>
      <c r="E96" s="15" t="s">
        <v>15</v>
      </c>
      <c r="G96" s="17">
        <f>G80+G82+G84</f>
        <v>214.93246445101067</v>
      </c>
      <c r="I96" s="17">
        <f>I80+I82+I84</f>
        <v>104.58251634339723</v>
      </c>
      <c r="K96" s="17">
        <f>K80+K82+K84</f>
        <v>97.59120058850505</v>
      </c>
      <c r="M96" s="17">
        <f>AVERAGE(G96,I96,K96)</f>
        <v>139.03539379430433</v>
      </c>
    </row>
    <row r="97" spans="2:13" ht="12.75">
      <c r="B97" s="4" t="s">
        <v>34</v>
      </c>
      <c r="C97" s="4" t="s">
        <v>248</v>
      </c>
      <c r="D97" s="4" t="s">
        <v>33</v>
      </c>
      <c r="E97" s="15" t="s">
        <v>15</v>
      </c>
      <c r="G97" s="17">
        <f>G83+G88</f>
        <v>910.8549380777348</v>
      </c>
      <c r="I97" s="17">
        <f>I83+I88</f>
        <v>406.8445535195449</v>
      </c>
      <c r="K97" s="17">
        <f>K83+K88</f>
        <v>426.7004011794068</v>
      </c>
      <c r="M97" s="17">
        <f>AVERAGE(G97,I97,K97)</f>
        <v>581.4666309255621</v>
      </c>
    </row>
    <row r="98" spans="2:11" ht="12.75">
      <c r="B98" s="4"/>
      <c r="C98" s="4"/>
      <c r="E98" s="15"/>
      <c r="G98" s="45"/>
      <c r="H98" s="4"/>
      <c r="I98" s="45"/>
      <c r="J98" s="4"/>
      <c r="K98" s="45"/>
    </row>
    <row r="99" spans="2:13" ht="12.75">
      <c r="B99" s="4"/>
      <c r="C99" s="4"/>
      <c r="G99" s="44"/>
      <c r="H99" s="44"/>
      <c r="I99" s="44"/>
      <c r="J99" s="44"/>
      <c r="K99" s="44"/>
      <c r="M99" s="55"/>
    </row>
    <row r="100" spans="2:13" ht="12.75">
      <c r="B100" s="4"/>
      <c r="C100" s="4"/>
      <c r="G100" s="44"/>
      <c r="H100" s="44"/>
      <c r="I100" s="44"/>
      <c r="J100" s="44"/>
      <c r="K100" s="44"/>
      <c r="M100" s="55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I71"/>
  <sheetViews>
    <sheetView workbookViewId="0" topLeftCell="B1">
      <selection activeCell="E1" sqref="E1"/>
    </sheetView>
  </sheetViews>
  <sheetFormatPr defaultColWidth="9.140625" defaultRowHeight="12.75"/>
  <cols>
    <col min="1" max="1" width="3.57421875" style="87" hidden="1" customWidth="1"/>
    <col min="2" max="2" width="21.140625" style="0" customWidth="1"/>
    <col min="3" max="3" width="4.421875" style="0" customWidth="1"/>
    <col min="6" max="6" width="3.00390625" style="0" bestFit="1" customWidth="1"/>
    <col min="8" max="8" width="3.00390625" style="0" bestFit="1" customWidth="1"/>
    <col min="10" max="10" width="3.00390625" style="0" bestFit="1" customWidth="1"/>
    <col min="12" max="12" width="4.00390625" style="0" customWidth="1"/>
    <col min="14" max="14" width="3.00390625" style="0" customWidth="1"/>
    <col min="15" max="15" width="10.57421875" style="0" bestFit="1" customWidth="1"/>
    <col min="16" max="16" width="2.421875" style="0" customWidth="1"/>
  </cols>
  <sheetData>
    <row r="1" ht="12.75">
      <c r="B1" s="2" t="s">
        <v>202</v>
      </c>
    </row>
    <row r="2" ht="12.75">
      <c r="B2" s="2"/>
    </row>
    <row r="3" spans="1:13" ht="12.75">
      <c r="A3" s="87">
        <v>1</v>
      </c>
      <c r="B3" s="2" t="s">
        <v>173</v>
      </c>
      <c r="G3" s="81" t="s">
        <v>164</v>
      </c>
      <c r="H3" s="81"/>
      <c r="I3" s="81" t="s">
        <v>165</v>
      </c>
      <c r="J3" s="81"/>
      <c r="K3" s="81" t="s">
        <v>166</v>
      </c>
      <c r="L3" s="81"/>
      <c r="M3" s="81" t="s">
        <v>163</v>
      </c>
    </row>
    <row r="5" spans="1:61" s="74" customFormat="1" ht="12.75">
      <c r="A5" s="80"/>
      <c r="B5" s="74" t="s">
        <v>13</v>
      </c>
      <c r="C5" s="74" t="s">
        <v>247</v>
      </c>
      <c r="D5" s="74" t="s">
        <v>14</v>
      </c>
      <c r="E5" s="74" t="s">
        <v>15</v>
      </c>
      <c r="F5" s="75" t="s">
        <v>182</v>
      </c>
      <c r="G5" s="74">
        <v>0.01300012896</v>
      </c>
      <c r="H5" s="75" t="s">
        <v>182</v>
      </c>
      <c r="I5" s="74">
        <v>0.0300002976</v>
      </c>
      <c r="J5" s="75" t="s">
        <v>182</v>
      </c>
      <c r="K5" s="74">
        <v>0.03300032736</v>
      </c>
      <c r="L5" s="75" t="s">
        <v>182</v>
      </c>
      <c r="M5" s="74">
        <f>AVERAGE(G5,I5,K5)</f>
        <v>0.02533358464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</row>
    <row r="6" spans="1:61" s="76" customFormat="1" ht="12.75">
      <c r="A6" s="80"/>
      <c r="B6" s="76" t="s">
        <v>144</v>
      </c>
      <c r="C6" s="74" t="s">
        <v>247</v>
      </c>
      <c r="D6" s="76" t="s">
        <v>16</v>
      </c>
      <c r="E6" s="74" t="s">
        <v>15</v>
      </c>
      <c r="F6" s="75" t="s">
        <v>182</v>
      </c>
      <c r="G6" s="76">
        <v>4.9</v>
      </c>
      <c r="H6" s="75" t="s">
        <v>182</v>
      </c>
      <c r="I6" s="76">
        <v>3.6</v>
      </c>
      <c r="J6" s="75" t="s">
        <v>182</v>
      </c>
      <c r="K6" s="76">
        <v>2.3</v>
      </c>
      <c r="L6" s="75" t="s">
        <v>182</v>
      </c>
      <c r="M6" s="76">
        <f aca="true" t="shared" si="0" ref="M6:M11">AVERAGE(G6,I6,K6)</f>
        <v>3.6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</row>
    <row r="7" spans="1:61" s="76" customFormat="1" ht="12.75">
      <c r="A7" s="80"/>
      <c r="B7" s="76" t="s">
        <v>143</v>
      </c>
      <c r="C7" s="74" t="s">
        <v>247</v>
      </c>
      <c r="D7" s="76" t="s">
        <v>16</v>
      </c>
      <c r="E7" s="74" t="s">
        <v>15</v>
      </c>
      <c r="F7" s="75" t="s">
        <v>182</v>
      </c>
      <c r="G7" s="76">
        <v>3.9</v>
      </c>
      <c r="H7" s="75" t="s">
        <v>182</v>
      </c>
      <c r="I7" s="76">
        <v>3</v>
      </c>
      <c r="J7" s="75" t="s">
        <v>182</v>
      </c>
      <c r="K7" s="76">
        <v>2.2</v>
      </c>
      <c r="L7" s="75" t="s">
        <v>182</v>
      </c>
      <c r="M7" s="76">
        <f t="shared" si="0"/>
        <v>3.0333333333333337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</row>
    <row r="8" spans="1:61" s="76" customFormat="1" ht="12.75">
      <c r="A8" s="80"/>
      <c r="B8" s="76" t="s">
        <v>151</v>
      </c>
      <c r="C8" s="74" t="s">
        <v>247</v>
      </c>
      <c r="D8" s="76" t="s">
        <v>16</v>
      </c>
      <c r="E8" s="74" t="s">
        <v>15</v>
      </c>
      <c r="F8" s="75" t="s">
        <v>182</v>
      </c>
      <c r="G8" s="76">
        <v>4.4</v>
      </c>
      <c r="H8" s="75" t="s">
        <v>182</v>
      </c>
      <c r="I8" s="76">
        <v>5.8</v>
      </c>
      <c r="J8" s="75" t="s">
        <v>182</v>
      </c>
      <c r="K8" s="76">
        <v>4.5</v>
      </c>
      <c r="L8" s="75" t="s">
        <v>182</v>
      </c>
      <c r="M8" s="76">
        <f t="shared" si="0"/>
        <v>4.8999999999999995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</row>
    <row r="9" spans="1:61" s="76" customFormat="1" ht="12.75">
      <c r="A9" s="80"/>
      <c r="B9" s="76" t="s">
        <v>130</v>
      </c>
      <c r="C9" s="74" t="s">
        <v>247</v>
      </c>
      <c r="D9" s="76" t="s">
        <v>16</v>
      </c>
      <c r="E9" s="74" t="s">
        <v>15</v>
      </c>
      <c r="F9" s="75" t="s">
        <v>182</v>
      </c>
      <c r="G9" s="76">
        <v>3</v>
      </c>
      <c r="H9" s="75" t="s">
        <v>182</v>
      </c>
      <c r="I9" s="76">
        <v>5.2</v>
      </c>
      <c r="J9" s="75" t="s">
        <v>182</v>
      </c>
      <c r="K9" s="76">
        <v>4.1</v>
      </c>
      <c r="L9" s="75" t="s">
        <v>182</v>
      </c>
      <c r="M9" s="76">
        <f t="shared" si="0"/>
        <v>4.1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</row>
    <row r="10" spans="1:61" s="76" customFormat="1" ht="12.75">
      <c r="A10" s="80"/>
      <c r="B10" s="76" t="s">
        <v>24</v>
      </c>
      <c r="C10" s="74" t="s">
        <v>247</v>
      </c>
      <c r="D10" s="76" t="s">
        <v>16</v>
      </c>
      <c r="E10" s="74" t="s">
        <v>15</v>
      </c>
      <c r="F10" s="75" t="s">
        <v>182</v>
      </c>
      <c r="G10" s="76">
        <v>917</v>
      </c>
      <c r="H10" s="75" t="s">
        <v>182</v>
      </c>
      <c r="I10" s="76">
        <v>820</v>
      </c>
      <c r="J10" s="75" t="s">
        <v>182</v>
      </c>
      <c r="K10" s="76">
        <v>812</v>
      </c>
      <c r="L10" s="75" t="s">
        <v>182</v>
      </c>
      <c r="M10" s="76">
        <f t="shared" si="0"/>
        <v>849.6666666666666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</row>
    <row r="11" spans="1:61" s="76" customFormat="1" ht="12.75">
      <c r="A11" s="80"/>
      <c r="B11" s="76" t="s">
        <v>25</v>
      </c>
      <c r="C11" s="74" t="s">
        <v>247</v>
      </c>
      <c r="D11" s="76" t="s">
        <v>16</v>
      </c>
      <c r="E11" s="74" t="s">
        <v>15</v>
      </c>
      <c r="F11" s="75" t="s">
        <v>182</v>
      </c>
      <c r="G11" s="76">
        <v>2.07</v>
      </c>
      <c r="H11" s="75" t="s">
        <v>182</v>
      </c>
      <c r="I11" s="76">
        <v>1.94</v>
      </c>
      <c r="J11" s="75" t="s">
        <v>182</v>
      </c>
      <c r="K11" s="76">
        <v>1.42</v>
      </c>
      <c r="L11" s="75" t="s">
        <v>182</v>
      </c>
      <c r="M11" s="76">
        <f t="shared" si="0"/>
        <v>1.8099999999999998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</row>
    <row r="12" spans="1:61" s="76" customFormat="1" ht="12.75">
      <c r="A12" s="80"/>
      <c r="B12" s="76" t="s">
        <v>54</v>
      </c>
      <c r="C12" s="74" t="s">
        <v>247</v>
      </c>
      <c r="D12" s="76" t="s">
        <v>16</v>
      </c>
      <c r="E12" s="74" t="s">
        <v>15</v>
      </c>
      <c r="F12" s="75"/>
      <c r="G12" s="76">
        <f>G10+2*G11</f>
        <v>921.14</v>
      </c>
      <c r="H12" s="75"/>
      <c r="I12" s="76">
        <f>I10+2*I11</f>
        <v>823.88</v>
      </c>
      <c r="J12" s="75"/>
      <c r="K12" s="76">
        <f>K10+2*K11</f>
        <v>814.84</v>
      </c>
      <c r="L12" s="75"/>
      <c r="M12" s="76">
        <f>AVERAGE(G12,I12,K12)</f>
        <v>853.2866666666667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</row>
    <row r="13" spans="1:61" s="76" customFormat="1" ht="12.75">
      <c r="A13" s="80"/>
      <c r="C13" s="74"/>
      <c r="E13" s="74"/>
      <c r="F13" s="75"/>
      <c r="H13" s="75"/>
      <c r="J13" s="75"/>
      <c r="L13" s="75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</row>
    <row r="14" spans="1:61" s="76" customFormat="1" ht="12.75">
      <c r="A14" s="80"/>
      <c r="B14" s="76" t="s">
        <v>97</v>
      </c>
      <c r="C14" s="76" t="s">
        <v>248</v>
      </c>
      <c r="D14" s="76" t="s">
        <v>33</v>
      </c>
      <c r="E14" s="74" t="s">
        <v>15</v>
      </c>
      <c r="F14" s="75" t="s">
        <v>182</v>
      </c>
      <c r="G14" s="76">
        <v>301</v>
      </c>
      <c r="H14" s="75" t="s">
        <v>182</v>
      </c>
      <c r="I14" s="76">
        <v>14.3</v>
      </c>
      <c r="J14" s="75" t="s">
        <v>182</v>
      </c>
      <c r="K14" s="76">
        <v>42.9</v>
      </c>
      <c r="L14" s="75" t="s">
        <v>182</v>
      </c>
      <c r="M14" s="76">
        <f aca="true" t="shared" si="1" ref="M14:M21">AVERAGE(G14,I14,K14)</f>
        <v>119.39999999999999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</row>
    <row r="15" spans="1:61" s="76" customFormat="1" ht="12.75">
      <c r="A15" s="80"/>
      <c r="B15" s="76" t="s">
        <v>96</v>
      </c>
      <c r="C15" s="76" t="s">
        <v>248</v>
      </c>
      <c r="D15" s="76" t="s">
        <v>33</v>
      </c>
      <c r="E15" s="74" t="s">
        <v>15</v>
      </c>
      <c r="F15" s="75" t="s">
        <v>182</v>
      </c>
      <c r="G15" s="76">
        <v>2.02</v>
      </c>
      <c r="H15" s="75" t="s">
        <v>182</v>
      </c>
      <c r="I15" s="76">
        <v>89.4</v>
      </c>
      <c r="J15" s="75" t="s">
        <v>182</v>
      </c>
      <c r="K15" s="76">
        <v>124</v>
      </c>
      <c r="L15" s="75" t="s">
        <v>182</v>
      </c>
      <c r="M15" s="76">
        <f t="shared" si="1"/>
        <v>71.80666666666667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</row>
    <row r="16" spans="1:61" s="76" customFormat="1" ht="12.75">
      <c r="A16" s="80"/>
      <c r="B16" s="76" t="s">
        <v>98</v>
      </c>
      <c r="C16" s="76" t="s">
        <v>248</v>
      </c>
      <c r="D16" s="76" t="s">
        <v>33</v>
      </c>
      <c r="E16" s="74" t="s">
        <v>15</v>
      </c>
      <c r="F16" s="75" t="s">
        <v>182</v>
      </c>
      <c r="G16" s="76">
        <v>15.8</v>
      </c>
      <c r="H16" s="75" t="s">
        <v>161</v>
      </c>
      <c r="I16" s="76">
        <v>59.6</v>
      </c>
      <c r="J16" s="75" t="s">
        <v>161</v>
      </c>
      <c r="K16" s="76">
        <v>62.2</v>
      </c>
      <c r="L16" s="75" t="s">
        <v>182</v>
      </c>
      <c r="M16" s="76">
        <f t="shared" si="1"/>
        <v>45.866666666666674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</row>
    <row r="17" spans="1:61" s="76" customFormat="1" ht="12.75">
      <c r="A17" s="80"/>
      <c r="B17" s="76" t="s">
        <v>99</v>
      </c>
      <c r="C17" s="76" t="s">
        <v>248</v>
      </c>
      <c r="D17" s="76" t="s">
        <v>33</v>
      </c>
      <c r="E17" s="74" t="s">
        <v>15</v>
      </c>
      <c r="F17" s="75" t="s">
        <v>182</v>
      </c>
      <c r="G17" s="76">
        <v>1.23</v>
      </c>
      <c r="H17" s="75" t="s">
        <v>161</v>
      </c>
      <c r="I17" s="76">
        <v>4.25</v>
      </c>
      <c r="J17" s="75" t="s">
        <v>182</v>
      </c>
      <c r="K17" s="76">
        <v>3.9</v>
      </c>
      <c r="L17" s="75" t="s">
        <v>182</v>
      </c>
      <c r="M17" s="76">
        <f t="shared" si="1"/>
        <v>3.126666666666667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</row>
    <row r="18" spans="1:61" s="76" customFormat="1" ht="12.75">
      <c r="A18" s="80"/>
      <c r="B18" s="76" t="s">
        <v>100</v>
      </c>
      <c r="C18" s="76" t="s">
        <v>248</v>
      </c>
      <c r="D18" s="76" t="s">
        <v>33</v>
      </c>
      <c r="E18" s="74" t="s">
        <v>15</v>
      </c>
      <c r="F18" s="75" t="s">
        <v>182</v>
      </c>
      <c r="G18" s="76">
        <v>21.8</v>
      </c>
      <c r="H18" s="75" t="s">
        <v>182</v>
      </c>
      <c r="I18" s="76">
        <v>103</v>
      </c>
      <c r="J18" s="75" t="s">
        <v>182</v>
      </c>
      <c r="K18" s="76">
        <v>62.2</v>
      </c>
      <c r="L18" s="75" t="s">
        <v>182</v>
      </c>
      <c r="M18" s="76">
        <f t="shared" si="1"/>
        <v>62.333333333333336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</row>
    <row r="19" spans="1:61" s="76" customFormat="1" ht="12.75">
      <c r="A19" s="80"/>
      <c r="B19" s="76" t="s">
        <v>101</v>
      </c>
      <c r="C19" s="76" t="s">
        <v>248</v>
      </c>
      <c r="D19" s="76" t="s">
        <v>33</v>
      </c>
      <c r="E19" s="74" t="s">
        <v>15</v>
      </c>
      <c r="F19" s="75" t="s">
        <v>161</v>
      </c>
      <c r="G19" s="76">
        <v>12.3</v>
      </c>
      <c r="H19" s="75" t="s">
        <v>161</v>
      </c>
      <c r="I19" s="76">
        <v>54.2</v>
      </c>
      <c r="J19" s="75" t="s">
        <v>161</v>
      </c>
      <c r="K19" s="76">
        <v>32.3</v>
      </c>
      <c r="L19" s="75">
        <v>100</v>
      </c>
      <c r="M19" s="76">
        <f t="shared" si="1"/>
        <v>32.93333333333333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</row>
    <row r="20" spans="1:61" s="76" customFormat="1" ht="12.75">
      <c r="A20" s="80"/>
      <c r="B20" s="76" t="s">
        <v>183</v>
      </c>
      <c r="C20" s="76" t="s">
        <v>249</v>
      </c>
      <c r="D20" s="76" t="s">
        <v>33</v>
      </c>
      <c r="E20" s="74" t="s">
        <v>15</v>
      </c>
      <c r="F20" s="75" t="s">
        <v>182</v>
      </c>
      <c r="G20" s="76">
        <v>1.56</v>
      </c>
      <c r="H20" s="75" t="s">
        <v>182</v>
      </c>
      <c r="I20" s="76">
        <v>1.17</v>
      </c>
      <c r="J20" s="75" t="s">
        <v>161</v>
      </c>
      <c r="K20" s="76">
        <v>1.56</v>
      </c>
      <c r="L20" s="75" t="s">
        <v>182</v>
      </c>
      <c r="M20" s="76">
        <f t="shared" si="1"/>
        <v>1.43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</row>
    <row r="21" spans="1:61" s="76" customFormat="1" ht="12.75">
      <c r="A21" s="80"/>
      <c r="B21" s="76" t="s">
        <v>103</v>
      </c>
      <c r="C21" s="76" t="s">
        <v>248</v>
      </c>
      <c r="D21" s="76" t="s">
        <v>33</v>
      </c>
      <c r="E21" s="74" t="s">
        <v>15</v>
      </c>
      <c r="F21" s="75" t="s">
        <v>182</v>
      </c>
      <c r="G21" s="76">
        <v>1490</v>
      </c>
      <c r="H21" s="75" t="s">
        <v>182</v>
      </c>
      <c r="I21" s="76">
        <v>1550</v>
      </c>
      <c r="J21" s="75" t="s">
        <v>182</v>
      </c>
      <c r="K21" s="76">
        <v>1770</v>
      </c>
      <c r="L21" s="75" t="s">
        <v>182</v>
      </c>
      <c r="M21" s="76">
        <f t="shared" si="1"/>
        <v>1603.3333333333333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</row>
    <row r="22" spans="1:61" s="76" customFormat="1" ht="12.75">
      <c r="A22" s="80"/>
      <c r="B22" s="76" t="s">
        <v>104</v>
      </c>
      <c r="C22" s="76" t="s">
        <v>248</v>
      </c>
      <c r="D22" s="76" t="s">
        <v>33</v>
      </c>
      <c r="E22" s="74" t="s">
        <v>15</v>
      </c>
      <c r="F22" s="75" t="s">
        <v>182</v>
      </c>
      <c r="G22" s="76">
        <v>16</v>
      </c>
      <c r="H22" s="75" t="s">
        <v>182</v>
      </c>
      <c r="I22" s="76">
        <v>25.3</v>
      </c>
      <c r="J22" s="75" t="s">
        <v>182</v>
      </c>
      <c r="K22" s="76">
        <v>25.2</v>
      </c>
      <c r="L22" s="75" t="s">
        <v>182</v>
      </c>
      <c r="M22" s="76">
        <f>AVERAGE(G22,I22,K22)</f>
        <v>22.166666666666668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</row>
    <row r="23" spans="1:61" s="76" customFormat="1" ht="12.75">
      <c r="A23" s="80"/>
      <c r="B23" s="76" t="s">
        <v>107</v>
      </c>
      <c r="C23" s="76" t="s">
        <v>248</v>
      </c>
      <c r="D23" s="76" t="s">
        <v>33</v>
      </c>
      <c r="E23" s="74" t="s">
        <v>15</v>
      </c>
      <c r="F23" s="75" t="s">
        <v>161</v>
      </c>
      <c r="G23" s="76">
        <v>3.68</v>
      </c>
      <c r="H23" s="75" t="s">
        <v>161</v>
      </c>
      <c r="I23" s="76">
        <v>3.75</v>
      </c>
      <c r="J23" s="75" t="s">
        <v>161</v>
      </c>
      <c r="K23" s="76">
        <v>2.86</v>
      </c>
      <c r="L23" s="75">
        <v>100</v>
      </c>
      <c r="M23" s="76">
        <f>AVERAGE(G23,I23,K23)</f>
        <v>3.4299999999999997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</row>
    <row r="24" spans="1:61" s="76" customFormat="1" ht="12.75">
      <c r="A24" s="80"/>
      <c r="B24" s="76" t="s">
        <v>108</v>
      </c>
      <c r="C24" s="76" t="s">
        <v>248</v>
      </c>
      <c r="D24" s="76" t="s">
        <v>33</v>
      </c>
      <c r="E24" s="74" t="s">
        <v>15</v>
      </c>
      <c r="F24" s="75" t="s">
        <v>161</v>
      </c>
      <c r="G24" s="76">
        <v>2</v>
      </c>
      <c r="H24" s="75" t="s">
        <v>161</v>
      </c>
      <c r="I24" s="76">
        <v>1.25</v>
      </c>
      <c r="J24" s="75" t="s">
        <v>161</v>
      </c>
      <c r="K24" s="76">
        <v>1.66</v>
      </c>
      <c r="L24" s="75">
        <v>100</v>
      </c>
      <c r="M24" s="76">
        <f>AVERAGE(G24,I24,K24)</f>
        <v>1.6366666666666667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</row>
    <row r="25" spans="1:61" s="76" customFormat="1" ht="12.75">
      <c r="A25" s="80"/>
      <c r="B25" s="76" t="s">
        <v>34</v>
      </c>
      <c r="C25" s="76" t="s">
        <v>248</v>
      </c>
      <c r="D25" s="76" t="s">
        <v>33</v>
      </c>
      <c r="E25" s="74" t="s">
        <v>15</v>
      </c>
      <c r="F25" s="75"/>
      <c r="G25" s="76">
        <f>G21+G18</f>
        <v>1511.8</v>
      </c>
      <c r="H25" s="75"/>
      <c r="I25" s="76">
        <f>I21+I18</f>
        <v>1653</v>
      </c>
      <c r="J25" s="75"/>
      <c r="K25" s="76">
        <f>K21+K18</f>
        <v>1832.2</v>
      </c>
      <c r="L25" s="75"/>
      <c r="M25" s="76">
        <f>AVERAGE(G25,I25,K25)</f>
        <v>1665.6666666666667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</row>
    <row r="26" spans="1:61" s="76" customFormat="1" ht="12.75">
      <c r="A26" s="80"/>
      <c r="B26" s="76" t="s">
        <v>35</v>
      </c>
      <c r="C26" s="76" t="s">
        <v>248</v>
      </c>
      <c r="D26" s="76" t="s">
        <v>33</v>
      </c>
      <c r="E26" s="74" t="s">
        <v>15</v>
      </c>
      <c r="F26" s="75"/>
      <c r="G26" s="76">
        <f>G15+G17+G19/2</f>
        <v>9.4</v>
      </c>
      <c r="H26" s="75"/>
      <c r="I26" s="76">
        <f>I15+I17+I19/2</f>
        <v>120.75</v>
      </c>
      <c r="J26" s="75"/>
      <c r="K26" s="76">
        <f>K15+K17+K19/2</f>
        <v>144.05</v>
      </c>
      <c r="L26" s="75"/>
      <c r="M26" s="76">
        <f>AVERAGE(G26,I26,K26)</f>
        <v>91.40000000000002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</row>
    <row r="27" spans="1:61" s="77" customFormat="1" ht="12.75">
      <c r="A27" s="80"/>
      <c r="G27" s="75"/>
      <c r="H27" s="75"/>
      <c r="I27" s="75"/>
      <c r="J27" s="75"/>
      <c r="K27" s="75"/>
      <c r="L27" s="75"/>
      <c r="M27" s="75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</row>
    <row r="28" spans="1:61" s="77" customFormat="1" ht="12.75">
      <c r="A28" s="80"/>
      <c r="B28" s="76" t="s">
        <v>55</v>
      </c>
      <c r="C28" s="77" t="s">
        <v>185</v>
      </c>
      <c r="D28" s="77" t="s">
        <v>247</v>
      </c>
      <c r="G28" s="75"/>
      <c r="H28" s="75"/>
      <c r="I28" s="75"/>
      <c r="J28" s="75"/>
      <c r="K28" s="75"/>
      <c r="L28" s="75"/>
      <c r="M28" s="75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</row>
    <row r="29" spans="1:61" s="77" customFormat="1" ht="12.75">
      <c r="A29" s="80"/>
      <c r="B29" s="4" t="s">
        <v>50</v>
      </c>
      <c r="C29" s="4"/>
      <c r="D29" s="4" t="s">
        <v>17</v>
      </c>
      <c r="G29" s="75">
        <v>22700</v>
      </c>
      <c r="H29" s="75"/>
      <c r="I29" s="75">
        <v>24400</v>
      </c>
      <c r="J29" s="75"/>
      <c r="K29" s="75">
        <v>22600</v>
      </c>
      <c r="L29" s="75"/>
      <c r="M29" s="75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</row>
    <row r="30" spans="1:61" s="77" customFormat="1" ht="12.75">
      <c r="A30" s="80"/>
      <c r="B30" s="4" t="s">
        <v>52</v>
      </c>
      <c r="C30" s="4"/>
      <c r="D30" s="4" t="s">
        <v>18</v>
      </c>
      <c r="G30" s="75">
        <v>15.5</v>
      </c>
      <c r="H30" s="75"/>
      <c r="I30" s="75">
        <v>15.5</v>
      </c>
      <c r="J30" s="75"/>
      <c r="K30" s="75">
        <v>15.1</v>
      </c>
      <c r="L30" s="75"/>
      <c r="M30" s="75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</row>
    <row r="31" spans="1:61" s="77" customFormat="1" ht="12.75">
      <c r="A31" s="80"/>
      <c r="B31" s="4" t="s">
        <v>53</v>
      </c>
      <c r="C31" s="4"/>
      <c r="D31" s="4" t="s">
        <v>18</v>
      </c>
      <c r="G31" s="75">
        <v>9.4</v>
      </c>
      <c r="H31" s="75"/>
      <c r="I31" s="75">
        <v>9.2</v>
      </c>
      <c r="J31" s="75"/>
      <c r="K31" s="75">
        <v>9.2</v>
      </c>
      <c r="L31" s="75"/>
      <c r="M31" s="75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</row>
    <row r="32" spans="1:61" s="77" customFormat="1" ht="12.75">
      <c r="A32" s="80"/>
      <c r="B32" s="4" t="s">
        <v>49</v>
      </c>
      <c r="C32" s="4"/>
      <c r="D32" s="4" t="s">
        <v>19</v>
      </c>
      <c r="G32" s="75">
        <v>364</v>
      </c>
      <c r="H32" s="75"/>
      <c r="I32" s="75">
        <v>366</v>
      </c>
      <c r="J32" s="75"/>
      <c r="K32" s="75">
        <v>358</v>
      </c>
      <c r="L32" s="75"/>
      <c r="M32" s="75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</row>
    <row r="33" spans="1:61" s="77" customFormat="1" ht="12.75">
      <c r="A33" s="80"/>
      <c r="G33" s="75"/>
      <c r="H33" s="75"/>
      <c r="I33" s="75"/>
      <c r="J33" s="75"/>
      <c r="K33" s="75"/>
      <c r="L33" s="75"/>
      <c r="M33" s="75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</row>
    <row r="34" spans="1:61" s="77" customFormat="1" ht="12.75">
      <c r="A34" s="80"/>
      <c r="B34" s="76" t="s">
        <v>55</v>
      </c>
      <c r="C34" s="77" t="s">
        <v>111</v>
      </c>
      <c r="D34" s="77" t="s">
        <v>248</v>
      </c>
      <c r="G34" s="75"/>
      <c r="H34" s="75"/>
      <c r="I34" s="75"/>
      <c r="J34" s="75"/>
      <c r="K34" s="75"/>
      <c r="L34" s="75"/>
      <c r="M34" s="75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</row>
    <row r="35" spans="1:61" s="77" customFormat="1" ht="12.75">
      <c r="A35" s="80"/>
      <c r="B35" s="4" t="s">
        <v>50</v>
      </c>
      <c r="C35" s="4"/>
      <c r="D35" s="4" t="s">
        <v>17</v>
      </c>
      <c r="G35" s="75">
        <v>23400</v>
      </c>
      <c r="H35" s="75"/>
      <c r="I35" s="75">
        <v>24100</v>
      </c>
      <c r="J35" s="75"/>
      <c r="K35" s="75">
        <v>22900</v>
      </c>
      <c r="L35" s="75"/>
      <c r="M35" s="7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</row>
    <row r="36" spans="1:61" s="77" customFormat="1" ht="12.75">
      <c r="A36" s="80"/>
      <c r="B36" s="4" t="s">
        <v>52</v>
      </c>
      <c r="C36" s="4"/>
      <c r="D36" s="4" t="s">
        <v>18</v>
      </c>
      <c r="G36" s="75">
        <v>15.2</v>
      </c>
      <c r="H36" s="75"/>
      <c r="I36" s="75">
        <v>15.5</v>
      </c>
      <c r="J36" s="75"/>
      <c r="K36" s="75">
        <v>15.2</v>
      </c>
      <c r="L36" s="75"/>
      <c r="M36" s="75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</row>
    <row r="37" spans="1:61" s="77" customFormat="1" ht="12.75">
      <c r="A37" s="80"/>
      <c r="B37" s="4" t="s">
        <v>53</v>
      </c>
      <c r="C37" s="4"/>
      <c r="D37" s="4" t="s">
        <v>18</v>
      </c>
      <c r="G37" s="75">
        <v>9.4</v>
      </c>
      <c r="H37" s="75"/>
      <c r="I37" s="75">
        <v>7</v>
      </c>
      <c r="J37" s="75"/>
      <c r="K37" s="75">
        <v>11</v>
      </c>
      <c r="L37" s="75"/>
      <c r="M37" s="75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</row>
    <row r="38" spans="1:61" s="77" customFormat="1" ht="12.75">
      <c r="A38" s="80"/>
      <c r="B38" s="4" t="s">
        <v>49</v>
      </c>
      <c r="C38" s="4"/>
      <c r="D38" s="4" t="s">
        <v>19</v>
      </c>
      <c r="G38" s="75">
        <v>357</v>
      </c>
      <c r="H38" s="75"/>
      <c r="I38" s="75">
        <v>357</v>
      </c>
      <c r="J38" s="75"/>
      <c r="K38" s="75">
        <v>351</v>
      </c>
      <c r="L38" s="75"/>
      <c r="M38" s="75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</row>
    <row r="39" spans="1:61" s="76" customFormat="1" ht="12.75">
      <c r="A39" s="80"/>
      <c r="F39" s="75"/>
      <c r="H39" s="75"/>
      <c r="J39" s="75"/>
      <c r="L39" s="75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</row>
    <row r="40" spans="1:61" s="76" customFormat="1" ht="12.75">
      <c r="A40" s="80"/>
      <c r="B40" s="76" t="s">
        <v>55</v>
      </c>
      <c r="C40" s="77" t="s">
        <v>184</v>
      </c>
      <c r="D40" s="76" t="s">
        <v>249</v>
      </c>
      <c r="F40" s="75"/>
      <c r="H40" s="75"/>
      <c r="J40" s="75"/>
      <c r="L40" s="75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</row>
    <row r="41" spans="1:61" s="77" customFormat="1" ht="12.75">
      <c r="A41" s="80"/>
      <c r="B41" s="4" t="s">
        <v>50</v>
      </c>
      <c r="C41" s="4"/>
      <c r="D41" s="4" t="s">
        <v>17</v>
      </c>
      <c r="G41" s="75">
        <v>22100</v>
      </c>
      <c r="H41" s="75"/>
      <c r="I41" s="75">
        <v>23400</v>
      </c>
      <c r="J41" s="75"/>
      <c r="K41" s="75">
        <v>21000</v>
      </c>
      <c r="L41" s="75"/>
      <c r="M41" s="75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</row>
    <row r="42" spans="1:61" s="77" customFormat="1" ht="12.75">
      <c r="A42" s="80"/>
      <c r="B42" s="4" t="s">
        <v>52</v>
      </c>
      <c r="C42" s="4"/>
      <c r="D42" s="4" t="s">
        <v>18</v>
      </c>
      <c r="G42" s="75">
        <v>15.6</v>
      </c>
      <c r="H42" s="75"/>
      <c r="I42" s="75">
        <v>15.4</v>
      </c>
      <c r="J42" s="75"/>
      <c r="K42" s="75">
        <v>15</v>
      </c>
      <c r="L42" s="75"/>
      <c r="M42" s="75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</row>
    <row r="43" spans="1:61" s="77" customFormat="1" ht="12.75">
      <c r="A43" s="80"/>
      <c r="B43" s="4" t="s">
        <v>53</v>
      </c>
      <c r="C43" s="4"/>
      <c r="D43" s="4" t="s">
        <v>18</v>
      </c>
      <c r="G43" s="75">
        <v>11.3</v>
      </c>
      <c r="H43" s="75"/>
      <c r="I43" s="75">
        <v>8.7</v>
      </c>
      <c r="J43" s="75"/>
      <c r="K43" s="75">
        <v>9.4</v>
      </c>
      <c r="L43" s="75"/>
      <c r="M43" s="75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</row>
    <row r="44" spans="1:61" s="77" customFormat="1" ht="12.75">
      <c r="A44" s="80"/>
      <c r="B44" s="4" t="s">
        <v>49</v>
      </c>
      <c r="C44" s="4"/>
      <c r="D44" s="4" t="s">
        <v>19</v>
      </c>
      <c r="G44" s="75">
        <v>366</v>
      </c>
      <c r="H44" s="75"/>
      <c r="I44" s="75">
        <v>366</v>
      </c>
      <c r="J44" s="75"/>
      <c r="K44" s="75">
        <v>358</v>
      </c>
      <c r="L44" s="75"/>
      <c r="M44" s="75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</row>
    <row r="45" spans="1:61" s="76" customFormat="1" ht="12.75">
      <c r="A45" s="80"/>
      <c r="F45" s="75"/>
      <c r="H45" s="75"/>
      <c r="J45" s="75"/>
      <c r="L45" s="7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</row>
    <row r="46" spans="1:61" s="76" customFormat="1" ht="12.75">
      <c r="A46" s="80">
        <v>3</v>
      </c>
      <c r="B46" s="78" t="s">
        <v>181</v>
      </c>
      <c r="F46" s="75"/>
      <c r="G46" s="92" t="s">
        <v>164</v>
      </c>
      <c r="H46" s="93"/>
      <c r="I46" s="92" t="s">
        <v>165</v>
      </c>
      <c r="J46" s="93"/>
      <c r="K46" s="92" t="s">
        <v>166</v>
      </c>
      <c r="L46" s="93"/>
      <c r="M46" s="92" t="s">
        <v>163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</row>
    <row r="47" spans="1:61" s="76" customFormat="1" ht="12.75">
      <c r="A47" s="80"/>
      <c r="F47" s="75"/>
      <c r="H47" s="75"/>
      <c r="J47" s="75"/>
      <c r="L47" s="75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</row>
    <row r="48" spans="1:61" s="74" customFormat="1" ht="12.75">
      <c r="A48" s="80"/>
      <c r="B48" s="74" t="s">
        <v>13</v>
      </c>
      <c r="C48" s="74" t="s">
        <v>247</v>
      </c>
      <c r="D48" s="74" t="s">
        <v>14</v>
      </c>
      <c r="E48" s="74" t="s">
        <v>15</v>
      </c>
      <c r="F48" s="75" t="s">
        <v>182</v>
      </c>
      <c r="G48" s="74">
        <v>0.0030700304544</v>
      </c>
      <c r="H48" s="75" t="s">
        <v>182</v>
      </c>
      <c r="I48" s="74">
        <v>0.0031400311488</v>
      </c>
      <c r="J48" s="75" t="s">
        <v>182</v>
      </c>
      <c r="K48" s="74">
        <v>0.0013400132928</v>
      </c>
      <c r="L48" s="75" t="s">
        <v>182</v>
      </c>
      <c r="M48" s="74">
        <f>AVERAGE(G48,I48,K48)</f>
        <v>0.0025166916320000002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</row>
    <row r="49" spans="1:61" s="76" customFormat="1" ht="12.75">
      <c r="A49" s="80"/>
      <c r="B49" s="76" t="s">
        <v>24</v>
      </c>
      <c r="C49" s="74" t="s">
        <v>247</v>
      </c>
      <c r="D49" s="76" t="s">
        <v>16</v>
      </c>
      <c r="E49" s="74" t="s">
        <v>15</v>
      </c>
      <c r="F49" s="75" t="s">
        <v>182</v>
      </c>
      <c r="G49" s="76">
        <v>1307.6711369454</v>
      </c>
      <c r="H49" s="75" t="s">
        <v>182</v>
      </c>
      <c r="I49" s="76">
        <v>1133.1889716044159</v>
      </c>
      <c r="J49" s="75" t="s">
        <v>182</v>
      </c>
      <c r="K49" s="76">
        <v>1234.5031979888547</v>
      </c>
      <c r="L49" s="75" t="s">
        <v>182</v>
      </c>
      <c r="M49" s="76">
        <f>AVERAGE(G49,I49,K49)</f>
        <v>1225.1211021795568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</row>
    <row r="50" spans="1:61" s="76" customFormat="1" ht="12.75">
      <c r="A50" s="80"/>
      <c r="B50" s="76" t="s">
        <v>25</v>
      </c>
      <c r="C50" s="74" t="s">
        <v>247</v>
      </c>
      <c r="D50" s="76" t="s">
        <v>16</v>
      </c>
      <c r="E50" s="74" t="s">
        <v>15</v>
      </c>
      <c r="F50" s="75" t="s">
        <v>182</v>
      </c>
      <c r="G50" s="76">
        <v>2.179556600742966</v>
      </c>
      <c r="H50" s="75" t="s">
        <v>182</v>
      </c>
      <c r="I50" s="76">
        <v>0.49757682397449154</v>
      </c>
      <c r="J50" s="75" t="s">
        <v>182</v>
      </c>
      <c r="K50" s="76">
        <v>0.11695181760084206</v>
      </c>
      <c r="L50" s="75" t="s">
        <v>182</v>
      </c>
      <c r="M50" s="76">
        <f>AVERAGE(G50,I50,K50)</f>
        <v>0.931361747439433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</row>
    <row r="51" spans="1:61" s="76" customFormat="1" ht="12.75">
      <c r="A51" s="80"/>
      <c r="B51" s="76" t="s">
        <v>54</v>
      </c>
      <c r="C51" s="74" t="s">
        <v>247</v>
      </c>
      <c r="D51" s="76" t="s">
        <v>16</v>
      </c>
      <c r="E51" s="74" t="s">
        <v>15</v>
      </c>
      <c r="F51" s="75"/>
      <c r="G51" s="76">
        <f>G49+2*G50</f>
        <v>1312.030250146886</v>
      </c>
      <c r="H51" s="75"/>
      <c r="I51" s="76">
        <f>I49+2*I50</f>
        <v>1134.1841252523648</v>
      </c>
      <c r="J51" s="75"/>
      <c r="K51" s="76">
        <f>K49+2*K50</f>
        <v>1234.7371016240563</v>
      </c>
      <c r="L51" s="75"/>
      <c r="M51" s="76">
        <f>AVERAGE(G51,I51,K51)</f>
        <v>1226.9838256744356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</row>
    <row r="52" spans="1:61" s="76" customFormat="1" ht="12.75">
      <c r="A52" s="80"/>
      <c r="B52" s="76" t="s">
        <v>97</v>
      </c>
      <c r="C52" s="74" t="s">
        <v>247</v>
      </c>
      <c r="D52" s="76" t="s">
        <v>33</v>
      </c>
      <c r="E52" s="74" t="s">
        <v>15</v>
      </c>
      <c r="F52" s="75" t="s">
        <v>182</v>
      </c>
      <c r="G52" s="76">
        <v>15.761556954208118</v>
      </c>
      <c r="H52" s="75" t="s">
        <v>182</v>
      </c>
      <c r="I52" s="76">
        <v>4.378210265057811</v>
      </c>
      <c r="J52" s="75" t="s">
        <v>182</v>
      </c>
      <c r="K52" s="76">
        <v>2.3141968543877</v>
      </c>
      <c r="L52" s="75" t="s">
        <v>182</v>
      </c>
      <c r="M52" s="76">
        <f aca="true" t="shared" si="2" ref="M52:M59">AVERAGE(G52,I52,K52)</f>
        <v>7.484654691217876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</row>
    <row r="53" spans="1:61" s="76" customFormat="1" ht="12.75">
      <c r="A53" s="80"/>
      <c r="B53" s="76" t="s">
        <v>96</v>
      </c>
      <c r="C53" s="74" t="s">
        <v>247</v>
      </c>
      <c r="D53" s="76" t="s">
        <v>33</v>
      </c>
      <c r="E53" s="74" t="s">
        <v>15</v>
      </c>
      <c r="F53" s="75" t="s">
        <v>182</v>
      </c>
      <c r="G53" s="76">
        <v>3.8152975166932355</v>
      </c>
      <c r="H53" s="75" t="s">
        <v>182</v>
      </c>
      <c r="I53" s="76">
        <v>3.377476490187454</v>
      </c>
      <c r="J53" s="75" t="s">
        <v>182</v>
      </c>
      <c r="K53" s="76">
        <v>2.626926159034687</v>
      </c>
      <c r="L53" s="75" t="s">
        <v>182</v>
      </c>
      <c r="M53" s="76">
        <f t="shared" si="2"/>
        <v>3.273233388638459</v>
      </c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</row>
    <row r="54" spans="1:61" s="76" customFormat="1" ht="12.75">
      <c r="A54" s="80"/>
      <c r="B54" s="76" t="s">
        <v>98</v>
      </c>
      <c r="C54" s="74" t="s">
        <v>247</v>
      </c>
      <c r="D54" s="76" t="s">
        <v>33</v>
      </c>
      <c r="E54" s="74" t="s">
        <v>15</v>
      </c>
      <c r="F54" s="75" t="s">
        <v>182</v>
      </c>
      <c r="G54" s="76">
        <v>3.9403892385520294</v>
      </c>
      <c r="H54" s="75" t="s">
        <v>182</v>
      </c>
      <c r="I54" s="76">
        <v>7.505503311527674</v>
      </c>
      <c r="J54" s="75" t="s">
        <v>182</v>
      </c>
      <c r="K54" s="76">
        <v>22.95433096108881</v>
      </c>
      <c r="L54" s="75" t="s">
        <v>182</v>
      </c>
      <c r="M54" s="76">
        <f t="shared" si="2"/>
        <v>11.466741170389504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</row>
    <row r="55" spans="1:61" s="76" customFormat="1" ht="12.75">
      <c r="A55" s="80"/>
      <c r="B55" s="76" t="s">
        <v>99</v>
      </c>
      <c r="C55" s="74" t="s">
        <v>247</v>
      </c>
      <c r="D55" s="76" t="s">
        <v>33</v>
      </c>
      <c r="E55" s="74" t="s">
        <v>15</v>
      </c>
      <c r="F55" s="75" t="s">
        <v>182</v>
      </c>
      <c r="G55" s="76">
        <v>0.25018344371759</v>
      </c>
      <c r="H55" s="75" t="s">
        <v>182</v>
      </c>
      <c r="I55" s="76">
        <v>0.1876375827881919</v>
      </c>
      <c r="J55" s="75" t="s">
        <v>161</v>
      </c>
      <c r="K55" s="76">
        <v>0.12509172185879458</v>
      </c>
      <c r="L55" s="75" t="s">
        <v>182</v>
      </c>
      <c r="M55" s="76">
        <f t="shared" si="2"/>
        <v>0.18763758278819218</v>
      </c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</row>
    <row r="56" spans="1:61" s="76" customFormat="1" ht="12.75">
      <c r="A56" s="80"/>
      <c r="B56" s="76" t="s">
        <v>100</v>
      </c>
      <c r="C56" s="74" t="s">
        <v>247</v>
      </c>
      <c r="D56" s="76" t="s">
        <v>33</v>
      </c>
      <c r="E56" s="74" t="s">
        <v>15</v>
      </c>
      <c r="F56" s="75" t="s">
        <v>182</v>
      </c>
      <c r="G56" s="76">
        <v>5.191306457139976</v>
      </c>
      <c r="H56" s="75" t="s">
        <v>182</v>
      </c>
      <c r="I56" s="76">
        <v>5.816765066433948</v>
      </c>
      <c r="J56" s="75" t="s">
        <v>182</v>
      </c>
      <c r="K56" s="76">
        <v>4.7534854306342</v>
      </c>
      <c r="L56" s="75" t="s">
        <v>182</v>
      </c>
      <c r="M56" s="76">
        <f t="shared" si="2"/>
        <v>5.253852318069375</v>
      </c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</row>
    <row r="57" spans="1:61" s="76" customFormat="1" ht="12.75">
      <c r="A57" s="80"/>
      <c r="B57" s="76" t="s">
        <v>101</v>
      </c>
      <c r="C57" s="74" t="s">
        <v>247</v>
      </c>
      <c r="D57" s="76" t="s">
        <v>33</v>
      </c>
      <c r="E57" s="74" t="s">
        <v>15</v>
      </c>
      <c r="F57" s="75" t="s">
        <v>182</v>
      </c>
      <c r="G57" s="76">
        <v>5.253852318069374</v>
      </c>
      <c r="H57" s="75" t="s">
        <v>182</v>
      </c>
      <c r="I57" s="76">
        <v>8.693874669186227</v>
      </c>
      <c r="J57" s="75" t="s">
        <v>182</v>
      </c>
      <c r="K57" s="76">
        <v>24.142702318747357</v>
      </c>
      <c r="L57" s="75" t="s">
        <v>182</v>
      </c>
      <c r="M57" s="76">
        <f t="shared" si="2"/>
        <v>12.696809768667654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</row>
    <row r="58" spans="1:61" s="76" customFormat="1" ht="12.75">
      <c r="A58" s="80"/>
      <c r="B58" s="76" t="s">
        <v>183</v>
      </c>
      <c r="C58" s="74" t="s">
        <v>247</v>
      </c>
      <c r="D58" s="76" t="s">
        <v>33</v>
      </c>
      <c r="E58" s="74" t="s">
        <v>15</v>
      </c>
      <c r="F58" s="75" t="s">
        <v>161</v>
      </c>
      <c r="G58" s="76">
        <v>3.3149306292580567</v>
      </c>
      <c r="H58" s="75" t="s">
        <v>161</v>
      </c>
      <c r="I58" s="76">
        <v>3.0647471855404675</v>
      </c>
      <c r="J58" s="75" t="s">
        <v>161</v>
      </c>
      <c r="K58" s="76">
        <v>3.0647471855404675</v>
      </c>
      <c r="L58" s="75">
        <v>100</v>
      </c>
      <c r="M58" s="76">
        <f t="shared" si="2"/>
        <v>3.148141666779664</v>
      </c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</row>
    <row r="59" spans="1:61" s="76" customFormat="1" ht="12.75">
      <c r="A59" s="80"/>
      <c r="B59" s="76" t="s">
        <v>103</v>
      </c>
      <c r="C59" s="74" t="s">
        <v>247</v>
      </c>
      <c r="D59" s="76" t="s">
        <v>33</v>
      </c>
      <c r="E59" s="74" t="s">
        <v>15</v>
      </c>
      <c r="F59" s="75" t="s">
        <v>182</v>
      </c>
      <c r="G59" s="76">
        <v>31.773297352133824</v>
      </c>
      <c r="H59" s="75" t="s">
        <v>182</v>
      </c>
      <c r="I59" s="76">
        <v>37.71515414042657</v>
      </c>
      <c r="J59" s="75" t="s">
        <v>182</v>
      </c>
      <c r="K59" s="76">
        <v>20.515042384842314</v>
      </c>
      <c r="L59" s="75" t="s">
        <v>182</v>
      </c>
      <c r="M59" s="76">
        <f t="shared" si="2"/>
        <v>30.0011646258009</v>
      </c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</row>
    <row r="60" spans="1:61" s="76" customFormat="1" ht="12.75">
      <c r="A60" s="80"/>
      <c r="B60" s="76" t="s">
        <v>104</v>
      </c>
      <c r="C60" s="74" t="s">
        <v>247</v>
      </c>
      <c r="D60" s="76" t="s">
        <v>33</v>
      </c>
      <c r="E60" s="74" t="s">
        <v>15</v>
      </c>
      <c r="F60" s="75" t="s">
        <v>161</v>
      </c>
      <c r="G60" s="76">
        <v>4.065480960410825</v>
      </c>
      <c r="H60" s="75" t="s">
        <v>161</v>
      </c>
      <c r="I60" s="76">
        <v>4.565847847846</v>
      </c>
      <c r="J60" s="75" t="s">
        <v>182</v>
      </c>
      <c r="K60" s="76">
        <v>4.5033019869166</v>
      </c>
      <c r="L60" s="75">
        <v>100</v>
      </c>
      <c r="M60" s="76">
        <f>AVERAGE(G60,I60,K60)</f>
        <v>4.378210265057809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</row>
    <row r="61" spans="1:61" s="76" customFormat="1" ht="12.75">
      <c r="A61" s="80"/>
      <c r="B61" s="76" t="s">
        <v>107</v>
      </c>
      <c r="C61" s="74" t="s">
        <v>247</v>
      </c>
      <c r="D61" s="76" t="s">
        <v>33</v>
      </c>
      <c r="E61" s="74" t="s">
        <v>15</v>
      </c>
      <c r="F61" s="75" t="s">
        <v>161</v>
      </c>
      <c r="G61" s="76">
        <v>0.625458609293973</v>
      </c>
      <c r="H61" s="75" t="s">
        <v>161</v>
      </c>
      <c r="I61" s="76">
        <v>0.625458609293973</v>
      </c>
      <c r="J61" s="75" t="s">
        <v>182</v>
      </c>
      <c r="K61" s="76">
        <v>1.250917218587946</v>
      </c>
      <c r="L61" s="75">
        <v>100</v>
      </c>
      <c r="M61" s="76">
        <f>AVERAGE(G61,I61,K61)</f>
        <v>0.833944812391964</v>
      </c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</row>
    <row r="62" spans="1:61" s="76" customFormat="1" ht="12.75">
      <c r="A62" s="80"/>
      <c r="B62" s="76" t="s">
        <v>108</v>
      </c>
      <c r="C62" s="74" t="s">
        <v>247</v>
      </c>
      <c r="D62" s="76" t="s">
        <v>33</v>
      </c>
      <c r="E62" s="74" t="s">
        <v>15</v>
      </c>
      <c r="F62" s="75" t="s">
        <v>161</v>
      </c>
      <c r="G62" s="76">
        <v>1.5011006623055352</v>
      </c>
      <c r="H62" s="75" t="s">
        <v>161</v>
      </c>
      <c r="I62" s="76">
        <v>1.5011006623055352</v>
      </c>
      <c r="J62" s="75" t="s">
        <v>161</v>
      </c>
      <c r="K62" s="76">
        <v>1.5011006623055352</v>
      </c>
      <c r="L62" s="75">
        <v>100</v>
      </c>
      <c r="M62" s="76">
        <f>AVERAGE(G62,I62,K62)</f>
        <v>1.5011006623055352</v>
      </c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</row>
    <row r="63" spans="1:61" s="76" customFormat="1" ht="12.75">
      <c r="A63" s="80"/>
      <c r="B63" s="76" t="s">
        <v>34</v>
      </c>
      <c r="C63" s="74" t="s">
        <v>247</v>
      </c>
      <c r="D63" s="76" t="s">
        <v>33</v>
      </c>
      <c r="E63" s="74" t="s">
        <v>15</v>
      </c>
      <c r="F63" s="75"/>
      <c r="G63" s="76">
        <f>G59+G56</f>
        <v>36.9646038092738</v>
      </c>
      <c r="H63" s="75"/>
      <c r="I63" s="76">
        <f>I59+I56</f>
        <v>43.53191920686052</v>
      </c>
      <c r="J63" s="75"/>
      <c r="K63" s="76">
        <f>K59+K56</f>
        <v>25.268527815476514</v>
      </c>
      <c r="L63" s="75"/>
      <c r="M63" s="76">
        <f>AVERAGE(G63,I63,K63)</f>
        <v>35.25501694387028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</row>
    <row r="64" spans="1:61" s="76" customFormat="1" ht="12.75">
      <c r="A64" s="80"/>
      <c r="B64" s="76" t="s">
        <v>35</v>
      </c>
      <c r="C64" s="74" t="s">
        <v>247</v>
      </c>
      <c r="D64" s="76" t="s">
        <v>33</v>
      </c>
      <c r="E64" s="74" t="s">
        <v>15</v>
      </c>
      <c r="F64" s="75"/>
      <c r="G64" s="76">
        <f>G53+G55+G57</f>
        <v>9.3193332784802</v>
      </c>
      <c r="H64" s="75"/>
      <c r="I64" s="76">
        <f>I53+I55+I57</f>
        <v>12.258988742161874</v>
      </c>
      <c r="J64" s="75"/>
      <c r="K64" s="76">
        <f>K53+K55+K57</f>
        <v>26.894720199640837</v>
      </c>
      <c r="L64" s="75"/>
      <c r="M64" s="76">
        <f>AVERAGE(G64,I64,K64)</f>
        <v>16.157680740094303</v>
      </c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</row>
    <row r="66" spans="2:4" ht="12.75">
      <c r="B66" s="76" t="s">
        <v>55</v>
      </c>
      <c r="C66" s="77" t="s">
        <v>185</v>
      </c>
      <c r="D66" s="76" t="s">
        <v>247</v>
      </c>
    </row>
    <row r="67" spans="1:61" s="77" customFormat="1" ht="12.75">
      <c r="A67" s="80"/>
      <c r="B67" s="4" t="s">
        <v>50</v>
      </c>
      <c r="C67" s="4"/>
      <c r="D67" s="4" t="s">
        <v>17</v>
      </c>
      <c r="G67" s="79">
        <v>22507.044444444447</v>
      </c>
      <c r="H67" s="79"/>
      <c r="I67" s="79">
        <v>22507.044444444447</v>
      </c>
      <c r="J67" s="79"/>
      <c r="K67" s="79">
        <v>22507.044444444447</v>
      </c>
      <c r="L67" s="75"/>
      <c r="M67" s="75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</row>
    <row r="68" spans="1:61" s="77" customFormat="1" ht="12.75">
      <c r="A68" s="80"/>
      <c r="B68" s="4" t="s">
        <v>52</v>
      </c>
      <c r="C68" s="4"/>
      <c r="D68" s="4" t="s">
        <v>18</v>
      </c>
      <c r="G68" s="79">
        <v>15.146666666666667</v>
      </c>
      <c r="H68" s="79"/>
      <c r="I68" s="79">
        <v>15.146666666666667</v>
      </c>
      <c r="J68" s="79"/>
      <c r="K68" s="79">
        <v>15.146666666666667</v>
      </c>
      <c r="L68" s="75"/>
      <c r="M68" s="75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</row>
    <row r="69" spans="1:61" s="77" customFormat="1" ht="12.75">
      <c r="A69" s="80"/>
      <c r="B69" s="4" t="s">
        <v>53</v>
      </c>
      <c r="C69" s="4"/>
      <c r="D69" s="4" t="s">
        <v>18</v>
      </c>
      <c r="G69" s="79"/>
      <c r="H69" s="79"/>
      <c r="I69" s="79"/>
      <c r="J69" s="79"/>
      <c r="K69" s="79"/>
      <c r="L69" s="75"/>
      <c r="M69" s="75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</row>
    <row r="70" spans="1:61" s="77" customFormat="1" ht="12.75">
      <c r="A70" s="80"/>
      <c r="B70" s="4" t="s">
        <v>49</v>
      </c>
      <c r="C70" s="4"/>
      <c r="D70" s="4" t="s">
        <v>19</v>
      </c>
      <c r="G70" s="75"/>
      <c r="H70" s="75"/>
      <c r="I70" s="75"/>
      <c r="J70" s="75"/>
      <c r="K70" s="75"/>
      <c r="L70" s="75"/>
      <c r="M70" s="75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</row>
    <row r="71" ht="12.75">
      <c r="B71" t="s">
        <v>186</v>
      </c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71"/>
  <sheetViews>
    <sheetView workbookViewId="0" topLeftCell="B1">
      <selection activeCell="J1" sqref="J1"/>
    </sheetView>
  </sheetViews>
  <sheetFormatPr defaultColWidth="9.140625" defaultRowHeight="12.75"/>
  <cols>
    <col min="1" max="1" width="2.421875" style="13" hidden="1" customWidth="1"/>
    <col min="2" max="2" width="19.00390625" style="4" customWidth="1"/>
    <col min="3" max="3" width="2.57421875" style="4" customWidth="1"/>
    <col min="4" max="4" width="8.7109375" style="4" customWidth="1"/>
    <col min="5" max="5" width="4.140625" style="13" customWidth="1"/>
    <col min="6" max="6" width="8.57421875" style="18" customWidth="1"/>
    <col min="7" max="7" width="3.7109375" style="15" customWidth="1"/>
    <col min="8" max="8" width="9.140625" style="13" customWidth="1"/>
    <col min="9" max="9" width="4.00390625" style="13" customWidth="1"/>
    <col min="10" max="10" width="9.00390625" style="13" customWidth="1"/>
    <col min="11" max="11" width="3.7109375" style="13" customWidth="1"/>
    <col min="12" max="12" width="8.28125" style="13" customWidth="1"/>
    <col min="13" max="13" width="4.00390625" style="13" bestFit="1" customWidth="1"/>
    <col min="14" max="14" width="9.140625" style="13" customWidth="1"/>
    <col min="15" max="15" width="3.8515625" style="13" customWidth="1"/>
    <col min="16" max="16" width="7.140625" style="13" bestFit="1" customWidth="1"/>
    <col min="17" max="17" width="3.00390625" style="13" bestFit="1" customWidth="1"/>
    <col min="18" max="18" width="8.00390625" style="13" bestFit="1" customWidth="1"/>
    <col min="19" max="19" width="2.57421875" style="13" customWidth="1"/>
    <col min="20" max="20" width="8.00390625" style="13" bestFit="1" customWidth="1"/>
    <col min="21" max="21" width="3.140625" style="13" customWidth="1"/>
    <col min="22" max="22" width="8.00390625" style="13" bestFit="1" customWidth="1"/>
    <col min="23" max="23" width="3.7109375" style="13" customWidth="1"/>
    <col min="24" max="24" width="9.140625" style="13" bestFit="1" customWidth="1"/>
    <col min="25" max="25" width="4.28125" style="13" customWidth="1"/>
    <col min="26" max="26" width="9.140625" style="13" bestFit="1" customWidth="1"/>
    <col min="27" max="27" width="3.7109375" style="13" customWidth="1"/>
    <col min="28" max="28" width="9.140625" style="13" bestFit="1" customWidth="1"/>
    <col min="29" max="29" width="4.28125" style="13" customWidth="1"/>
    <col min="30" max="30" width="8.8515625" style="20" bestFit="1" customWidth="1"/>
    <col min="31" max="16384" width="8.8515625" style="13" customWidth="1"/>
  </cols>
  <sheetData>
    <row r="1" spans="2:3" ht="12.75">
      <c r="B1" s="16" t="s">
        <v>203</v>
      </c>
      <c r="C1" s="16"/>
    </row>
    <row r="2" ht="12.75">
      <c r="D2" s="15"/>
    </row>
    <row r="4" spans="1:30" ht="12.75">
      <c r="A4" s="13" t="s">
        <v>57</v>
      </c>
      <c r="B4" s="16" t="s">
        <v>153</v>
      </c>
      <c r="C4" s="16" t="s">
        <v>56</v>
      </c>
      <c r="F4" s="15" t="s">
        <v>164</v>
      </c>
      <c r="H4" s="15" t="s">
        <v>165</v>
      </c>
      <c r="I4" s="15"/>
      <c r="J4" s="15" t="s">
        <v>166</v>
      </c>
      <c r="L4" s="15" t="s">
        <v>164</v>
      </c>
      <c r="M4" s="15"/>
      <c r="N4" s="15" t="s">
        <v>165</v>
      </c>
      <c r="O4" s="15"/>
      <c r="P4" s="15" t="s">
        <v>166</v>
      </c>
      <c r="Q4" s="97"/>
      <c r="R4" s="15" t="s">
        <v>164</v>
      </c>
      <c r="S4" s="15"/>
      <c r="T4" s="15" t="s">
        <v>165</v>
      </c>
      <c r="U4" s="15"/>
      <c r="V4" s="15" t="s">
        <v>166</v>
      </c>
      <c r="W4" s="97"/>
      <c r="X4" s="15" t="s">
        <v>164</v>
      </c>
      <c r="Y4" s="15"/>
      <c r="Z4" s="15" t="s">
        <v>165</v>
      </c>
      <c r="AA4" s="15"/>
      <c r="AB4" s="15" t="s">
        <v>166</v>
      </c>
      <c r="AD4" s="98" t="s">
        <v>163</v>
      </c>
    </row>
    <row r="5" spans="2:30" ht="12.75">
      <c r="B5" s="16"/>
      <c r="C5" s="16"/>
      <c r="F5" s="15"/>
      <c r="H5" s="15"/>
      <c r="I5" s="15"/>
      <c r="J5" s="15"/>
      <c r="L5" s="15"/>
      <c r="M5" s="15"/>
      <c r="N5" s="15"/>
      <c r="O5" s="15"/>
      <c r="P5" s="15"/>
      <c r="Q5" s="97"/>
      <c r="R5" s="15"/>
      <c r="S5" s="15"/>
      <c r="T5" s="15"/>
      <c r="U5" s="15"/>
      <c r="V5" s="15"/>
      <c r="W5" s="97"/>
      <c r="X5" s="15"/>
      <c r="Y5" s="15"/>
      <c r="Z5" s="15"/>
      <c r="AA5" s="15"/>
      <c r="AB5" s="15"/>
      <c r="AD5" s="98"/>
    </row>
    <row r="6" spans="2:30" ht="12.75">
      <c r="B6" s="8" t="s">
        <v>268</v>
      </c>
      <c r="C6" s="16"/>
      <c r="F6" s="15" t="s">
        <v>271</v>
      </c>
      <c r="H6" s="15" t="s">
        <v>271</v>
      </c>
      <c r="I6" s="15"/>
      <c r="J6" s="15" t="s">
        <v>271</v>
      </c>
      <c r="L6" s="15" t="s">
        <v>273</v>
      </c>
      <c r="M6" s="15"/>
      <c r="N6" s="15" t="s">
        <v>273</v>
      </c>
      <c r="O6" s="15"/>
      <c r="P6" s="15" t="s">
        <v>273</v>
      </c>
      <c r="Q6" s="97"/>
      <c r="R6" s="15" t="s">
        <v>274</v>
      </c>
      <c r="S6" s="15"/>
      <c r="T6" s="15" t="s">
        <v>274</v>
      </c>
      <c r="U6" s="15"/>
      <c r="V6" s="15" t="s">
        <v>274</v>
      </c>
      <c r="W6" s="97"/>
      <c r="X6" s="15" t="s">
        <v>275</v>
      </c>
      <c r="Y6" s="15"/>
      <c r="Z6" s="15" t="s">
        <v>275</v>
      </c>
      <c r="AA6" s="15"/>
      <c r="AB6" s="15" t="s">
        <v>275</v>
      </c>
      <c r="AD6" s="98" t="s">
        <v>275</v>
      </c>
    </row>
    <row r="7" spans="1:30" ht="12.75">
      <c r="A7" s="12"/>
      <c r="B7" s="8" t="s">
        <v>269</v>
      </c>
      <c r="F7" s="18" t="s">
        <v>270</v>
      </c>
      <c r="H7" s="18" t="s">
        <v>270</v>
      </c>
      <c r="J7" s="18" t="s">
        <v>270</v>
      </c>
      <c r="L7" s="13" t="s">
        <v>272</v>
      </c>
      <c r="N7" s="13" t="s">
        <v>272</v>
      </c>
      <c r="P7" s="13" t="s">
        <v>272</v>
      </c>
      <c r="R7" s="97" t="s">
        <v>32</v>
      </c>
      <c r="T7" s="97" t="s">
        <v>32</v>
      </c>
      <c r="V7" s="97" t="s">
        <v>32</v>
      </c>
      <c r="X7" s="97" t="s">
        <v>60</v>
      </c>
      <c r="Z7" s="97" t="s">
        <v>60</v>
      </c>
      <c r="AB7" s="97" t="s">
        <v>60</v>
      </c>
      <c r="AD7" s="99" t="s">
        <v>60</v>
      </c>
    </row>
    <row r="8" spans="1:30" ht="12.75">
      <c r="A8" s="12"/>
      <c r="B8" s="8" t="s">
        <v>276</v>
      </c>
      <c r="H8" s="18"/>
      <c r="J8" s="18"/>
      <c r="L8" s="13" t="s">
        <v>38</v>
      </c>
      <c r="N8" s="13" t="s">
        <v>38</v>
      </c>
      <c r="P8" s="13" t="s">
        <v>38</v>
      </c>
      <c r="R8" s="97"/>
      <c r="T8" s="97"/>
      <c r="V8" s="97"/>
      <c r="X8" s="97" t="s">
        <v>60</v>
      </c>
      <c r="Z8" s="97" t="s">
        <v>60</v>
      </c>
      <c r="AB8" s="97" t="s">
        <v>60</v>
      </c>
      <c r="AD8" s="99" t="s">
        <v>60</v>
      </c>
    </row>
    <row r="9" spans="2:30" ht="12.75">
      <c r="B9" s="4" t="s">
        <v>20</v>
      </c>
      <c r="C9" s="16"/>
      <c r="D9" s="13"/>
      <c r="F9" s="62" t="s">
        <v>142</v>
      </c>
      <c r="H9" s="62" t="s">
        <v>142</v>
      </c>
      <c r="J9" s="62" t="s">
        <v>142</v>
      </c>
      <c r="K9" s="18"/>
      <c r="L9" s="62" t="s">
        <v>118</v>
      </c>
      <c r="M9" s="15"/>
      <c r="N9" s="62" t="s">
        <v>118</v>
      </c>
      <c r="P9" s="62" t="s">
        <v>118</v>
      </c>
      <c r="Q9" s="16"/>
      <c r="R9" s="97" t="s">
        <v>32</v>
      </c>
      <c r="S9" s="97"/>
      <c r="T9" s="97" t="s">
        <v>32</v>
      </c>
      <c r="U9" s="97"/>
      <c r="V9" s="97" t="s">
        <v>32</v>
      </c>
      <c r="W9" s="16"/>
      <c r="X9" s="97" t="s">
        <v>60</v>
      </c>
      <c r="Y9" s="97"/>
      <c r="Z9" s="97" t="s">
        <v>60</v>
      </c>
      <c r="AA9" s="97"/>
      <c r="AB9" s="97" t="s">
        <v>60</v>
      </c>
      <c r="AD9" s="99" t="s">
        <v>60</v>
      </c>
    </row>
    <row r="10" spans="2:28" ht="12.75">
      <c r="B10" s="4" t="s">
        <v>59</v>
      </c>
      <c r="D10" s="4" t="s">
        <v>283</v>
      </c>
      <c r="H10" s="18"/>
      <c r="J10" s="18"/>
      <c r="L10" s="18">
        <v>47.84</v>
      </c>
      <c r="M10" s="15"/>
      <c r="N10" s="18">
        <v>45.17</v>
      </c>
      <c r="P10" s="18">
        <v>42.45</v>
      </c>
      <c r="Q10" s="4"/>
      <c r="R10" s="18"/>
      <c r="S10" s="15"/>
      <c r="X10" s="7"/>
      <c r="Y10" s="15"/>
      <c r="Z10" s="7"/>
      <c r="AA10" s="18"/>
      <c r="AB10" s="7"/>
    </row>
    <row r="11" spans="2:30" ht="12.75">
      <c r="B11" s="4" t="s">
        <v>21</v>
      </c>
      <c r="D11" s="4" t="s">
        <v>22</v>
      </c>
      <c r="F11" s="9"/>
      <c r="G11" s="9"/>
      <c r="H11" s="9"/>
      <c r="I11" s="9"/>
      <c r="J11" s="9"/>
      <c r="K11" s="9"/>
      <c r="L11" s="9">
        <v>10418</v>
      </c>
      <c r="M11" s="9"/>
      <c r="N11" s="9">
        <v>10418</v>
      </c>
      <c r="O11" s="9"/>
      <c r="P11" s="9">
        <v>10418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00"/>
    </row>
    <row r="12" spans="2:30" ht="12.75">
      <c r="B12" s="4" t="s">
        <v>23</v>
      </c>
      <c r="D12" s="4" t="s">
        <v>18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00"/>
    </row>
    <row r="14" spans="2:30" ht="12.75">
      <c r="B14" s="4" t="s">
        <v>23</v>
      </c>
      <c r="D14" s="4" t="s">
        <v>119</v>
      </c>
      <c r="AD14" s="20">
        <v>26864</v>
      </c>
    </row>
    <row r="16" spans="2:30" ht="12.75">
      <c r="B16" s="4" t="s">
        <v>36</v>
      </c>
      <c r="D16" s="4" t="s">
        <v>17</v>
      </c>
      <c r="E16" s="15"/>
      <c r="F16" s="7">
        <f>'emiss 1'!$G$27</f>
        <v>27517</v>
      </c>
      <c r="H16" s="7">
        <f>'emiss 1'!$I$27</f>
        <v>23889</v>
      </c>
      <c r="J16" s="7">
        <f>'emiss 1'!$K$27</f>
        <v>24878</v>
      </c>
      <c r="K16" s="15"/>
      <c r="L16" s="18">
        <f>$F16</f>
        <v>27517</v>
      </c>
      <c r="M16" s="15"/>
      <c r="N16" s="18">
        <f>$H16</f>
        <v>23889</v>
      </c>
      <c r="O16" s="18"/>
      <c r="P16" s="18">
        <f>$J16</f>
        <v>24878</v>
      </c>
      <c r="R16" s="18">
        <f>$F16</f>
        <v>27517</v>
      </c>
      <c r="S16" s="15"/>
      <c r="T16" s="18">
        <f>$H16</f>
        <v>23889</v>
      </c>
      <c r="U16" s="18"/>
      <c r="V16" s="18">
        <f>$J16</f>
        <v>24878</v>
      </c>
      <c r="X16" s="18">
        <f>$F16</f>
        <v>27517</v>
      </c>
      <c r="Y16" s="15"/>
      <c r="Z16" s="18">
        <f>$H16</f>
        <v>23889</v>
      </c>
      <c r="AA16" s="18"/>
      <c r="AB16" s="18">
        <f>$J16</f>
        <v>24878</v>
      </c>
      <c r="AD16" s="20">
        <f>AVERAGE(X16,Z16,AB16)</f>
        <v>25428</v>
      </c>
    </row>
    <row r="17" spans="2:30" ht="12.75">
      <c r="B17" s="4" t="s">
        <v>37</v>
      </c>
      <c r="D17" s="4" t="s">
        <v>18</v>
      </c>
      <c r="E17" s="15"/>
      <c r="F17" s="5">
        <f>'emiss 1'!$G$28</f>
        <v>16</v>
      </c>
      <c r="H17" s="5">
        <f>'emiss 1'!$I$28</f>
        <v>16</v>
      </c>
      <c r="J17" s="5">
        <f>'emiss 1'!$K$28</f>
        <v>15.2</v>
      </c>
      <c r="K17" s="15"/>
      <c r="L17" s="18">
        <f>$F17</f>
        <v>16</v>
      </c>
      <c r="M17" s="15"/>
      <c r="N17" s="18">
        <f>$H17</f>
        <v>16</v>
      </c>
      <c r="O17" s="18"/>
      <c r="P17" s="18">
        <f>$J17</f>
        <v>15.2</v>
      </c>
      <c r="Q17" s="15"/>
      <c r="R17" s="18">
        <f>$F17</f>
        <v>16</v>
      </c>
      <c r="S17" s="15"/>
      <c r="T17" s="18">
        <f>$H17</f>
        <v>16</v>
      </c>
      <c r="U17" s="18"/>
      <c r="V17" s="18">
        <f>$J17</f>
        <v>15.2</v>
      </c>
      <c r="W17" s="15"/>
      <c r="X17" s="18">
        <f>$F17</f>
        <v>16</v>
      </c>
      <c r="Y17" s="15"/>
      <c r="Z17" s="18">
        <f>$H17</f>
        <v>16</v>
      </c>
      <c r="AA17" s="18"/>
      <c r="AB17" s="18">
        <f>$J17</f>
        <v>15.2</v>
      </c>
      <c r="AD17" s="20">
        <f>AVERAGE(X17,Z17,AB17)</f>
        <v>15.733333333333334</v>
      </c>
    </row>
    <row r="18" ht="12.75">
      <c r="E18" s="15"/>
    </row>
    <row r="19" spans="2:30" ht="12.75">
      <c r="B19" s="4" t="s">
        <v>282</v>
      </c>
      <c r="D19" s="4" t="s">
        <v>31</v>
      </c>
      <c r="E19" s="15"/>
      <c r="F19" s="5"/>
      <c r="L19" s="17">
        <f>L10*L11/1000000*60</f>
        <v>29.903827200000002</v>
      </c>
      <c r="M19" s="17"/>
      <c r="N19" s="17">
        <f>N10*N11/1000000*60</f>
        <v>28.2348636</v>
      </c>
      <c r="O19" s="17"/>
      <c r="P19" s="17">
        <f>P10*P11/1000000*60</f>
        <v>26.534646000000002</v>
      </c>
      <c r="X19" s="17">
        <f>L19</f>
        <v>29.903827200000002</v>
      </c>
      <c r="Z19" s="17">
        <f>N19</f>
        <v>28.2348636</v>
      </c>
      <c r="AB19" s="17">
        <f>P19</f>
        <v>26.534646000000002</v>
      </c>
      <c r="AD19" s="20">
        <f>AVERAGE(X19,Z19,AB19)</f>
        <v>28.224445600000006</v>
      </c>
    </row>
    <row r="20" spans="2:30" ht="12.75">
      <c r="B20" s="4" t="s">
        <v>278</v>
      </c>
      <c r="D20" s="4" t="s">
        <v>31</v>
      </c>
      <c r="E20" s="15"/>
      <c r="F20" s="17"/>
      <c r="X20" s="45">
        <f>X16/9000*60*(21-X17)/21</f>
        <v>43.677777777777784</v>
      </c>
      <c r="Y20" s="20"/>
      <c r="Z20" s="45">
        <f>Z16/9000*60*(21-Z17)/21</f>
        <v>37.91904761904762</v>
      </c>
      <c r="AA20" s="20"/>
      <c r="AB20" s="45">
        <f>AB16/9000*60*(21-AB17)/21</f>
        <v>45.80711111111111</v>
      </c>
      <c r="AD20" s="20">
        <f>AVERAGE(X20,Z20,AB20)</f>
        <v>42.46797883597884</v>
      </c>
    </row>
    <row r="22" ht="12.75">
      <c r="B22" s="43" t="s">
        <v>45</v>
      </c>
    </row>
    <row r="23" spans="2:30" ht="12.75">
      <c r="B23" s="4" t="s">
        <v>23</v>
      </c>
      <c r="D23" s="4" t="s">
        <v>33</v>
      </c>
      <c r="AD23" s="20">
        <f>AD14*1/60*1000000/(AD16*0.0283)*(21-7)/(21-AD$17)</f>
        <v>1653914.267166427</v>
      </c>
    </row>
    <row r="25" spans="1:30" ht="12.75">
      <c r="A25" s="13" t="s">
        <v>57</v>
      </c>
      <c r="B25" s="16" t="s">
        <v>154</v>
      </c>
      <c r="C25" s="16" t="s">
        <v>141</v>
      </c>
      <c r="F25" s="15" t="s">
        <v>164</v>
      </c>
      <c r="H25" s="15" t="s">
        <v>165</v>
      </c>
      <c r="I25" s="15"/>
      <c r="J25" s="15" t="s">
        <v>166</v>
      </c>
      <c r="L25" s="15" t="s">
        <v>164</v>
      </c>
      <c r="M25" s="15"/>
      <c r="N25" s="15" t="s">
        <v>165</v>
      </c>
      <c r="O25" s="15"/>
      <c r="P25" s="15" t="s">
        <v>166</v>
      </c>
      <c r="Q25" s="97"/>
      <c r="R25" s="15" t="s">
        <v>164</v>
      </c>
      <c r="S25" s="15"/>
      <c r="T25" s="15" t="s">
        <v>165</v>
      </c>
      <c r="U25" s="15"/>
      <c r="V25" s="15" t="s">
        <v>166</v>
      </c>
      <c r="W25" s="97"/>
      <c r="X25" s="15" t="s">
        <v>164</v>
      </c>
      <c r="Y25" s="15"/>
      <c r="Z25" s="15" t="s">
        <v>165</v>
      </c>
      <c r="AA25" s="15"/>
      <c r="AB25" s="15" t="s">
        <v>166</v>
      </c>
      <c r="AD25" s="98" t="s">
        <v>163</v>
      </c>
    </row>
    <row r="26" spans="2:30" ht="12.75">
      <c r="B26" s="16"/>
      <c r="C26" s="16"/>
      <c r="F26" s="15"/>
      <c r="H26" s="15"/>
      <c r="I26" s="15"/>
      <c r="J26" s="15"/>
      <c r="L26" s="15"/>
      <c r="M26" s="15"/>
      <c r="N26" s="15"/>
      <c r="O26" s="15"/>
      <c r="P26" s="15"/>
      <c r="Q26" s="97"/>
      <c r="R26" s="15"/>
      <c r="S26" s="15"/>
      <c r="T26" s="15"/>
      <c r="U26" s="15"/>
      <c r="V26" s="15"/>
      <c r="W26" s="97"/>
      <c r="X26" s="15"/>
      <c r="Y26" s="15"/>
      <c r="Z26" s="15"/>
      <c r="AA26" s="15"/>
      <c r="AB26" s="15"/>
      <c r="AD26" s="98"/>
    </row>
    <row r="27" spans="2:30" ht="12.75">
      <c r="B27" s="8" t="s">
        <v>268</v>
      </c>
      <c r="C27" s="16"/>
      <c r="F27" s="15" t="s">
        <v>271</v>
      </c>
      <c r="H27" s="15" t="s">
        <v>271</v>
      </c>
      <c r="I27" s="15"/>
      <c r="J27" s="15" t="s">
        <v>271</v>
      </c>
      <c r="L27" s="15" t="s">
        <v>273</v>
      </c>
      <c r="M27" s="15"/>
      <c r="N27" s="15" t="s">
        <v>273</v>
      </c>
      <c r="O27" s="15"/>
      <c r="P27" s="15" t="s">
        <v>273</v>
      </c>
      <c r="Q27" s="97"/>
      <c r="R27" s="15" t="s">
        <v>274</v>
      </c>
      <c r="S27" s="15"/>
      <c r="T27" s="15" t="s">
        <v>274</v>
      </c>
      <c r="U27" s="15"/>
      <c r="V27" s="15" t="s">
        <v>274</v>
      </c>
      <c r="W27" s="97"/>
      <c r="X27" s="15" t="s">
        <v>275</v>
      </c>
      <c r="Y27" s="15"/>
      <c r="Z27" s="15" t="s">
        <v>275</v>
      </c>
      <c r="AA27" s="15"/>
      <c r="AB27" s="15" t="s">
        <v>275</v>
      </c>
      <c r="AD27" s="98" t="s">
        <v>275</v>
      </c>
    </row>
    <row r="28" spans="1:30" ht="12.75">
      <c r="A28" s="12"/>
      <c r="B28" s="8" t="s">
        <v>269</v>
      </c>
      <c r="F28" s="18" t="s">
        <v>270</v>
      </c>
      <c r="H28" s="18" t="s">
        <v>270</v>
      </c>
      <c r="J28" s="18" t="s">
        <v>270</v>
      </c>
      <c r="L28" s="13" t="s">
        <v>272</v>
      </c>
      <c r="N28" s="13" t="s">
        <v>272</v>
      </c>
      <c r="P28" s="13" t="s">
        <v>272</v>
      </c>
      <c r="R28" s="97" t="s">
        <v>32</v>
      </c>
      <c r="T28" s="97" t="s">
        <v>32</v>
      </c>
      <c r="V28" s="97" t="s">
        <v>32</v>
      </c>
      <c r="X28" s="97" t="s">
        <v>60</v>
      </c>
      <c r="Z28" s="97" t="s">
        <v>60</v>
      </c>
      <c r="AB28" s="97" t="s">
        <v>60</v>
      </c>
      <c r="AD28" s="99" t="s">
        <v>60</v>
      </c>
    </row>
    <row r="29" spans="1:30" ht="12.75">
      <c r="A29" s="12"/>
      <c r="B29" s="8" t="s">
        <v>276</v>
      </c>
      <c r="F29" s="18" t="s">
        <v>277</v>
      </c>
      <c r="H29" s="18" t="s">
        <v>277</v>
      </c>
      <c r="J29" s="18" t="s">
        <v>277</v>
      </c>
      <c r="L29" s="13" t="s">
        <v>38</v>
      </c>
      <c r="N29" s="13" t="s">
        <v>38</v>
      </c>
      <c r="P29" s="13" t="s">
        <v>38</v>
      </c>
      <c r="R29" s="97" t="s">
        <v>32</v>
      </c>
      <c r="T29" s="97" t="s">
        <v>32</v>
      </c>
      <c r="V29" s="97" t="s">
        <v>32</v>
      </c>
      <c r="X29" s="97" t="s">
        <v>60</v>
      </c>
      <c r="Z29" s="97" t="s">
        <v>60</v>
      </c>
      <c r="AB29" s="97" t="s">
        <v>60</v>
      </c>
      <c r="AD29" s="99" t="s">
        <v>60</v>
      </c>
    </row>
    <row r="30" spans="2:30" ht="12.75">
      <c r="B30" s="4" t="s">
        <v>20</v>
      </c>
      <c r="C30" s="16"/>
      <c r="D30" s="13"/>
      <c r="F30" s="62" t="s">
        <v>142</v>
      </c>
      <c r="H30" s="62" t="s">
        <v>142</v>
      </c>
      <c r="J30" s="62" t="s">
        <v>142</v>
      </c>
      <c r="K30" s="18"/>
      <c r="L30" s="62" t="s">
        <v>118</v>
      </c>
      <c r="M30" s="15"/>
      <c r="N30" s="62" t="s">
        <v>118</v>
      </c>
      <c r="P30" s="62" t="s">
        <v>118</v>
      </c>
      <c r="Q30" s="16"/>
      <c r="R30" s="97" t="s">
        <v>32</v>
      </c>
      <c r="S30" s="97"/>
      <c r="T30" s="97" t="s">
        <v>32</v>
      </c>
      <c r="U30" s="97"/>
      <c r="V30" s="97" t="s">
        <v>32</v>
      </c>
      <c r="W30" s="16"/>
      <c r="X30" s="97" t="s">
        <v>60</v>
      </c>
      <c r="Y30" s="97"/>
      <c r="Z30" s="97" t="s">
        <v>60</v>
      </c>
      <c r="AA30" s="97"/>
      <c r="AB30" s="97" t="s">
        <v>60</v>
      </c>
      <c r="AD30" s="98" t="s">
        <v>60</v>
      </c>
    </row>
    <row r="31" spans="2:30" ht="12.75">
      <c r="B31" s="4" t="s">
        <v>59</v>
      </c>
      <c r="D31" s="4" t="s">
        <v>27</v>
      </c>
      <c r="E31" s="9"/>
      <c r="F31" s="9">
        <f>16.5*2000</f>
        <v>33000</v>
      </c>
      <c r="G31" s="9"/>
      <c r="H31" s="9">
        <f>16.53*2000</f>
        <v>33060</v>
      </c>
      <c r="I31" s="9"/>
      <c r="J31" s="9">
        <f>16.59*2000</f>
        <v>33180</v>
      </c>
      <c r="K31" s="9"/>
      <c r="L31" s="9">
        <v>3495.6</v>
      </c>
      <c r="M31" s="9"/>
      <c r="N31" s="9">
        <v>3634.8</v>
      </c>
      <c r="O31" s="9"/>
      <c r="P31" s="9">
        <v>3377.4</v>
      </c>
      <c r="Q31" s="9"/>
      <c r="R31" s="9"/>
      <c r="S31" s="9"/>
      <c r="T31" s="9"/>
      <c r="U31" s="9"/>
      <c r="V31" s="9"/>
      <c r="X31" s="7">
        <f>F31+L31+R31</f>
        <v>36495.6</v>
      </c>
      <c r="Y31" s="15"/>
      <c r="Z31" s="7">
        <f>H31+N31+T31</f>
        <v>36694.8</v>
      </c>
      <c r="AA31" s="18"/>
      <c r="AB31" s="7">
        <f>J31+P31+V31</f>
        <v>36557.4</v>
      </c>
      <c r="AD31" s="20">
        <f>AVERAGE(X31,Z31,AB31)</f>
        <v>36582.6</v>
      </c>
    </row>
    <row r="32" spans="2:28" ht="12.75">
      <c r="B32" s="4" t="s">
        <v>21</v>
      </c>
      <c r="D32" s="4" t="s">
        <v>22</v>
      </c>
      <c r="E32" s="9"/>
      <c r="F32" s="9">
        <v>0</v>
      </c>
      <c r="G32" s="9"/>
      <c r="H32" s="9">
        <v>0</v>
      </c>
      <c r="I32" s="9"/>
      <c r="J32" s="9">
        <v>0</v>
      </c>
      <c r="K32" s="9"/>
      <c r="L32" s="9">
        <v>10760</v>
      </c>
      <c r="M32" s="9"/>
      <c r="N32" s="9">
        <v>11139</v>
      </c>
      <c r="O32" s="9"/>
      <c r="P32" s="9">
        <v>10750</v>
      </c>
      <c r="Q32" s="9"/>
      <c r="R32" s="9"/>
      <c r="S32" s="9"/>
      <c r="T32" s="9"/>
      <c r="U32" s="9"/>
      <c r="V32" s="9"/>
      <c r="X32" s="7"/>
      <c r="Y32" s="15"/>
      <c r="Z32" s="7"/>
      <c r="AA32" s="18"/>
      <c r="AB32" s="7"/>
    </row>
    <row r="33" spans="2:30" ht="12.75">
      <c r="B33" s="4" t="s">
        <v>23</v>
      </c>
      <c r="D33" s="4" t="s">
        <v>119</v>
      </c>
      <c r="E33" s="9" t="s">
        <v>161</v>
      </c>
      <c r="F33" s="101">
        <f>50*F$31/1000000*454</f>
        <v>749.0999999999999</v>
      </c>
      <c r="G33" s="9" t="s">
        <v>161</v>
      </c>
      <c r="H33" s="101">
        <f>50*H$31/1000000*454</f>
        <v>750.462</v>
      </c>
      <c r="I33" s="9" t="s">
        <v>161</v>
      </c>
      <c r="J33" s="101">
        <f>50*J$31/1000000*454</f>
        <v>753.186</v>
      </c>
      <c r="K33" s="9"/>
      <c r="L33" s="9">
        <v>18371</v>
      </c>
      <c r="M33" s="9"/>
      <c r="N33" s="9">
        <v>6723</v>
      </c>
      <c r="O33" s="9"/>
      <c r="P33" s="9">
        <v>4950</v>
      </c>
      <c r="Q33" s="9"/>
      <c r="R33" s="9">
        <v>27218.9</v>
      </c>
      <c r="S33" s="9"/>
      <c r="T33" s="9">
        <v>16046</v>
      </c>
      <c r="U33" s="9"/>
      <c r="V33" s="9">
        <v>20043</v>
      </c>
      <c r="X33" s="7">
        <f>F33+L33+R33</f>
        <v>46339</v>
      </c>
      <c r="Y33" s="15"/>
      <c r="Z33" s="7">
        <f>H33+N33+T33</f>
        <v>23519.462</v>
      </c>
      <c r="AA33" s="18"/>
      <c r="AB33" s="7">
        <f>J33+P33+V33</f>
        <v>25746.186</v>
      </c>
      <c r="AD33" s="20">
        <f>AVERAGE(X33,Z33,AB33)</f>
        <v>31868.216</v>
      </c>
    </row>
    <row r="34" spans="2:30" ht="12.75">
      <c r="B34" s="4" t="s">
        <v>97</v>
      </c>
      <c r="D34" s="4" t="s">
        <v>119</v>
      </c>
      <c r="E34" s="9" t="s">
        <v>161</v>
      </c>
      <c r="F34" s="101">
        <f>0.5*F$31/1000000*454</f>
        <v>7.4910000000000005</v>
      </c>
      <c r="G34" s="9" t="s">
        <v>161</v>
      </c>
      <c r="H34" s="101">
        <f>0.5*H$31/1000000*454</f>
        <v>7.50462</v>
      </c>
      <c r="I34" s="9" t="s">
        <v>161</v>
      </c>
      <c r="J34" s="101">
        <f>0.5*J$31/1000000*454</f>
        <v>7.53186</v>
      </c>
      <c r="K34" s="9"/>
      <c r="L34" s="9">
        <v>4.04</v>
      </c>
      <c r="M34" s="9"/>
      <c r="N34" s="9">
        <v>2.59</v>
      </c>
      <c r="O34" s="9"/>
      <c r="P34" s="9">
        <v>2.13</v>
      </c>
      <c r="Q34" s="9"/>
      <c r="R34" s="102"/>
      <c r="S34" s="9"/>
      <c r="T34" s="9"/>
      <c r="U34" s="9"/>
      <c r="V34" s="9"/>
      <c r="X34" s="5">
        <f>F34+L34+R34</f>
        <v>11.531</v>
      </c>
      <c r="Y34" s="103"/>
      <c r="Z34" s="5">
        <f>H34+N34+T34</f>
        <v>10.094619999999999</v>
      </c>
      <c r="AA34" s="6"/>
      <c r="AB34" s="5">
        <f>J34+P34+V34</f>
        <v>9.66186</v>
      </c>
      <c r="AD34" s="104"/>
    </row>
    <row r="35" spans="2:30" ht="12.75">
      <c r="B35" s="4" t="s">
        <v>96</v>
      </c>
      <c r="D35" s="4" t="s">
        <v>119</v>
      </c>
      <c r="E35" s="9"/>
      <c r="F35" s="9">
        <v>171.41</v>
      </c>
      <c r="G35" s="9"/>
      <c r="H35" s="9">
        <v>174.5</v>
      </c>
      <c r="I35" s="9"/>
      <c r="J35" s="9">
        <v>163.46</v>
      </c>
      <c r="K35" s="9"/>
      <c r="L35" s="101">
        <f>1.3*L$31/1000000*454</f>
        <v>2.0631031199999996</v>
      </c>
      <c r="M35" s="9" t="s">
        <v>161</v>
      </c>
      <c r="N35" s="101">
        <f>0.5*N$31/1000000*454</f>
        <v>0.8250996</v>
      </c>
      <c r="O35" s="9" t="s">
        <v>161</v>
      </c>
      <c r="P35" s="101">
        <f>0.5*P$31/1000000*454</f>
        <v>0.7666698</v>
      </c>
      <c r="Q35" s="9"/>
      <c r="R35" s="9">
        <v>704.5</v>
      </c>
      <c r="S35" s="9"/>
      <c r="T35" s="9">
        <v>506.3</v>
      </c>
      <c r="U35" s="9"/>
      <c r="V35" s="9">
        <v>561.7</v>
      </c>
      <c r="X35" s="5">
        <f>F35+L35+R35</f>
        <v>877.97310312</v>
      </c>
      <c r="Y35" s="103"/>
      <c r="Z35" s="5">
        <f>H35+N35+T35</f>
        <v>681.6250996</v>
      </c>
      <c r="AA35" s="6"/>
      <c r="AB35" s="5">
        <f>J35+P35+V35</f>
        <v>725.9266698</v>
      </c>
      <c r="AD35" s="104"/>
    </row>
    <row r="36" spans="2:30" ht="12.75">
      <c r="B36" s="4" t="s">
        <v>98</v>
      </c>
      <c r="D36" s="4" t="s">
        <v>119</v>
      </c>
      <c r="E36" s="9"/>
      <c r="F36" s="9">
        <v>263.8</v>
      </c>
      <c r="G36" s="9"/>
      <c r="H36" s="9">
        <v>253.5</v>
      </c>
      <c r="I36" s="9"/>
      <c r="J36" s="9">
        <v>229.4</v>
      </c>
      <c r="K36" s="9"/>
      <c r="L36" s="9">
        <v>124.09</v>
      </c>
      <c r="M36" s="9"/>
      <c r="N36" s="9">
        <v>128.6</v>
      </c>
      <c r="O36" s="9"/>
      <c r="P36" s="9">
        <v>112.49</v>
      </c>
      <c r="Q36" s="9"/>
      <c r="R36" s="9"/>
      <c r="S36" s="9"/>
      <c r="T36" s="9"/>
      <c r="U36" s="9"/>
      <c r="V36" s="9"/>
      <c r="X36" s="7">
        <f aca="true" t="shared" si="0" ref="X36:X46">F36+L36+R36</f>
        <v>387.89</v>
      </c>
      <c r="Y36" s="7"/>
      <c r="Z36" s="7">
        <f aca="true" t="shared" si="1" ref="Z36:Z46">H36+N36+T36</f>
        <v>382.1</v>
      </c>
      <c r="AA36" s="7"/>
      <c r="AB36" s="7">
        <f aca="true" t="shared" si="2" ref="AB36:AB46">J36+P36+V36</f>
        <v>341.89</v>
      </c>
      <c r="AD36" s="104"/>
    </row>
    <row r="37" spans="2:30" ht="12.75">
      <c r="B37" s="4" t="s">
        <v>99</v>
      </c>
      <c r="D37" s="4" t="s">
        <v>119</v>
      </c>
      <c r="E37" s="9"/>
      <c r="F37" s="9">
        <v>3.44</v>
      </c>
      <c r="G37" s="9"/>
      <c r="H37" s="9">
        <v>3.68</v>
      </c>
      <c r="I37" s="9"/>
      <c r="J37" s="9">
        <v>3.34</v>
      </c>
      <c r="K37" s="9" t="s">
        <v>161</v>
      </c>
      <c r="L37" s="101">
        <f>0.05*L$31/1000000*454</f>
        <v>0.07935012</v>
      </c>
      <c r="M37" s="9" t="s">
        <v>161</v>
      </c>
      <c r="N37" s="101">
        <f>0.05*N$31/1000000*454</f>
        <v>0.08250996000000001</v>
      </c>
      <c r="O37" s="9" t="s">
        <v>161</v>
      </c>
      <c r="P37" s="101">
        <f>0.05*P$31/1000000*454</f>
        <v>0.07666698</v>
      </c>
      <c r="Q37" s="9"/>
      <c r="R37" s="9">
        <v>125.19</v>
      </c>
      <c r="S37" s="9"/>
      <c r="T37" s="9">
        <v>92.53</v>
      </c>
      <c r="U37" s="9"/>
      <c r="V37" s="9">
        <v>91.92</v>
      </c>
      <c r="X37" s="5">
        <f t="shared" si="0"/>
        <v>128.70935012</v>
      </c>
      <c r="Y37" s="103"/>
      <c r="Z37" s="5">
        <f t="shared" si="1"/>
        <v>96.29250996</v>
      </c>
      <c r="AA37" s="6"/>
      <c r="AB37" s="5">
        <f t="shared" si="2"/>
        <v>95.33666698</v>
      </c>
      <c r="AD37" s="104"/>
    </row>
    <row r="38" spans="2:30" ht="12.75">
      <c r="B38" s="4" t="s">
        <v>100</v>
      </c>
      <c r="D38" s="4" t="s">
        <v>119</v>
      </c>
      <c r="E38" s="9" t="s">
        <v>161</v>
      </c>
      <c r="F38" s="101">
        <f>0.2*F$31/1000000*454</f>
        <v>2.9964</v>
      </c>
      <c r="G38" s="9" t="s">
        <v>161</v>
      </c>
      <c r="H38" s="101">
        <f>0.2*H$31/1000000*454</f>
        <v>3.001848</v>
      </c>
      <c r="I38" s="9" t="s">
        <v>161</v>
      </c>
      <c r="J38" s="101">
        <f>0.2*J$31/1000000*454</f>
        <v>3.012744</v>
      </c>
      <c r="K38" s="9"/>
      <c r="L38" s="9">
        <v>4.25</v>
      </c>
      <c r="M38" s="9"/>
      <c r="N38" s="9">
        <v>2.48</v>
      </c>
      <c r="O38" s="9"/>
      <c r="P38" s="9">
        <v>2.01</v>
      </c>
      <c r="Q38" s="9"/>
      <c r="R38" s="9">
        <v>326.37</v>
      </c>
      <c r="S38" s="9"/>
      <c r="T38" s="9">
        <v>214.54</v>
      </c>
      <c r="U38" s="9"/>
      <c r="V38" s="9">
        <v>217.76</v>
      </c>
      <c r="X38" s="5">
        <f t="shared" si="0"/>
        <v>333.6164</v>
      </c>
      <c r="Y38" s="103"/>
      <c r="Z38" s="5">
        <f t="shared" si="1"/>
        <v>220.02184799999998</v>
      </c>
      <c r="AA38" s="6"/>
      <c r="AB38" s="5">
        <f t="shared" si="2"/>
        <v>222.78274399999998</v>
      </c>
      <c r="AD38" s="104"/>
    </row>
    <row r="39" spans="2:30" ht="12.75">
      <c r="B39" s="4" t="s">
        <v>101</v>
      </c>
      <c r="D39" s="4" t="s">
        <v>119</v>
      </c>
      <c r="E39" s="9"/>
      <c r="F39" s="9">
        <v>262.33</v>
      </c>
      <c r="G39" s="9"/>
      <c r="H39" s="9">
        <v>284.86</v>
      </c>
      <c r="I39" s="9"/>
      <c r="J39" s="9">
        <v>268.43</v>
      </c>
      <c r="K39" s="9"/>
      <c r="L39" s="9">
        <v>22.7</v>
      </c>
      <c r="M39" s="9"/>
      <c r="N39" s="9">
        <v>34.13</v>
      </c>
      <c r="O39" s="9"/>
      <c r="P39" s="9">
        <v>13.06</v>
      </c>
      <c r="Q39" s="9"/>
      <c r="R39" s="9">
        <v>1514.53</v>
      </c>
      <c r="S39" s="9"/>
      <c r="T39" s="9">
        <v>1134.95</v>
      </c>
      <c r="U39" s="9"/>
      <c r="V39" s="9">
        <v>1253.8</v>
      </c>
      <c r="X39" s="7">
        <f t="shared" si="0"/>
        <v>1799.56</v>
      </c>
      <c r="Y39" s="7"/>
      <c r="Z39" s="7">
        <f t="shared" si="1"/>
        <v>1453.94</v>
      </c>
      <c r="AA39" s="7"/>
      <c r="AB39" s="7">
        <f t="shared" si="2"/>
        <v>1535.29</v>
      </c>
      <c r="AD39" s="104"/>
    </row>
    <row r="40" spans="2:30" ht="12.75">
      <c r="B40" s="4" t="s">
        <v>162</v>
      </c>
      <c r="D40" s="4" t="s">
        <v>119</v>
      </c>
      <c r="E40" s="9"/>
      <c r="F40" s="101">
        <f>15.8*F$31/1000000*454</f>
        <v>236.7156</v>
      </c>
      <c r="G40" s="9"/>
      <c r="H40" s="101">
        <f>16.8*H$31/1000000*454</f>
        <v>252.155232</v>
      </c>
      <c r="I40" s="9"/>
      <c r="J40" s="101">
        <f>14.4*J$31/1000000*454</f>
        <v>216.917568</v>
      </c>
      <c r="K40" s="9"/>
      <c r="L40" s="101">
        <f>76.7*L$31/1000000*454</f>
        <v>121.72308408</v>
      </c>
      <c r="M40" s="9"/>
      <c r="N40" s="101">
        <f>8.8*N$31/1000000*454</f>
        <v>14.521752960000002</v>
      </c>
      <c r="O40" s="9"/>
      <c r="P40" s="101">
        <f>15.6*P$31/1000000*454</f>
        <v>23.92009776</v>
      </c>
      <c r="Q40" s="9"/>
      <c r="R40" s="9"/>
      <c r="S40" s="9"/>
      <c r="T40" s="9"/>
      <c r="U40" s="9"/>
      <c r="V40" s="9"/>
      <c r="X40" s="7">
        <f t="shared" si="0"/>
        <v>358.43868408000003</v>
      </c>
      <c r="Y40" s="7"/>
      <c r="Z40" s="7">
        <f t="shared" si="1"/>
        <v>266.67698496</v>
      </c>
      <c r="AA40" s="7"/>
      <c r="AB40" s="7">
        <f t="shared" si="2"/>
        <v>240.83766576</v>
      </c>
      <c r="AD40" s="104"/>
    </row>
    <row r="41" spans="2:30" ht="12.75">
      <c r="B41" s="4" t="s">
        <v>103</v>
      </c>
      <c r="D41" s="4" t="s">
        <v>119</v>
      </c>
      <c r="E41" s="9"/>
      <c r="F41" s="9">
        <v>232.52</v>
      </c>
      <c r="G41" s="9"/>
      <c r="H41" s="9">
        <v>255.04</v>
      </c>
      <c r="I41" s="9"/>
      <c r="J41" s="9">
        <v>418.39</v>
      </c>
      <c r="K41" s="9"/>
      <c r="L41" s="9">
        <v>13.47</v>
      </c>
      <c r="M41" s="9"/>
      <c r="N41" s="9">
        <v>69.73</v>
      </c>
      <c r="O41" s="9"/>
      <c r="P41" s="9">
        <v>66.74</v>
      </c>
      <c r="Q41" s="9"/>
      <c r="R41" s="9">
        <v>8257.17</v>
      </c>
      <c r="S41" s="9"/>
      <c r="T41" s="9">
        <v>6041.39</v>
      </c>
      <c r="U41" s="9"/>
      <c r="V41" s="9">
        <v>5244.72</v>
      </c>
      <c r="X41" s="7">
        <f t="shared" si="0"/>
        <v>8503.16</v>
      </c>
      <c r="Y41" s="7"/>
      <c r="Z41" s="7">
        <f t="shared" si="1"/>
        <v>6366.16</v>
      </c>
      <c r="AA41" s="7"/>
      <c r="AB41" s="7">
        <f t="shared" si="2"/>
        <v>5729.85</v>
      </c>
      <c r="AD41" s="104"/>
    </row>
    <row r="42" spans="2:30" ht="12.75">
      <c r="B42" s="4" t="s">
        <v>160</v>
      </c>
      <c r="D42" s="4" t="s">
        <v>119</v>
      </c>
      <c r="E42" s="9"/>
      <c r="F42" s="101">
        <v>8794.4</v>
      </c>
      <c r="G42" s="9"/>
      <c r="H42" s="101">
        <f>671*H$31/1000000*454</f>
        <v>10071.20004</v>
      </c>
      <c r="I42" s="9"/>
      <c r="J42" s="101">
        <v>14606</v>
      </c>
      <c r="K42" s="9"/>
      <c r="L42" s="101">
        <v>8.44</v>
      </c>
      <c r="M42" s="9"/>
      <c r="N42" s="101">
        <v>48.61</v>
      </c>
      <c r="O42" s="9"/>
      <c r="P42" s="101">
        <v>46.09</v>
      </c>
      <c r="Q42" s="9"/>
      <c r="R42" s="9"/>
      <c r="S42" s="9"/>
      <c r="T42" s="9"/>
      <c r="U42" s="9"/>
      <c r="V42" s="9"/>
      <c r="X42" s="7">
        <f t="shared" si="0"/>
        <v>8802.84</v>
      </c>
      <c r="Y42" s="7"/>
      <c r="Z42" s="7">
        <f t="shared" si="1"/>
        <v>10119.81004</v>
      </c>
      <c r="AA42" s="7"/>
      <c r="AB42" s="7">
        <f t="shared" si="2"/>
        <v>14652.09</v>
      </c>
      <c r="AD42" s="104"/>
    </row>
    <row r="43" spans="2:30" ht="12.75">
      <c r="B43" s="4" t="s">
        <v>104</v>
      </c>
      <c r="D43" s="4" t="s">
        <v>119</v>
      </c>
      <c r="E43" s="9" t="s">
        <v>161</v>
      </c>
      <c r="F43" s="101">
        <f>0.019*F$31/1000000*454</f>
        <v>0.28465799999999997</v>
      </c>
      <c r="G43" s="9" t="s">
        <v>161</v>
      </c>
      <c r="H43" s="101">
        <f>0.02*H$31/1000000*454</f>
        <v>0.30018480000000003</v>
      </c>
      <c r="I43" s="9" t="s">
        <v>161</v>
      </c>
      <c r="J43" s="101">
        <f>0.02*J$31/1000000*454</f>
        <v>0.3012744</v>
      </c>
      <c r="K43" s="9"/>
      <c r="L43" s="9">
        <v>0.03</v>
      </c>
      <c r="M43" s="9"/>
      <c r="N43" s="9">
        <v>0.15</v>
      </c>
      <c r="O43" s="9"/>
      <c r="P43" s="9">
        <v>0.12</v>
      </c>
      <c r="Q43" s="9"/>
      <c r="R43" s="9"/>
      <c r="S43" s="9"/>
      <c r="T43" s="9"/>
      <c r="U43" s="9"/>
      <c r="V43" s="9"/>
      <c r="X43" s="52">
        <f t="shared" si="0"/>
        <v>0.314658</v>
      </c>
      <c r="Y43" s="52"/>
      <c r="Z43" s="52">
        <f t="shared" si="1"/>
        <v>0.45018480000000005</v>
      </c>
      <c r="AA43" s="52"/>
      <c r="AB43" s="52">
        <f t="shared" si="2"/>
        <v>0.4212744</v>
      </c>
      <c r="AD43" s="104"/>
    </row>
    <row r="44" spans="2:30" ht="12.75">
      <c r="B44" s="4" t="s">
        <v>105</v>
      </c>
      <c r="D44" s="4" t="s">
        <v>119</v>
      </c>
      <c r="E44" s="9"/>
      <c r="F44" s="9">
        <v>491.87</v>
      </c>
      <c r="G44" s="9"/>
      <c r="H44" s="9">
        <v>533.93</v>
      </c>
      <c r="I44" s="9"/>
      <c r="J44" s="9">
        <v>496.37</v>
      </c>
      <c r="K44" s="9"/>
      <c r="L44" s="9">
        <v>4.45</v>
      </c>
      <c r="M44" s="9"/>
      <c r="N44" s="9">
        <v>7.34</v>
      </c>
      <c r="O44" s="9"/>
      <c r="P44" s="9">
        <v>5.75</v>
      </c>
      <c r="Q44" s="9"/>
      <c r="R44" s="9"/>
      <c r="S44" s="9"/>
      <c r="T44" s="9"/>
      <c r="U44" s="9"/>
      <c r="V44" s="9"/>
      <c r="X44" s="5">
        <f t="shared" si="0"/>
        <v>496.32</v>
      </c>
      <c r="Y44" s="103"/>
      <c r="Z44" s="5">
        <f t="shared" si="1"/>
        <v>541.27</v>
      </c>
      <c r="AA44" s="6"/>
      <c r="AB44" s="5">
        <f t="shared" si="2"/>
        <v>502.12</v>
      </c>
      <c r="AD44" s="104"/>
    </row>
    <row r="45" spans="2:30" ht="12.75">
      <c r="B45" s="4" t="s">
        <v>107</v>
      </c>
      <c r="D45" s="4" t="s">
        <v>119</v>
      </c>
      <c r="E45" s="9" t="s">
        <v>161</v>
      </c>
      <c r="F45" s="101">
        <f>0.2*F$31/1000000*454</f>
        <v>2.9964</v>
      </c>
      <c r="G45" s="9" t="s">
        <v>161</v>
      </c>
      <c r="H45" s="101">
        <f>0.2*H$31/1000000*454</f>
        <v>3.001848</v>
      </c>
      <c r="I45" s="9" t="s">
        <v>161</v>
      </c>
      <c r="J45" s="101">
        <f>0.2*J$31/1000000*454</f>
        <v>3.012744</v>
      </c>
      <c r="K45" s="9"/>
      <c r="L45" s="9">
        <v>0.5</v>
      </c>
      <c r="M45" s="9"/>
      <c r="N45" s="9">
        <v>1.25</v>
      </c>
      <c r="O45" s="9"/>
      <c r="P45" s="9">
        <v>1.13</v>
      </c>
      <c r="Q45" s="9"/>
      <c r="R45" s="9"/>
      <c r="S45" s="9"/>
      <c r="T45" s="9"/>
      <c r="U45" s="9"/>
      <c r="V45" s="9"/>
      <c r="X45" s="6">
        <f t="shared" si="0"/>
        <v>3.4964</v>
      </c>
      <c r="Y45" s="6"/>
      <c r="Z45" s="6">
        <f t="shared" si="1"/>
        <v>4.251848</v>
      </c>
      <c r="AA45" s="6"/>
      <c r="AB45" s="6">
        <f t="shared" si="2"/>
        <v>4.142744</v>
      </c>
      <c r="AD45" s="104"/>
    </row>
    <row r="46" spans="2:30" ht="12.75">
      <c r="B46" s="4" t="s">
        <v>108</v>
      </c>
      <c r="D46" s="4" t="s">
        <v>119</v>
      </c>
      <c r="E46" s="9" t="s">
        <v>161</v>
      </c>
      <c r="F46" s="101">
        <f>0.5*F$31/1000000*454</f>
        <v>7.4910000000000005</v>
      </c>
      <c r="G46" s="9" t="s">
        <v>161</v>
      </c>
      <c r="H46" s="101">
        <f>0.5*H$31/1000000*454</f>
        <v>7.50462</v>
      </c>
      <c r="I46" s="9" t="s">
        <v>161</v>
      </c>
      <c r="J46" s="101">
        <f>0.5*J$31/1000000*454</f>
        <v>7.53186</v>
      </c>
      <c r="K46" s="9" t="s">
        <v>161</v>
      </c>
      <c r="L46" s="101">
        <f>0.5*L$31/1000000*454</f>
        <v>0.7935011999999999</v>
      </c>
      <c r="M46" s="9" t="s">
        <v>161</v>
      </c>
      <c r="N46" s="101">
        <f>0.5*N$31/1000000*454</f>
        <v>0.8250996</v>
      </c>
      <c r="O46" s="9" t="s">
        <v>161</v>
      </c>
      <c r="P46" s="101">
        <f>0.5*P$31/1000000*454</f>
        <v>0.7666698</v>
      </c>
      <c r="Q46" s="9"/>
      <c r="R46" s="9"/>
      <c r="S46" s="9"/>
      <c r="T46" s="9"/>
      <c r="U46" s="9"/>
      <c r="V46" s="9"/>
      <c r="X46" s="6">
        <f t="shared" si="0"/>
        <v>8.284501200000001</v>
      </c>
      <c r="Y46" s="6"/>
      <c r="Z46" s="6">
        <f t="shared" si="1"/>
        <v>8.3297196</v>
      </c>
      <c r="AA46" s="6"/>
      <c r="AB46" s="6">
        <f t="shared" si="2"/>
        <v>8.2985298</v>
      </c>
      <c r="AD46" s="104"/>
    </row>
    <row r="47" spans="5:30" ht="12.75">
      <c r="E47" s="15"/>
      <c r="I47" s="5"/>
      <c r="L47" s="18"/>
      <c r="M47" s="15"/>
      <c r="O47" s="5"/>
      <c r="Q47" s="4"/>
      <c r="R47" s="18"/>
      <c r="S47" s="15"/>
      <c r="T47" s="18"/>
      <c r="U47" s="5"/>
      <c r="V47" s="18"/>
      <c r="X47" s="5"/>
      <c r="Y47" s="105"/>
      <c r="Z47" s="5"/>
      <c r="AA47" s="35"/>
      <c r="AB47" s="5"/>
      <c r="AC47" s="106"/>
      <c r="AD47" s="104"/>
    </row>
    <row r="48" spans="2:30" ht="12.75">
      <c r="B48" s="4" t="s">
        <v>36</v>
      </c>
      <c r="D48" s="4" t="s">
        <v>17</v>
      </c>
      <c r="E48" s="15"/>
      <c r="F48" s="7">
        <f>'emiss 1'!G74</f>
        <v>21477</v>
      </c>
      <c r="H48" s="7">
        <f>'emiss 1'!I74</f>
        <v>21003</v>
      </c>
      <c r="I48" s="18"/>
      <c r="J48" s="7">
        <f>'emiss 1'!K74</f>
        <v>22664</v>
      </c>
      <c r="K48" s="15"/>
      <c r="L48" s="18">
        <f>$F48</f>
        <v>21477</v>
      </c>
      <c r="M48" s="15"/>
      <c r="N48" s="18">
        <f>$H48</f>
        <v>21003</v>
      </c>
      <c r="O48" s="18"/>
      <c r="P48" s="18">
        <f>$J48</f>
        <v>22664</v>
      </c>
      <c r="R48" s="18">
        <f>$F48</f>
        <v>21477</v>
      </c>
      <c r="S48" s="15"/>
      <c r="T48" s="18">
        <f>$H48</f>
        <v>21003</v>
      </c>
      <c r="U48" s="18"/>
      <c r="V48" s="18">
        <f>$J48</f>
        <v>22664</v>
      </c>
      <c r="X48" s="18">
        <f>$F48</f>
        <v>21477</v>
      </c>
      <c r="Y48" s="15"/>
      <c r="Z48" s="18">
        <f>$H48</f>
        <v>21003</v>
      </c>
      <c r="AA48" s="18"/>
      <c r="AB48" s="18">
        <f>$J48</f>
        <v>22664</v>
      </c>
      <c r="AD48" s="20">
        <f>AVERAGE(X48,Z48,AB48)</f>
        <v>21714.666666666668</v>
      </c>
    </row>
    <row r="49" spans="2:30" ht="12.75">
      <c r="B49" s="4" t="s">
        <v>37</v>
      </c>
      <c r="D49" s="4" t="s">
        <v>18</v>
      </c>
      <c r="E49" s="15"/>
      <c r="F49" s="5">
        <f>'emiss 1'!G75</f>
        <v>14.1</v>
      </c>
      <c r="G49" s="107"/>
      <c r="H49" s="5">
        <f>'emiss 1'!I75</f>
        <v>13.8</v>
      </c>
      <c r="I49" s="5"/>
      <c r="J49" s="5">
        <f>'emiss 1'!K75</f>
        <v>14.2</v>
      </c>
      <c r="K49" s="15"/>
      <c r="L49" s="18">
        <f>$F49</f>
        <v>14.1</v>
      </c>
      <c r="M49" s="15"/>
      <c r="N49" s="18">
        <f>$H49</f>
        <v>13.8</v>
      </c>
      <c r="O49" s="18"/>
      <c r="P49" s="18">
        <f>$J49</f>
        <v>14.2</v>
      </c>
      <c r="Q49" s="15"/>
      <c r="R49" s="18">
        <f>$F49</f>
        <v>14.1</v>
      </c>
      <c r="S49" s="15"/>
      <c r="T49" s="18">
        <f>$H49</f>
        <v>13.8</v>
      </c>
      <c r="U49" s="18"/>
      <c r="V49" s="18">
        <f>$J49</f>
        <v>14.2</v>
      </c>
      <c r="W49" s="15"/>
      <c r="X49" s="18">
        <f>$F49</f>
        <v>14.1</v>
      </c>
      <c r="Y49" s="15"/>
      <c r="Z49" s="18">
        <f>$H49</f>
        <v>13.8</v>
      </c>
      <c r="AA49" s="18"/>
      <c r="AB49" s="18">
        <f>$J49</f>
        <v>14.2</v>
      </c>
      <c r="AD49" s="20">
        <f>AVERAGE(X49,Z49,AB49)</f>
        <v>14.033333333333331</v>
      </c>
    </row>
    <row r="50" spans="5:11" ht="12.75">
      <c r="E50" s="15"/>
      <c r="I50" s="18"/>
      <c r="J50" s="15"/>
      <c r="K50" s="15"/>
    </row>
    <row r="51" spans="2:30" ht="12.75">
      <c r="B51" s="4" t="s">
        <v>282</v>
      </c>
      <c r="D51" s="4" t="s">
        <v>31</v>
      </c>
      <c r="E51" s="15"/>
      <c r="F51" s="5"/>
      <c r="H51" s="5"/>
      <c r="I51" s="18"/>
      <c r="J51" s="5"/>
      <c r="K51" s="15"/>
      <c r="L51" s="5">
        <f>L31*L32/1000000</f>
        <v>37.612656</v>
      </c>
      <c r="N51" s="5">
        <f>N31*N32/1000000</f>
        <v>40.4880372</v>
      </c>
      <c r="P51" s="5">
        <f>P31*P32/1000000</f>
        <v>36.30705</v>
      </c>
      <c r="R51" s="5"/>
      <c r="S51" s="15"/>
      <c r="T51" s="5"/>
      <c r="U51" s="18"/>
      <c r="V51" s="5"/>
      <c r="X51" s="5">
        <f>F51+L51+R51</f>
        <v>37.612656</v>
      </c>
      <c r="Y51" s="107"/>
      <c r="Z51" s="5">
        <f>H51+N51+T51</f>
        <v>40.4880372</v>
      </c>
      <c r="AA51" s="5"/>
      <c r="AB51" s="5">
        <f>J51+P51+V51</f>
        <v>36.30705</v>
      </c>
      <c r="AD51" s="20">
        <f>AVERAGE(X51,Z51,AB51)</f>
        <v>38.1359144</v>
      </c>
    </row>
    <row r="52" spans="2:30" ht="12.75">
      <c r="B52" s="4" t="s">
        <v>278</v>
      </c>
      <c r="D52" s="4" t="s">
        <v>31</v>
      </c>
      <c r="E52" s="15"/>
      <c r="F52" s="17"/>
      <c r="I52" s="5"/>
      <c r="J52" s="15"/>
      <c r="K52" s="15"/>
      <c r="X52" s="45">
        <f>X48/9000*60*(21-X49)/21</f>
        <v>47.04485714285715</v>
      </c>
      <c r="Y52" s="20"/>
      <c r="Z52" s="45">
        <f>Z48/9000*60*(21-Z49)/21</f>
        <v>48.00685714285714</v>
      </c>
      <c r="AA52" s="20"/>
      <c r="AB52" s="45">
        <f>AB48/9000*60*(21-AB49)/21</f>
        <v>48.92546031746032</v>
      </c>
      <c r="AD52" s="20">
        <f>AVERAGE(X52,Z52,AB52)</f>
        <v>47.99239153439154</v>
      </c>
    </row>
    <row r="53" spans="8:30" ht="12.75">
      <c r="H53" s="18"/>
      <c r="J53" s="18"/>
      <c r="X53" s="15"/>
      <c r="Z53" s="15"/>
      <c r="AB53" s="15"/>
      <c r="AD53" s="98"/>
    </row>
    <row r="54" spans="2:30" ht="12.75">
      <c r="B54" s="43" t="s">
        <v>45</v>
      </c>
      <c r="C54" s="43"/>
      <c r="F54" s="15"/>
      <c r="H54" s="15"/>
      <c r="I54" s="15"/>
      <c r="J54" s="15"/>
      <c r="K54" s="18"/>
      <c r="Q54" s="16"/>
      <c r="R54" s="15"/>
      <c r="S54" s="15"/>
      <c r="T54" s="15"/>
      <c r="U54" s="15"/>
      <c r="V54" s="15"/>
      <c r="W54" s="16"/>
      <c r="X54" s="15"/>
      <c r="Y54" s="15"/>
      <c r="Z54" s="15"/>
      <c r="AA54" s="18"/>
      <c r="AB54" s="15"/>
      <c r="AD54" s="98"/>
    </row>
    <row r="55" spans="2:30" ht="12.75">
      <c r="B55" s="4" t="s">
        <v>23</v>
      </c>
      <c r="D55" s="4" t="s">
        <v>33</v>
      </c>
      <c r="E55" s="9">
        <v>100</v>
      </c>
      <c r="F55" s="7">
        <f aca="true" t="shared" si="3" ref="F55:F68">F33*1/60*1000000/(F$48*0.0283)*(21-7)/(21-F$49)</f>
        <v>41678.054570944594</v>
      </c>
      <c r="G55" s="9">
        <v>100</v>
      </c>
      <c r="H55" s="7">
        <f aca="true" t="shared" si="4" ref="H55:H68">H33*1/60*1000000/(H$48*0.0283)*(21-7)/(21-H$49)</f>
        <v>40917.13598003209</v>
      </c>
      <c r="I55" s="9">
        <v>100</v>
      </c>
      <c r="J55" s="7">
        <f aca="true" t="shared" si="5" ref="J55:J68">J33*1/60*1000000/(J$48*0.0283)*(21-7)/(21-J$49)</f>
        <v>40294.62463323292</v>
      </c>
      <c r="K55" s="60"/>
      <c r="L55" s="7">
        <f aca="true" t="shared" si="6" ref="L55:L68">L33*1/60*1000000/(L$48*0.0283)*(21-7)/(21-L$49)</f>
        <v>1022116.5939431629</v>
      </c>
      <c r="M55" s="60"/>
      <c r="N55" s="7">
        <f aca="true" t="shared" si="7" ref="N55:N68">N33*1/60*1000000/(N$48*0.0283)*(21-7)/(21-N$49)</f>
        <v>366555.40879319113</v>
      </c>
      <c r="O55" s="46"/>
      <c r="P55" s="7">
        <f aca="true" t="shared" si="8" ref="P55:P68">P33*1/60*1000000/(P$48*0.0283)*(21-7)/(21-P$49)</f>
        <v>264819.5690500128</v>
      </c>
      <c r="Q55" s="108"/>
      <c r="R55" s="7">
        <f aca="true" t="shared" si="9" ref="R55:R68">R33*1/60*1000000/(R$48*0.0283)*(21-7)/(21-R$49)</f>
        <v>1514391.6694180805</v>
      </c>
      <c r="S55" s="60"/>
      <c r="T55" s="7">
        <f aca="true" t="shared" si="10" ref="T55:T68">T33*1/60*1000000/(T$48*0.0283)*(21-7)/(21-T$49)</f>
        <v>874869.5655950535</v>
      </c>
      <c r="U55" s="46"/>
      <c r="V55" s="7">
        <f aca="true" t="shared" si="11" ref="V55:V68">V33*1/60*1000000/(V$48*0.0283)*(21-7)/(21-V$49)</f>
        <v>1072278.509589779</v>
      </c>
      <c r="W55" s="20">
        <f>SUM((F55*E55/100),(L55*K55/100))/X55*100</f>
        <v>1.6165648805541764</v>
      </c>
      <c r="X55" s="46">
        <f>F55+L55+R55</f>
        <v>2578186.317932188</v>
      </c>
      <c r="Y55" s="20">
        <f>SUM((H55*G55/100),(N55*M55/100))/Z55*100</f>
        <v>3.190812783047503</v>
      </c>
      <c r="Z55" s="46">
        <f>H55+N55+T55</f>
        <v>1282342.1103682767</v>
      </c>
      <c r="AA55" s="20">
        <f>SUM((J55*I55/100),(P55*O55/100))/AB55*100</f>
        <v>2.9254274788506542</v>
      </c>
      <c r="AB55" s="46">
        <f>J55+P55+V55</f>
        <v>1377392.7032730246</v>
      </c>
      <c r="AC55" s="109">
        <f>SUM((AB55*AA55/100),(Z55*Y55/100),(X55*W55/100))/AD55/3*100</f>
        <v>2.346156272637368</v>
      </c>
      <c r="AD55" s="110">
        <f>AVERAGE(X55,Z55,AB55)</f>
        <v>1745973.7105244964</v>
      </c>
    </row>
    <row r="56" spans="2:35" ht="12.75">
      <c r="B56" s="4" t="s">
        <v>97</v>
      </c>
      <c r="D56" s="4" t="s">
        <v>33</v>
      </c>
      <c r="E56" s="9">
        <v>100</v>
      </c>
      <c r="F56" s="7">
        <f t="shared" si="3"/>
        <v>416.780545709446</v>
      </c>
      <c r="G56" s="9">
        <v>100</v>
      </c>
      <c r="H56" s="7">
        <f t="shared" si="4"/>
        <v>409.17135980032094</v>
      </c>
      <c r="I56" s="9">
        <v>100</v>
      </c>
      <c r="J56" s="7">
        <f t="shared" si="5"/>
        <v>402.94624633232917</v>
      </c>
      <c r="L56" s="7">
        <f t="shared" si="6"/>
        <v>224.77551791031397</v>
      </c>
      <c r="M56" s="15"/>
      <c r="N56" s="7">
        <f t="shared" si="7"/>
        <v>141.21352205479175</v>
      </c>
      <c r="P56" s="7">
        <f t="shared" si="8"/>
        <v>113.95266304576309</v>
      </c>
      <c r="R56" s="7">
        <f t="shared" si="9"/>
        <v>0</v>
      </c>
      <c r="S56" s="15"/>
      <c r="T56" s="7">
        <f t="shared" si="10"/>
        <v>0</v>
      </c>
      <c r="V56" s="7">
        <f t="shared" si="11"/>
        <v>0</v>
      </c>
      <c r="W56" s="20">
        <f>SUM((F56*E56/100),(L56*K56/100))/X56*100</f>
        <v>64.9640100598387</v>
      </c>
      <c r="X56" s="7">
        <f aca="true" t="shared" si="12" ref="X56:X68">F56+L56+R56</f>
        <v>641.5560636197599</v>
      </c>
      <c r="Y56" s="20">
        <f>SUM((H56*G56/100),(N56*M56/100))/Z56*100</f>
        <v>74.34276872234913</v>
      </c>
      <c r="Z56" s="7">
        <f aca="true" t="shared" si="13" ref="Z56:Z68">H56+N56+T56</f>
        <v>550.3848818551127</v>
      </c>
      <c r="AA56" s="20">
        <f>SUM((J56*I56/100),(P56*O56/100))/AB56*100</f>
        <v>77.9545553340661</v>
      </c>
      <c r="AB56" s="7">
        <f aca="true" t="shared" si="14" ref="AB56:AB68">J56+P56+V56</f>
        <v>516.8989093780923</v>
      </c>
      <c r="AC56" s="109">
        <f>SUM((AB56*AA56/100),(Z56*Y56/100),(X56*W56/100))/AD56/3*100</f>
        <v>71.91417898828414</v>
      </c>
      <c r="AD56" s="110">
        <f aca="true" t="shared" si="15" ref="AD56:AD68">AVERAGE(X56,Z56,AB56)</f>
        <v>569.6132849509883</v>
      </c>
      <c r="AE56" s="7"/>
      <c r="AF56" s="15"/>
      <c r="AG56" s="7"/>
      <c r="AI56" s="7"/>
    </row>
    <row r="57" spans="2:35" ht="12.75">
      <c r="B57" s="4" t="s">
        <v>96</v>
      </c>
      <c r="D57" s="4" t="s">
        <v>33</v>
      </c>
      <c r="E57" s="9"/>
      <c r="F57" s="7">
        <f t="shared" si="3"/>
        <v>9536.824634902701</v>
      </c>
      <c r="G57" s="9"/>
      <c r="H57" s="7">
        <f t="shared" si="4"/>
        <v>9514.192895197359</v>
      </c>
      <c r="I57" s="9"/>
      <c r="J57" s="7">
        <f t="shared" si="5"/>
        <v>8744.930657962645</v>
      </c>
      <c r="L57" s="7">
        <f t="shared" si="6"/>
        <v>114.7859089852437</v>
      </c>
      <c r="M57" s="9">
        <v>100</v>
      </c>
      <c r="N57" s="7">
        <f t="shared" si="7"/>
        <v>44.98657164555979</v>
      </c>
      <c r="O57" s="9">
        <v>100</v>
      </c>
      <c r="P57" s="7">
        <f t="shared" si="8"/>
        <v>41.01599313932515</v>
      </c>
      <c r="R57" s="7">
        <f t="shared" si="9"/>
        <v>39196.62187322183</v>
      </c>
      <c r="S57" s="15"/>
      <c r="T57" s="7">
        <f t="shared" si="10"/>
        <v>27604.790044919333</v>
      </c>
      <c r="V57" s="7">
        <f t="shared" si="11"/>
        <v>30050.333724321656</v>
      </c>
      <c r="W57" s="20"/>
      <c r="X57" s="7">
        <f t="shared" si="12"/>
        <v>48848.23241710978</v>
      </c>
      <c r="Y57" s="20"/>
      <c r="Z57" s="7">
        <f t="shared" si="13"/>
        <v>37163.969511762254</v>
      </c>
      <c r="AA57" s="20"/>
      <c r="AB57" s="7">
        <f t="shared" si="14"/>
        <v>38836.28037542362</v>
      </c>
      <c r="AC57" s="109"/>
      <c r="AD57" s="110">
        <f t="shared" si="15"/>
        <v>41616.160768098554</v>
      </c>
      <c r="AE57" s="7"/>
      <c r="AF57" s="15"/>
      <c r="AG57" s="7"/>
      <c r="AI57" s="7"/>
    </row>
    <row r="58" spans="2:35" ht="12.75">
      <c r="B58" s="4" t="s">
        <v>98</v>
      </c>
      <c r="D58" s="4" t="s">
        <v>33</v>
      </c>
      <c r="E58" s="9"/>
      <c r="F58" s="7">
        <f t="shared" si="3"/>
        <v>14677.173669490301</v>
      </c>
      <c r="G58" s="9"/>
      <c r="H58" s="7">
        <f t="shared" si="4"/>
        <v>13821.477930845449</v>
      </c>
      <c r="I58" s="9"/>
      <c r="J58" s="7">
        <f t="shared" si="5"/>
        <v>12272.648311125846</v>
      </c>
      <c r="L58" s="7">
        <f t="shared" si="6"/>
        <v>6904.057925121501</v>
      </c>
      <c r="M58" s="9"/>
      <c r="N58" s="7">
        <f t="shared" si="7"/>
        <v>7011.605766890431</v>
      </c>
      <c r="O58" s="9"/>
      <c r="P58" s="7">
        <f t="shared" si="8"/>
        <v>6018.091580290088</v>
      </c>
      <c r="R58" s="7">
        <f t="shared" si="9"/>
        <v>0</v>
      </c>
      <c r="S58" s="15"/>
      <c r="T58" s="7">
        <f t="shared" si="10"/>
        <v>0</v>
      </c>
      <c r="V58" s="7">
        <f t="shared" si="11"/>
        <v>0</v>
      </c>
      <c r="W58" s="20"/>
      <c r="X58" s="7">
        <f t="shared" si="12"/>
        <v>21581.231594611803</v>
      </c>
      <c r="Y58" s="20"/>
      <c r="Z58" s="7">
        <f t="shared" si="13"/>
        <v>20833.08369773588</v>
      </c>
      <c r="AA58" s="20"/>
      <c r="AB58" s="7">
        <f t="shared" si="14"/>
        <v>18290.739891415935</v>
      </c>
      <c r="AC58" s="109"/>
      <c r="AD58" s="110">
        <f t="shared" si="15"/>
        <v>20235.018394587874</v>
      </c>
      <c r="AE58" s="7"/>
      <c r="AF58" s="15"/>
      <c r="AG58" s="7"/>
      <c r="AI58" s="7"/>
    </row>
    <row r="59" spans="2:35" ht="12.75">
      <c r="B59" s="4" t="s">
        <v>99</v>
      </c>
      <c r="D59" s="4" t="s">
        <v>33</v>
      </c>
      <c r="E59" s="9"/>
      <c r="F59" s="7">
        <f t="shared" si="3"/>
        <v>191.39301525036635</v>
      </c>
      <c r="G59" s="9"/>
      <c r="H59" s="7">
        <f t="shared" si="4"/>
        <v>200.64315102765778</v>
      </c>
      <c r="I59" s="9"/>
      <c r="J59" s="7">
        <f t="shared" si="5"/>
        <v>178.68633548021066</v>
      </c>
      <c r="K59" s="9">
        <v>100</v>
      </c>
      <c r="L59" s="7">
        <f t="shared" si="6"/>
        <v>4.414842653278605</v>
      </c>
      <c r="M59" s="9">
        <v>100</v>
      </c>
      <c r="N59" s="7">
        <f t="shared" si="7"/>
        <v>4.498657164555979</v>
      </c>
      <c r="O59" s="9">
        <v>100</v>
      </c>
      <c r="P59" s="7">
        <f t="shared" si="8"/>
        <v>4.101599313932515</v>
      </c>
      <c r="R59" s="7">
        <f t="shared" si="9"/>
        <v>6965.259179998071</v>
      </c>
      <c r="S59" s="15"/>
      <c r="T59" s="7">
        <f t="shared" si="10"/>
        <v>5044.975751247059</v>
      </c>
      <c r="V59" s="7">
        <f t="shared" si="11"/>
        <v>4917.6191489044795</v>
      </c>
      <c r="W59" s="20"/>
      <c r="X59" s="7">
        <f t="shared" si="12"/>
        <v>7161.067037901716</v>
      </c>
      <c r="Y59" s="20"/>
      <c r="Z59" s="7">
        <f t="shared" si="13"/>
        <v>5250.117559439273</v>
      </c>
      <c r="AA59" s="20"/>
      <c r="AB59" s="7">
        <f t="shared" si="14"/>
        <v>5100.407083698623</v>
      </c>
      <c r="AC59" s="109"/>
      <c r="AD59" s="110">
        <f t="shared" si="15"/>
        <v>5837.197227013203</v>
      </c>
      <c r="AE59" s="7"/>
      <c r="AF59" s="15"/>
      <c r="AG59" s="7"/>
      <c r="AI59" s="7"/>
    </row>
    <row r="60" spans="2:35" ht="12.75">
      <c r="B60" s="4" t="s">
        <v>100</v>
      </c>
      <c r="D60" s="4" t="s">
        <v>33</v>
      </c>
      <c r="E60" s="9">
        <v>100</v>
      </c>
      <c r="F60" s="7">
        <f t="shared" si="3"/>
        <v>166.7122182837784</v>
      </c>
      <c r="G60" s="9">
        <v>100</v>
      </c>
      <c r="H60" s="7">
        <f t="shared" si="4"/>
        <v>163.66854392012837</v>
      </c>
      <c r="I60" s="9">
        <v>100</v>
      </c>
      <c r="J60" s="7">
        <f t="shared" si="5"/>
        <v>161.17849853293166</v>
      </c>
      <c r="K60" s="9"/>
      <c r="L60" s="7">
        <f t="shared" si="6"/>
        <v>236.4593938412956</v>
      </c>
      <c r="M60" s="9"/>
      <c r="N60" s="7">
        <f t="shared" si="7"/>
        <v>135.2160365621172</v>
      </c>
      <c r="O60" s="9"/>
      <c r="P60" s="7">
        <f t="shared" si="8"/>
        <v>107.53279470515669</v>
      </c>
      <c r="R60" s="7">
        <f t="shared" si="9"/>
        <v>18158.41232187851</v>
      </c>
      <c r="S60" s="15"/>
      <c r="T60" s="7">
        <f t="shared" si="10"/>
        <v>11697.277614530896</v>
      </c>
      <c r="V60" s="7">
        <f t="shared" si="11"/>
        <v>11649.921082087028</v>
      </c>
      <c r="W60" s="20">
        <f>SUM((F60*E60/100),(L60*K60/100))/X60*100</f>
        <v>0.898157284833719</v>
      </c>
      <c r="X60" s="7">
        <f t="shared" si="12"/>
        <v>18561.583934003585</v>
      </c>
      <c r="Y60" s="20">
        <f>SUM((H60*G60/100),(N60*M60/100))/Z60*100</f>
        <v>1.364340872184657</v>
      </c>
      <c r="Z60" s="7">
        <f t="shared" si="13"/>
        <v>11996.162195013141</v>
      </c>
      <c r="AA60" s="20">
        <f>SUM((J60*I60/100),(P60*O60/100))/AB60*100</f>
        <v>1.352323768846298</v>
      </c>
      <c r="AB60" s="7">
        <f t="shared" si="14"/>
        <v>11918.632375325116</v>
      </c>
      <c r="AC60" s="109">
        <f>SUM((AB60*AA60/100),(Z60*Y60/100),(X60*W60/100))/AD60/3*100</f>
        <v>1.1572532264882052</v>
      </c>
      <c r="AD60" s="110">
        <f t="shared" si="15"/>
        <v>14158.792834780616</v>
      </c>
      <c r="AE60" s="7"/>
      <c r="AF60" s="15"/>
      <c r="AG60" s="7"/>
      <c r="AI60" s="7"/>
    </row>
    <row r="61" spans="2:35" ht="12.75">
      <c r="B61" s="4" t="s">
        <v>101</v>
      </c>
      <c r="D61" s="4" t="s">
        <v>33</v>
      </c>
      <c r="E61" s="9"/>
      <c r="F61" s="7">
        <f t="shared" si="3"/>
        <v>14595.386537973432</v>
      </c>
      <c r="G61" s="9"/>
      <c r="H61" s="7">
        <f t="shared" si="4"/>
        <v>15531.306522211573</v>
      </c>
      <c r="I61" s="9"/>
      <c r="J61" s="7">
        <f t="shared" si="5"/>
        <v>14360.710488908066</v>
      </c>
      <c r="K61" s="9"/>
      <c r="L61" s="7">
        <f t="shared" si="6"/>
        <v>1262.9713506346848</v>
      </c>
      <c r="M61" s="9"/>
      <c r="N61" s="7">
        <f t="shared" si="7"/>
        <v>1860.85618059075</v>
      </c>
      <c r="O61" s="9"/>
      <c r="P61" s="7">
        <f t="shared" si="8"/>
        <v>698.6956710693267</v>
      </c>
      <c r="R61" s="7">
        <f t="shared" si="9"/>
        <v>84264.66958928411</v>
      </c>
      <c r="S61" s="15"/>
      <c r="T61" s="7">
        <f t="shared" si="10"/>
        <v>61880.41963555442</v>
      </c>
      <c r="V61" s="7">
        <f t="shared" si="11"/>
        <v>67076.92437876889</v>
      </c>
      <c r="W61" s="20"/>
      <c r="X61" s="7">
        <f t="shared" si="12"/>
        <v>100123.02747789223</v>
      </c>
      <c r="Y61" s="20"/>
      <c r="Z61" s="7">
        <f t="shared" si="13"/>
        <v>79272.58233835673</v>
      </c>
      <c r="AA61" s="20"/>
      <c r="AB61" s="7">
        <f t="shared" si="14"/>
        <v>82136.33053874629</v>
      </c>
      <c r="AC61" s="109"/>
      <c r="AD61" s="110">
        <f t="shared" si="15"/>
        <v>87177.31345166509</v>
      </c>
      <c r="AE61" s="7"/>
      <c r="AF61" s="15"/>
      <c r="AG61" s="7"/>
      <c r="AI61" s="7"/>
    </row>
    <row r="62" spans="2:35" ht="12.75">
      <c r="B62" s="4" t="s">
        <v>162</v>
      </c>
      <c r="D62" s="4" t="s">
        <v>33</v>
      </c>
      <c r="E62" s="9"/>
      <c r="F62" s="7">
        <f t="shared" si="3"/>
        <v>13170.265244418493</v>
      </c>
      <c r="G62" s="9"/>
      <c r="H62" s="7">
        <f t="shared" si="4"/>
        <v>13748.157689290785</v>
      </c>
      <c r="I62" s="9"/>
      <c r="J62" s="7">
        <f t="shared" si="5"/>
        <v>11604.851894371079</v>
      </c>
      <c r="K62" s="9"/>
      <c r="L62" s="7">
        <f t="shared" si="6"/>
        <v>6772.368630129379</v>
      </c>
      <c r="M62" s="9"/>
      <c r="N62" s="7">
        <f t="shared" si="7"/>
        <v>791.7636609618526</v>
      </c>
      <c r="O62" s="9"/>
      <c r="P62" s="7">
        <f t="shared" si="8"/>
        <v>1279.6989859469445</v>
      </c>
      <c r="R62" s="7">
        <f t="shared" si="9"/>
        <v>0</v>
      </c>
      <c r="S62" s="15"/>
      <c r="T62" s="7">
        <f t="shared" si="10"/>
        <v>0</v>
      </c>
      <c r="V62" s="7">
        <f t="shared" si="11"/>
        <v>0</v>
      </c>
      <c r="W62" s="20"/>
      <c r="X62" s="7">
        <f t="shared" si="12"/>
        <v>19942.63387454787</v>
      </c>
      <c r="Y62" s="20"/>
      <c r="Z62" s="7">
        <f t="shared" si="13"/>
        <v>14539.921350252638</v>
      </c>
      <c r="AA62" s="20"/>
      <c r="AB62" s="7">
        <f t="shared" si="14"/>
        <v>12884.550880318024</v>
      </c>
      <c r="AC62" s="109"/>
      <c r="AD62" s="110">
        <f t="shared" si="15"/>
        <v>15789.035368372846</v>
      </c>
      <c r="AE62" s="7"/>
      <c r="AF62" s="15"/>
      <c r="AG62" s="7"/>
      <c r="AI62" s="7"/>
    </row>
    <row r="63" spans="2:35" ht="12.75">
      <c r="B63" s="4" t="s">
        <v>103</v>
      </c>
      <c r="D63" s="4" t="s">
        <v>33</v>
      </c>
      <c r="E63" s="9"/>
      <c r="F63" s="7">
        <f t="shared" si="3"/>
        <v>12936.832530818368</v>
      </c>
      <c r="G63" s="9"/>
      <c r="H63" s="7">
        <f t="shared" si="4"/>
        <v>13905.442727742893</v>
      </c>
      <c r="I63" s="9"/>
      <c r="J63" s="7">
        <f t="shared" si="5"/>
        <v>22383.4059585525</v>
      </c>
      <c r="K63" s="9"/>
      <c r="L63" s="7">
        <f t="shared" si="6"/>
        <v>749.437184715824</v>
      </c>
      <c r="M63" s="9"/>
      <c r="N63" s="7">
        <f t="shared" si="7"/>
        <v>3801.8605764017875</v>
      </c>
      <c r="O63" s="9"/>
      <c r="P63" s="7">
        <f t="shared" si="8"/>
        <v>3570.5167754339095</v>
      </c>
      <c r="R63" s="7">
        <f t="shared" si="9"/>
        <v>459408.3324810661</v>
      </c>
      <c r="S63" s="15"/>
      <c r="T63" s="7">
        <f t="shared" si="10"/>
        <v>329392.26255081024</v>
      </c>
      <c r="V63" s="7">
        <f t="shared" si="11"/>
        <v>280586.76569454203</v>
      </c>
      <c r="W63" s="20"/>
      <c r="X63" s="7">
        <f t="shared" si="12"/>
        <v>473094.6021966003</v>
      </c>
      <c r="Y63" s="20"/>
      <c r="Z63" s="7">
        <f t="shared" si="13"/>
        <v>347099.56585495494</v>
      </c>
      <c r="AA63" s="20"/>
      <c r="AB63" s="7">
        <f t="shared" si="14"/>
        <v>306540.68842852843</v>
      </c>
      <c r="AC63" s="109"/>
      <c r="AD63" s="110">
        <f t="shared" si="15"/>
        <v>375578.28549336124</v>
      </c>
      <c r="AE63" s="7"/>
      <c r="AF63" s="15"/>
      <c r="AG63" s="7"/>
      <c r="AI63" s="7"/>
    </row>
    <row r="64" spans="2:35" ht="12.75">
      <c r="B64" s="4" t="s">
        <v>160</v>
      </c>
      <c r="D64" s="4" t="s">
        <v>33</v>
      </c>
      <c r="E64" s="9"/>
      <c r="F64" s="7">
        <f t="shared" si="3"/>
        <v>489298.4689877388</v>
      </c>
      <c r="G64" s="9"/>
      <c r="H64" s="7">
        <f t="shared" si="4"/>
        <v>549107.9648520307</v>
      </c>
      <c r="I64" s="9"/>
      <c r="J64" s="7">
        <f t="shared" si="5"/>
        <v>781404.9748574722</v>
      </c>
      <c r="K64" s="9"/>
      <c r="L64" s="7">
        <f t="shared" si="6"/>
        <v>469.5805374165964</v>
      </c>
      <c r="M64" s="9"/>
      <c r="N64" s="7">
        <f t="shared" si="7"/>
        <v>2650.343361808273</v>
      </c>
      <c r="O64" s="9"/>
      <c r="P64" s="7">
        <f t="shared" si="8"/>
        <v>2465.7644318212306</v>
      </c>
      <c r="R64" s="7">
        <f t="shared" si="9"/>
        <v>0</v>
      </c>
      <c r="S64" s="15"/>
      <c r="T64" s="7">
        <f t="shared" si="10"/>
        <v>0</v>
      </c>
      <c r="V64" s="7">
        <f t="shared" si="11"/>
        <v>0</v>
      </c>
      <c r="W64" s="20"/>
      <c r="X64" s="7">
        <f t="shared" si="12"/>
        <v>489768.0495251554</v>
      </c>
      <c r="Y64" s="20"/>
      <c r="Z64" s="7">
        <f t="shared" si="13"/>
        <v>551758.308213839</v>
      </c>
      <c r="AA64" s="20"/>
      <c r="AB64" s="7">
        <f t="shared" si="14"/>
        <v>783870.7392892934</v>
      </c>
      <c r="AC64" s="109"/>
      <c r="AD64" s="110">
        <f t="shared" si="15"/>
        <v>608465.6990094292</v>
      </c>
      <c r="AE64" s="7"/>
      <c r="AF64" s="15"/>
      <c r="AG64" s="7"/>
      <c r="AI64" s="7"/>
    </row>
    <row r="65" spans="2:35" ht="12.75">
      <c r="B65" s="4" t="s">
        <v>104</v>
      </c>
      <c r="D65" s="4" t="s">
        <v>33</v>
      </c>
      <c r="E65" s="9">
        <v>100</v>
      </c>
      <c r="F65" s="7">
        <f t="shared" si="3"/>
        <v>15.837660736958947</v>
      </c>
      <c r="G65" s="9">
        <v>100</v>
      </c>
      <c r="H65" s="7">
        <f t="shared" si="4"/>
        <v>16.36685439201284</v>
      </c>
      <c r="I65" s="9">
        <v>100</v>
      </c>
      <c r="J65" s="7">
        <f t="shared" si="5"/>
        <v>16.117849853293166</v>
      </c>
      <c r="K65" s="9"/>
      <c r="L65" s="7">
        <f t="shared" si="6"/>
        <v>1.6691251329973809</v>
      </c>
      <c r="M65" s="9"/>
      <c r="N65" s="7">
        <f t="shared" si="7"/>
        <v>8.178389308192573</v>
      </c>
      <c r="O65" s="9"/>
      <c r="P65" s="7">
        <f t="shared" si="8"/>
        <v>6.419868340606371</v>
      </c>
      <c r="R65" s="7">
        <f t="shared" si="9"/>
        <v>0</v>
      </c>
      <c r="S65" s="15"/>
      <c r="T65" s="7">
        <f t="shared" si="10"/>
        <v>0</v>
      </c>
      <c r="V65" s="7">
        <f t="shared" si="11"/>
        <v>0</v>
      </c>
      <c r="W65" s="20">
        <f>SUM((F65*E65/100),(L65*K65/100))/X65*100</f>
        <v>90.46583910150068</v>
      </c>
      <c r="X65" s="5">
        <f t="shared" si="12"/>
        <v>17.506785869956328</v>
      </c>
      <c r="Y65" s="20">
        <f>SUM((H65*G65/100),(N65*M65/100))/Z65*100</f>
        <v>66.68034993629284</v>
      </c>
      <c r="Z65" s="5">
        <f t="shared" si="13"/>
        <v>24.54524370020541</v>
      </c>
      <c r="AA65" s="20">
        <f>SUM((J65*I65/100),(P65*O65/100))/AB65*100</f>
        <v>71.51500304789468</v>
      </c>
      <c r="AB65" s="5">
        <f t="shared" si="14"/>
        <v>22.537718193899536</v>
      </c>
      <c r="AC65" s="109">
        <f>SUM((AB65*AA65/100),(Z65*Y65/100),(X65*W65/100))/AD65/3*100</f>
        <v>74.81429585199936</v>
      </c>
      <c r="AD65" s="110">
        <f t="shared" si="15"/>
        <v>21.52991592135376</v>
      </c>
      <c r="AE65" s="7"/>
      <c r="AF65" s="15"/>
      <c r="AG65" s="7"/>
      <c r="AI65" s="7"/>
    </row>
    <row r="66" spans="2:35" ht="12.75">
      <c r="B66" s="4" t="s">
        <v>105</v>
      </c>
      <c r="D66" s="4" t="s">
        <v>33</v>
      </c>
      <c r="E66" s="9"/>
      <c r="F66" s="7">
        <f t="shared" si="3"/>
        <v>27366.41930558073</v>
      </c>
      <c r="G66" s="9"/>
      <c r="H66" s="7">
        <f t="shared" si="4"/>
        <v>29111.249355488402</v>
      </c>
      <c r="I66" s="9"/>
      <c r="J66" s="7">
        <f t="shared" si="5"/>
        <v>26555.25040188987</v>
      </c>
      <c r="K66" s="9"/>
      <c r="L66" s="7">
        <f t="shared" si="6"/>
        <v>247.58689472794484</v>
      </c>
      <c r="M66" s="9"/>
      <c r="N66" s="7">
        <f t="shared" si="7"/>
        <v>400.1958501475566</v>
      </c>
      <c r="O66" s="9"/>
      <c r="P66" s="7">
        <f t="shared" si="8"/>
        <v>307.61869132072195</v>
      </c>
      <c r="R66" s="7">
        <f t="shared" si="9"/>
        <v>0</v>
      </c>
      <c r="S66" s="15"/>
      <c r="T66" s="7">
        <f t="shared" si="10"/>
        <v>0</v>
      </c>
      <c r="V66" s="7">
        <f t="shared" si="11"/>
        <v>0</v>
      </c>
      <c r="W66" s="20"/>
      <c r="X66" s="7">
        <f t="shared" si="12"/>
        <v>27614.006200308675</v>
      </c>
      <c r="Y66" s="20"/>
      <c r="Z66" s="7">
        <f t="shared" si="13"/>
        <v>29511.44520563596</v>
      </c>
      <c r="AA66" s="20"/>
      <c r="AB66" s="7">
        <f t="shared" si="14"/>
        <v>26862.86909321059</v>
      </c>
      <c r="AC66" s="109"/>
      <c r="AD66" s="110">
        <f t="shared" si="15"/>
        <v>27996.106833051745</v>
      </c>
      <c r="AE66" s="7"/>
      <c r="AF66" s="15"/>
      <c r="AG66" s="7"/>
      <c r="AI66" s="7"/>
    </row>
    <row r="67" spans="2:35" ht="12.75">
      <c r="B67" s="4" t="s">
        <v>107</v>
      </c>
      <c r="D67" s="4" t="s">
        <v>33</v>
      </c>
      <c r="E67" s="9">
        <v>100</v>
      </c>
      <c r="F67" s="7">
        <f t="shared" si="3"/>
        <v>166.7122182837784</v>
      </c>
      <c r="G67" s="9">
        <v>100</v>
      </c>
      <c r="H67" s="7">
        <f t="shared" si="4"/>
        <v>163.66854392012837</v>
      </c>
      <c r="I67" s="9">
        <v>100</v>
      </c>
      <c r="J67" s="7">
        <f t="shared" si="5"/>
        <v>161.17849853293166</v>
      </c>
      <c r="K67" s="9"/>
      <c r="L67" s="7">
        <f t="shared" si="6"/>
        <v>27.818752216623018</v>
      </c>
      <c r="M67" s="9"/>
      <c r="N67" s="7">
        <f t="shared" si="7"/>
        <v>68.1532442349381</v>
      </c>
      <c r="O67" s="9"/>
      <c r="P67" s="7">
        <f t="shared" si="8"/>
        <v>60.453760207376654</v>
      </c>
      <c r="R67" s="7">
        <f t="shared" si="9"/>
        <v>0</v>
      </c>
      <c r="S67" s="15"/>
      <c r="T67" s="7">
        <f t="shared" si="10"/>
        <v>0</v>
      </c>
      <c r="V67" s="7">
        <f t="shared" si="11"/>
        <v>0</v>
      </c>
      <c r="W67" s="20">
        <f>SUM((F67*E67/100),(L67*K67/100))/X67*100</f>
        <v>85.69957670747056</v>
      </c>
      <c r="X67" s="7">
        <f t="shared" si="12"/>
        <v>194.53097050040142</v>
      </c>
      <c r="Y67" s="20">
        <f>SUM((H67*G67/100),(N67*M67/100))/Z67*100</f>
        <v>70.60101866294374</v>
      </c>
      <c r="Z67" s="7">
        <f t="shared" si="13"/>
        <v>231.82178815506649</v>
      </c>
      <c r="AA67" s="20">
        <f>SUM((J67*I67/100),(P67*O67/100))/AB67*100</f>
        <v>72.72339299749152</v>
      </c>
      <c r="AB67" s="7">
        <f t="shared" si="14"/>
        <v>221.63225874030832</v>
      </c>
      <c r="AC67" s="109">
        <f>SUM((AB67*AA67/100),(Z67*Y67/100),(X67*W67/100))/AD67/3*100</f>
        <v>75.859664581813</v>
      </c>
      <c r="AD67" s="110">
        <f t="shared" si="15"/>
        <v>215.99500579859208</v>
      </c>
      <c r="AE67" s="7"/>
      <c r="AF67" s="15"/>
      <c r="AG67" s="7"/>
      <c r="AI67" s="7"/>
    </row>
    <row r="68" spans="2:35" ht="12.75">
      <c r="B68" s="4" t="s">
        <v>108</v>
      </c>
      <c r="D68" s="4" t="s">
        <v>33</v>
      </c>
      <c r="E68" s="9">
        <v>100</v>
      </c>
      <c r="F68" s="7">
        <f t="shared" si="3"/>
        <v>416.780545709446</v>
      </c>
      <c r="G68" s="9">
        <v>100</v>
      </c>
      <c r="H68" s="7">
        <f t="shared" si="4"/>
        <v>409.17135980032094</v>
      </c>
      <c r="I68" s="9">
        <v>100</v>
      </c>
      <c r="J68" s="7">
        <f t="shared" si="5"/>
        <v>402.94624633232917</v>
      </c>
      <c r="K68" s="9">
        <v>100</v>
      </c>
      <c r="L68" s="7">
        <f t="shared" si="6"/>
        <v>44.14842653278604</v>
      </c>
      <c r="M68" s="9">
        <v>100</v>
      </c>
      <c r="N68" s="7">
        <f t="shared" si="7"/>
        <v>44.98657164555979</v>
      </c>
      <c r="O68" s="9">
        <v>100</v>
      </c>
      <c r="P68" s="7">
        <f t="shared" si="8"/>
        <v>41.01599313932515</v>
      </c>
      <c r="R68" s="7">
        <f t="shared" si="9"/>
        <v>0</v>
      </c>
      <c r="S68" s="15"/>
      <c r="T68" s="7">
        <f t="shared" si="10"/>
        <v>0</v>
      </c>
      <c r="V68" s="7">
        <f t="shared" si="11"/>
        <v>0</v>
      </c>
      <c r="W68" s="20">
        <f>SUM((F68*E68/100),(L68*K68/100))/X68*100</f>
        <v>100</v>
      </c>
      <c r="X68" s="7">
        <f t="shared" si="12"/>
        <v>460.9289722422321</v>
      </c>
      <c r="Y68" s="20">
        <f>SUM((H68*G68/100),(N68*M68/100))/Z68*100</f>
        <v>100</v>
      </c>
      <c r="Z68" s="7">
        <f t="shared" si="13"/>
        <v>454.15793144588076</v>
      </c>
      <c r="AA68" s="20">
        <f>SUM((J68*I68/100),(P68*O68/100))/AB68*100</f>
        <v>100</v>
      </c>
      <c r="AB68" s="7">
        <f t="shared" si="14"/>
        <v>443.9622394716543</v>
      </c>
      <c r="AC68" s="109">
        <f>SUM((AB68*AA68/100),(Z68*Y68/100),(X68*W68/100))/AD68/3*100</f>
        <v>99.99999999999999</v>
      </c>
      <c r="AD68" s="110">
        <f t="shared" si="15"/>
        <v>453.01638105325577</v>
      </c>
      <c r="AE68" s="7"/>
      <c r="AF68" s="15"/>
      <c r="AG68" s="7"/>
      <c r="AI68" s="7"/>
    </row>
    <row r="69" spans="6:35" ht="12.75">
      <c r="F69" s="7"/>
      <c r="G69" s="13"/>
      <c r="H69" s="7"/>
      <c r="J69" s="7"/>
      <c r="L69" s="7"/>
      <c r="M69" s="15"/>
      <c r="N69" s="7"/>
      <c r="P69" s="7"/>
      <c r="R69" s="7"/>
      <c r="S69" s="15"/>
      <c r="T69" s="7"/>
      <c r="V69" s="7"/>
      <c r="W69" s="20"/>
      <c r="X69" s="7"/>
      <c r="Y69" s="20"/>
      <c r="Z69" s="7"/>
      <c r="AA69" s="20"/>
      <c r="AB69" s="7"/>
      <c r="AC69" s="109"/>
      <c r="AE69" s="7"/>
      <c r="AF69" s="15"/>
      <c r="AG69" s="7"/>
      <c r="AI69" s="7"/>
    </row>
    <row r="70" spans="2:35" ht="12.75">
      <c r="B70" s="4" t="s">
        <v>34</v>
      </c>
      <c r="D70" s="4" t="s">
        <v>33</v>
      </c>
      <c r="E70" s="13">
        <f>F60/F70*100</f>
        <v>1.272268088336948</v>
      </c>
      <c r="F70" s="7">
        <f>F60+F63</f>
        <v>13103.544749102148</v>
      </c>
      <c r="G70" s="13">
        <f>H60/H70*100</f>
        <v>1.163318284714811</v>
      </c>
      <c r="H70" s="7">
        <f>H60+H63</f>
        <v>14069.111271663021</v>
      </c>
      <c r="I70" s="13">
        <f>J60/J70*100</f>
        <v>0.7149322217038053</v>
      </c>
      <c r="J70" s="7">
        <f>J60+J63</f>
        <v>22544.58445708543</v>
      </c>
      <c r="L70" s="7">
        <f>L60+L63</f>
        <v>985.8965785571195</v>
      </c>
      <c r="M70" s="15"/>
      <c r="N70" s="7">
        <f>N60+N63</f>
        <v>3937.0766129639046</v>
      </c>
      <c r="P70" s="7">
        <f>P60+P63</f>
        <v>3678.0495701390664</v>
      </c>
      <c r="R70" s="7">
        <f>R60+R63</f>
        <v>477566.7448029446</v>
      </c>
      <c r="S70" s="15"/>
      <c r="T70" s="7">
        <f>T60+T63</f>
        <v>341089.5401653411</v>
      </c>
      <c r="V70" s="7">
        <f>V60+V63</f>
        <v>292236.68677662907</v>
      </c>
      <c r="W70" s="20"/>
      <c r="X70" s="7">
        <f>F70+L70+R70</f>
        <v>491656.1861306039</v>
      </c>
      <c r="Y70" s="20"/>
      <c r="Z70" s="7">
        <f>H70+N70+T70</f>
        <v>359095.728049968</v>
      </c>
      <c r="AA70" s="20"/>
      <c r="AB70" s="7">
        <f>J70+P70+V70</f>
        <v>318459.32080385357</v>
      </c>
      <c r="AC70" s="109"/>
      <c r="AD70" s="20">
        <f>AVERAGE(X70,Z70,AB70)</f>
        <v>389737.07832814177</v>
      </c>
      <c r="AE70" s="7"/>
      <c r="AF70" s="15"/>
      <c r="AG70" s="7"/>
      <c r="AI70" s="7"/>
    </row>
    <row r="71" spans="2:35" ht="12.75">
      <c r="B71" s="4" t="s">
        <v>35</v>
      </c>
      <c r="D71" s="4" t="s">
        <v>33</v>
      </c>
      <c r="F71" s="7">
        <f>F57+F59+F61</f>
        <v>24323.6041881265</v>
      </c>
      <c r="H71" s="7">
        <f>H57+H59+H61</f>
        <v>25246.14256843659</v>
      </c>
      <c r="J71" s="7">
        <f>J57+J59+J61</f>
        <v>23284.32748235092</v>
      </c>
      <c r="L71" s="7">
        <f>L57+L59+L61</f>
        <v>1382.172102273207</v>
      </c>
      <c r="M71" s="15"/>
      <c r="N71" s="7">
        <f>N57+N59+N61</f>
        <v>1910.3414094008658</v>
      </c>
      <c r="P71" s="7">
        <f>P57+P59+P61</f>
        <v>743.8132635225844</v>
      </c>
      <c r="R71" s="7">
        <f>R57+R59+R61</f>
        <v>130426.55064250401</v>
      </c>
      <c r="S71" s="15"/>
      <c r="T71" s="7">
        <f>T57+T59+T61</f>
        <v>94530.1854317208</v>
      </c>
      <c r="V71" s="7">
        <f>V57+V59+V61</f>
        <v>102044.87725199503</v>
      </c>
      <c r="X71" s="7">
        <f>F71+L71+R71</f>
        <v>156132.32693290373</v>
      </c>
      <c r="Y71" s="7"/>
      <c r="Z71" s="7">
        <f>H71+N71+T71</f>
        <v>121686.66940955826</v>
      </c>
      <c r="AA71" s="7"/>
      <c r="AB71" s="7">
        <f>J71+P71+V71</f>
        <v>126073.01799786853</v>
      </c>
      <c r="AD71" s="20">
        <f>AVERAGE(X71,Z71,AB71)</f>
        <v>134630.67144677686</v>
      </c>
      <c r="AE71" s="7"/>
      <c r="AF71" s="15"/>
      <c r="AG71" s="7"/>
      <c r="AI71" s="7"/>
    </row>
  </sheetData>
  <printOptions headings="1" horizontalCentered="1"/>
  <pageMargins left="0.25" right="0.25" top="0.5" bottom="0.5" header="0.25" footer="0.25"/>
  <pageSetup horizontalDpi="300" verticalDpi="300" orientation="landscape" pageOrder="overThenDown" scale="7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D101"/>
  <sheetViews>
    <sheetView workbookViewId="0" topLeftCell="Q1">
      <selection activeCell="D30" sqref="D30"/>
    </sheetView>
  </sheetViews>
  <sheetFormatPr defaultColWidth="9.140625" defaultRowHeight="12.75"/>
  <cols>
    <col min="1" max="1" width="8.57421875" style="77" hidden="1" customWidth="1"/>
    <col min="2" max="2" width="19.140625" style="77" customWidth="1"/>
    <col min="3" max="3" width="2.140625" style="77" customWidth="1"/>
    <col min="4" max="4" width="8.421875" style="77" customWidth="1"/>
    <col min="5" max="5" width="2.57421875" style="77" customWidth="1"/>
    <col min="6" max="6" width="7.00390625" style="77" bestFit="1" customWidth="1"/>
    <col min="7" max="7" width="2.421875" style="77" customWidth="1"/>
    <col min="8" max="8" width="7.00390625" style="77" bestFit="1" customWidth="1"/>
    <col min="9" max="9" width="2.421875" style="77" customWidth="1"/>
    <col min="10" max="10" width="7.00390625" style="77" bestFit="1" customWidth="1"/>
    <col min="11" max="11" width="3.8515625" style="77" customWidth="1"/>
    <col min="12" max="12" width="9.28125" style="77" customWidth="1"/>
    <col min="13" max="13" width="3.8515625" style="77" customWidth="1"/>
    <col min="14" max="14" width="10.00390625" style="77" customWidth="1"/>
    <col min="15" max="15" width="3.8515625" style="77" customWidth="1"/>
    <col min="16" max="16" width="10.00390625" style="77" customWidth="1"/>
    <col min="17" max="17" width="3.7109375" style="77" customWidth="1"/>
    <col min="18" max="18" width="9.57421875" style="77" customWidth="1"/>
    <col min="19" max="19" width="3.7109375" style="77" customWidth="1"/>
    <col min="20" max="20" width="9.7109375" style="77" customWidth="1"/>
    <col min="21" max="21" width="3.7109375" style="77" customWidth="1"/>
    <col min="22" max="22" width="10.140625" style="77" customWidth="1"/>
    <col min="23" max="23" width="4.00390625" style="77" customWidth="1"/>
    <col min="24" max="24" width="8.00390625" style="77" bestFit="1" customWidth="1"/>
    <col min="25" max="25" width="3.8515625" style="77" customWidth="1"/>
    <col min="26" max="26" width="8.00390625" style="77" bestFit="1" customWidth="1"/>
    <col min="27" max="27" width="3.421875" style="77" customWidth="1"/>
    <col min="28" max="28" width="8.00390625" style="77" bestFit="1" customWidth="1"/>
    <col min="29" max="29" width="3.140625" style="77" customWidth="1"/>
    <col min="30" max="30" width="8.8515625" style="77" bestFit="1" customWidth="1"/>
    <col min="31" max="31" width="3.00390625" style="77" customWidth="1"/>
    <col min="32" max="16384" width="9.140625" style="77" customWidth="1"/>
  </cols>
  <sheetData>
    <row r="1" spans="2:3" ht="12.75">
      <c r="B1" s="12" t="s">
        <v>192</v>
      </c>
      <c r="C1" s="12"/>
    </row>
    <row r="4" spans="2:30" ht="12.75">
      <c r="B4" s="12" t="s">
        <v>173</v>
      </c>
      <c r="C4" s="12"/>
      <c r="F4" s="82" t="s">
        <v>164</v>
      </c>
      <c r="G4" s="82"/>
      <c r="H4" s="82" t="s">
        <v>165</v>
      </c>
      <c r="I4" s="82"/>
      <c r="J4" s="82" t="s">
        <v>166</v>
      </c>
      <c r="K4" s="82"/>
      <c r="L4" s="82" t="s">
        <v>164</v>
      </c>
      <c r="M4" s="82"/>
      <c r="N4" s="82" t="s">
        <v>165</v>
      </c>
      <c r="O4" s="82"/>
      <c r="P4" s="82" t="s">
        <v>166</v>
      </c>
      <c r="Q4" s="82"/>
      <c r="R4" s="82" t="s">
        <v>164</v>
      </c>
      <c r="S4" s="82"/>
      <c r="T4" s="82" t="s">
        <v>165</v>
      </c>
      <c r="U4" s="82"/>
      <c r="V4" s="82" t="s">
        <v>166</v>
      </c>
      <c r="W4" s="82"/>
      <c r="X4" s="82" t="s">
        <v>164</v>
      </c>
      <c r="Y4" s="82"/>
      <c r="Z4" s="82" t="s">
        <v>165</v>
      </c>
      <c r="AA4" s="82"/>
      <c r="AB4" s="82" t="s">
        <v>166</v>
      </c>
      <c r="AC4" s="82"/>
      <c r="AD4" s="82" t="s">
        <v>163</v>
      </c>
    </row>
    <row r="5" spans="2:30" ht="12.75">
      <c r="B5" s="12"/>
      <c r="C5" s="1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</row>
    <row r="6" spans="2:30" ht="12.75">
      <c r="B6" s="8" t="s">
        <v>268</v>
      </c>
      <c r="C6" s="8"/>
      <c r="F6" s="82" t="s">
        <v>271</v>
      </c>
      <c r="G6" s="82"/>
      <c r="H6" s="82" t="s">
        <v>271</v>
      </c>
      <c r="I6" s="82"/>
      <c r="J6" s="82" t="s">
        <v>271</v>
      </c>
      <c r="K6" s="82"/>
      <c r="L6" s="82" t="s">
        <v>273</v>
      </c>
      <c r="M6" s="82"/>
      <c r="N6" s="82" t="s">
        <v>273</v>
      </c>
      <c r="O6" s="82"/>
      <c r="P6" s="82" t="s">
        <v>273</v>
      </c>
      <c r="Q6" s="82"/>
      <c r="R6" s="82" t="s">
        <v>274</v>
      </c>
      <c r="S6" s="82"/>
      <c r="T6" s="82" t="s">
        <v>274</v>
      </c>
      <c r="U6" s="82"/>
      <c r="V6" s="82" t="s">
        <v>274</v>
      </c>
      <c r="W6" s="82"/>
      <c r="X6" s="82" t="s">
        <v>275</v>
      </c>
      <c r="Y6" s="82"/>
      <c r="Z6" s="82" t="s">
        <v>275</v>
      </c>
      <c r="AA6" s="82"/>
      <c r="AB6" s="82" t="s">
        <v>275</v>
      </c>
      <c r="AC6" s="82"/>
      <c r="AD6" s="82" t="s">
        <v>275</v>
      </c>
    </row>
    <row r="7" spans="2:30" ht="12.75">
      <c r="B7" s="8" t="s">
        <v>269</v>
      </c>
      <c r="C7" s="8"/>
      <c r="F7" s="77" t="s">
        <v>32</v>
      </c>
      <c r="H7" s="77" t="s">
        <v>32</v>
      </c>
      <c r="J7" s="77" t="s">
        <v>32</v>
      </c>
      <c r="L7" s="77" t="s">
        <v>270</v>
      </c>
      <c r="N7" s="77" t="s">
        <v>270</v>
      </c>
      <c r="P7" s="77" t="s">
        <v>270</v>
      </c>
      <c r="R7" s="77" t="s">
        <v>272</v>
      </c>
      <c r="T7" s="77" t="s">
        <v>272</v>
      </c>
      <c r="V7" s="77" t="s">
        <v>272</v>
      </c>
      <c r="X7" s="77" t="s">
        <v>60</v>
      </c>
      <c r="Z7" s="77" t="s">
        <v>60</v>
      </c>
      <c r="AB7" s="77" t="s">
        <v>60</v>
      </c>
      <c r="AD7" s="77" t="s">
        <v>60</v>
      </c>
    </row>
    <row r="8" spans="2:30" ht="12.75">
      <c r="B8" s="8" t="s">
        <v>276</v>
      </c>
      <c r="C8" s="8"/>
      <c r="F8" s="77" t="s">
        <v>32</v>
      </c>
      <c r="H8" s="77" t="s">
        <v>32</v>
      </c>
      <c r="J8" s="77" t="s">
        <v>32</v>
      </c>
      <c r="L8" s="82" t="s">
        <v>277</v>
      </c>
      <c r="N8" s="82" t="s">
        <v>277</v>
      </c>
      <c r="P8" s="82" t="s">
        <v>277</v>
      </c>
      <c r="R8" s="82" t="s">
        <v>38</v>
      </c>
      <c r="T8" s="82" t="s">
        <v>38</v>
      </c>
      <c r="V8" s="82" t="s">
        <v>38</v>
      </c>
      <c r="X8" s="77" t="s">
        <v>60</v>
      </c>
      <c r="Z8" s="77" t="s">
        <v>60</v>
      </c>
      <c r="AB8" s="77" t="s">
        <v>60</v>
      </c>
      <c r="AD8" s="77" t="s">
        <v>60</v>
      </c>
    </row>
    <row r="9" spans="2:30" ht="12.75">
      <c r="B9" s="8" t="s">
        <v>20</v>
      </c>
      <c r="C9" s="8"/>
      <c r="F9" s="77" t="s">
        <v>32</v>
      </c>
      <c r="H9" s="77" t="s">
        <v>32</v>
      </c>
      <c r="J9" s="77" t="s">
        <v>32</v>
      </c>
      <c r="L9" s="77" t="s">
        <v>187</v>
      </c>
      <c r="N9" s="77" t="s">
        <v>187</v>
      </c>
      <c r="P9" s="77" t="s">
        <v>187</v>
      </c>
      <c r="R9" s="77" t="s">
        <v>188</v>
      </c>
      <c r="T9" s="77" t="s">
        <v>188</v>
      </c>
      <c r="V9" s="77" t="s">
        <v>188</v>
      </c>
      <c r="X9" s="77" t="s">
        <v>60</v>
      </c>
      <c r="Z9" s="77" t="s">
        <v>60</v>
      </c>
      <c r="AB9" s="77" t="s">
        <v>60</v>
      </c>
      <c r="AD9" s="77" t="s">
        <v>60</v>
      </c>
    </row>
    <row r="10" spans="1:22" ht="12.75">
      <c r="A10" s="77" t="s">
        <v>173</v>
      </c>
      <c r="B10" s="8" t="s">
        <v>59</v>
      </c>
      <c r="C10" s="8"/>
      <c r="D10" s="77" t="s">
        <v>27</v>
      </c>
      <c r="E10" s="75"/>
      <c r="F10" s="79">
        <f>11587.2/454</f>
        <v>25.522466960352425</v>
      </c>
      <c r="G10" s="75"/>
      <c r="H10" s="79">
        <f>11136.5/454</f>
        <v>24.529735682819382</v>
      </c>
      <c r="I10" s="75"/>
      <c r="J10" s="79">
        <f>11822/454</f>
        <v>26.03964757709251</v>
      </c>
      <c r="K10" s="75"/>
      <c r="L10" s="75">
        <v>30427</v>
      </c>
      <c r="M10" s="75"/>
      <c r="N10" s="75">
        <v>30026</v>
      </c>
      <c r="O10" s="75"/>
      <c r="P10" s="75">
        <v>30827</v>
      </c>
      <c r="Q10" s="75"/>
      <c r="R10" s="75">
        <f>1416480/454</f>
        <v>3120</v>
      </c>
      <c r="S10" s="75"/>
      <c r="T10" s="75">
        <f>1470960/454</f>
        <v>3240</v>
      </c>
      <c r="U10" s="75"/>
      <c r="V10" s="75">
        <f>1362000/454</f>
        <v>3000</v>
      </c>
    </row>
    <row r="11" spans="1:22" ht="12.75">
      <c r="A11" s="77" t="s">
        <v>173</v>
      </c>
      <c r="B11" s="8" t="s">
        <v>21</v>
      </c>
      <c r="C11" s="8"/>
      <c r="D11" s="77" t="s">
        <v>22</v>
      </c>
      <c r="E11" s="75"/>
      <c r="F11" s="75">
        <v>0</v>
      </c>
      <c r="G11" s="75"/>
      <c r="H11" s="75">
        <v>0</v>
      </c>
      <c r="I11" s="75"/>
      <c r="J11" s="75">
        <v>0</v>
      </c>
      <c r="K11" s="75"/>
      <c r="L11" s="75"/>
      <c r="M11" s="75"/>
      <c r="N11" s="75"/>
      <c r="O11" s="75"/>
      <c r="P11" s="75"/>
      <c r="Q11" s="75"/>
      <c r="R11" s="80">
        <f>R12*1000000/R10</f>
        <v>16099.358974358975</v>
      </c>
      <c r="S11" s="75"/>
      <c r="T11" s="80">
        <f>T12*1000000/T10</f>
        <v>16296.296296296296</v>
      </c>
      <c r="U11" s="75"/>
      <c r="V11" s="80">
        <f>V12*1000000/V10</f>
        <v>16540</v>
      </c>
    </row>
    <row r="12" spans="2:30" ht="12.75">
      <c r="B12" s="8" t="s">
        <v>282</v>
      </c>
      <c r="C12" s="8"/>
      <c r="D12" s="77" t="s">
        <v>31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>
        <v>50.23</v>
      </c>
      <c r="S12" s="75"/>
      <c r="T12" s="75">
        <v>52.8</v>
      </c>
      <c r="U12" s="75"/>
      <c r="V12" s="75">
        <v>49.62</v>
      </c>
      <c r="X12" s="77">
        <f>R12</f>
        <v>50.23</v>
      </c>
      <c r="Z12" s="77">
        <f>T12</f>
        <v>52.8</v>
      </c>
      <c r="AB12" s="77">
        <f>V12</f>
        <v>49.62</v>
      </c>
      <c r="AD12" s="76">
        <f>AVERAGE(X12,Z12,AB12)</f>
        <v>50.88333333333333</v>
      </c>
    </row>
    <row r="13" spans="1:22" ht="12.75">
      <c r="A13" s="77" t="s">
        <v>173</v>
      </c>
      <c r="B13" s="77" t="s">
        <v>23</v>
      </c>
      <c r="D13" s="77" t="s">
        <v>27</v>
      </c>
      <c r="E13" s="75"/>
      <c r="F13" s="75"/>
      <c r="G13" s="75"/>
      <c r="H13" s="75"/>
      <c r="I13" s="75"/>
      <c r="J13" s="75"/>
      <c r="K13" s="75" t="s">
        <v>161</v>
      </c>
      <c r="L13" s="75">
        <v>11.9</v>
      </c>
      <c r="M13" s="75" t="s">
        <v>161</v>
      </c>
      <c r="N13" s="75">
        <v>11.6</v>
      </c>
      <c r="O13" s="75" t="s">
        <v>161</v>
      </c>
      <c r="P13" s="75">
        <v>11.9</v>
      </c>
      <c r="Q13" s="75"/>
      <c r="R13" s="79">
        <v>57.07466894</v>
      </c>
      <c r="S13" s="79"/>
      <c r="T13" s="79">
        <v>50.534855316</v>
      </c>
      <c r="U13" s="79"/>
      <c r="V13" s="79">
        <v>55.321108054</v>
      </c>
    </row>
    <row r="14" spans="1:22" ht="12.75">
      <c r="A14" s="77" t="s">
        <v>173</v>
      </c>
      <c r="B14" s="77" t="s">
        <v>97</v>
      </c>
      <c r="D14" s="77" t="s">
        <v>27</v>
      </c>
      <c r="E14" s="75"/>
      <c r="F14" s="75"/>
      <c r="G14" s="75"/>
      <c r="H14" s="75"/>
      <c r="I14" s="75"/>
      <c r="J14" s="75"/>
      <c r="K14" s="75" t="s">
        <v>161</v>
      </c>
      <c r="L14" s="75">
        <v>0.0117</v>
      </c>
      <c r="M14" s="75" t="s">
        <v>161</v>
      </c>
      <c r="N14" s="75">
        <v>0.0109</v>
      </c>
      <c r="O14" s="75" t="s">
        <v>161</v>
      </c>
      <c r="P14" s="75">
        <v>0.0114</v>
      </c>
      <c r="Q14" s="75"/>
      <c r="R14" s="85">
        <v>0.0253529</v>
      </c>
      <c r="S14" s="75"/>
      <c r="T14" s="85">
        <v>0.0033069</v>
      </c>
      <c r="U14" s="85"/>
      <c r="V14" s="85">
        <v>0.03240762</v>
      </c>
    </row>
    <row r="15" spans="1:22" ht="12.75">
      <c r="A15" s="77" t="s">
        <v>173</v>
      </c>
      <c r="B15" s="77" t="s">
        <v>96</v>
      </c>
      <c r="D15" s="77" t="s">
        <v>27</v>
      </c>
      <c r="E15" s="75"/>
      <c r="F15" s="85">
        <v>0.79608106</v>
      </c>
      <c r="G15" s="85"/>
      <c r="H15" s="85">
        <v>0.79321508</v>
      </c>
      <c r="I15" s="85"/>
      <c r="J15" s="85">
        <v>0.95062352</v>
      </c>
      <c r="K15" s="75"/>
      <c r="L15" s="75">
        <v>0.291</v>
      </c>
      <c r="M15" s="75"/>
      <c r="N15" s="75">
        <v>0.457</v>
      </c>
      <c r="O15" s="75"/>
      <c r="P15" s="75">
        <v>0.497</v>
      </c>
      <c r="Q15" s="75"/>
      <c r="R15" s="85">
        <v>0.00088184</v>
      </c>
      <c r="S15" s="75"/>
      <c r="T15" s="85">
        <v>0.00066138</v>
      </c>
      <c r="U15" s="85"/>
      <c r="V15" s="85">
        <v>0.0022046</v>
      </c>
    </row>
    <row r="16" spans="1:22" ht="12.75">
      <c r="A16" s="77" t="s">
        <v>173</v>
      </c>
      <c r="B16" s="77" t="s">
        <v>98</v>
      </c>
      <c r="D16" s="77" t="s">
        <v>27</v>
      </c>
      <c r="E16" s="75"/>
      <c r="F16" s="85"/>
      <c r="G16" s="85"/>
      <c r="H16" s="85"/>
      <c r="I16" s="85"/>
      <c r="J16" s="85"/>
      <c r="K16" s="75"/>
      <c r="L16" s="75">
        <v>0.61</v>
      </c>
      <c r="M16" s="75"/>
      <c r="N16" s="75">
        <v>0.468</v>
      </c>
      <c r="O16" s="75"/>
      <c r="P16" s="75">
        <v>0.532</v>
      </c>
      <c r="Q16" s="75"/>
      <c r="R16" s="85">
        <v>0.4122602</v>
      </c>
      <c r="S16" s="75"/>
      <c r="T16" s="85">
        <v>0.04607614</v>
      </c>
      <c r="U16" s="85"/>
      <c r="V16" s="85">
        <v>0.93386856</v>
      </c>
    </row>
    <row r="17" spans="1:22" ht="12.75">
      <c r="A17" s="77" t="s">
        <v>173</v>
      </c>
      <c r="B17" s="77" t="s">
        <v>99</v>
      </c>
      <c r="D17" s="77" t="s">
        <v>27</v>
      </c>
      <c r="E17" s="75"/>
      <c r="F17" s="85">
        <v>0.11860748</v>
      </c>
      <c r="G17" s="85"/>
      <c r="H17" s="85">
        <v>0.0837748</v>
      </c>
      <c r="I17" s="85"/>
      <c r="J17" s="85">
        <v>0.06988582</v>
      </c>
      <c r="K17" s="75" t="s">
        <v>161</v>
      </c>
      <c r="L17" s="86">
        <v>0.00209</v>
      </c>
      <c r="M17" s="86" t="s">
        <v>161</v>
      </c>
      <c r="N17" s="85">
        <v>0.00196</v>
      </c>
      <c r="O17" s="75" t="s">
        <v>161</v>
      </c>
      <c r="P17" s="86">
        <v>0.00205</v>
      </c>
      <c r="Q17" s="75" t="s">
        <v>161</v>
      </c>
      <c r="R17" s="86">
        <v>0.00022046</v>
      </c>
      <c r="S17" s="75" t="s">
        <v>161</v>
      </c>
      <c r="T17" s="86">
        <v>0.00022046</v>
      </c>
      <c r="U17" s="85"/>
      <c r="V17" s="85">
        <v>0.0011023</v>
      </c>
    </row>
    <row r="18" spans="1:22" ht="12.75">
      <c r="A18" s="77" t="s">
        <v>173</v>
      </c>
      <c r="B18" s="77" t="s">
        <v>100</v>
      </c>
      <c r="D18" s="77" t="s">
        <v>27</v>
      </c>
      <c r="E18" s="75"/>
      <c r="F18" s="85">
        <v>1.2312691</v>
      </c>
      <c r="G18" s="85"/>
      <c r="H18" s="85">
        <v>1.245599</v>
      </c>
      <c r="I18" s="85"/>
      <c r="J18" s="85">
        <v>1.31195746</v>
      </c>
      <c r="K18" s="75" t="s">
        <v>161</v>
      </c>
      <c r="L18" s="86">
        <v>0.0135</v>
      </c>
      <c r="M18" s="86" t="s">
        <v>161</v>
      </c>
      <c r="N18" s="86">
        <v>0.0126</v>
      </c>
      <c r="O18" s="75" t="s">
        <v>161</v>
      </c>
      <c r="P18" s="75">
        <v>0.0132</v>
      </c>
      <c r="Q18" s="75"/>
      <c r="R18" s="85">
        <v>0.02138462</v>
      </c>
      <c r="S18" s="75"/>
      <c r="T18" s="85">
        <v>0.01477082</v>
      </c>
      <c r="U18" s="85"/>
      <c r="V18" s="85">
        <v>0.03064394</v>
      </c>
    </row>
    <row r="19" spans="1:22" ht="12.75">
      <c r="A19" s="77" t="s">
        <v>173</v>
      </c>
      <c r="B19" s="77" t="s">
        <v>101</v>
      </c>
      <c r="D19" s="77" t="s">
        <v>27</v>
      </c>
      <c r="E19" s="75"/>
      <c r="F19" s="85">
        <v>0.587151118</v>
      </c>
      <c r="G19" s="85"/>
      <c r="H19" s="85">
        <v>0.6900398</v>
      </c>
      <c r="I19" s="85"/>
      <c r="J19" s="85">
        <v>0.7991675</v>
      </c>
      <c r="K19" s="75"/>
      <c r="L19" s="75">
        <v>1.14</v>
      </c>
      <c r="M19" s="75"/>
      <c r="N19" s="75">
        <v>0.906</v>
      </c>
      <c r="O19" s="75"/>
      <c r="P19" s="75">
        <v>1.14</v>
      </c>
      <c r="Q19" s="75"/>
      <c r="R19" s="85">
        <v>0.22332598</v>
      </c>
      <c r="S19" s="75"/>
      <c r="T19" s="85">
        <v>0.12588266</v>
      </c>
      <c r="U19" s="85"/>
      <c r="V19" s="85">
        <v>0.28593662</v>
      </c>
    </row>
    <row r="20" spans="1:22" ht="12.75">
      <c r="A20" s="77" t="s">
        <v>173</v>
      </c>
      <c r="B20" s="77" t="s">
        <v>183</v>
      </c>
      <c r="D20" s="77" t="s">
        <v>27</v>
      </c>
      <c r="E20" s="75"/>
      <c r="F20" s="85">
        <v>0.587151118</v>
      </c>
      <c r="G20" s="85"/>
      <c r="H20" s="85">
        <v>0.6900398</v>
      </c>
      <c r="I20" s="85"/>
      <c r="J20" s="85">
        <v>0.7991675</v>
      </c>
      <c r="K20" s="75"/>
      <c r="L20" s="75"/>
      <c r="M20" s="75"/>
      <c r="N20" s="75"/>
      <c r="O20" s="75"/>
      <c r="P20" s="75"/>
      <c r="Q20" s="75"/>
      <c r="R20" s="85"/>
      <c r="S20" s="75"/>
      <c r="T20" s="85"/>
      <c r="U20" s="85"/>
      <c r="V20" s="85"/>
    </row>
    <row r="21" spans="1:22" ht="12.75">
      <c r="A21" s="77" t="s">
        <v>173</v>
      </c>
      <c r="B21" s="77" t="s">
        <v>103</v>
      </c>
      <c r="D21" s="77" t="s">
        <v>27</v>
      </c>
      <c r="E21" s="75"/>
      <c r="F21" s="85">
        <v>22.8120985</v>
      </c>
      <c r="G21" s="85"/>
      <c r="H21" s="85">
        <v>21.7384583</v>
      </c>
      <c r="I21" s="85"/>
      <c r="J21" s="85">
        <v>22.9311469</v>
      </c>
      <c r="K21" s="75"/>
      <c r="L21" s="75">
        <v>0.871</v>
      </c>
      <c r="M21" s="75"/>
      <c r="N21" s="75">
        <v>0.577</v>
      </c>
      <c r="O21" s="75"/>
      <c r="P21" s="75">
        <v>0.617</v>
      </c>
      <c r="Q21" s="75"/>
      <c r="R21" s="85">
        <v>0.51212858</v>
      </c>
      <c r="S21" s="75"/>
      <c r="T21" s="85">
        <v>0.18672962</v>
      </c>
      <c r="U21" s="85"/>
      <c r="V21" s="85">
        <v>0.630559692</v>
      </c>
    </row>
    <row r="22" spans="1:22" ht="12.75">
      <c r="A22" s="77" t="s">
        <v>173</v>
      </c>
      <c r="B22" s="77" t="s">
        <v>104</v>
      </c>
      <c r="D22" s="77" t="s">
        <v>27</v>
      </c>
      <c r="E22" s="75"/>
      <c r="F22" s="75"/>
      <c r="G22" s="75"/>
      <c r="H22" s="75"/>
      <c r="I22" s="75"/>
      <c r="J22" s="75"/>
      <c r="K22" s="75" t="s">
        <v>161</v>
      </c>
      <c r="L22" s="86">
        <v>0.00119</v>
      </c>
      <c r="M22" s="86"/>
      <c r="N22" s="86">
        <v>0.00225</v>
      </c>
      <c r="O22" s="75"/>
      <c r="P22" s="86">
        <v>0.00206</v>
      </c>
      <c r="Q22" s="75"/>
      <c r="R22" s="85">
        <v>0.0022046</v>
      </c>
      <c r="S22" s="75"/>
      <c r="T22" s="85">
        <v>0.00088184</v>
      </c>
      <c r="U22" s="85"/>
      <c r="V22" s="85">
        <v>0.0044092</v>
      </c>
    </row>
    <row r="23" spans="1:22" ht="12.75">
      <c r="A23" s="77" t="s">
        <v>173</v>
      </c>
      <c r="B23" s="77" t="s">
        <v>107</v>
      </c>
      <c r="D23" s="77" t="s">
        <v>27</v>
      </c>
      <c r="E23" s="75"/>
      <c r="F23" s="75"/>
      <c r="G23" s="75"/>
      <c r="H23" s="75"/>
      <c r="I23" s="75"/>
      <c r="J23" s="75"/>
      <c r="K23" s="75" t="s">
        <v>161</v>
      </c>
      <c r="L23" s="86">
        <v>0.00117</v>
      </c>
      <c r="M23" s="86" t="s">
        <v>161</v>
      </c>
      <c r="N23" s="86">
        <v>0.0196</v>
      </c>
      <c r="O23" s="75" t="s">
        <v>161</v>
      </c>
      <c r="P23" s="75">
        <v>0.0205</v>
      </c>
      <c r="Q23" s="75" t="s">
        <v>161</v>
      </c>
      <c r="R23" s="85">
        <v>0.0022046</v>
      </c>
      <c r="S23" s="75" t="s">
        <v>161</v>
      </c>
      <c r="T23" s="85">
        <v>0.0022046</v>
      </c>
      <c r="U23" s="85"/>
      <c r="V23" s="85">
        <v>0.00264552</v>
      </c>
    </row>
    <row r="24" spans="1:22" ht="12.75">
      <c r="A24" s="77" t="s">
        <v>173</v>
      </c>
      <c r="B24" s="77" t="s">
        <v>108</v>
      </c>
      <c r="D24" s="77" t="s">
        <v>27</v>
      </c>
      <c r="E24" s="75"/>
      <c r="F24" s="75"/>
      <c r="G24" s="75"/>
      <c r="H24" s="75"/>
      <c r="I24" s="75"/>
      <c r="J24" s="75"/>
      <c r="K24" s="75"/>
      <c r="L24" s="86">
        <v>0.0405</v>
      </c>
      <c r="M24" s="86"/>
      <c r="N24" s="85">
        <v>0.0322</v>
      </c>
      <c r="O24" s="85"/>
      <c r="P24" s="85">
        <v>0.0356</v>
      </c>
      <c r="Q24" s="75" t="s">
        <v>161</v>
      </c>
      <c r="R24" s="85">
        <v>0.00132276</v>
      </c>
      <c r="S24" s="75" t="s">
        <v>161</v>
      </c>
      <c r="T24" s="85">
        <v>0.00132276</v>
      </c>
      <c r="U24" s="85" t="s">
        <v>161</v>
      </c>
      <c r="V24" s="85">
        <v>0.0011023</v>
      </c>
    </row>
    <row r="25" spans="5:22" ht="12.75"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</row>
    <row r="26" spans="2:22" ht="12.75">
      <c r="B26" s="8" t="s">
        <v>36</v>
      </c>
      <c r="C26" s="8"/>
      <c r="D26" s="8" t="s">
        <v>17</v>
      </c>
      <c r="E26" s="75"/>
      <c r="F26" s="75">
        <f>'emiss 2'!$G$35</f>
        <v>23400</v>
      </c>
      <c r="G26" s="75"/>
      <c r="H26" s="75">
        <f>'emiss 2'!$I$35</f>
        <v>24100</v>
      </c>
      <c r="I26" s="75"/>
      <c r="J26" s="75">
        <f>'emiss 2'!$K$35</f>
        <v>22900</v>
      </c>
      <c r="K26" s="75"/>
      <c r="L26" s="75">
        <f>'emiss 2'!$G$35</f>
        <v>23400</v>
      </c>
      <c r="M26" s="75"/>
      <c r="N26" s="75">
        <f>'emiss 2'!$I$35</f>
        <v>24100</v>
      </c>
      <c r="O26" s="75"/>
      <c r="P26" s="75">
        <f>'emiss 2'!$K$35</f>
        <v>22900</v>
      </c>
      <c r="Q26" s="75"/>
      <c r="R26" s="75">
        <f>'emiss 2'!$G$35</f>
        <v>23400</v>
      </c>
      <c r="S26" s="75"/>
      <c r="T26" s="75">
        <f>'emiss 2'!$I$35</f>
        <v>24100</v>
      </c>
      <c r="U26" s="75"/>
      <c r="V26" s="75">
        <f>'emiss 2'!$K$35</f>
        <v>22900</v>
      </c>
    </row>
    <row r="27" spans="2:22" ht="12.75">
      <c r="B27" s="8" t="s">
        <v>37</v>
      </c>
      <c r="C27" s="8"/>
      <c r="D27" s="8" t="s">
        <v>18</v>
      </c>
      <c r="E27" s="75"/>
      <c r="F27" s="75">
        <f>'emiss 2'!$G$36</f>
        <v>15.2</v>
      </c>
      <c r="G27" s="75"/>
      <c r="H27" s="75">
        <f>'emiss 2'!$I$36</f>
        <v>15.5</v>
      </c>
      <c r="I27" s="75"/>
      <c r="J27" s="75">
        <f>'emiss 2'!$K$36</f>
        <v>15.2</v>
      </c>
      <c r="K27" s="75"/>
      <c r="L27" s="75">
        <f>'emiss 2'!$G$36</f>
        <v>15.2</v>
      </c>
      <c r="M27" s="75"/>
      <c r="N27" s="75">
        <f>'emiss 2'!$I$36</f>
        <v>15.5</v>
      </c>
      <c r="O27" s="75"/>
      <c r="P27" s="75">
        <f>'emiss 2'!$K$36</f>
        <v>15.2</v>
      </c>
      <c r="Q27" s="75"/>
      <c r="R27" s="75">
        <f>'emiss 2'!$G$36</f>
        <v>15.2</v>
      </c>
      <c r="S27" s="75"/>
      <c r="T27" s="75">
        <f>'emiss 2'!$I$36</f>
        <v>15.5</v>
      </c>
      <c r="U27" s="75"/>
      <c r="V27" s="75">
        <f>'emiss 2'!$K$36</f>
        <v>15.2</v>
      </c>
    </row>
    <row r="28" spans="5:22" ht="12.75"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</row>
    <row r="29" spans="2:22" ht="12.75">
      <c r="B29" s="91" t="s">
        <v>45</v>
      </c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</row>
    <row r="30" spans="2:30" s="80" customFormat="1" ht="12.75">
      <c r="B30" s="80" t="s">
        <v>23</v>
      </c>
      <c r="D30" s="80" t="s">
        <v>33</v>
      </c>
      <c r="F30" s="80">
        <f>F13*454*1000000/F$26*14/(21-F$27)/60/0.0283</f>
        <v>0</v>
      </c>
      <c r="H30" s="80">
        <f>H13*454*1000000/H$26*14/(21-H$27)/60/0.0283</f>
        <v>0</v>
      </c>
      <c r="J30" s="80">
        <f aca="true" t="shared" si="0" ref="J30:J41">J13*454*1000000/J$26*14/(21-J$27)/60/0.0283</f>
        <v>0</v>
      </c>
      <c r="K30" s="75">
        <v>100</v>
      </c>
      <c r="L30" s="80">
        <f aca="true" t="shared" si="1" ref="L30:L41">L13*454*1000000/L$26*14/(21-L$27)/60/0.0283</f>
        <v>328208.11363518797</v>
      </c>
      <c r="M30" s="75">
        <v>100</v>
      </c>
      <c r="N30" s="80">
        <f aca="true" t="shared" si="2" ref="N30:N41">N13*454*1000000/N$26*14/(21-N$27)/60/0.0283</f>
        <v>327585.3412650915</v>
      </c>
      <c r="O30" s="75">
        <v>100</v>
      </c>
      <c r="P30" s="80">
        <f aca="true" t="shared" si="3" ref="P30:P41">P13*454*1000000/P$26*14/(21-P$27)/60/0.0283</f>
        <v>335374.2296534236</v>
      </c>
      <c r="Q30" s="75"/>
      <c r="R30" s="80">
        <f aca="true" t="shared" si="4" ref="R30:R41">R13*454*1000000/R$26*14/(21-R$27)/60/0.0283</f>
        <v>1574148.691525232</v>
      </c>
      <c r="S30" s="75"/>
      <c r="T30" s="80">
        <f aca="true" t="shared" si="5" ref="T30:T41">T13*454*1000000/T$26*14/(21-T$27)/60/0.0283</f>
        <v>1427110.157282231</v>
      </c>
      <c r="U30" s="75"/>
      <c r="V30" s="80">
        <f aca="true" t="shared" si="6" ref="V30:V41">V13*454*1000000/V$26*14/(21-V$27)/60/0.0283</f>
        <v>1559098.655225551</v>
      </c>
      <c r="W30" s="80">
        <f>SUM((L30*K30/100),(R30*Q30/100))/X30*100</f>
        <v>17.25271057169063</v>
      </c>
      <c r="X30" s="80">
        <f>F30+L30+R30</f>
        <v>1902356.80516042</v>
      </c>
      <c r="Y30" s="80">
        <f>SUM((N30*M30/100),(T30*S30/100))/Z30*100</f>
        <v>18.669070590099132</v>
      </c>
      <c r="Z30" s="80">
        <f>H30+N30+T30</f>
        <v>1754695.4985473223</v>
      </c>
      <c r="AA30" s="80">
        <f>SUM((P30*O30/100),(V30*U30/100))/AB30*100</f>
        <v>17.702772751738195</v>
      </c>
      <c r="AB30" s="80">
        <f>J30+P30+V30</f>
        <v>1894472.8848789746</v>
      </c>
      <c r="AC30" s="80">
        <f>SUM((X30*W30/100),(Z30*Y30/100),(AB30*AA30/100))/AD30*100/3</f>
        <v>17.853970771697615</v>
      </c>
      <c r="AD30" s="80">
        <f>AVERAGE(X30,Z30,AB30)</f>
        <v>1850508.396195572</v>
      </c>
    </row>
    <row r="31" spans="2:30" s="80" customFormat="1" ht="12.75">
      <c r="B31" s="80" t="s">
        <v>97</v>
      </c>
      <c r="D31" s="80" t="s">
        <v>33</v>
      </c>
      <c r="F31" s="80">
        <f aca="true" t="shared" si="7" ref="F31:H41">F14*454*1000000/F$26*14/(21-F$27)/60/0.0283</f>
        <v>0</v>
      </c>
      <c r="H31" s="80">
        <f t="shared" si="7"/>
        <v>0</v>
      </c>
      <c r="J31" s="80">
        <f t="shared" si="0"/>
        <v>0</v>
      </c>
      <c r="K31" s="75">
        <v>100</v>
      </c>
      <c r="L31" s="80">
        <f t="shared" si="1"/>
        <v>322.6920108850169</v>
      </c>
      <c r="M31" s="75">
        <v>100</v>
      </c>
      <c r="N31" s="80">
        <f t="shared" si="2"/>
        <v>307.8172603266808</v>
      </c>
      <c r="O31" s="75">
        <v>100</v>
      </c>
      <c r="P31" s="80">
        <f t="shared" si="3"/>
        <v>321.282875466305</v>
      </c>
      <c r="Q31" s="75"/>
      <c r="R31" s="80">
        <f t="shared" si="4"/>
        <v>699.2460070740807</v>
      </c>
      <c r="S31" s="75"/>
      <c r="T31" s="80">
        <f t="shared" si="5"/>
        <v>93.38723836461473</v>
      </c>
      <c r="U31" s="75"/>
      <c r="V31" s="80">
        <f t="shared" si="6"/>
        <v>913.3345035630994</v>
      </c>
      <c r="W31" s="80">
        <f>SUM((L31*K31/100),(R31*Q31/100))/X31*100</f>
        <v>31.576475795416826</v>
      </c>
      <c r="X31" s="80">
        <f aca="true" t="shared" si="8" ref="X31:AB43">F31+L31+R31</f>
        <v>1021.9380179590976</v>
      </c>
      <c r="Y31" s="80">
        <f>SUM((N31*M31/100),(T31*S31/100))/Z31*100</f>
        <v>76.72328234871787</v>
      </c>
      <c r="Z31" s="80">
        <f t="shared" si="8"/>
        <v>401.20449869129556</v>
      </c>
      <c r="AA31" s="80">
        <f>SUM((P31*O31/100),(V31*U31/100))/AB31*100</f>
        <v>26.02286999385039</v>
      </c>
      <c r="AB31" s="80">
        <f t="shared" si="8"/>
        <v>1234.6173790294042</v>
      </c>
      <c r="AC31" s="80">
        <f aca="true" t="shared" si="9" ref="AC31:AC41">SUM((X31*W31/100),(Z31*Y31/100),(AB31*AA31/100))/AD31*100/3</f>
        <v>35.81181837475784</v>
      </c>
      <c r="AD31" s="80">
        <f aca="true" t="shared" si="10" ref="AD31:AD43">AVERAGE(X31,Z31,AB31)</f>
        <v>885.9199652265992</v>
      </c>
    </row>
    <row r="32" spans="2:30" s="80" customFormat="1" ht="12.75">
      <c r="B32" s="80" t="s">
        <v>96</v>
      </c>
      <c r="D32" s="80" t="s">
        <v>33</v>
      </c>
      <c r="F32" s="80">
        <f t="shared" si="7"/>
        <v>21956.32462212613</v>
      </c>
      <c r="H32" s="80">
        <f t="shared" si="7"/>
        <v>22400.485575725586</v>
      </c>
      <c r="J32" s="80">
        <f t="shared" si="0"/>
        <v>26791.145437850915</v>
      </c>
      <c r="K32" s="75"/>
      <c r="L32" s="80">
        <f t="shared" si="1"/>
        <v>8025.929501499136</v>
      </c>
      <c r="M32" s="75"/>
      <c r="N32" s="80">
        <f t="shared" si="2"/>
        <v>12905.732841219551</v>
      </c>
      <c r="O32" s="75"/>
      <c r="P32" s="80">
        <f t="shared" si="3"/>
        <v>14006.806061995925</v>
      </c>
      <c r="Q32" s="75"/>
      <c r="R32" s="80">
        <f t="shared" si="4"/>
        <v>24.321600246054977</v>
      </c>
      <c r="S32" s="75"/>
      <c r="T32" s="80">
        <f t="shared" si="5"/>
        <v>18.67744767292295</v>
      </c>
      <c r="U32" s="75"/>
      <c r="V32" s="80">
        <f t="shared" si="6"/>
        <v>62.13159888184351</v>
      </c>
      <c r="X32" s="80">
        <f t="shared" si="8"/>
        <v>30006.57572387132</v>
      </c>
      <c r="Z32" s="80">
        <f t="shared" si="8"/>
        <v>35324.89586461806</v>
      </c>
      <c r="AB32" s="80">
        <f t="shared" si="8"/>
        <v>40860.08309872868</v>
      </c>
      <c r="AD32" s="80">
        <f t="shared" si="10"/>
        <v>35397.18489573936</v>
      </c>
    </row>
    <row r="33" spans="2:30" s="80" customFormat="1" ht="12.75">
      <c r="B33" s="80" t="s">
        <v>98</v>
      </c>
      <c r="D33" s="80" t="s">
        <v>33</v>
      </c>
      <c r="F33" s="80">
        <f t="shared" si="7"/>
        <v>0</v>
      </c>
      <c r="H33" s="80">
        <f t="shared" si="7"/>
        <v>0</v>
      </c>
      <c r="J33" s="80">
        <f t="shared" si="0"/>
        <v>0</v>
      </c>
      <c r="K33" s="75"/>
      <c r="L33" s="80">
        <f t="shared" si="1"/>
        <v>16824.113388022244</v>
      </c>
      <c r="M33" s="75"/>
      <c r="N33" s="80">
        <f t="shared" si="2"/>
        <v>13216.374113108861</v>
      </c>
      <c r="O33" s="75"/>
      <c r="P33" s="80">
        <f t="shared" si="3"/>
        <v>14993.200855094236</v>
      </c>
      <c r="Q33" s="75"/>
      <c r="R33" s="80">
        <f t="shared" si="4"/>
        <v>11370.348115030703</v>
      </c>
      <c r="S33" s="75"/>
      <c r="T33" s="80">
        <f t="shared" si="5"/>
        <v>1301.1955212136315</v>
      </c>
      <c r="U33" s="75"/>
      <c r="V33" s="80">
        <f t="shared" si="6"/>
        <v>26318.94528634891</v>
      </c>
      <c r="X33" s="80">
        <f t="shared" si="8"/>
        <v>28194.461503052946</v>
      </c>
      <c r="Z33" s="80">
        <f t="shared" si="8"/>
        <v>14517.569634322492</v>
      </c>
      <c r="AB33" s="80">
        <f t="shared" si="8"/>
        <v>41312.14614144315</v>
      </c>
      <c r="AD33" s="80">
        <f t="shared" si="10"/>
        <v>28008.05909293953</v>
      </c>
    </row>
    <row r="34" spans="2:30" s="80" customFormat="1" ht="12.75">
      <c r="B34" s="80" t="s">
        <v>99</v>
      </c>
      <c r="D34" s="80" t="s">
        <v>33</v>
      </c>
      <c r="F34" s="80">
        <f t="shared" si="7"/>
        <v>3271.255233094395</v>
      </c>
      <c r="H34" s="80">
        <f t="shared" si="7"/>
        <v>2365.8100385702396</v>
      </c>
      <c r="J34" s="80">
        <f t="shared" si="0"/>
        <v>1969.5716845544396</v>
      </c>
      <c r="K34" s="75">
        <v>100</v>
      </c>
      <c r="L34" s="80">
        <f t="shared" si="1"/>
        <v>57.64327373928932</v>
      </c>
      <c r="M34" s="75">
        <v>100</v>
      </c>
      <c r="N34" s="80">
        <f t="shared" si="2"/>
        <v>55.35062662754993</v>
      </c>
      <c r="O34" s="75">
        <v>100</v>
      </c>
      <c r="P34" s="80">
        <f t="shared" si="3"/>
        <v>57.77455216718643</v>
      </c>
      <c r="Q34" s="75">
        <v>100</v>
      </c>
      <c r="R34" s="80">
        <f t="shared" si="4"/>
        <v>6.080400061513744</v>
      </c>
      <c r="S34" s="75">
        <v>100</v>
      </c>
      <c r="T34" s="80">
        <f t="shared" si="5"/>
        <v>6.225815890974315</v>
      </c>
      <c r="U34" s="75"/>
      <c r="V34" s="80">
        <f t="shared" si="6"/>
        <v>31.065799440921754</v>
      </c>
      <c r="W34" s="80">
        <f>SUM((L34*K34/100),(R34*Q34/100))/X34*100</f>
        <v>1.910766921765289</v>
      </c>
      <c r="X34" s="80">
        <f t="shared" si="8"/>
        <v>3334.978906895198</v>
      </c>
      <c r="Y34" s="80">
        <f>SUM((N34*M34/100),(T34*S34/100))/Z34*100</f>
        <v>2.536738298505525</v>
      </c>
      <c r="Z34" s="80">
        <f t="shared" si="8"/>
        <v>2427.386481088764</v>
      </c>
      <c r="AA34" s="80">
        <f>SUM((P34*O34/100),(V34*U34/100))/AB34*100</f>
        <v>2.806753514466144</v>
      </c>
      <c r="AB34" s="80">
        <f t="shared" si="8"/>
        <v>2058.412036162548</v>
      </c>
      <c r="AC34" s="80">
        <f t="shared" si="9"/>
        <v>2.340875574866432</v>
      </c>
      <c r="AD34" s="80">
        <f t="shared" si="10"/>
        <v>2606.9258080488366</v>
      </c>
    </row>
    <row r="35" spans="2:30" s="80" customFormat="1" ht="12.75">
      <c r="B35" s="80" t="s">
        <v>100</v>
      </c>
      <c r="D35" s="80" t="s">
        <v>33</v>
      </c>
      <c r="F35" s="80">
        <f t="shared" si="7"/>
        <v>33959.03434355426</v>
      </c>
      <c r="H35" s="80">
        <f t="shared" si="7"/>
        <v>35175.85978400488</v>
      </c>
      <c r="J35" s="80">
        <f t="shared" si="0"/>
        <v>36974.51449458507</v>
      </c>
      <c r="K35" s="75">
        <v>100</v>
      </c>
      <c r="L35" s="80">
        <f t="shared" si="1"/>
        <v>372.3369356365578</v>
      </c>
      <c r="M35" s="75">
        <v>100</v>
      </c>
      <c r="N35" s="80">
        <f t="shared" si="2"/>
        <v>355.82545689139243</v>
      </c>
      <c r="O35" s="75">
        <v>100</v>
      </c>
      <c r="P35" s="80">
        <f t="shared" si="3"/>
        <v>372.0117505399321</v>
      </c>
      <c r="Q35" s="75"/>
      <c r="R35" s="80">
        <f t="shared" si="4"/>
        <v>589.798805966833</v>
      </c>
      <c r="S35" s="75"/>
      <c r="T35" s="80">
        <f t="shared" si="5"/>
        <v>417.1296646952792</v>
      </c>
      <c r="U35" s="75"/>
      <c r="V35" s="80">
        <f t="shared" si="6"/>
        <v>863.6292244576247</v>
      </c>
      <c r="W35" s="80">
        <f>SUM((L35*K35/100),(R35*Q35/100))/X35*100</f>
        <v>1.0662212483962845</v>
      </c>
      <c r="X35" s="80">
        <f t="shared" si="8"/>
        <v>34921.17008515765</v>
      </c>
      <c r="Y35" s="80">
        <f>SUM((N35*M35/100),(T35*S35/100))/Z35*100</f>
        <v>0.9898113688194118</v>
      </c>
      <c r="Z35" s="80">
        <f t="shared" si="8"/>
        <v>35948.81490559155</v>
      </c>
      <c r="AA35" s="80">
        <f>SUM((P35*O35/100),(V35*U35/100))/AB35*100</f>
        <v>0.9735939201714943</v>
      </c>
      <c r="AB35" s="80">
        <f t="shared" si="8"/>
        <v>38210.15546958263</v>
      </c>
      <c r="AC35" s="80">
        <f t="shared" si="9"/>
        <v>1.00859252511503</v>
      </c>
      <c r="AD35" s="80">
        <f t="shared" si="10"/>
        <v>36360.04682011061</v>
      </c>
    </row>
    <row r="36" spans="2:30" s="80" customFormat="1" ht="12.75">
      <c r="B36" s="80" t="s">
        <v>101</v>
      </c>
      <c r="D36" s="80" t="s">
        <v>33</v>
      </c>
      <c r="F36" s="80">
        <f t="shared" si="7"/>
        <v>16193.929483829554</v>
      </c>
      <c r="H36" s="80">
        <f t="shared" si="7"/>
        <v>19486.803738749608</v>
      </c>
      <c r="J36" s="80">
        <f t="shared" si="0"/>
        <v>22522.704594668267</v>
      </c>
      <c r="K36" s="75"/>
      <c r="L36" s="80">
        <f t="shared" si="1"/>
        <v>31441.785675975992</v>
      </c>
      <c r="M36" s="75"/>
      <c r="N36" s="80">
        <f t="shared" si="2"/>
        <v>25585.54475742869</v>
      </c>
      <c r="O36" s="75"/>
      <c r="P36" s="80">
        <f t="shared" si="3"/>
        <v>32128.28754663049</v>
      </c>
      <c r="Q36" s="75"/>
      <c r="R36" s="80">
        <f t="shared" si="4"/>
        <v>6159.445262313424</v>
      </c>
      <c r="S36" s="75"/>
      <c r="T36" s="80">
        <f t="shared" si="5"/>
        <v>3554.940873746335</v>
      </c>
      <c r="U36" s="75"/>
      <c r="V36" s="80">
        <f t="shared" si="6"/>
        <v>8058.4683749751</v>
      </c>
      <c r="X36" s="80">
        <f t="shared" si="8"/>
        <v>53795.16042211898</v>
      </c>
      <c r="Z36" s="80">
        <f t="shared" si="8"/>
        <v>48627.289369924634</v>
      </c>
      <c r="AB36" s="80">
        <f t="shared" si="8"/>
        <v>62709.46051627386</v>
      </c>
      <c r="AD36" s="80">
        <f t="shared" si="10"/>
        <v>55043.97010277249</v>
      </c>
    </row>
    <row r="37" spans="2:30" s="80" customFormat="1" ht="12.75">
      <c r="B37" s="80" t="s">
        <v>183</v>
      </c>
      <c r="D37" s="80" t="s">
        <v>33</v>
      </c>
      <c r="F37" s="80">
        <f t="shared" si="7"/>
        <v>16193.929483829554</v>
      </c>
      <c r="H37" s="80">
        <f t="shared" si="7"/>
        <v>19486.803738749608</v>
      </c>
      <c r="J37" s="80">
        <f t="shared" si="0"/>
        <v>22522.704594668267</v>
      </c>
      <c r="K37" s="75"/>
      <c r="L37" s="80">
        <f t="shared" si="1"/>
        <v>0</v>
      </c>
      <c r="M37" s="75"/>
      <c r="N37" s="80">
        <f t="shared" si="2"/>
        <v>0</v>
      </c>
      <c r="O37" s="75"/>
      <c r="P37" s="80">
        <f t="shared" si="3"/>
        <v>0</v>
      </c>
      <c r="Q37" s="75"/>
      <c r="R37" s="80">
        <f t="shared" si="4"/>
        <v>0</v>
      </c>
      <c r="S37" s="75"/>
      <c r="T37" s="80">
        <f t="shared" si="5"/>
        <v>0</v>
      </c>
      <c r="U37" s="75"/>
      <c r="V37" s="80">
        <f t="shared" si="6"/>
        <v>0</v>
      </c>
      <c r="X37" s="80">
        <f t="shared" si="8"/>
        <v>16193.929483829554</v>
      </c>
      <c r="Z37" s="80">
        <f t="shared" si="8"/>
        <v>19486.803738749608</v>
      </c>
      <c r="AB37" s="80">
        <f t="shared" si="8"/>
        <v>22522.704594668267</v>
      </c>
      <c r="AD37" s="80">
        <f t="shared" si="10"/>
        <v>19401.145939082475</v>
      </c>
    </row>
    <row r="38" spans="2:30" s="80" customFormat="1" ht="12.75">
      <c r="B38" s="80" t="s">
        <v>103</v>
      </c>
      <c r="D38" s="80" t="s">
        <v>33</v>
      </c>
      <c r="F38" s="80">
        <f t="shared" si="7"/>
        <v>629169.3963651346</v>
      </c>
      <c r="H38" s="80">
        <f t="shared" si="7"/>
        <v>613896.5759295225</v>
      </c>
      <c r="J38" s="80">
        <f t="shared" si="0"/>
        <v>646261.8257694952</v>
      </c>
      <c r="K38" s="75"/>
      <c r="L38" s="80">
        <f t="shared" si="1"/>
        <v>24022.627476995698</v>
      </c>
      <c r="M38" s="75"/>
      <c r="N38" s="80">
        <f t="shared" si="2"/>
        <v>16294.546716375668</v>
      </c>
      <c r="O38" s="75"/>
      <c r="P38" s="80">
        <f t="shared" si="3"/>
        <v>17388.7310669044</v>
      </c>
      <c r="Q38" s="75"/>
      <c r="R38" s="80">
        <f t="shared" si="4"/>
        <v>14124.76934289643</v>
      </c>
      <c r="S38" s="75"/>
      <c r="T38" s="80">
        <f t="shared" si="5"/>
        <v>5273.266059655246</v>
      </c>
      <c r="U38" s="75"/>
      <c r="V38" s="80">
        <f t="shared" si="6"/>
        <v>17770.87991218488</v>
      </c>
      <c r="X38" s="80">
        <f t="shared" si="8"/>
        <v>667316.7931850267</v>
      </c>
      <c r="Z38" s="80">
        <f t="shared" si="8"/>
        <v>635464.3887055534</v>
      </c>
      <c r="AB38" s="80">
        <f t="shared" si="8"/>
        <v>681421.4367485845</v>
      </c>
      <c r="AD38" s="80">
        <f t="shared" si="10"/>
        <v>661400.8728797216</v>
      </c>
    </row>
    <row r="39" spans="2:30" s="80" customFormat="1" ht="12.75">
      <c r="B39" s="80" t="s">
        <v>104</v>
      </c>
      <c r="D39" s="80" t="s">
        <v>33</v>
      </c>
      <c r="F39" s="80">
        <f t="shared" si="7"/>
        <v>0</v>
      </c>
      <c r="H39" s="80">
        <f t="shared" si="7"/>
        <v>0</v>
      </c>
      <c r="J39" s="80">
        <f t="shared" si="0"/>
        <v>0</v>
      </c>
      <c r="K39" s="75">
        <v>100</v>
      </c>
      <c r="L39" s="80">
        <f t="shared" si="1"/>
        <v>32.820811363518814</v>
      </c>
      <c r="M39" s="75"/>
      <c r="N39" s="80">
        <f t="shared" si="2"/>
        <v>63.54026015917721</v>
      </c>
      <c r="O39" s="75"/>
      <c r="P39" s="80">
        <f t="shared" si="3"/>
        <v>58.05637925092881</v>
      </c>
      <c r="Q39" s="75"/>
      <c r="R39" s="80">
        <f t="shared" si="4"/>
        <v>60.804000615137454</v>
      </c>
      <c r="S39" s="75"/>
      <c r="T39" s="80">
        <f t="shared" si="5"/>
        <v>24.90326356389726</v>
      </c>
      <c r="U39" s="75"/>
      <c r="V39" s="80">
        <f t="shared" si="6"/>
        <v>124.26319776368702</v>
      </c>
      <c r="W39" s="80">
        <f>SUM((L39*K39/100),(R39*Q39/100))/X39*100</f>
        <v>35.055676662935255</v>
      </c>
      <c r="X39" s="80">
        <f t="shared" si="8"/>
        <v>93.62481197865627</v>
      </c>
      <c r="Z39" s="80">
        <f t="shared" si="8"/>
        <v>88.44352372307446</v>
      </c>
      <c r="AB39" s="80">
        <f t="shared" si="8"/>
        <v>182.31957701461585</v>
      </c>
      <c r="AC39" s="80">
        <f t="shared" si="9"/>
        <v>9.007107595544143</v>
      </c>
      <c r="AD39" s="80">
        <f t="shared" si="10"/>
        <v>121.46263757211553</v>
      </c>
    </row>
    <row r="40" spans="2:30" s="80" customFormat="1" ht="12.75">
      <c r="B40" s="80" t="s">
        <v>107</v>
      </c>
      <c r="D40" s="80" t="s">
        <v>33</v>
      </c>
      <c r="F40" s="80">
        <f t="shared" si="7"/>
        <v>0</v>
      </c>
      <c r="H40" s="80">
        <f t="shared" si="7"/>
        <v>0</v>
      </c>
      <c r="J40" s="80">
        <f t="shared" si="0"/>
        <v>0</v>
      </c>
      <c r="K40" s="75">
        <v>100</v>
      </c>
      <c r="L40" s="80">
        <f t="shared" si="1"/>
        <v>32.26920108850169</v>
      </c>
      <c r="M40" s="75">
        <v>100</v>
      </c>
      <c r="N40" s="80">
        <f t="shared" si="2"/>
        <v>553.5062662754993</v>
      </c>
      <c r="O40" s="75">
        <v>100</v>
      </c>
      <c r="P40" s="80">
        <f t="shared" si="3"/>
        <v>577.7455216718641</v>
      </c>
      <c r="Q40" s="75">
        <v>100</v>
      </c>
      <c r="R40" s="80">
        <f t="shared" si="4"/>
        <v>60.804000615137454</v>
      </c>
      <c r="S40" s="75">
        <v>100</v>
      </c>
      <c r="T40" s="80">
        <f t="shared" si="5"/>
        <v>62.25815890974315</v>
      </c>
      <c r="U40" s="75"/>
      <c r="V40" s="80">
        <f t="shared" si="6"/>
        <v>74.55791865821219</v>
      </c>
      <c r="W40" s="80">
        <f>SUM((L40*K40/100),(R40*Q40/100))/X40*100</f>
        <v>100</v>
      </c>
      <c r="X40" s="80">
        <f t="shared" si="8"/>
        <v>93.07320170363914</v>
      </c>
      <c r="Y40" s="80">
        <f>SUM((N40*M40/100),(T40*S40/100))/Z40*100</f>
        <v>100</v>
      </c>
      <c r="Z40" s="80">
        <f t="shared" si="8"/>
        <v>615.7644251852425</v>
      </c>
      <c r="AA40" s="80">
        <f>SUM((P40*O40/100),(V40*U40/100))/AB40*100</f>
        <v>88.5700558898655</v>
      </c>
      <c r="AB40" s="80">
        <f t="shared" si="8"/>
        <v>652.3034403300763</v>
      </c>
      <c r="AC40" s="80">
        <f t="shared" si="9"/>
        <v>94.522395918114</v>
      </c>
      <c r="AD40" s="80">
        <f t="shared" si="10"/>
        <v>453.713689072986</v>
      </c>
    </row>
    <row r="41" spans="2:30" s="80" customFormat="1" ht="12.75">
      <c r="B41" s="80" t="s">
        <v>108</v>
      </c>
      <c r="D41" s="80" t="s">
        <v>33</v>
      </c>
      <c r="F41" s="80">
        <f t="shared" si="7"/>
        <v>0</v>
      </c>
      <c r="H41" s="80">
        <f t="shared" si="7"/>
        <v>0</v>
      </c>
      <c r="J41" s="80">
        <f t="shared" si="0"/>
        <v>0</v>
      </c>
      <c r="K41" s="75"/>
      <c r="L41" s="80">
        <f t="shared" si="1"/>
        <v>1117.0108069096736</v>
      </c>
      <c r="M41" s="75"/>
      <c r="N41" s="80">
        <f t="shared" si="2"/>
        <v>909.3317231668917</v>
      </c>
      <c r="O41" s="75"/>
      <c r="P41" s="80">
        <f t="shared" si="3"/>
        <v>1003.3044181228469</v>
      </c>
      <c r="Q41" s="75">
        <v>100</v>
      </c>
      <c r="R41" s="80">
        <f t="shared" si="4"/>
        <v>36.48240036908247</v>
      </c>
      <c r="S41" s="75">
        <v>100</v>
      </c>
      <c r="T41" s="80">
        <f t="shared" si="5"/>
        <v>37.3548953458459</v>
      </c>
      <c r="U41" s="75">
        <v>100</v>
      </c>
      <c r="V41" s="80">
        <f t="shared" si="6"/>
        <v>31.065799440921754</v>
      </c>
      <c r="W41" s="80">
        <f>SUM((L41*K41/100),(R41*Q41/100))/X41*100</f>
        <v>3.162775483970929</v>
      </c>
      <c r="X41" s="80">
        <f t="shared" si="8"/>
        <v>1153.493207278756</v>
      </c>
      <c r="Y41" s="80">
        <f>SUM((N41*M41/100),(T41*S41/100))/Z41*100</f>
        <v>3.945856486757058</v>
      </c>
      <c r="Z41" s="80">
        <f t="shared" si="8"/>
        <v>946.6866185127376</v>
      </c>
      <c r="AA41" s="80">
        <f>SUM((P41*O41/100),(V41*U41/100))/AB41*100</f>
        <v>3.0033540132362284</v>
      </c>
      <c r="AB41" s="80">
        <f t="shared" si="8"/>
        <v>1034.3702175637686</v>
      </c>
      <c r="AC41" s="80">
        <f t="shared" si="9"/>
        <v>3.346671570237893</v>
      </c>
      <c r="AD41" s="80">
        <f t="shared" si="10"/>
        <v>1044.850014451754</v>
      </c>
    </row>
    <row r="42" spans="2:30" s="80" customFormat="1" ht="12.75">
      <c r="B42" s="80" t="s">
        <v>34</v>
      </c>
      <c r="D42" s="80" t="s">
        <v>33</v>
      </c>
      <c r="F42" s="80">
        <f>F38+F35</f>
        <v>663128.4307086889</v>
      </c>
      <c r="H42" s="80">
        <f>H38+H35</f>
        <v>649072.4357135274</v>
      </c>
      <c r="J42" s="80">
        <f>J38+J35</f>
        <v>683236.3402640803</v>
      </c>
      <c r="K42" s="80">
        <f>L35/L42*100</f>
        <v>1.526286037309214</v>
      </c>
      <c r="L42" s="80">
        <f>L38+L35</f>
        <v>24394.964412632256</v>
      </c>
      <c r="M42" s="80">
        <f>N35/N42*100</f>
        <v>2.137042062415197</v>
      </c>
      <c r="N42" s="80">
        <f>N38+N35</f>
        <v>16650.37217326706</v>
      </c>
      <c r="O42" s="80">
        <f>P35/P42*100</f>
        <v>2.0945731513805144</v>
      </c>
      <c r="P42" s="80">
        <f>P38+P35</f>
        <v>17760.742817444334</v>
      </c>
      <c r="R42" s="80">
        <f>R38+R35</f>
        <v>14714.568148863264</v>
      </c>
      <c r="T42" s="80">
        <f>T38+T35</f>
        <v>5690.395724350525</v>
      </c>
      <c r="V42" s="80">
        <f>V38+V35</f>
        <v>18634.509136642504</v>
      </c>
      <c r="X42" s="80">
        <f t="shared" si="8"/>
        <v>702237.9632701845</v>
      </c>
      <c r="Z42" s="80">
        <f t="shared" si="8"/>
        <v>671413.2036111449</v>
      </c>
      <c r="AB42" s="80">
        <f t="shared" si="8"/>
        <v>719631.5922181671</v>
      </c>
      <c r="AD42" s="80">
        <f t="shared" si="10"/>
        <v>697760.9196998322</v>
      </c>
    </row>
    <row r="43" spans="2:30" s="80" customFormat="1" ht="12.75">
      <c r="B43" s="80" t="s">
        <v>35</v>
      </c>
      <c r="D43" s="80" t="s">
        <v>33</v>
      </c>
      <c r="F43" s="80">
        <f>F32+F34+F36</f>
        <v>41421.50933905008</v>
      </c>
      <c r="H43" s="80">
        <f>H32+H34+H36</f>
        <v>44253.09935304543</v>
      </c>
      <c r="J43" s="80">
        <f>J32+J34+J36</f>
        <v>51283.42171707362</v>
      </c>
      <c r="L43" s="80">
        <f>L32+L34+L36</f>
        <v>39525.358451214415</v>
      </c>
      <c r="N43" s="80">
        <f>N32+N34+N36</f>
        <v>38546.628225275796</v>
      </c>
      <c r="P43" s="80">
        <f>P32+P34+P36</f>
        <v>46192.8681607936</v>
      </c>
      <c r="R43" s="80">
        <f>R32+R34+R36</f>
        <v>6189.847262620992</v>
      </c>
      <c r="T43" s="80">
        <f>T32+T34+T36</f>
        <v>3579.8441373102323</v>
      </c>
      <c r="V43" s="80">
        <f>V32+V34+V36</f>
        <v>8151.665773297866</v>
      </c>
      <c r="X43" s="80">
        <f t="shared" si="8"/>
        <v>87136.71505288548</v>
      </c>
      <c r="Z43" s="80">
        <f t="shared" si="8"/>
        <v>86379.57171563146</v>
      </c>
      <c r="AB43" s="80">
        <f t="shared" si="8"/>
        <v>105627.95565116509</v>
      </c>
      <c r="AD43" s="80">
        <f t="shared" si="10"/>
        <v>93048.08080656068</v>
      </c>
    </row>
    <row r="44" spans="5:22" ht="12.75"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</row>
    <row r="45" spans="2:30" ht="12.75">
      <c r="B45" s="12" t="s">
        <v>179</v>
      </c>
      <c r="C45" s="12"/>
      <c r="F45" s="82" t="s">
        <v>164</v>
      </c>
      <c r="G45" s="82"/>
      <c r="H45" s="82" t="s">
        <v>165</v>
      </c>
      <c r="I45" s="82"/>
      <c r="J45" s="82" t="s">
        <v>166</v>
      </c>
      <c r="K45" s="82"/>
      <c r="L45" s="82" t="s">
        <v>164</v>
      </c>
      <c r="M45" s="82"/>
      <c r="N45" s="82" t="s">
        <v>165</v>
      </c>
      <c r="O45" s="82"/>
      <c r="P45" s="82" t="s">
        <v>166</v>
      </c>
      <c r="Q45" s="82"/>
      <c r="R45" s="82" t="s">
        <v>164</v>
      </c>
      <c r="S45" s="82"/>
      <c r="T45" s="82" t="s">
        <v>165</v>
      </c>
      <c r="U45" s="82"/>
      <c r="V45" s="82" t="s">
        <v>166</v>
      </c>
      <c r="W45" s="82"/>
      <c r="X45" s="82" t="s">
        <v>164</v>
      </c>
      <c r="Y45" s="82"/>
      <c r="Z45" s="82" t="s">
        <v>165</v>
      </c>
      <c r="AA45" s="82"/>
      <c r="AB45" s="82" t="s">
        <v>166</v>
      </c>
      <c r="AC45" s="82"/>
      <c r="AD45" s="82" t="s">
        <v>163</v>
      </c>
    </row>
    <row r="46" spans="2:30" ht="12.75">
      <c r="B46" s="12"/>
      <c r="C46" s="1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</row>
    <row r="47" spans="2:30" ht="12.75">
      <c r="B47" s="8" t="s">
        <v>268</v>
      </c>
      <c r="C47" s="8"/>
      <c r="F47" s="82" t="s">
        <v>271</v>
      </c>
      <c r="G47" s="82"/>
      <c r="H47" s="82" t="s">
        <v>271</v>
      </c>
      <c r="I47" s="82"/>
      <c r="J47" s="82" t="s">
        <v>271</v>
      </c>
      <c r="K47" s="82"/>
      <c r="L47" s="82" t="s">
        <v>273</v>
      </c>
      <c r="M47" s="82"/>
      <c r="N47" s="82" t="s">
        <v>273</v>
      </c>
      <c r="O47" s="82"/>
      <c r="P47" s="82" t="s">
        <v>273</v>
      </c>
      <c r="Q47" s="82"/>
      <c r="R47" s="82" t="s">
        <v>274</v>
      </c>
      <c r="S47" s="82"/>
      <c r="T47" s="82" t="s">
        <v>274</v>
      </c>
      <c r="U47" s="82"/>
      <c r="V47" s="82" t="s">
        <v>274</v>
      </c>
      <c r="W47" s="82"/>
      <c r="X47" s="82" t="s">
        <v>275</v>
      </c>
      <c r="Y47" s="82"/>
      <c r="Z47" s="82" t="s">
        <v>275</v>
      </c>
      <c r="AA47" s="82"/>
      <c r="AB47" s="82" t="s">
        <v>275</v>
      </c>
      <c r="AC47" s="82"/>
      <c r="AD47" s="82" t="s">
        <v>275</v>
      </c>
    </row>
    <row r="48" spans="2:30" ht="12.75">
      <c r="B48" s="8" t="s">
        <v>269</v>
      </c>
      <c r="C48" s="8"/>
      <c r="F48" s="77" t="s">
        <v>32</v>
      </c>
      <c r="H48" s="77" t="s">
        <v>32</v>
      </c>
      <c r="J48" s="77" t="s">
        <v>32</v>
      </c>
      <c r="L48" s="77" t="s">
        <v>270</v>
      </c>
      <c r="N48" s="77" t="s">
        <v>270</v>
      </c>
      <c r="P48" s="77" t="s">
        <v>270</v>
      </c>
      <c r="R48" s="77" t="s">
        <v>272</v>
      </c>
      <c r="T48" s="77" t="s">
        <v>272</v>
      </c>
      <c r="V48" s="77" t="s">
        <v>272</v>
      </c>
      <c r="X48" s="77" t="s">
        <v>60</v>
      </c>
      <c r="Z48" s="77" t="s">
        <v>60</v>
      </c>
      <c r="AB48" s="77" t="s">
        <v>60</v>
      </c>
      <c r="AD48" s="77" t="s">
        <v>60</v>
      </c>
    </row>
    <row r="49" spans="2:30" ht="12.75">
      <c r="B49" s="8" t="s">
        <v>20</v>
      </c>
      <c r="C49" s="8"/>
      <c r="F49" s="77" t="s">
        <v>32</v>
      </c>
      <c r="H49" s="77" t="s">
        <v>32</v>
      </c>
      <c r="J49" s="77" t="s">
        <v>32</v>
      </c>
      <c r="L49" s="77" t="s">
        <v>187</v>
      </c>
      <c r="N49" s="77" t="s">
        <v>187</v>
      </c>
      <c r="P49" s="77" t="s">
        <v>187</v>
      </c>
      <c r="R49" s="77" t="s">
        <v>188</v>
      </c>
      <c r="T49" s="77" t="s">
        <v>188</v>
      </c>
      <c r="V49" s="77" t="s">
        <v>188</v>
      </c>
      <c r="X49" s="77" t="s">
        <v>60</v>
      </c>
      <c r="Z49" s="77" t="s">
        <v>60</v>
      </c>
      <c r="AB49" s="77" t="s">
        <v>60</v>
      </c>
      <c r="AD49" s="77" t="s">
        <v>60</v>
      </c>
    </row>
    <row r="50" spans="1:22" ht="12.75">
      <c r="A50" s="77" t="s">
        <v>179</v>
      </c>
      <c r="B50" s="77" t="s">
        <v>59</v>
      </c>
      <c r="D50" s="77" t="s">
        <v>27</v>
      </c>
      <c r="E50" s="75"/>
      <c r="F50" s="75"/>
      <c r="G50" s="75"/>
      <c r="H50" s="75"/>
      <c r="I50" s="75"/>
      <c r="J50" s="75"/>
      <c r="K50" s="75"/>
      <c r="L50" s="75">
        <v>27200</v>
      </c>
      <c r="M50" s="75"/>
      <c r="N50" s="75">
        <v>27240</v>
      </c>
      <c r="O50" s="75"/>
      <c r="P50" s="75">
        <v>27300</v>
      </c>
      <c r="Q50" s="75"/>
      <c r="R50" s="75">
        <v>3295.8</v>
      </c>
      <c r="S50" s="75"/>
      <c r="T50" s="75">
        <v>3120</v>
      </c>
      <c r="U50" s="75"/>
      <c r="V50" s="75">
        <v>3128.4</v>
      </c>
    </row>
    <row r="51" spans="1:22" ht="12.75">
      <c r="A51" s="77" t="s">
        <v>179</v>
      </c>
      <c r="B51" s="77" t="s">
        <v>21</v>
      </c>
      <c r="D51" s="77" t="s">
        <v>22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>
        <v>12200</v>
      </c>
      <c r="S51" s="75"/>
      <c r="T51" s="75">
        <v>11000</v>
      </c>
      <c r="U51" s="75"/>
      <c r="V51" s="75">
        <v>10900</v>
      </c>
    </row>
    <row r="52" spans="2:30" ht="12.75">
      <c r="B52" s="4" t="s">
        <v>282</v>
      </c>
      <c r="D52" s="77" t="s">
        <v>31</v>
      </c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6">
        <f>R50*R51/1000000</f>
        <v>40.20876</v>
      </c>
      <c r="S52" s="75"/>
      <c r="T52" s="76">
        <f>T50*T51/1000000</f>
        <v>34.32</v>
      </c>
      <c r="U52" s="75"/>
      <c r="V52" s="76">
        <f>V50*V51/1000000</f>
        <v>34.09956</v>
      </c>
      <c r="X52" s="76">
        <f>R52</f>
        <v>40.20876</v>
      </c>
      <c r="Z52" s="76">
        <f>T52</f>
        <v>34.32</v>
      </c>
      <c r="AB52" s="76">
        <f>V52</f>
        <v>34.09956</v>
      </c>
      <c r="AD52" s="76">
        <f>AVERAGE(X52,Z52,AB52)</f>
        <v>36.20944</v>
      </c>
    </row>
    <row r="53" spans="1:22" ht="12.75">
      <c r="A53" s="77" t="s">
        <v>179</v>
      </c>
      <c r="B53" s="77" t="s">
        <v>23</v>
      </c>
      <c r="D53" s="77" t="s">
        <v>27</v>
      </c>
      <c r="E53" s="75"/>
      <c r="F53" s="75"/>
      <c r="G53" s="75"/>
      <c r="H53" s="75"/>
      <c r="I53" s="75"/>
      <c r="J53" s="75"/>
      <c r="K53" s="75" t="s">
        <v>161</v>
      </c>
      <c r="L53" s="75">
        <v>2.72</v>
      </c>
      <c r="M53" s="75" t="s">
        <v>161</v>
      </c>
      <c r="N53" s="75">
        <v>2.724</v>
      </c>
      <c r="O53" s="75" t="s">
        <v>161</v>
      </c>
      <c r="P53" s="75">
        <v>2.73</v>
      </c>
      <c r="Q53" s="75"/>
      <c r="R53" s="75">
        <v>47.12994</v>
      </c>
      <c r="S53" s="75"/>
      <c r="T53" s="75">
        <v>42.588</v>
      </c>
      <c r="U53" s="75"/>
      <c r="V53" s="75">
        <v>41.92056</v>
      </c>
    </row>
    <row r="54" spans="1:22" ht="12.75">
      <c r="A54" s="77" t="s">
        <v>179</v>
      </c>
      <c r="B54" s="77" t="s">
        <v>97</v>
      </c>
      <c r="D54" s="77" t="s">
        <v>27</v>
      </c>
      <c r="E54" s="75"/>
      <c r="F54" s="75"/>
      <c r="G54" s="75"/>
      <c r="H54" s="75"/>
      <c r="I54" s="75"/>
      <c r="J54" s="75"/>
      <c r="K54" s="75" t="s">
        <v>161</v>
      </c>
      <c r="L54" s="85">
        <v>0.06936</v>
      </c>
      <c r="M54" s="85" t="s">
        <v>161</v>
      </c>
      <c r="N54" s="85">
        <v>0.069462</v>
      </c>
      <c r="O54" s="85" t="s">
        <v>161</v>
      </c>
      <c r="P54" s="85">
        <v>0.069615</v>
      </c>
      <c r="Q54" s="85" t="s">
        <v>161</v>
      </c>
      <c r="R54" s="85">
        <v>0.0395496</v>
      </c>
      <c r="S54" s="75" t="s">
        <v>161</v>
      </c>
      <c r="T54" s="85">
        <v>0.38376</v>
      </c>
      <c r="U54" s="85" t="s">
        <v>161</v>
      </c>
      <c r="V54" s="85">
        <v>0.0375408</v>
      </c>
    </row>
    <row r="55" spans="1:22" ht="12.75">
      <c r="A55" s="77" t="s">
        <v>179</v>
      </c>
      <c r="B55" s="77" t="s">
        <v>96</v>
      </c>
      <c r="D55" s="77" t="s">
        <v>27</v>
      </c>
      <c r="E55" s="75"/>
      <c r="F55" s="75"/>
      <c r="G55" s="75"/>
      <c r="H55" s="75"/>
      <c r="I55" s="75"/>
      <c r="J55" s="75"/>
      <c r="K55" s="75"/>
      <c r="L55" s="85">
        <v>0.1904</v>
      </c>
      <c r="M55" s="85"/>
      <c r="N55" s="85">
        <v>0.182508</v>
      </c>
      <c r="O55" s="85"/>
      <c r="P55" s="85">
        <v>0.15834</v>
      </c>
      <c r="Q55" s="85" t="s">
        <v>161</v>
      </c>
      <c r="R55" s="85">
        <v>0.0065916</v>
      </c>
      <c r="S55" s="75" t="s">
        <v>161</v>
      </c>
      <c r="T55" s="85">
        <v>0.00624</v>
      </c>
      <c r="U55" s="85" t="s">
        <v>161</v>
      </c>
      <c r="V55" s="85">
        <v>0.0062568</v>
      </c>
    </row>
    <row r="56" spans="1:22" ht="12.75">
      <c r="A56" s="77" t="s">
        <v>179</v>
      </c>
      <c r="B56" s="77" t="s">
        <v>98</v>
      </c>
      <c r="D56" s="77" t="s">
        <v>27</v>
      </c>
      <c r="E56" s="75"/>
      <c r="F56" s="75"/>
      <c r="G56" s="75"/>
      <c r="H56" s="75"/>
      <c r="I56" s="75"/>
      <c r="J56" s="75"/>
      <c r="K56" s="75"/>
      <c r="L56" s="85">
        <v>0.30464</v>
      </c>
      <c r="M56" s="85"/>
      <c r="N56" s="85">
        <v>0.160716</v>
      </c>
      <c r="O56" s="85"/>
      <c r="P56" s="85">
        <v>0.09828</v>
      </c>
      <c r="Q56" s="85"/>
      <c r="R56" s="85">
        <v>1.219446</v>
      </c>
      <c r="S56" s="75"/>
      <c r="T56" s="85">
        <v>1.1856</v>
      </c>
      <c r="U56" s="85"/>
      <c r="V56" s="85">
        <v>1.157508</v>
      </c>
    </row>
    <row r="57" spans="1:22" ht="12.75">
      <c r="A57" s="77" t="s">
        <v>179</v>
      </c>
      <c r="B57" s="77" t="s">
        <v>99</v>
      </c>
      <c r="D57" s="77" t="s">
        <v>27</v>
      </c>
      <c r="E57" s="75"/>
      <c r="F57" s="75"/>
      <c r="G57" s="75"/>
      <c r="H57" s="75"/>
      <c r="I57" s="75"/>
      <c r="J57" s="75"/>
      <c r="K57" s="75" t="s">
        <v>161</v>
      </c>
      <c r="L57" s="85">
        <v>0.02176</v>
      </c>
      <c r="M57" s="85" t="s">
        <v>161</v>
      </c>
      <c r="N57" s="85">
        <v>0.021792</v>
      </c>
      <c r="O57" s="85" t="s">
        <v>161</v>
      </c>
      <c r="P57" s="85">
        <v>0.02184</v>
      </c>
      <c r="Q57" s="85"/>
      <c r="R57" s="85">
        <v>0.0131832</v>
      </c>
      <c r="S57" s="75"/>
      <c r="T57" s="85">
        <v>0.01248</v>
      </c>
      <c r="U57" s="85"/>
      <c r="V57" s="85">
        <v>0.0125136</v>
      </c>
    </row>
    <row r="58" spans="1:22" ht="12.75">
      <c r="A58" s="77" t="s">
        <v>179</v>
      </c>
      <c r="B58" s="77" t="s">
        <v>100</v>
      </c>
      <c r="D58" s="77" t="s">
        <v>27</v>
      </c>
      <c r="E58" s="75"/>
      <c r="F58" s="75"/>
      <c r="G58" s="75"/>
      <c r="H58" s="75"/>
      <c r="I58" s="75"/>
      <c r="J58" s="75"/>
      <c r="K58" s="75"/>
      <c r="L58" s="85">
        <v>0.19312</v>
      </c>
      <c r="M58" s="85"/>
      <c r="N58" s="85">
        <v>0.0130752</v>
      </c>
      <c r="O58" s="85"/>
      <c r="P58" s="85">
        <v>0.13104</v>
      </c>
      <c r="Q58" s="85" t="s">
        <v>161</v>
      </c>
      <c r="R58" s="85">
        <v>0.0065916</v>
      </c>
      <c r="S58" s="75" t="s">
        <v>161</v>
      </c>
      <c r="T58" s="85">
        <v>0.00624</v>
      </c>
      <c r="U58" s="85" t="s">
        <v>161</v>
      </c>
      <c r="V58" s="85">
        <v>0.0062568</v>
      </c>
    </row>
    <row r="59" spans="1:22" ht="12.75">
      <c r="A59" s="77" t="s">
        <v>179</v>
      </c>
      <c r="B59" s="77" t="s">
        <v>101</v>
      </c>
      <c r="D59" s="77" t="s">
        <v>27</v>
      </c>
      <c r="E59" s="75"/>
      <c r="F59" s="75"/>
      <c r="G59" s="75"/>
      <c r="H59" s="75"/>
      <c r="I59" s="75"/>
      <c r="J59" s="75"/>
      <c r="K59" s="75"/>
      <c r="L59" s="85">
        <v>0.33728</v>
      </c>
      <c r="M59" s="85"/>
      <c r="N59" s="85">
        <v>0.247884</v>
      </c>
      <c r="O59" s="85"/>
      <c r="P59" s="85">
        <v>0.25116</v>
      </c>
      <c r="Q59" s="85"/>
      <c r="R59" s="85">
        <v>0.2603682</v>
      </c>
      <c r="S59" s="75"/>
      <c r="T59" s="85">
        <v>0.24024</v>
      </c>
      <c r="U59" s="85"/>
      <c r="V59" s="85">
        <v>0.250272</v>
      </c>
    </row>
    <row r="60" spans="1:22" ht="12.75">
      <c r="A60" s="77" t="s">
        <v>179</v>
      </c>
      <c r="B60" s="77" t="s">
        <v>103</v>
      </c>
      <c r="D60" s="77" t="s">
        <v>27</v>
      </c>
      <c r="E60" s="75"/>
      <c r="F60" s="75"/>
      <c r="G60" s="75"/>
      <c r="H60" s="75"/>
      <c r="I60" s="75"/>
      <c r="J60" s="75"/>
      <c r="K60" s="75"/>
      <c r="L60" s="85">
        <v>0.18768</v>
      </c>
      <c r="M60" s="85"/>
      <c r="N60" s="85">
        <v>0.174336</v>
      </c>
      <c r="O60" s="85"/>
      <c r="P60" s="85">
        <v>0.9555</v>
      </c>
      <c r="Q60" s="85"/>
      <c r="R60" s="85">
        <v>0.03032136</v>
      </c>
      <c r="S60" s="75"/>
      <c r="T60" s="85">
        <v>0.02496</v>
      </c>
      <c r="U60" s="85"/>
      <c r="V60" s="85">
        <v>0.0250272</v>
      </c>
    </row>
    <row r="61" spans="1:22" ht="12.75">
      <c r="A61" s="77" t="s">
        <v>179</v>
      </c>
      <c r="B61" s="77" t="s">
        <v>104</v>
      </c>
      <c r="D61" s="77" t="s">
        <v>27</v>
      </c>
      <c r="E61" s="75"/>
      <c r="F61" s="75"/>
      <c r="G61" s="75"/>
      <c r="H61" s="75"/>
      <c r="I61" s="75"/>
      <c r="J61" s="75"/>
      <c r="K61" s="75" t="s">
        <v>161</v>
      </c>
      <c r="L61" s="86">
        <v>0.000272</v>
      </c>
      <c r="M61" s="86" t="s">
        <v>161</v>
      </c>
      <c r="N61" s="86">
        <v>0.0002724</v>
      </c>
      <c r="O61" s="86" t="s">
        <v>161</v>
      </c>
      <c r="P61" s="86">
        <v>0.000273</v>
      </c>
      <c r="Q61" s="86"/>
      <c r="R61" s="86">
        <v>0.000263664</v>
      </c>
      <c r="S61" s="75"/>
      <c r="T61" s="86">
        <v>0.0002496</v>
      </c>
      <c r="U61" s="86"/>
      <c r="V61" s="86">
        <v>0.000250272</v>
      </c>
    </row>
    <row r="62" spans="1:22" ht="12.75">
      <c r="A62" s="77" t="s">
        <v>179</v>
      </c>
      <c r="B62" s="77" t="s">
        <v>107</v>
      </c>
      <c r="D62" s="77" t="s">
        <v>27</v>
      </c>
      <c r="E62" s="75"/>
      <c r="F62" s="75"/>
      <c r="G62" s="75"/>
      <c r="H62" s="75"/>
      <c r="I62" s="75"/>
      <c r="J62" s="75"/>
      <c r="K62" s="75"/>
      <c r="L62" s="85">
        <v>0.04624</v>
      </c>
      <c r="M62" s="85"/>
      <c r="N62" s="85">
        <v>0.043584</v>
      </c>
      <c r="O62" s="85"/>
      <c r="P62" s="85">
        <v>0.04368</v>
      </c>
      <c r="Q62" s="85" t="s">
        <v>161</v>
      </c>
      <c r="R62" s="85">
        <v>0.0263664</v>
      </c>
      <c r="S62" s="75" t="s">
        <v>161</v>
      </c>
      <c r="T62" s="85">
        <v>0.02496</v>
      </c>
      <c r="U62" s="85" t="s">
        <v>161</v>
      </c>
      <c r="V62" s="85">
        <v>0.0250272</v>
      </c>
    </row>
    <row r="63" spans="1:22" ht="12.75">
      <c r="A63" s="77" t="s">
        <v>179</v>
      </c>
      <c r="B63" s="77" t="s">
        <v>108</v>
      </c>
      <c r="D63" s="77" t="s">
        <v>27</v>
      </c>
      <c r="E63" s="75"/>
      <c r="F63" s="75"/>
      <c r="G63" s="75"/>
      <c r="H63" s="75"/>
      <c r="I63" s="75"/>
      <c r="J63" s="75"/>
      <c r="K63" s="75" t="s">
        <v>161</v>
      </c>
      <c r="L63" s="85">
        <v>0.06256</v>
      </c>
      <c r="M63" s="85" t="s">
        <v>161</v>
      </c>
      <c r="N63" s="85">
        <v>0.062652</v>
      </c>
      <c r="O63" s="85" t="s">
        <v>161</v>
      </c>
      <c r="P63" s="85">
        <v>0.06279</v>
      </c>
      <c r="Q63" s="85"/>
      <c r="R63" s="85">
        <v>0.032958</v>
      </c>
      <c r="S63" s="75"/>
      <c r="T63" s="85">
        <v>0.0312</v>
      </c>
      <c r="U63" s="85"/>
      <c r="V63" s="85">
        <v>0.03503808</v>
      </c>
    </row>
    <row r="64" spans="5:22" ht="12.75"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 t="s">
        <v>161</v>
      </c>
      <c r="R64" s="75"/>
      <c r="S64" s="75"/>
      <c r="T64" s="75"/>
      <c r="U64" s="75"/>
      <c r="V64" s="75"/>
    </row>
    <row r="65" spans="2:30" ht="12.75">
      <c r="B65" s="12" t="s">
        <v>181</v>
      </c>
      <c r="C65" s="12"/>
      <c r="F65" s="82" t="s">
        <v>164</v>
      </c>
      <c r="G65" s="82"/>
      <c r="H65" s="82" t="s">
        <v>165</v>
      </c>
      <c r="I65" s="82"/>
      <c r="J65" s="82" t="s">
        <v>166</v>
      </c>
      <c r="K65" s="82"/>
      <c r="L65" s="82" t="s">
        <v>164</v>
      </c>
      <c r="M65" s="82"/>
      <c r="N65" s="82" t="s">
        <v>165</v>
      </c>
      <c r="O65" s="82"/>
      <c r="P65" s="82" t="s">
        <v>166</v>
      </c>
      <c r="Q65" s="82"/>
      <c r="R65" s="82" t="s">
        <v>164</v>
      </c>
      <c r="S65" s="82"/>
      <c r="T65" s="82" t="s">
        <v>165</v>
      </c>
      <c r="U65" s="82"/>
      <c r="V65" s="82" t="s">
        <v>166</v>
      </c>
      <c r="W65" s="82"/>
      <c r="X65" s="82" t="s">
        <v>164</v>
      </c>
      <c r="Y65" s="82"/>
      <c r="Z65" s="82" t="s">
        <v>165</v>
      </c>
      <c r="AA65" s="82"/>
      <c r="AB65" s="82" t="s">
        <v>166</v>
      </c>
      <c r="AC65" s="82"/>
      <c r="AD65" s="82" t="s">
        <v>163</v>
      </c>
    </row>
    <row r="66" spans="2:30" ht="12.75">
      <c r="B66" s="12"/>
      <c r="C66" s="1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</row>
    <row r="67" spans="2:30" ht="12.75">
      <c r="B67" s="8" t="s">
        <v>268</v>
      </c>
      <c r="C67" s="8"/>
      <c r="F67" s="82" t="s">
        <v>271</v>
      </c>
      <c r="G67" s="82"/>
      <c r="H67" s="82" t="s">
        <v>271</v>
      </c>
      <c r="I67" s="82"/>
      <c r="J67" s="82" t="s">
        <v>271</v>
      </c>
      <c r="K67" s="82"/>
      <c r="L67" s="82" t="s">
        <v>273</v>
      </c>
      <c r="M67" s="82"/>
      <c r="N67" s="82" t="s">
        <v>273</v>
      </c>
      <c r="O67" s="82"/>
      <c r="P67" s="82" t="s">
        <v>273</v>
      </c>
      <c r="Q67" s="82"/>
      <c r="R67" s="82" t="s">
        <v>274</v>
      </c>
      <c r="S67" s="82"/>
      <c r="T67" s="82" t="s">
        <v>274</v>
      </c>
      <c r="U67" s="82"/>
      <c r="V67" s="82" t="s">
        <v>274</v>
      </c>
      <c r="W67" s="82"/>
      <c r="X67" s="82" t="s">
        <v>275</v>
      </c>
      <c r="Y67" s="82"/>
      <c r="Z67" s="82" t="s">
        <v>275</v>
      </c>
      <c r="AA67" s="82"/>
      <c r="AB67" s="82" t="s">
        <v>275</v>
      </c>
      <c r="AC67" s="82"/>
      <c r="AD67" s="82" t="s">
        <v>275</v>
      </c>
    </row>
    <row r="68" spans="2:30" ht="12.75">
      <c r="B68" s="8" t="s">
        <v>269</v>
      </c>
      <c r="C68" s="8"/>
      <c r="F68" s="77" t="s">
        <v>32</v>
      </c>
      <c r="H68" s="77" t="s">
        <v>32</v>
      </c>
      <c r="J68" s="77" t="s">
        <v>32</v>
      </c>
      <c r="L68" s="77" t="s">
        <v>270</v>
      </c>
      <c r="N68" s="77" t="s">
        <v>270</v>
      </c>
      <c r="P68" s="77" t="s">
        <v>270</v>
      </c>
      <c r="R68" s="77" t="s">
        <v>272</v>
      </c>
      <c r="T68" s="77" t="s">
        <v>272</v>
      </c>
      <c r="V68" s="77" t="s">
        <v>272</v>
      </c>
      <c r="X68" s="77" t="s">
        <v>60</v>
      </c>
      <c r="Z68" s="77" t="s">
        <v>60</v>
      </c>
      <c r="AB68" s="77" t="s">
        <v>60</v>
      </c>
      <c r="AD68" s="77" t="s">
        <v>60</v>
      </c>
    </row>
    <row r="69" spans="2:30" ht="12.75">
      <c r="B69" s="8" t="s">
        <v>276</v>
      </c>
      <c r="C69" s="8"/>
      <c r="F69" s="77" t="s">
        <v>32</v>
      </c>
      <c r="H69" s="77" t="s">
        <v>32</v>
      </c>
      <c r="J69" s="77" t="s">
        <v>32</v>
      </c>
      <c r="L69" s="82" t="s">
        <v>277</v>
      </c>
      <c r="N69" s="82" t="s">
        <v>277</v>
      </c>
      <c r="P69" s="82" t="s">
        <v>277</v>
      </c>
      <c r="R69" s="82" t="s">
        <v>38</v>
      </c>
      <c r="T69" s="82" t="s">
        <v>38</v>
      </c>
      <c r="V69" s="82" t="s">
        <v>38</v>
      </c>
      <c r="X69" s="77" t="s">
        <v>60</v>
      </c>
      <c r="Z69" s="77" t="s">
        <v>60</v>
      </c>
      <c r="AB69" s="77" t="s">
        <v>60</v>
      </c>
      <c r="AD69" s="77" t="s">
        <v>60</v>
      </c>
    </row>
    <row r="70" spans="2:30" ht="12.75">
      <c r="B70" s="8" t="s">
        <v>20</v>
      </c>
      <c r="C70" s="8"/>
      <c r="F70" s="77" t="s">
        <v>32</v>
      </c>
      <c r="H70" s="77" t="s">
        <v>32</v>
      </c>
      <c r="J70" s="77" t="s">
        <v>32</v>
      </c>
      <c r="L70" s="77" t="s">
        <v>187</v>
      </c>
      <c r="N70" s="77" t="s">
        <v>187</v>
      </c>
      <c r="P70" s="77" t="s">
        <v>187</v>
      </c>
      <c r="R70" s="77" t="s">
        <v>188</v>
      </c>
      <c r="T70" s="77" t="s">
        <v>188</v>
      </c>
      <c r="V70" s="77" t="s">
        <v>188</v>
      </c>
      <c r="X70" s="77" t="s">
        <v>60</v>
      </c>
      <c r="Z70" s="77" t="s">
        <v>60</v>
      </c>
      <c r="AB70" s="77" t="s">
        <v>60</v>
      </c>
      <c r="AD70" s="77" t="s">
        <v>60</v>
      </c>
    </row>
    <row r="71" spans="1:22" ht="12.75">
      <c r="A71" s="77" t="s">
        <v>181</v>
      </c>
      <c r="B71" s="77" t="s">
        <v>59</v>
      </c>
      <c r="D71" s="77" t="s">
        <v>27</v>
      </c>
      <c r="E71" s="75"/>
      <c r="F71" s="80"/>
      <c r="G71" s="80"/>
      <c r="H71" s="80"/>
      <c r="I71" s="80"/>
      <c r="J71" s="80"/>
      <c r="K71" s="75"/>
      <c r="L71" s="75">
        <v>29374</v>
      </c>
      <c r="M71" s="75"/>
      <c r="N71" s="75">
        <v>29274</v>
      </c>
      <c r="O71" s="75"/>
      <c r="P71" s="75">
        <v>29534</v>
      </c>
      <c r="Q71" s="75"/>
      <c r="R71" s="80">
        <f>3591.75330396476</f>
        <v>3591.75330396476</v>
      </c>
      <c r="S71" s="80"/>
      <c r="T71" s="80">
        <v>3555.854625550661</v>
      </c>
      <c r="U71" s="80"/>
      <c r="V71" s="80">
        <v>3671.8810572687225</v>
      </c>
    </row>
    <row r="72" spans="1:22" ht="12.75">
      <c r="A72" s="77" t="s">
        <v>181</v>
      </c>
      <c r="B72" s="77" t="s">
        <v>21</v>
      </c>
      <c r="D72" s="77" t="s">
        <v>22</v>
      </c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</row>
    <row r="73" spans="1:22" ht="12.75">
      <c r="A73" s="77" t="s">
        <v>181</v>
      </c>
      <c r="B73" s="77" t="s">
        <v>23</v>
      </c>
      <c r="D73" s="77" t="s">
        <v>27</v>
      </c>
      <c r="E73" s="75"/>
      <c r="F73" s="75"/>
      <c r="G73" s="75"/>
      <c r="H73" s="75"/>
      <c r="I73" s="75"/>
      <c r="J73" s="75"/>
      <c r="K73" s="75"/>
      <c r="L73" s="85">
        <v>11.75999778</v>
      </c>
      <c r="M73" s="85"/>
      <c r="N73" s="85">
        <v>17.58014178</v>
      </c>
      <c r="O73" s="85"/>
      <c r="P73" s="85">
        <v>11.82415164</v>
      </c>
      <c r="Q73" s="85"/>
      <c r="R73" s="85">
        <v>50.5691148</v>
      </c>
      <c r="S73" s="85"/>
      <c r="T73" s="85">
        <v>54.17121074</v>
      </c>
      <c r="U73" s="85"/>
      <c r="V73" s="85">
        <v>52.65047766</v>
      </c>
    </row>
    <row r="74" spans="1:22" ht="12.75">
      <c r="A74" s="77" t="s">
        <v>181</v>
      </c>
      <c r="B74" s="77" t="s">
        <v>97</v>
      </c>
      <c r="D74" s="77" t="s">
        <v>27</v>
      </c>
      <c r="E74" s="75"/>
      <c r="F74" s="75"/>
      <c r="G74" s="75"/>
      <c r="H74" s="75"/>
      <c r="I74" s="75"/>
      <c r="J74" s="75"/>
      <c r="K74" s="75"/>
      <c r="L74" s="85">
        <v>0.0209437</v>
      </c>
      <c r="M74" s="85"/>
      <c r="N74" s="85">
        <v>0.01697542</v>
      </c>
      <c r="O74" s="85"/>
      <c r="P74" s="85">
        <v>0.0187391</v>
      </c>
      <c r="Q74" s="85"/>
      <c r="R74" s="85">
        <v>0.04828074</v>
      </c>
      <c r="S74" s="85"/>
      <c r="T74" s="85">
        <v>0.03615544</v>
      </c>
      <c r="U74" s="85"/>
      <c r="V74" s="85">
        <v>0.04210786</v>
      </c>
    </row>
    <row r="75" spans="1:22" ht="12.75">
      <c r="A75" s="77" t="s">
        <v>181</v>
      </c>
      <c r="B75" s="77" t="s">
        <v>96</v>
      </c>
      <c r="D75" s="77" t="s">
        <v>27</v>
      </c>
      <c r="E75" s="75"/>
      <c r="F75" s="75"/>
      <c r="G75" s="75"/>
      <c r="H75" s="75"/>
      <c r="I75" s="75"/>
      <c r="J75" s="75"/>
      <c r="K75" s="75"/>
      <c r="L75" s="85">
        <v>0.33818564</v>
      </c>
      <c r="M75" s="85"/>
      <c r="N75" s="85">
        <v>0.36331808</v>
      </c>
      <c r="O75" s="85"/>
      <c r="P75" s="85">
        <v>0.36662498</v>
      </c>
      <c r="Q75" s="85"/>
      <c r="R75" s="85">
        <v>1.00287254</v>
      </c>
      <c r="S75" s="85"/>
      <c r="T75" s="85">
        <v>0.99692012</v>
      </c>
      <c r="U75" s="85"/>
      <c r="V75" s="85">
        <v>1.00243162</v>
      </c>
    </row>
    <row r="76" spans="1:22" ht="12.75">
      <c r="A76" s="77" t="s">
        <v>181</v>
      </c>
      <c r="B76" s="77" t="s">
        <v>98</v>
      </c>
      <c r="D76" s="77" t="s">
        <v>27</v>
      </c>
      <c r="E76" s="75"/>
      <c r="F76" s="75"/>
      <c r="G76" s="75"/>
      <c r="H76" s="75"/>
      <c r="I76" s="75"/>
      <c r="J76" s="75"/>
      <c r="K76" s="75"/>
      <c r="L76" s="85">
        <v>5.40964748</v>
      </c>
      <c r="M76" s="85"/>
      <c r="N76" s="85">
        <v>5.18610104</v>
      </c>
      <c r="O76" s="85"/>
      <c r="P76" s="85">
        <v>4.64090346</v>
      </c>
      <c r="Q76" s="85"/>
      <c r="R76" s="85">
        <v>0.70018096</v>
      </c>
      <c r="S76" s="85"/>
      <c r="T76" s="85">
        <v>0.61045374</v>
      </c>
      <c r="U76" s="85"/>
      <c r="V76" s="85">
        <v>0.6768122</v>
      </c>
    </row>
    <row r="77" spans="1:22" ht="12.75">
      <c r="A77" s="77" t="s">
        <v>181</v>
      </c>
      <c r="B77" s="77" t="s">
        <v>99</v>
      </c>
      <c r="D77" s="77" t="s">
        <v>27</v>
      </c>
      <c r="E77" s="75"/>
      <c r="F77" s="75"/>
      <c r="G77" s="75"/>
      <c r="H77" s="75"/>
      <c r="I77" s="75"/>
      <c r="J77" s="75"/>
      <c r="K77" s="75"/>
      <c r="L77" s="85">
        <v>0.044092</v>
      </c>
      <c r="M77" s="85"/>
      <c r="N77" s="85">
        <v>0.0418874</v>
      </c>
      <c r="O77" s="85"/>
      <c r="P77" s="85">
        <v>0.03836004</v>
      </c>
      <c r="Q77" s="85"/>
      <c r="R77" s="85">
        <v>0.1719588</v>
      </c>
      <c r="S77" s="85"/>
      <c r="T77" s="85">
        <v>0.1664473</v>
      </c>
      <c r="U77" s="85"/>
      <c r="V77" s="85">
        <v>0.15895166</v>
      </c>
    </row>
    <row r="78" spans="1:22" ht="12.75">
      <c r="A78" s="77" t="s">
        <v>181</v>
      </c>
      <c r="B78" s="77" t="s">
        <v>100</v>
      </c>
      <c r="D78" s="77" t="s">
        <v>27</v>
      </c>
      <c r="E78" s="75"/>
      <c r="F78" s="75"/>
      <c r="G78" s="75"/>
      <c r="H78" s="75"/>
      <c r="I78" s="75"/>
      <c r="J78" s="75"/>
      <c r="K78" s="75"/>
      <c r="L78" s="85">
        <v>0</v>
      </c>
      <c r="M78" s="85"/>
      <c r="N78" s="85">
        <v>0</v>
      </c>
      <c r="O78" s="85"/>
      <c r="P78" s="85">
        <v>0</v>
      </c>
      <c r="Q78" s="85"/>
      <c r="R78" s="85">
        <v>2.07210354</v>
      </c>
      <c r="S78" s="85"/>
      <c r="T78" s="85">
        <v>1.32849196</v>
      </c>
      <c r="U78" s="85"/>
      <c r="V78" s="85">
        <v>1.95900756</v>
      </c>
    </row>
    <row r="79" spans="1:22" ht="12.75">
      <c r="A79" s="77" t="s">
        <v>181</v>
      </c>
      <c r="B79" s="77" t="s">
        <v>101</v>
      </c>
      <c r="D79" s="77" t="s">
        <v>27</v>
      </c>
      <c r="E79" s="75"/>
      <c r="F79" s="75"/>
      <c r="G79" s="75"/>
      <c r="H79" s="75"/>
      <c r="I79" s="75"/>
      <c r="J79" s="75"/>
      <c r="K79" s="75"/>
      <c r="L79" s="85">
        <v>1.4759797</v>
      </c>
      <c r="M79" s="85"/>
      <c r="N79" s="85">
        <v>1.40344836</v>
      </c>
      <c r="O79" s="85"/>
      <c r="P79" s="85">
        <v>1.31548482</v>
      </c>
      <c r="Q79" s="85"/>
      <c r="R79" s="85">
        <v>2.40058894</v>
      </c>
      <c r="S79" s="85"/>
      <c r="T79" s="85">
        <v>2.32673484</v>
      </c>
      <c r="U79" s="85"/>
      <c r="V79" s="85">
        <v>2.46275866</v>
      </c>
    </row>
    <row r="80" spans="1:22" ht="12.75">
      <c r="A80" s="77" t="s">
        <v>181</v>
      </c>
      <c r="B80" s="77" t="s">
        <v>103</v>
      </c>
      <c r="D80" s="77" t="s">
        <v>27</v>
      </c>
      <c r="E80" s="75"/>
      <c r="F80" s="75"/>
      <c r="G80" s="75"/>
      <c r="H80" s="75"/>
      <c r="I80" s="75"/>
      <c r="J80" s="75"/>
      <c r="K80" s="75"/>
      <c r="L80" s="85">
        <v>0.47928004</v>
      </c>
      <c r="M80" s="85"/>
      <c r="N80" s="85">
        <v>0.45128162</v>
      </c>
      <c r="O80" s="85"/>
      <c r="P80" s="85">
        <v>0.47597314</v>
      </c>
      <c r="Q80" s="85"/>
      <c r="R80" s="85">
        <v>18.35197224</v>
      </c>
      <c r="S80" s="85"/>
      <c r="T80" s="85">
        <v>18.4833664</v>
      </c>
      <c r="U80" s="85"/>
      <c r="V80" s="85">
        <v>18.39562332</v>
      </c>
    </row>
    <row r="81" spans="1:22" ht="12.75">
      <c r="A81" s="77" t="s">
        <v>181</v>
      </c>
      <c r="B81" s="77" t="s">
        <v>104</v>
      </c>
      <c r="D81" s="77" t="s">
        <v>27</v>
      </c>
      <c r="E81" s="75"/>
      <c r="F81" s="75"/>
      <c r="G81" s="75"/>
      <c r="H81" s="75"/>
      <c r="I81" s="75"/>
      <c r="J81" s="75"/>
      <c r="K81" s="75"/>
      <c r="L81" s="75">
        <v>0</v>
      </c>
      <c r="M81" s="75"/>
      <c r="N81" s="75">
        <v>0</v>
      </c>
      <c r="O81" s="75"/>
      <c r="P81" s="75">
        <v>0</v>
      </c>
      <c r="Q81" s="75"/>
      <c r="R81" s="75">
        <v>0</v>
      </c>
      <c r="S81" s="75"/>
      <c r="T81" s="75">
        <v>0</v>
      </c>
      <c r="U81" s="75"/>
      <c r="V81" s="75">
        <v>0</v>
      </c>
    </row>
    <row r="82" spans="1:22" ht="12.75">
      <c r="A82" s="77" t="s">
        <v>181</v>
      </c>
      <c r="B82" s="77" t="s">
        <v>107</v>
      </c>
      <c r="D82" s="77" t="s">
        <v>27</v>
      </c>
      <c r="E82" s="75"/>
      <c r="F82" s="75"/>
      <c r="G82" s="75"/>
      <c r="H82" s="75"/>
      <c r="I82" s="75"/>
      <c r="J82" s="75"/>
      <c r="K82" s="75"/>
      <c r="L82" s="75">
        <v>0</v>
      </c>
      <c r="M82" s="75"/>
      <c r="N82" s="75">
        <v>0</v>
      </c>
      <c r="O82" s="75"/>
      <c r="P82" s="75">
        <v>0</v>
      </c>
      <c r="Q82" s="75"/>
      <c r="R82" s="75">
        <v>0</v>
      </c>
      <c r="S82" s="75"/>
      <c r="T82" s="75">
        <v>0</v>
      </c>
      <c r="U82" s="75"/>
      <c r="V82" s="75">
        <v>0</v>
      </c>
    </row>
    <row r="83" spans="1:22" ht="12.75">
      <c r="A83" s="77" t="s">
        <v>181</v>
      </c>
      <c r="B83" s="77" t="s">
        <v>108</v>
      </c>
      <c r="D83" s="77" t="s">
        <v>27</v>
      </c>
      <c r="E83" s="75"/>
      <c r="F83" s="75"/>
      <c r="G83" s="75"/>
      <c r="H83" s="75"/>
      <c r="I83" s="75"/>
      <c r="J83" s="75"/>
      <c r="K83" s="75"/>
      <c r="L83" s="75">
        <v>0.01499128</v>
      </c>
      <c r="M83" s="75"/>
      <c r="N83" s="75">
        <v>0</v>
      </c>
      <c r="O83" s="75"/>
      <c r="P83" s="75">
        <v>0</v>
      </c>
      <c r="Q83" s="75"/>
      <c r="R83" s="75">
        <v>0</v>
      </c>
      <c r="S83" s="75"/>
      <c r="T83" s="75">
        <v>0</v>
      </c>
      <c r="U83" s="75"/>
      <c r="V83" s="75">
        <v>0</v>
      </c>
    </row>
    <row r="85" spans="2:22" ht="12.75">
      <c r="B85" s="8" t="s">
        <v>36</v>
      </c>
      <c r="C85" s="8"/>
      <c r="D85" s="8" t="s">
        <v>17</v>
      </c>
      <c r="F85" s="80">
        <f>'emiss 2'!$G$67</f>
        <v>22507.044444444447</v>
      </c>
      <c r="G85" s="80"/>
      <c r="H85" s="80">
        <f>'emiss 2'!$I$67</f>
        <v>22507.044444444447</v>
      </c>
      <c r="I85" s="80"/>
      <c r="J85" s="80">
        <f>'emiss 2'!$K$67</f>
        <v>22507.044444444447</v>
      </c>
      <c r="K85" s="80"/>
      <c r="L85" s="80">
        <f>'emiss 2'!$G$67</f>
        <v>22507.044444444447</v>
      </c>
      <c r="M85" s="80"/>
      <c r="N85" s="80">
        <f>'emiss 2'!$I$67</f>
        <v>22507.044444444447</v>
      </c>
      <c r="O85" s="80"/>
      <c r="P85" s="80">
        <f>'emiss 2'!$K$67</f>
        <v>22507.044444444447</v>
      </c>
      <c r="Q85" s="80"/>
      <c r="R85" s="80">
        <f>'emiss 2'!$G$67</f>
        <v>22507.044444444447</v>
      </c>
      <c r="S85" s="80"/>
      <c r="T85" s="80">
        <f>'emiss 2'!$I$67</f>
        <v>22507.044444444447</v>
      </c>
      <c r="U85" s="80"/>
      <c r="V85" s="80">
        <f>'emiss 2'!$K$67</f>
        <v>22507.044444444447</v>
      </c>
    </row>
    <row r="86" spans="2:22" ht="12.75">
      <c r="B86" s="8" t="s">
        <v>37</v>
      </c>
      <c r="C86" s="8"/>
      <c r="D86" s="8" t="s">
        <v>18</v>
      </c>
      <c r="F86" s="79">
        <f>'emiss 2'!$G$68</f>
        <v>15.146666666666667</v>
      </c>
      <c r="G86" s="79"/>
      <c r="H86" s="79">
        <f>'emiss 2'!$I$68</f>
        <v>15.146666666666667</v>
      </c>
      <c r="I86" s="79"/>
      <c r="J86" s="79">
        <f>'emiss 2'!$K$68</f>
        <v>15.146666666666667</v>
      </c>
      <c r="K86" s="79"/>
      <c r="L86" s="79">
        <f>'emiss 2'!$G$68</f>
        <v>15.146666666666667</v>
      </c>
      <c r="M86" s="79"/>
      <c r="N86" s="79">
        <f>'emiss 2'!$I$68</f>
        <v>15.146666666666667</v>
      </c>
      <c r="O86" s="79"/>
      <c r="P86" s="79">
        <f>'emiss 2'!$K$68</f>
        <v>15.146666666666667</v>
      </c>
      <c r="Q86" s="79"/>
      <c r="R86" s="79">
        <f>'emiss 2'!$G$68</f>
        <v>15.146666666666667</v>
      </c>
      <c r="S86" s="79"/>
      <c r="T86" s="79">
        <f>'emiss 2'!$I$68</f>
        <v>15.146666666666667</v>
      </c>
      <c r="U86" s="79"/>
      <c r="V86" s="79">
        <f>'emiss 2'!$K$68</f>
        <v>15.146666666666667</v>
      </c>
    </row>
    <row r="87" spans="2:4" ht="12.75">
      <c r="B87" s="8"/>
      <c r="C87" s="8"/>
      <c r="D87" s="8"/>
    </row>
    <row r="88" ht="12.75">
      <c r="B88" s="91" t="s">
        <v>45</v>
      </c>
    </row>
    <row r="89" spans="2:30" s="80" customFormat="1" ht="12.75">
      <c r="B89" s="80" t="s">
        <v>23</v>
      </c>
      <c r="D89" s="80" t="s">
        <v>33</v>
      </c>
      <c r="F89" s="80">
        <f>F73*454*1000000/F$85*14/(21-F$86)/0.0283/60</f>
        <v>0</v>
      </c>
      <c r="H89" s="80">
        <f>H73*454*1000000/H$85*14/(21-H$86)/0.0283/60</f>
        <v>0</v>
      </c>
      <c r="J89" s="80">
        <f aca="true" t="shared" si="11" ref="J89:J99">J73*454*1000000/J$85*14/(21-J$86)/0.0283/60</f>
        <v>0</v>
      </c>
      <c r="L89" s="80">
        <f aca="true" t="shared" si="12" ref="L89:L99">L73*454*1000000/L$85*14/(21-L$86)/0.0283/60</f>
        <v>334142.49953196023</v>
      </c>
      <c r="N89" s="80">
        <f aca="true" t="shared" si="13" ref="N89:N99">N73*454*1000000/N$85*14/(21-N$86)/0.0283/60</f>
        <v>499513.063385582</v>
      </c>
      <c r="P89" s="80">
        <f aca="true" t="shared" si="14" ref="P89:P99">P73*454*1000000/P$85*14/(21-P$86)/0.0283/60</f>
        <v>335965.3341562559</v>
      </c>
      <c r="R89" s="80">
        <f aca="true" t="shared" si="15" ref="R89:R99">R73*454*1000000/R$85*14/(21-R$86)/0.0283/60</f>
        <v>1436844.694573628</v>
      </c>
      <c r="T89" s="80">
        <f aca="true" t="shared" si="16" ref="T89:T99">T73*454*1000000/T$85*14/(21-T$86)/0.0283/60</f>
        <v>1539192.787104095</v>
      </c>
      <c r="V89" s="80">
        <f aca="true" t="shared" si="17" ref="V89:V99">V73*454*1000000/V$85*14/(21-V$86)/0.0283/60</f>
        <v>1495983.4632608267</v>
      </c>
      <c r="X89" s="80">
        <f>F89+L89+R89</f>
        <v>1770987.1941055884</v>
      </c>
      <c r="Z89" s="80">
        <f>H89+N89+T89</f>
        <v>2038705.8504896772</v>
      </c>
      <c r="AB89" s="80">
        <f>J89+P89+V89</f>
        <v>1831948.7974170826</v>
      </c>
      <c r="AD89" s="80">
        <f>AVERAGE(X89,Z89,AB89)</f>
        <v>1880547.2806707828</v>
      </c>
    </row>
    <row r="90" spans="2:30" s="80" customFormat="1" ht="12.75">
      <c r="B90" s="80" t="s">
        <v>97</v>
      </c>
      <c r="D90" s="80" t="s">
        <v>33</v>
      </c>
      <c r="F90" s="80">
        <f aca="true" t="shared" si="18" ref="F90:H99">F74*454*1000000/F$85*14/(21-F$86)/0.0283/60</f>
        <v>0</v>
      </c>
      <c r="H90" s="80">
        <f t="shared" si="18"/>
        <v>0</v>
      </c>
      <c r="J90" s="80">
        <f t="shared" si="11"/>
        <v>0</v>
      </c>
      <c r="L90" s="80">
        <f t="shared" si="12"/>
        <v>595.0834684126543</v>
      </c>
      <c r="N90" s="80">
        <f t="shared" si="13"/>
        <v>482.3308112397304</v>
      </c>
      <c r="P90" s="80">
        <f t="shared" si="14"/>
        <v>532.4431033165855</v>
      </c>
      <c r="R90" s="80">
        <f t="shared" si="15"/>
        <v>1371.8239956039085</v>
      </c>
      <c r="T90" s="80">
        <f t="shared" si="16"/>
        <v>1027.3019875755297</v>
      </c>
      <c r="V90" s="80">
        <f t="shared" si="17"/>
        <v>1196.4309733349155</v>
      </c>
      <c r="X90" s="80">
        <f aca="true" t="shared" si="19" ref="X90:AB101">F90+L90+R90</f>
        <v>1966.9074640165627</v>
      </c>
      <c r="Z90" s="80">
        <f t="shared" si="19"/>
        <v>1509.63279881526</v>
      </c>
      <c r="AB90" s="80">
        <f t="shared" si="19"/>
        <v>1728.8740766515011</v>
      </c>
      <c r="AD90" s="80">
        <f aca="true" t="shared" si="20" ref="AD90:AD101">AVERAGE(X90,Z90,AB90)</f>
        <v>1735.1381131611079</v>
      </c>
    </row>
    <row r="91" spans="2:30" s="80" customFormat="1" ht="12.75">
      <c r="B91" s="80" t="s">
        <v>96</v>
      </c>
      <c r="D91" s="80" t="s">
        <v>33</v>
      </c>
      <c r="F91" s="80">
        <f t="shared" si="18"/>
        <v>0</v>
      </c>
      <c r="H91" s="80">
        <f t="shared" si="18"/>
        <v>0</v>
      </c>
      <c r="J91" s="80">
        <f t="shared" si="11"/>
        <v>0</v>
      </c>
      <c r="L91" s="80">
        <f t="shared" si="12"/>
        <v>9609.032005736966</v>
      </c>
      <c r="N91" s="80">
        <f t="shared" si="13"/>
        <v>10323.13216783215</v>
      </c>
      <c r="P91" s="80">
        <f t="shared" si="14"/>
        <v>10417.092715476254</v>
      </c>
      <c r="R91" s="80">
        <f t="shared" si="15"/>
        <v>28495.102082201738</v>
      </c>
      <c r="T91" s="80">
        <f t="shared" si="16"/>
        <v>28325.97309644235</v>
      </c>
      <c r="V91" s="80">
        <f t="shared" si="17"/>
        <v>28482.574009182517</v>
      </c>
      <c r="X91" s="80">
        <f t="shared" si="19"/>
        <v>38104.134087938706</v>
      </c>
      <c r="Z91" s="80">
        <f t="shared" si="19"/>
        <v>38649.1052642745</v>
      </c>
      <c r="AB91" s="80">
        <f t="shared" si="19"/>
        <v>38899.666724658775</v>
      </c>
      <c r="AD91" s="80">
        <f t="shared" si="20"/>
        <v>38550.96869229066</v>
      </c>
    </row>
    <row r="92" spans="2:30" s="80" customFormat="1" ht="12.75">
      <c r="B92" s="80" t="s">
        <v>98</v>
      </c>
      <c r="D92" s="80" t="s">
        <v>33</v>
      </c>
      <c r="F92" s="80">
        <f t="shared" si="18"/>
        <v>0</v>
      </c>
      <c r="H92" s="80">
        <f t="shared" si="18"/>
        <v>0</v>
      </c>
      <c r="J92" s="80">
        <f t="shared" si="11"/>
        <v>0</v>
      </c>
      <c r="L92" s="80">
        <f t="shared" si="12"/>
        <v>153706.9278727338</v>
      </c>
      <c r="N92" s="80">
        <f t="shared" si="13"/>
        <v>147355.19485199245</v>
      </c>
      <c r="P92" s="80">
        <f t="shared" si="14"/>
        <v>131864.2325637346</v>
      </c>
      <c r="R92" s="80">
        <f t="shared" si="15"/>
        <v>19894.57995451147</v>
      </c>
      <c r="T92" s="80">
        <f t="shared" si="16"/>
        <v>17345.117095101472</v>
      </c>
      <c r="V92" s="80">
        <f t="shared" si="17"/>
        <v>19230.592084493146</v>
      </c>
      <c r="X92" s="80">
        <f t="shared" si="19"/>
        <v>173601.50782724528</v>
      </c>
      <c r="Z92" s="80">
        <f t="shared" si="19"/>
        <v>164700.31194709393</v>
      </c>
      <c r="AB92" s="80">
        <f t="shared" si="19"/>
        <v>151094.82464822775</v>
      </c>
      <c r="AD92" s="80">
        <f t="shared" si="20"/>
        <v>163132.21480752234</v>
      </c>
    </row>
    <row r="93" spans="2:30" s="80" customFormat="1" ht="12.75">
      <c r="B93" s="80" t="s">
        <v>99</v>
      </c>
      <c r="D93" s="80" t="s">
        <v>33</v>
      </c>
      <c r="F93" s="80">
        <f t="shared" si="18"/>
        <v>0</v>
      </c>
      <c r="H93" s="80">
        <f t="shared" si="18"/>
        <v>0</v>
      </c>
      <c r="J93" s="80">
        <f t="shared" si="11"/>
        <v>0</v>
      </c>
      <c r="L93" s="80">
        <f t="shared" si="12"/>
        <v>1252.8073019213778</v>
      </c>
      <c r="N93" s="80">
        <f t="shared" si="13"/>
        <v>1190.1669368253085</v>
      </c>
      <c r="P93" s="80">
        <f t="shared" si="14"/>
        <v>1089.9423526715987</v>
      </c>
      <c r="R93" s="80">
        <f t="shared" si="15"/>
        <v>4885.948477493372</v>
      </c>
      <c r="T93" s="80">
        <f t="shared" si="16"/>
        <v>4729.3475647532005</v>
      </c>
      <c r="V93" s="80">
        <f t="shared" si="17"/>
        <v>4516.370323426566</v>
      </c>
      <c r="X93" s="80">
        <f t="shared" si="19"/>
        <v>6138.75577941475</v>
      </c>
      <c r="Z93" s="80">
        <f t="shared" si="19"/>
        <v>5919.514501578509</v>
      </c>
      <c r="AB93" s="80">
        <f t="shared" si="19"/>
        <v>5606.312676098165</v>
      </c>
      <c r="AD93" s="80">
        <f t="shared" si="20"/>
        <v>5888.194319030475</v>
      </c>
    </row>
    <row r="94" spans="2:30" s="80" customFormat="1" ht="12.75">
      <c r="B94" s="80" t="s">
        <v>100</v>
      </c>
      <c r="D94" s="80" t="s">
        <v>33</v>
      </c>
      <c r="F94" s="80">
        <f t="shared" si="18"/>
        <v>0</v>
      </c>
      <c r="H94" s="80">
        <f t="shared" si="18"/>
        <v>0</v>
      </c>
      <c r="J94" s="80">
        <f t="shared" si="11"/>
        <v>0</v>
      </c>
      <c r="L94" s="80">
        <f t="shared" si="12"/>
        <v>0</v>
      </c>
      <c r="N94" s="80">
        <f t="shared" si="13"/>
        <v>0</v>
      </c>
      <c r="P94" s="80">
        <f t="shared" si="14"/>
        <v>0</v>
      </c>
      <c r="R94" s="80">
        <f t="shared" si="15"/>
        <v>58875.67915379514</v>
      </c>
      <c r="T94" s="80">
        <f t="shared" si="16"/>
        <v>37747.084006891106</v>
      </c>
      <c r="V94" s="80">
        <f t="shared" si="17"/>
        <v>55662.228424366804</v>
      </c>
      <c r="X94" s="80">
        <f t="shared" si="19"/>
        <v>58875.67915379514</v>
      </c>
      <c r="Z94" s="80">
        <f t="shared" si="19"/>
        <v>37747.084006891106</v>
      </c>
      <c r="AB94" s="80">
        <f t="shared" si="19"/>
        <v>55662.228424366804</v>
      </c>
      <c r="AD94" s="80">
        <f t="shared" si="20"/>
        <v>50761.66386168435</v>
      </c>
    </row>
    <row r="95" spans="2:30" s="80" customFormat="1" ht="12.75">
      <c r="B95" s="80" t="s">
        <v>101</v>
      </c>
      <c r="D95" s="80" t="s">
        <v>33</v>
      </c>
      <c r="F95" s="80">
        <f t="shared" si="18"/>
        <v>0</v>
      </c>
      <c r="H95" s="80">
        <f t="shared" si="18"/>
        <v>0</v>
      </c>
      <c r="J95" s="80">
        <f t="shared" si="11"/>
        <v>0</v>
      </c>
      <c r="L95" s="80">
        <f t="shared" si="12"/>
        <v>41937.72443181812</v>
      </c>
      <c r="N95" s="80">
        <f t="shared" si="13"/>
        <v>39876.856420157455</v>
      </c>
      <c r="P95" s="80">
        <f t="shared" si="14"/>
        <v>37377.505852824295</v>
      </c>
      <c r="R95" s="80">
        <f t="shared" si="15"/>
        <v>68209.09355310941</v>
      </c>
      <c r="T95" s="80">
        <f t="shared" si="16"/>
        <v>66110.6413223911</v>
      </c>
      <c r="V95" s="80">
        <f t="shared" si="17"/>
        <v>69975.55184881856</v>
      </c>
      <c r="X95" s="80">
        <f t="shared" si="19"/>
        <v>110146.81798492753</v>
      </c>
      <c r="Z95" s="80">
        <f t="shared" si="19"/>
        <v>105987.49774254856</v>
      </c>
      <c r="AB95" s="80">
        <f t="shared" si="19"/>
        <v>107353.05770164286</v>
      </c>
      <c r="AD95" s="80">
        <f t="shared" si="20"/>
        <v>107829.12447637298</v>
      </c>
    </row>
    <row r="96" spans="2:30" s="80" customFormat="1" ht="12.75">
      <c r="B96" s="80" t="s">
        <v>103</v>
      </c>
      <c r="D96" s="80" t="s">
        <v>33</v>
      </c>
      <c r="F96" s="80">
        <f t="shared" si="18"/>
        <v>0</v>
      </c>
      <c r="H96" s="80">
        <f t="shared" si="18"/>
        <v>0</v>
      </c>
      <c r="J96" s="80">
        <f t="shared" si="11"/>
        <v>0</v>
      </c>
      <c r="L96" s="80">
        <f t="shared" si="12"/>
        <v>13618.015371885376</v>
      </c>
      <c r="N96" s="80">
        <f t="shared" si="13"/>
        <v>12822.4827351653</v>
      </c>
      <c r="P96" s="80">
        <f t="shared" si="14"/>
        <v>13524.054824241271</v>
      </c>
      <c r="R96" s="80">
        <f t="shared" si="15"/>
        <v>521443.45520571567</v>
      </c>
      <c r="T96" s="80">
        <f t="shared" si="16"/>
        <v>525176.8209654415</v>
      </c>
      <c r="V96" s="80">
        <f t="shared" si="17"/>
        <v>522683.7344346179</v>
      </c>
      <c r="X96" s="80">
        <f t="shared" si="19"/>
        <v>535061.470577601</v>
      </c>
      <c r="Z96" s="80">
        <f t="shared" si="19"/>
        <v>537999.3037006068</v>
      </c>
      <c r="AB96" s="80">
        <f t="shared" si="19"/>
        <v>536207.7892588592</v>
      </c>
      <c r="AD96" s="80">
        <f t="shared" si="20"/>
        <v>536422.8545123556</v>
      </c>
    </row>
    <row r="97" spans="2:30" s="80" customFormat="1" ht="12.75">
      <c r="B97" s="80" t="s">
        <v>104</v>
      </c>
      <c r="D97" s="80" t="s">
        <v>33</v>
      </c>
      <c r="F97" s="80">
        <f t="shared" si="18"/>
        <v>0</v>
      </c>
      <c r="H97" s="80">
        <f t="shared" si="18"/>
        <v>0</v>
      </c>
      <c r="J97" s="80">
        <f t="shared" si="11"/>
        <v>0</v>
      </c>
      <c r="L97" s="80">
        <f t="shared" si="12"/>
        <v>0</v>
      </c>
      <c r="N97" s="80">
        <f t="shared" si="13"/>
        <v>0</v>
      </c>
      <c r="P97" s="80">
        <f t="shared" si="14"/>
        <v>0</v>
      </c>
      <c r="R97" s="80">
        <f t="shared" si="15"/>
        <v>0</v>
      </c>
      <c r="T97" s="80">
        <f t="shared" si="16"/>
        <v>0</v>
      </c>
      <c r="V97" s="80">
        <f t="shared" si="17"/>
        <v>0</v>
      </c>
      <c r="X97" s="80">
        <f t="shared" si="19"/>
        <v>0</v>
      </c>
      <c r="Z97" s="80">
        <f t="shared" si="19"/>
        <v>0</v>
      </c>
      <c r="AB97" s="80">
        <f t="shared" si="19"/>
        <v>0</v>
      </c>
      <c r="AD97" s="80">
        <f t="shared" si="20"/>
        <v>0</v>
      </c>
    </row>
    <row r="98" spans="2:30" s="80" customFormat="1" ht="12.75">
      <c r="B98" s="80" t="s">
        <v>107</v>
      </c>
      <c r="D98" s="80" t="s">
        <v>33</v>
      </c>
      <c r="F98" s="80">
        <f t="shared" si="18"/>
        <v>0</v>
      </c>
      <c r="H98" s="80">
        <f t="shared" si="18"/>
        <v>0</v>
      </c>
      <c r="J98" s="80">
        <f t="shared" si="11"/>
        <v>0</v>
      </c>
      <c r="L98" s="80">
        <f t="shared" si="12"/>
        <v>0</v>
      </c>
      <c r="N98" s="80">
        <f t="shared" si="13"/>
        <v>0</v>
      </c>
      <c r="P98" s="80">
        <f t="shared" si="14"/>
        <v>0</v>
      </c>
      <c r="R98" s="80">
        <f t="shared" si="15"/>
        <v>0</v>
      </c>
      <c r="T98" s="80">
        <f t="shared" si="16"/>
        <v>0</v>
      </c>
      <c r="V98" s="80">
        <f t="shared" si="17"/>
        <v>0</v>
      </c>
      <c r="X98" s="80">
        <f t="shared" si="19"/>
        <v>0</v>
      </c>
      <c r="Z98" s="80">
        <f t="shared" si="19"/>
        <v>0</v>
      </c>
      <c r="AB98" s="80">
        <f t="shared" si="19"/>
        <v>0</v>
      </c>
      <c r="AD98" s="80">
        <f t="shared" si="20"/>
        <v>0</v>
      </c>
    </row>
    <row r="99" spans="2:30" s="80" customFormat="1" ht="12.75">
      <c r="B99" s="80" t="s">
        <v>108</v>
      </c>
      <c r="D99" s="80" t="s">
        <v>33</v>
      </c>
      <c r="F99" s="80">
        <f t="shared" si="18"/>
        <v>0</v>
      </c>
      <c r="H99" s="80">
        <f t="shared" si="18"/>
        <v>0</v>
      </c>
      <c r="J99" s="80">
        <f t="shared" si="11"/>
        <v>0</v>
      </c>
      <c r="L99" s="80">
        <f t="shared" si="12"/>
        <v>425.95448265326837</v>
      </c>
      <c r="N99" s="80">
        <f t="shared" si="13"/>
        <v>0</v>
      </c>
      <c r="P99" s="80">
        <f t="shared" si="14"/>
        <v>0</v>
      </c>
      <c r="R99" s="80">
        <f t="shared" si="15"/>
        <v>0</v>
      </c>
      <c r="T99" s="80">
        <f t="shared" si="16"/>
        <v>0</v>
      </c>
      <c r="V99" s="80">
        <f t="shared" si="17"/>
        <v>0</v>
      </c>
      <c r="X99" s="80">
        <f t="shared" si="19"/>
        <v>425.95448265326837</v>
      </c>
      <c r="Z99" s="80">
        <f t="shared" si="19"/>
        <v>0</v>
      </c>
      <c r="AB99" s="80">
        <f t="shared" si="19"/>
        <v>0</v>
      </c>
      <c r="AD99" s="80">
        <f t="shared" si="20"/>
        <v>141.98482755108947</v>
      </c>
    </row>
    <row r="100" spans="2:30" s="80" customFormat="1" ht="12.75">
      <c r="B100" s="80" t="s">
        <v>34</v>
      </c>
      <c r="D100" s="80" t="s">
        <v>33</v>
      </c>
      <c r="F100" s="80">
        <f>F96+F94</f>
        <v>0</v>
      </c>
      <c r="H100" s="80">
        <f>H96+H94</f>
        <v>0</v>
      </c>
      <c r="J100" s="80">
        <f>J96+J94</f>
        <v>0</v>
      </c>
      <c r="L100" s="80">
        <f>L96+L94</f>
        <v>13618.015371885376</v>
      </c>
      <c r="N100" s="80">
        <f>N96+N94</f>
        <v>12822.4827351653</v>
      </c>
      <c r="P100" s="80">
        <f>P96+P94</f>
        <v>13524.054824241271</v>
      </c>
      <c r="R100" s="80">
        <f>R96+R94</f>
        <v>580319.1343595108</v>
      </c>
      <c r="T100" s="80">
        <f>T96+T94</f>
        <v>562923.9049723326</v>
      </c>
      <c r="V100" s="80">
        <f>V96+V94</f>
        <v>578345.9628589847</v>
      </c>
      <c r="X100" s="80">
        <f t="shared" si="19"/>
        <v>593937.1497313962</v>
      </c>
      <c r="Z100" s="80">
        <f t="shared" si="19"/>
        <v>575746.3877074979</v>
      </c>
      <c r="AB100" s="80">
        <f t="shared" si="19"/>
        <v>591870.017683226</v>
      </c>
      <c r="AD100" s="80">
        <f t="shared" si="20"/>
        <v>587184.5183740401</v>
      </c>
    </row>
    <row r="101" spans="2:30" s="80" customFormat="1" ht="12.75">
      <c r="B101" s="80" t="s">
        <v>35</v>
      </c>
      <c r="D101" s="80" t="s">
        <v>33</v>
      </c>
      <c r="F101" s="80">
        <f>F91+F93+F95</f>
        <v>0</v>
      </c>
      <c r="H101" s="80">
        <f>H91+H93+H95</f>
        <v>0</v>
      </c>
      <c r="J101" s="80">
        <f>J91+J93+J95</f>
        <v>0</v>
      </c>
      <c r="L101" s="80">
        <f>L91+L93+L95</f>
        <v>52799.56373947646</v>
      </c>
      <c r="N101" s="80">
        <f>N91+N93+N95</f>
        <v>51390.15552481491</v>
      </c>
      <c r="P101" s="80">
        <f>P91+P93+P95</f>
        <v>48884.54092097215</v>
      </c>
      <c r="R101" s="80">
        <f>R91+R93+R95</f>
        <v>101590.14411280453</v>
      </c>
      <c r="T101" s="80">
        <f>T91+T93+T95</f>
        <v>99165.96198358665</v>
      </c>
      <c r="V101" s="80">
        <f>V91+V93+V95</f>
        <v>102974.49618142765</v>
      </c>
      <c r="X101" s="80">
        <f t="shared" si="19"/>
        <v>154389.707852281</v>
      </c>
      <c r="Z101" s="80">
        <f t="shared" si="19"/>
        <v>150556.11750840157</v>
      </c>
      <c r="AB101" s="80">
        <f t="shared" si="19"/>
        <v>151859.0371023998</v>
      </c>
      <c r="AD101" s="80">
        <f t="shared" si="20"/>
        <v>152268.28748769412</v>
      </c>
    </row>
  </sheetData>
  <printOptions headings="1" horizontalCentered="1"/>
  <pageMargins left="0.25" right="0.25" top="0.5" bottom="0.5" header="0.25" footer="0.25"/>
  <pageSetup horizontalDpi="300" verticalDpi="300" orientation="landscape" pageOrder="overThenDown" scale="7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B1">
      <selection activeCell="B3" sqref="B3"/>
    </sheetView>
  </sheetViews>
  <sheetFormatPr defaultColWidth="9.140625" defaultRowHeight="12.75"/>
  <cols>
    <col min="1" max="1" width="3.7109375" style="0" hidden="1" customWidth="1"/>
    <col min="2" max="2" width="32.00390625" style="0" customWidth="1"/>
    <col min="3" max="3" width="6.421875" style="0" customWidth="1"/>
    <col min="4" max="4" width="3.140625" style="0" customWidth="1"/>
    <col min="5" max="5" width="8.8515625" style="0" customWidth="1"/>
    <col min="6" max="6" width="9.421875" style="0" customWidth="1"/>
    <col min="7" max="7" width="8.57421875" style="0" customWidth="1"/>
  </cols>
  <sheetData>
    <row r="1" spans="2:6" ht="12.75">
      <c r="B1" s="2" t="s">
        <v>204</v>
      </c>
      <c r="C1" s="9"/>
      <c r="D1" s="9"/>
      <c r="E1" s="9"/>
      <c r="F1" s="9"/>
    </row>
    <row r="2" spans="2:6" ht="12.75">
      <c r="B2" s="9"/>
      <c r="C2" s="9" t="s">
        <v>12</v>
      </c>
      <c r="D2" s="9"/>
      <c r="E2" s="9"/>
      <c r="F2" s="9"/>
    </row>
    <row r="3" spans="2:8" ht="12.75">
      <c r="B3" s="9"/>
      <c r="C3" s="9"/>
      <c r="D3" s="9"/>
      <c r="E3" s="27" t="s">
        <v>164</v>
      </c>
      <c r="F3" s="27" t="s">
        <v>165</v>
      </c>
      <c r="G3" s="81" t="s">
        <v>166</v>
      </c>
      <c r="H3" s="81" t="s">
        <v>163</v>
      </c>
    </row>
    <row r="4" spans="1:4" ht="12.75">
      <c r="A4" t="s">
        <v>57</v>
      </c>
      <c r="B4" s="2" t="s">
        <v>153</v>
      </c>
      <c r="C4" s="9" t="s">
        <v>56</v>
      </c>
      <c r="D4" s="9"/>
    </row>
    <row r="5" spans="2:6" ht="12.75">
      <c r="B5" s="2"/>
      <c r="D5" s="9"/>
      <c r="E5" s="9"/>
      <c r="F5" s="9"/>
    </row>
    <row r="6" spans="2:8" ht="12.75">
      <c r="B6" s="9" t="s">
        <v>156</v>
      </c>
      <c r="C6" s="9" t="s">
        <v>19</v>
      </c>
      <c r="D6" s="9"/>
      <c r="E6">
        <v>1080</v>
      </c>
      <c r="F6">
        <v>1090</v>
      </c>
      <c r="G6">
        <v>1092</v>
      </c>
      <c r="H6" s="61">
        <f>AVERAGE(E6:G6)</f>
        <v>1087.3333333333333</v>
      </c>
    </row>
    <row r="7" spans="2:8" ht="12.75">
      <c r="B7" s="9" t="s">
        <v>155</v>
      </c>
      <c r="C7" s="9" t="s">
        <v>19</v>
      </c>
      <c r="D7" s="9"/>
      <c r="E7">
        <v>483</v>
      </c>
      <c r="F7">
        <v>493</v>
      </c>
      <c r="G7">
        <v>499</v>
      </c>
      <c r="H7" s="61">
        <f>AVERAGE(E7:G7)</f>
        <v>491.6666666666667</v>
      </c>
    </row>
    <row r="8" spans="2:8" ht="12.75">
      <c r="B8" s="9" t="s">
        <v>120</v>
      </c>
      <c r="C8" s="9" t="s">
        <v>19</v>
      </c>
      <c r="D8" s="9"/>
      <c r="E8">
        <v>443</v>
      </c>
      <c r="F8">
        <v>444</v>
      </c>
      <c r="G8">
        <v>448</v>
      </c>
      <c r="H8" s="61">
        <f>AVERAGE(E8:G8)</f>
        <v>445</v>
      </c>
    </row>
    <row r="9" spans="2:4" ht="12.75">
      <c r="B9" s="9"/>
      <c r="C9" s="9"/>
      <c r="D9" s="9"/>
    </row>
    <row r="10" spans="1:4" ht="12.75">
      <c r="A10" t="s">
        <v>57</v>
      </c>
      <c r="B10" s="2" t="s">
        <v>154</v>
      </c>
      <c r="C10" s="9" t="s">
        <v>141</v>
      </c>
      <c r="D10" s="9"/>
    </row>
    <row r="11" spans="2:4" ht="12.75">
      <c r="B11" s="2"/>
      <c r="C11" s="47"/>
      <c r="D11" s="9"/>
    </row>
    <row r="12" spans="2:8" ht="12.75">
      <c r="B12" s="9" t="s">
        <v>145</v>
      </c>
      <c r="C12" s="9" t="s">
        <v>19</v>
      </c>
      <c r="D12" s="9"/>
      <c r="E12">
        <v>2353</v>
      </c>
      <c r="F12">
        <v>2524</v>
      </c>
      <c r="G12">
        <v>2500</v>
      </c>
      <c r="H12" s="61">
        <f>AVERAGE(E12:G12)</f>
        <v>2459</v>
      </c>
    </row>
    <row r="13" spans="2:8" ht="12.75">
      <c r="B13" s="9" t="s">
        <v>120</v>
      </c>
      <c r="C13" s="9" t="s">
        <v>19</v>
      </c>
      <c r="D13" s="9"/>
      <c r="E13">
        <v>442.6</v>
      </c>
      <c r="F13">
        <v>441.4</v>
      </c>
      <c r="G13">
        <v>441.4</v>
      </c>
      <c r="H13" s="61">
        <f>AVERAGE(E13:G13)</f>
        <v>441.8</v>
      </c>
    </row>
    <row r="14" spans="2:8" ht="12.75">
      <c r="B14" s="9" t="s">
        <v>148</v>
      </c>
      <c r="C14" s="9" t="s">
        <v>112</v>
      </c>
      <c r="D14" s="9"/>
      <c r="E14">
        <v>4.3</v>
      </c>
      <c r="F14">
        <v>3.67</v>
      </c>
      <c r="G14">
        <v>3.69</v>
      </c>
      <c r="H14" s="61">
        <f>AVERAGE(E14:G14)</f>
        <v>3.8866666666666667</v>
      </c>
    </row>
    <row r="15" spans="2:6" ht="12.75">
      <c r="B15" s="9"/>
      <c r="C15" s="9"/>
      <c r="D15" s="9"/>
      <c r="E15" s="9"/>
      <c r="F15" s="9"/>
    </row>
    <row r="16" spans="2:6" ht="12.75">
      <c r="B16" s="9"/>
      <c r="C16" s="9"/>
      <c r="D16" s="9"/>
      <c r="E16" s="9"/>
      <c r="F16" s="9"/>
    </row>
    <row r="17" spans="2:6" ht="12.75">
      <c r="B17" s="2"/>
      <c r="C17" s="47"/>
      <c r="D17" s="9"/>
      <c r="E17" s="9"/>
      <c r="F17" s="9"/>
    </row>
    <row r="18" spans="2:5" ht="12.75">
      <c r="B18" s="9"/>
      <c r="C18" s="9"/>
      <c r="D18" s="9"/>
      <c r="E18" s="9"/>
    </row>
    <row r="19" spans="2:5" ht="12.75">
      <c r="B19" s="9"/>
      <c r="C19" s="9"/>
      <c r="D19" s="9"/>
      <c r="E19" s="9"/>
    </row>
    <row r="20" spans="2:5" ht="12.75">
      <c r="B20" s="9"/>
      <c r="C20" s="9"/>
      <c r="D20" s="9"/>
      <c r="E20" s="9"/>
    </row>
    <row r="21" spans="2:5" ht="12.75">
      <c r="B21" s="9"/>
      <c r="C21" s="9"/>
      <c r="D21" s="9"/>
      <c r="E21" s="9"/>
    </row>
    <row r="22" spans="2:5" ht="14.25">
      <c r="B22" s="9"/>
      <c r="C22" s="9"/>
      <c r="D22" s="3"/>
      <c r="E22" s="9"/>
    </row>
    <row r="23" spans="2:5" ht="14.25">
      <c r="B23" s="9"/>
      <c r="C23" s="9"/>
      <c r="D23" s="3"/>
      <c r="E23" s="9"/>
    </row>
    <row r="25" spans="2:5" ht="12.75">
      <c r="B25" s="2"/>
      <c r="C25" s="9"/>
      <c r="D25" s="9"/>
      <c r="E25" s="9"/>
    </row>
    <row r="26" spans="2:5" ht="12.75">
      <c r="B26" s="2"/>
      <c r="C26" s="47"/>
      <c r="D26" s="9"/>
      <c r="E26" s="9"/>
    </row>
    <row r="27" spans="2:5" ht="12.75">
      <c r="B27" s="9"/>
      <c r="C27" s="9"/>
      <c r="D27" s="9"/>
      <c r="E27" s="9"/>
    </row>
    <row r="28" spans="2:5" ht="12.75">
      <c r="B28" s="9"/>
      <c r="C28" s="9"/>
      <c r="D28" s="9"/>
      <c r="E28" s="9"/>
    </row>
    <row r="29" spans="2:5" ht="12.75">
      <c r="B29" s="9"/>
      <c r="C29" s="9"/>
      <c r="D29" s="9"/>
      <c r="E29" s="9"/>
    </row>
    <row r="30" spans="2:5" ht="12.75">
      <c r="B30" s="9"/>
      <c r="C30" s="9"/>
      <c r="D30" s="9"/>
      <c r="E30" s="9"/>
    </row>
    <row r="31" spans="2:5" ht="14.25">
      <c r="B31" s="9"/>
      <c r="C31" s="9"/>
      <c r="D31" s="3"/>
      <c r="E31" s="9"/>
    </row>
    <row r="34" spans="2:5" ht="12.75">
      <c r="B34" s="2"/>
      <c r="C34" s="9"/>
      <c r="D34" s="9"/>
      <c r="E34" s="9"/>
    </row>
    <row r="35" spans="2:5" ht="12.75">
      <c r="B35" s="2"/>
      <c r="C35" s="47"/>
      <c r="D35" s="9"/>
      <c r="E35" s="9"/>
    </row>
    <row r="36" spans="2:5" ht="12.75">
      <c r="B36" s="9"/>
      <c r="C36" s="9"/>
      <c r="D36" s="9"/>
      <c r="E36" s="9"/>
    </row>
    <row r="37" spans="2:5" ht="12.75">
      <c r="B37" s="9"/>
      <c r="C37" s="9"/>
      <c r="D37" s="9"/>
      <c r="E37" s="9"/>
    </row>
    <row r="38" spans="2:5" ht="12.75">
      <c r="B38" s="9"/>
      <c r="C38" s="9"/>
      <c r="D38" s="9"/>
      <c r="E38" s="9"/>
    </row>
    <row r="39" spans="2:5" ht="12.75">
      <c r="B39" s="9"/>
      <c r="C39" s="9"/>
      <c r="D39" s="9"/>
      <c r="E39" s="9"/>
    </row>
    <row r="40" spans="2:5" ht="14.25">
      <c r="B40" s="9"/>
      <c r="C40" s="9"/>
      <c r="D40" s="3"/>
      <c r="E40" s="9"/>
    </row>
    <row r="43" spans="2:5" ht="12.75">
      <c r="B43" s="2"/>
      <c r="C43" s="9"/>
      <c r="D43" s="9"/>
      <c r="E43" s="9"/>
    </row>
    <row r="44" spans="2:5" ht="12.75">
      <c r="B44" s="2"/>
      <c r="C44" s="47"/>
      <c r="D44" s="9"/>
      <c r="E44" s="9"/>
    </row>
    <row r="45" spans="2:5" ht="12.75">
      <c r="B45" s="9"/>
      <c r="C45" s="9"/>
      <c r="D45" s="9"/>
      <c r="E45" s="9"/>
    </row>
    <row r="46" spans="2:5" ht="12.75">
      <c r="B46" s="9"/>
      <c r="C46" s="9"/>
      <c r="D46" s="9"/>
      <c r="E46" s="9"/>
    </row>
    <row r="47" spans="2:5" ht="12.75">
      <c r="B47" s="9"/>
      <c r="C47" s="9"/>
      <c r="D47" s="9"/>
      <c r="E47" s="9"/>
    </row>
    <row r="48" spans="2:5" ht="12.75">
      <c r="B48" s="9"/>
      <c r="C48" s="9"/>
      <c r="D48" s="9"/>
      <c r="E48" s="9"/>
    </row>
    <row r="49" spans="2:5" ht="14.25">
      <c r="B49" s="9"/>
      <c r="C49" s="9"/>
      <c r="D49" s="3"/>
      <c r="E49" s="9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19"/>
  <sheetViews>
    <sheetView workbookViewId="0" topLeftCell="C1">
      <selection activeCell="H12" sqref="H12"/>
    </sheetView>
  </sheetViews>
  <sheetFormatPr defaultColWidth="9.140625" defaultRowHeight="12.75"/>
  <cols>
    <col min="1" max="1" width="5.57421875" style="0" hidden="1" customWidth="1"/>
    <col min="2" max="2" width="11.421875" style="0" hidden="1" customWidth="1"/>
    <col min="3" max="3" width="25.00390625" style="0" customWidth="1"/>
    <col min="4" max="4" width="8.140625" style="0" customWidth="1"/>
    <col min="7" max="7" width="9.421875" style="0" customWidth="1"/>
  </cols>
  <sheetData>
    <row r="1" ht="12.75">
      <c r="C1" s="2" t="s">
        <v>205</v>
      </c>
    </row>
    <row r="2" spans="5:7" ht="12.75">
      <c r="E2" s="81">
        <v>1</v>
      </c>
      <c r="F2" s="81">
        <v>2</v>
      </c>
      <c r="G2" s="81">
        <v>3</v>
      </c>
    </row>
    <row r="3" ht="12.75">
      <c r="C3" s="12" t="s">
        <v>173</v>
      </c>
    </row>
    <row r="5" spans="1:31" s="77" customFormat="1" ht="12.75">
      <c r="A5" s="77" t="s">
        <v>173</v>
      </c>
      <c r="B5" s="77" t="s">
        <v>195</v>
      </c>
      <c r="C5" s="77" t="s">
        <v>196</v>
      </c>
      <c r="D5" s="77" t="s">
        <v>197</v>
      </c>
      <c r="E5" s="75">
        <v>2318</v>
      </c>
      <c r="F5" s="75">
        <v>2259</v>
      </c>
      <c r="G5" s="75">
        <v>2217</v>
      </c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</row>
    <row r="6" spans="1:22" s="77" customFormat="1" ht="12.75">
      <c r="A6" s="77" t="s">
        <v>173</v>
      </c>
      <c r="B6" s="77" t="s">
        <v>195</v>
      </c>
      <c r="C6" s="77" t="s">
        <v>199</v>
      </c>
      <c r="D6" s="77" t="s">
        <v>197</v>
      </c>
      <c r="E6" s="75">
        <v>443</v>
      </c>
      <c r="F6" s="75">
        <v>440</v>
      </c>
      <c r="G6" s="75">
        <v>429</v>
      </c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</row>
    <row r="7" spans="1:23" s="77" customFormat="1" ht="12.75">
      <c r="A7" s="77" t="s">
        <v>173</v>
      </c>
      <c r="B7" s="77" t="s">
        <v>195</v>
      </c>
      <c r="C7" s="77" t="s">
        <v>200</v>
      </c>
      <c r="D7" s="77" t="s">
        <v>198</v>
      </c>
      <c r="E7" s="75">
        <v>5.3</v>
      </c>
      <c r="F7" s="75">
        <v>4</v>
      </c>
      <c r="G7" s="75">
        <v>3</v>
      </c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</row>
    <row r="8" spans="5:23" s="77" customFormat="1" ht="12.75"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</row>
    <row r="9" spans="3:23" s="77" customFormat="1" ht="12.75">
      <c r="C9" s="12" t="s">
        <v>179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</row>
    <row r="10" spans="5:23" s="77" customFormat="1" ht="12.75"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</row>
    <row r="11" spans="1:31" s="77" customFormat="1" ht="12.75">
      <c r="A11" s="77" t="s">
        <v>179</v>
      </c>
      <c r="B11" s="77" t="s">
        <v>195</v>
      </c>
      <c r="C11" s="77" t="s">
        <v>196</v>
      </c>
      <c r="D11" s="77" t="s">
        <v>197</v>
      </c>
      <c r="E11" s="75">
        <v>2118.6</v>
      </c>
      <c r="F11" s="75">
        <v>2127.1</v>
      </c>
      <c r="G11" s="75">
        <v>2092.4</v>
      </c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</row>
    <row r="12" spans="1:22" s="77" customFormat="1" ht="12.75">
      <c r="A12" s="77" t="s">
        <v>179</v>
      </c>
      <c r="B12" s="77" t="s">
        <v>195</v>
      </c>
      <c r="C12" s="77" t="s">
        <v>199</v>
      </c>
      <c r="D12" s="77" t="s">
        <v>197</v>
      </c>
      <c r="E12" s="75">
        <v>415.4</v>
      </c>
      <c r="F12" s="75">
        <v>422.9</v>
      </c>
      <c r="G12" s="75">
        <v>422.1</v>
      </c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</row>
    <row r="13" spans="1:23" s="77" customFormat="1" ht="12.75">
      <c r="A13" s="77" t="s">
        <v>179</v>
      </c>
      <c r="B13" s="77" t="s">
        <v>195</v>
      </c>
      <c r="C13" s="77" t="s">
        <v>200</v>
      </c>
      <c r="D13" s="77" t="s">
        <v>198</v>
      </c>
      <c r="E13" s="75">
        <v>6.05</v>
      </c>
      <c r="F13" s="75">
        <v>7.04</v>
      </c>
      <c r="G13" s="75">
        <v>4.74</v>
      </c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</row>
    <row r="15" ht="12.75">
      <c r="C15" s="12" t="s">
        <v>181</v>
      </c>
    </row>
    <row r="17" spans="1:31" s="77" customFormat="1" ht="12.75">
      <c r="A17" s="77" t="s">
        <v>181</v>
      </c>
      <c r="B17" s="77" t="s">
        <v>195</v>
      </c>
      <c r="C17" s="77" t="s">
        <v>196</v>
      </c>
      <c r="D17" s="77" t="s">
        <v>197</v>
      </c>
      <c r="E17" s="75">
        <v>2297</v>
      </c>
      <c r="F17" s="75">
        <v>2352</v>
      </c>
      <c r="G17" s="75">
        <v>2361</v>
      </c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</row>
    <row r="18" spans="1:22" s="77" customFormat="1" ht="12.75">
      <c r="A18" s="77" t="s">
        <v>181</v>
      </c>
      <c r="B18" s="77" t="s">
        <v>195</v>
      </c>
      <c r="C18" s="77" t="s">
        <v>199</v>
      </c>
      <c r="D18" s="77" t="s">
        <v>197</v>
      </c>
      <c r="E18" s="75">
        <v>426.2</v>
      </c>
      <c r="F18" s="75">
        <v>427.3</v>
      </c>
      <c r="G18" s="75">
        <v>423.3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</row>
    <row r="19" spans="1:23" s="77" customFormat="1" ht="12.75">
      <c r="A19" s="77" t="s">
        <v>181</v>
      </c>
      <c r="B19" s="77" t="s">
        <v>195</v>
      </c>
      <c r="C19" s="77" t="s">
        <v>200</v>
      </c>
      <c r="D19" s="77" t="s">
        <v>198</v>
      </c>
      <c r="E19" s="75">
        <v>4.55</v>
      </c>
      <c r="F19" s="75">
        <v>3.95</v>
      </c>
      <c r="G19" s="75">
        <v>3.74</v>
      </c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2004-02-25T00:11:31Z</cp:lastPrinted>
  <dcterms:created xsi:type="dcterms:W3CDTF">2000-01-10T00:44:42Z</dcterms:created>
  <dcterms:modified xsi:type="dcterms:W3CDTF">2004-02-25T00:12:12Z</dcterms:modified>
  <cp:category/>
  <cp:version/>
  <cp:contentType/>
  <cp:contentStatus/>
</cp:coreProperties>
</file>