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780" activeTab="1"/>
  </bookViews>
  <sheets>
    <sheet name="list" sheetId="1" r:id="rId1"/>
    <sheet name="source" sheetId="2" r:id="rId2"/>
    <sheet name="cond" sheetId="3" r:id="rId3"/>
    <sheet name="emiss 1" sheetId="4" r:id="rId4"/>
    <sheet name="emiss 2" sheetId="5" r:id="rId5"/>
    <sheet name="feed 1" sheetId="6" r:id="rId6"/>
    <sheet name="feed 2" sheetId="7" r:id="rId7"/>
    <sheet name="process 1" sheetId="8" r:id="rId8"/>
    <sheet name="process 2" sheetId="9" r:id="rId9"/>
    <sheet name="df c10" sheetId="10" r:id="rId10"/>
  </sheets>
  <definedNames>
    <definedName name="_xlnm.Print_Titles" localSheetId="5">'feed 1'!$B:$B</definedName>
    <definedName name="_xlnm.Print_Titles" localSheetId="6">'feed 2'!$B:$B</definedName>
  </definedNames>
  <calcPr fullCalcOnLoad="1"/>
</workbook>
</file>

<file path=xl/sharedStrings.xml><?xml version="1.0" encoding="utf-8"?>
<sst xmlns="http://schemas.openxmlformats.org/spreadsheetml/2006/main" count="1225" uniqueCount="246">
  <si>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</si>
  <si>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</si>
  <si>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</si>
  <si>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</si>
  <si>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</si>
  <si>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</si>
  <si>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</si>
  <si>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</si>
  <si>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</si>
  <si>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</si>
  <si>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</si>
  <si>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</si>
  <si>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</si>
  <si>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</si>
  <si>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</si>
  <si>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</si>
  <si>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</si>
  <si>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</si>
  <si>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</si>
  <si>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</si>
  <si>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Feedstream Description</t>
  </si>
  <si>
    <t>Heating Value</t>
  </si>
  <si>
    <t>Btu/lb</t>
  </si>
  <si>
    <t>Chlorine</t>
  </si>
  <si>
    <t>HCl</t>
  </si>
  <si>
    <t>Cl2</t>
  </si>
  <si>
    <t>DRE</t>
  </si>
  <si>
    <t>lb/hr</t>
  </si>
  <si>
    <t>Run 1</t>
  </si>
  <si>
    <t>Run 2</t>
  </si>
  <si>
    <t>Run 3</t>
  </si>
  <si>
    <t>MMBtu/hr</t>
  </si>
  <si>
    <t>Spike</t>
  </si>
  <si>
    <t>ug/dscm</t>
  </si>
  <si>
    <t>SVM</t>
  </si>
  <si>
    <t>LVM</t>
  </si>
  <si>
    <t>Stack Gas Flowrate</t>
  </si>
  <si>
    <t>Oxygen</t>
  </si>
  <si>
    <t>HW</t>
  </si>
  <si>
    <t>Combustor Characteristics</t>
  </si>
  <si>
    <t>Supplemental Fuel</t>
  </si>
  <si>
    <t>Capacity (MMBtu/hr)</t>
  </si>
  <si>
    <t xml:space="preserve">    Gas Velocity (ft/sec)</t>
  </si>
  <si>
    <t xml:space="preserve">    Gas Temperature (°F)</t>
  </si>
  <si>
    <t>Feedrate MTEC Calculations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</si>
  <si>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</si>
  <si>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</si>
  <si>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</si>
  <si>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</si>
  <si>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</si>
  <si>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PM, HCl/Cl2</t>
  </si>
  <si>
    <t xml:space="preserve">   O2</t>
  </si>
  <si>
    <t xml:space="preserve">   Moisture</t>
  </si>
  <si>
    <t>Total Chlorine</t>
  </si>
  <si>
    <t>Sampling Train</t>
  </si>
  <si>
    <t>Trial burn</t>
  </si>
  <si>
    <t>*</t>
  </si>
  <si>
    <t>HWC Burn Status (Date if Terminated)</t>
  </si>
  <si>
    <t>Feed Rate</t>
  </si>
  <si>
    <t>Total</t>
  </si>
  <si>
    <t>Hazardous Wastes</t>
  </si>
  <si>
    <t>PCDD/PCDF</t>
  </si>
  <si>
    <t>Facility Name and ID:</t>
  </si>
  <si>
    <t>Condition ID:</t>
  </si>
  <si>
    <t>Condition/Test Date:</t>
  </si>
  <si>
    <t>I-TEF</t>
  </si>
  <si>
    <t>Wght Fact</t>
  </si>
  <si>
    <t xml:space="preserve"> TEQ</t>
  </si>
  <si>
    <t>TEQ</t>
  </si>
  <si>
    <t>1/2 ND</t>
  </si>
  <si>
    <t>2,3,7,8-TCDD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</si>
  <si>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</si>
  <si>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</si>
  <si>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</si>
  <si>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</si>
  <si>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</si>
  <si>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</si>
  <si>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</si>
  <si>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</si>
  <si>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</si>
  <si>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</si>
  <si>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</si>
  <si>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</si>
  <si>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</si>
  <si>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</si>
  <si>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</si>
  <si>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</si>
  <si>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 xml:space="preserve"> </t>
  </si>
  <si>
    <t>Gas sample volume (dscf)</t>
  </si>
  <si>
    <t>O2 (%)</t>
  </si>
  <si>
    <t>PCDD/PCDF (ng in sample)</t>
  </si>
  <si>
    <t>PCDD/PCDF (ng/dscm @ 7% O2)</t>
  </si>
  <si>
    <t>TEQ Cond Avg</t>
  </si>
  <si>
    <t>Total Cond Avg</t>
  </si>
  <si>
    <t>Detected in sample volume (ng)</t>
  </si>
  <si>
    <t>Arsenic</t>
  </si>
  <si>
    <t>Antimony</t>
  </si>
  <si>
    <t>Barium</t>
  </si>
  <si>
    <t>Beryllium</t>
  </si>
  <si>
    <t>Cadmium</t>
  </si>
  <si>
    <t>Chromium</t>
  </si>
  <si>
    <t>Copper</t>
  </si>
  <si>
    <t>Lead</t>
  </si>
  <si>
    <t>Mercury</t>
  </si>
  <si>
    <t>Nickel</t>
  </si>
  <si>
    <t>Selenium</t>
  </si>
  <si>
    <t>Silver</t>
  </si>
  <si>
    <t>Thallium</t>
  </si>
  <si>
    <t>Zinc</t>
  </si>
  <si>
    <t>Trial Burn</t>
  </si>
  <si>
    <t>Metals</t>
  </si>
  <si>
    <t>Density</t>
  </si>
  <si>
    <t>g/cc</t>
  </si>
  <si>
    <t>in. w.c.</t>
  </si>
  <si>
    <t>Virginia</t>
  </si>
  <si>
    <t>Solite Corp</t>
  </si>
  <si>
    <t>Solite/Entropy/Blue Ridge</t>
  </si>
  <si>
    <t>Entropy</t>
  </si>
  <si>
    <t>Cobalt</t>
  </si>
  <si>
    <t>LBM</t>
  </si>
  <si>
    <t>g/hr</t>
  </si>
  <si>
    <t>The raw material was excavated from the Virginia Solite quarry</t>
  </si>
  <si>
    <t>Max baghouse inlet temperature</t>
  </si>
  <si>
    <t>Trial Burn, organics DRE, HCl/Cl2 emissions limits</t>
  </si>
  <si>
    <t>POHC DRE</t>
  </si>
  <si>
    <t>POHC Feedrate</t>
  </si>
  <si>
    <t>Emission Rate</t>
  </si>
  <si>
    <t>Perchloroethylene</t>
  </si>
  <si>
    <t>1,2,4 Trichlorobenzene</t>
  </si>
  <si>
    <t>VAD042755082</t>
  </si>
  <si>
    <t>Arvonia</t>
  </si>
  <si>
    <t>WQ/FF</t>
  </si>
  <si>
    <t>HC (RA)</t>
  </si>
  <si>
    <t>Trial Burn Report, Solite Corporation, A. F. Old Facility, Arvonia, Virginia, March 2000; Entropy Stationary Sampling Report, Reference No. 1702, Solite Corp Arvonia, VA, November and December 1999</t>
  </si>
  <si>
    <t>Other TCDD</t>
  </si>
  <si>
    <t>Other PCDD</t>
  </si>
  <si>
    <t>Other HxCDD</t>
  </si>
  <si>
    <t>Other HpCDD</t>
  </si>
  <si>
    <t>Other TCDF</t>
  </si>
  <si>
    <t>Other PCDF</t>
  </si>
  <si>
    <t>Other HxCDF</t>
  </si>
  <si>
    <t>Other HpCDF</t>
  </si>
  <si>
    <t>Tier III for As, Be, Cd, Cr, Pb; Tier I for Hg, Sb, Ba, Ag, Tl</t>
  </si>
  <si>
    <t>CoC</t>
  </si>
  <si>
    <t>Raw Matl</t>
  </si>
  <si>
    <t>CO (RA)</t>
  </si>
  <si>
    <t>CO (MHRA)</t>
  </si>
  <si>
    <t>Max comb zone temperature</t>
  </si>
  <si>
    <t>HC/CO, PM, HCl/Cl2, POHC DRE, PCCD/F</t>
  </si>
  <si>
    <t>Metals, HCl/Cl2, PM, HC/CO</t>
  </si>
  <si>
    <t>313C10</t>
  </si>
  <si>
    <t>313C11</t>
  </si>
  <si>
    <t>Min baghouse pressure drop</t>
  </si>
  <si>
    <t>Kiln # 7</t>
  </si>
  <si>
    <t>Solite, Arvonia</t>
  </si>
  <si>
    <t>Trial burn, 12/99</t>
  </si>
  <si>
    <t>HC (MHRA)</t>
  </si>
  <si>
    <t>Kiln exit temperature</t>
  </si>
  <si>
    <t>Min mid kiln temperature</t>
  </si>
  <si>
    <t xml:space="preserve">Recertification of Compliance for Kilns 7 and 8, Solite Corp, Arvonia, VA, July 27, 1999; Entropy Stationary Sampling Report, Reference No. 17091, Solite Corp Arvonia, VA, May 1999; </t>
  </si>
  <si>
    <t>CoC, metals and chlorine SRE testing</t>
  </si>
  <si>
    <t>May 4-5, 1999</t>
  </si>
  <si>
    <t>CoC, PM and chlorine retest</t>
  </si>
  <si>
    <t>HCl/Cl2, PM</t>
  </si>
  <si>
    <t>Manganese</t>
  </si>
  <si>
    <t>nd</t>
  </si>
  <si>
    <t>313C12</t>
  </si>
  <si>
    <t>CoC, PM, chlorine retest</t>
  </si>
  <si>
    <t>Cobolt</t>
  </si>
  <si>
    <t>Cond Avg</t>
  </si>
  <si>
    <t>R1</t>
  </si>
  <si>
    <t>R2</t>
  </si>
  <si>
    <t>R3</t>
  </si>
  <si>
    <t>313C1</t>
  </si>
  <si>
    <t>Report Name/Date</t>
  </si>
  <si>
    <t>Report Prepare</t>
  </si>
  <si>
    <t>Testing Firm</t>
  </si>
  <si>
    <t>Cond Descr</t>
  </si>
  <si>
    <t>MAX HW FEED,MAX RAW MATERIAL</t>
  </si>
  <si>
    <t/>
  </si>
  <si>
    <t>Chromium (Hex)</t>
  </si>
  <si>
    <t>Cr Hex</t>
  </si>
  <si>
    <t>Halogens</t>
  </si>
  <si>
    <t>Liq waste</t>
  </si>
  <si>
    <t>Heating value</t>
  </si>
  <si>
    <t>Report Preparation</t>
  </si>
  <si>
    <t>Testing Dates</t>
  </si>
  <si>
    <t>Condition Descr</t>
  </si>
  <si>
    <t>Content</t>
  </si>
  <si>
    <t>Condition Description</t>
  </si>
  <si>
    <t>Combustor Type</t>
  </si>
  <si>
    <t>Combustor Class</t>
  </si>
  <si>
    <t>Stack Gas Emissions 1</t>
  </si>
  <si>
    <t>Stack Gas Emissions 2</t>
  </si>
  <si>
    <t>Feedstream 1</t>
  </si>
  <si>
    <t>Feedstream 2</t>
  </si>
  <si>
    <t>Water quench lance, Fabric filter, 29,000 ft2 bag area, A/C = 2, fiberglass bag material</t>
  </si>
  <si>
    <t>31310</t>
  </si>
  <si>
    <t>Combustion Temperature</t>
  </si>
  <si>
    <t>F</t>
  </si>
  <si>
    <t>in H2O</t>
  </si>
  <si>
    <t>FF Temperature</t>
  </si>
  <si>
    <t>FF Pressure Drop</t>
  </si>
  <si>
    <t>Phase I ID No.</t>
  </si>
  <si>
    <t>Process Information 2</t>
  </si>
  <si>
    <t>Process Information 1</t>
  </si>
  <si>
    <t>Emmision Test Results for No. 7 and No. 8 Aggregate Kilns, Solite Corporation, Arvonia, Virginia, Prepared by IEA, Project # 1381-003, August 8, 1992; COC Forms attached, August 21, 1992</t>
  </si>
  <si>
    <t>IEA</t>
  </si>
  <si>
    <t>E1</t>
  </si>
  <si>
    <t>E2</t>
  </si>
  <si>
    <t>E3</t>
  </si>
  <si>
    <t>Cond Dates</t>
  </si>
  <si>
    <t>December 1-2, 1999</t>
  </si>
  <si>
    <t>Number of Sister Facilities</t>
  </si>
  <si>
    <t>APCS Detailed Acronym</t>
  </si>
  <si>
    <t>APCS General Class</t>
  </si>
  <si>
    <t>WQ, FF</t>
  </si>
  <si>
    <t>Liq</t>
  </si>
  <si>
    <t>source</t>
  </si>
  <si>
    <t>cond</t>
  </si>
  <si>
    <t>emiss 1</t>
  </si>
  <si>
    <t>emiss 2</t>
  </si>
  <si>
    <t>feed 1</t>
  </si>
  <si>
    <t>feed 2</t>
  </si>
  <si>
    <t>process 1</t>
  </si>
  <si>
    <t>process 2</t>
  </si>
  <si>
    <t>df c10</t>
  </si>
  <si>
    <t>Lightweight Aggregate Kiln (LWAK)</t>
  </si>
  <si>
    <t>Feedstream Number</t>
  </si>
  <si>
    <t>F1</t>
  </si>
  <si>
    <t>F2</t>
  </si>
  <si>
    <t>F3</t>
  </si>
  <si>
    <t>F4</t>
  </si>
  <si>
    <t>Feed Class</t>
  </si>
  <si>
    <t>Raw Material</t>
  </si>
  <si>
    <t>Liq HW</t>
  </si>
  <si>
    <t>Raw material shale</t>
  </si>
  <si>
    <t>Feed rate</t>
  </si>
  <si>
    <t>Feed Class 2</t>
  </si>
  <si>
    <t>RM</t>
  </si>
  <si>
    <t>Estimated Firing Rate</t>
  </si>
  <si>
    <t>Full ND</t>
  </si>
  <si>
    <t>N</t>
  </si>
  <si>
    <t xml:space="preserve"> Kiln No. 7</t>
  </si>
  <si>
    <t>Thermal Feedrate</t>
  </si>
  <si>
    <t>lb/min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</si>
</sst>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000E+00"/>
    <numFmt numFmtId="178" formatCode="0.000E+00"/>
    <numFmt numFmtId="179" formatCode="0.00000E+00"/>
    <numFmt numFmtId="180" formatCode="0.000000E+00"/>
    <numFmt numFmtId="181" formatCode="0.0000000E+00"/>
    <numFmt numFmtId="182" formatCode="0.00000000E+00"/>
    <numFmt numFmtId="183" formatCode="0.E+00"/>
    <numFmt numFmtId="184" formatCode="0.0.E+00"/>
    <numFmt numFmtId="185" formatCode="0.00.E+00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_(* #,##0.0_);_(* \(#,##0.0\);_(* &quot;-&quot;_);_(@_)"/>
    <numFmt numFmtId="190" formatCode="_(* #,##0.00_);_(* \(#,##0.00\);_(* &quot;-&quot;_);_(@_)"/>
    <numFmt numFmtId="191" formatCode="0.0E+00"/>
    <numFmt numFmtId="192" formatCode="0E+00"/>
    <numFmt numFmtId="193" formatCode="dd\-mmm\-yy"/>
    <numFmt numFmtId="194" formatCode="0.00000%"/>
    <numFmt numFmtId="195" formatCode="0.000%"/>
    <numFmt numFmtId="196" formatCode="0.0000%"/>
    <numFmt numFmtId="197" formatCode="0.000000%"/>
    <numFmt numFmtId="198" formatCode="0.0000000%"/>
    <numFmt numFmtId="199" formatCode="0.00000000%"/>
    <numFmt numFmtId="200" formatCode="0.000000000%"/>
    <numFmt numFmtId="201" formatCode="0.0000000000%"/>
    <numFmt numFmtId="202" formatCode="0.00000000000%"/>
    <numFmt numFmtId="203" formatCode="mm/dd/yy"/>
  </numFmts>
  <fonts count="10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166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1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" fontId="6" fillId="0" borderId="0" xfId="0" applyNumberFormat="1" applyFont="1" applyFill="1" applyBorder="1" applyAlignment="1">
      <alignment horizontal="right"/>
    </xf>
    <xf numFmtId="167" fontId="0" fillId="0" borderId="0" xfId="0" applyNumberFormat="1" applyFont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Border="1" applyAlignment="1">
      <alignment wrapText="1"/>
    </xf>
    <xf numFmtId="165" fontId="0" fillId="0" borderId="0" xfId="0" applyNumberFormat="1" applyFont="1" applyFill="1" applyAlignment="1">
      <alignment horizontal="left"/>
    </xf>
    <xf numFmtId="167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11" fontId="6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11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1" fontId="0" fillId="0" borderId="0" xfId="15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171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 wrapText="1"/>
    </xf>
    <xf numFmtId="17" fontId="0" fillId="0" borderId="0" xfId="0" applyNumberFormat="1" applyFont="1" applyAlignment="1">
      <alignment horizontal="left"/>
    </xf>
    <xf numFmtId="17" fontId="0" fillId="0" borderId="0" xfId="0" applyNumberFormat="1" applyAlignment="1">
      <alignment horizontal="left"/>
    </xf>
    <xf numFmtId="0" fontId="5" fillId="0" borderId="0" xfId="0" applyFont="1" applyBorder="1" applyAlignment="1">
      <alignment horizontal="left"/>
    </xf>
    <xf numFmtId="37" fontId="0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71" fontId="0" fillId="0" borderId="0" xfId="0" applyNumberFormat="1" applyFont="1" applyFill="1" applyBorder="1" applyAlignment="1">
      <alignment horizontal="right"/>
    </xf>
    <xf numFmtId="1" fontId="0" fillId="0" borderId="0" xfId="15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0" sqref="A10"/>
    </sheetView>
  </sheetViews>
  <sheetFormatPr defaultColWidth="9.140625" defaultRowHeight="12.75"/>
  <sheetData>
    <row r="1" ht="12.75">
      <c r="A1" t="s">
        <v>218</v>
      </c>
    </row>
    <row r="2" ht="12.75">
      <c r="A2" t="s">
        <v>219</v>
      </c>
    </row>
    <row r="3" ht="12.75">
      <c r="A3" t="s">
        <v>220</v>
      </c>
    </row>
    <row r="4" ht="12.75">
      <c r="A4" t="s">
        <v>221</v>
      </c>
    </row>
    <row r="5" ht="12.75">
      <c r="A5" t="s">
        <v>222</v>
      </c>
    </row>
    <row r="6" ht="12.75">
      <c r="A6" t="s">
        <v>223</v>
      </c>
    </row>
    <row r="7" ht="12.75">
      <c r="A7" t="s">
        <v>224</v>
      </c>
    </row>
    <row r="8" ht="12.75">
      <c r="A8" t="s">
        <v>225</v>
      </c>
    </row>
    <row r="9" ht="12.75">
      <c r="A9" t="s">
        <v>226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38"/>
  <sheetViews>
    <sheetView workbookViewId="0" topLeftCell="A1">
      <selection activeCell="B2" sqref="B2"/>
    </sheetView>
  </sheetViews>
  <sheetFormatPr defaultColWidth="9.140625" defaultRowHeight="12.75"/>
  <cols>
    <col min="1" max="1" width="2.57421875" style="22" customWidth="1"/>
    <col min="2" max="2" width="25.8515625" style="22" customWidth="1"/>
    <col min="3" max="3" width="7.8515625" style="22" customWidth="1"/>
    <col min="4" max="4" width="3.57421875" style="23" customWidth="1"/>
    <col min="5" max="5" width="8.7109375" style="41" customWidth="1"/>
    <col min="6" max="6" width="7.7109375" style="42" customWidth="1"/>
    <col min="7" max="7" width="8.57421875" style="41" customWidth="1"/>
    <col min="8" max="8" width="7.7109375" style="42" customWidth="1"/>
    <col min="9" max="9" width="3.57421875" style="27" customWidth="1"/>
    <col min="10" max="10" width="7.00390625" style="41" customWidth="1"/>
    <col min="11" max="11" width="8.28125" style="41" customWidth="1"/>
    <col min="12" max="12" width="9.140625" style="41" customWidth="1"/>
    <col min="13" max="13" width="8.28125" style="41" customWidth="1"/>
    <col min="14" max="14" width="3.57421875" style="27" customWidth="1"/>
    <col min="15" max="15" width="7.8515625" style="41" customWidth="1"/>
    <col min="16" max="18" width="8.7109375" style="41" customWidth="1"/>
    <col min="19" max="19" width="2.421875" style="0" customWidth="1"/>
    <col min="20" max="20" width="7.421875" style="0" customWidth="1"/>
    <col min="21" max="32" width="10.8515625" style="0" customWidth="1"/>
    <col min="33" max="16384" width="10.8515625" style="22" customWidth="1"/>
  </cols>
  <sheetData>
    <row r="1" ht="12.75">
      <c r="A1" s="40" t="s">
        <v>61</v>
      </c>
    </row>
    <row r="2" ht="12.75">
      <c r="A2" s="22" t="s">
        <v>242</v>
      </c>
    </row>
    <row r="3" spans="1:3" ht="12.75">
      <c r="A3" s="22" t="s">
        <v>62</v>
      </c>
      <c r="C3" s="8" t="s">
        <v>154</v>
      </c>
    </row>
    <row r="4" spans="1:18" ht="12.75">
      <c r="A4" s="22" t="s">
        <v>63</v>
      </c>
      <c r="C4" s="8" t="s">
        <v>150</v>
      </c>
      <c r="E4" s="43" t="s">
        <v>243</v>
      </c>
      <c r="F4" s="44"/>
      <c r="G4" s="43"/>
      <c r="H4" s="44"/>
      <c r="J4" s="43"/>
      <c r="K4" s="43"/>
      <c r="L4" s="43"/>
      <c r="M4" s="43"/>
      <c r="O4" s="43"/>
      <c r="P4" s="43"/>
      <c r="Q4" s="43"/>
      <c r="R4" s="43"/>
    </row>
    <row r="5" spans="1:3" ht="12.75">
      <c r="A5" s="22" t="s">
        <v>64</v>
      </c>
      <c r="C5" s="8" t="s">
        <v>155</v>
      </c>
    </row>
    <row r="6" spans="3:17" ht="12.75">
      <c r="C6" s="23"/>
      <c r="E6" s="27"/>
      <c r="G6" s="27"/>
      <c r="J6" s="27"/>
      <c r="L6" s="27"/>
      <c r="O6" s="27"/>
      <c r="Q6" s="27"/>
    </row>
    <row r="7" spans="3:18" ht="12.75">
      <c r="C7" s="23" t="s">
        <v>65</v>
      </c>
      <c r="E7" s="66" t="s">
        <v>28</v>
      </c>
      <c r="F7" s="66"/>
      <c r="G7" s="66"/>
      <c r="H7" s="66"/>
      <c r="I7" s="67"/>
      <c r="J7" s="66" t="s">
        <v>29</v>
      </c>
      <c r="K7" s="66"/>
      <c r="L7" s="66"/>
      <c r="M7" s="66"/>
      <c r="N7" s="67"/>
      <c r="O7" s="66" t="s">
        <v>30</v>
      </c>
      <c r="P7" s="66"/>
      <c r="Q7" s="66"/>
      <c r="R7" s="66"/>
    </row>
    <row r="8" spans="3:18" ht="12.75">
      <c r="C8" s="23" t="s">
        <v>66</v>
      </c>
      <c r="E8" s="27" t="s">
        <v>59</v>
      </c>
      <c r="F8" s="44" t="s">
        <v>67</v>
      </c>
      <c r="G8" s="27" t="s">
        <v>59</v>
      </c>
      <c r="H8" s="44" t="s">
        <v>67</v>
      </c>
      <c r="J8" s="27" t="s">
        <v>59</v>
      </c>
      <c r="K8" s="27" t="s">
        <v>68</v>
      </c>
      <c r="L8" s="27" t="s">
        <v>59</v>
      </c>
      <c r="M8" s="27" t="s">
        <v>68</v>
      </c>
      <c r="O8" s="27" t="s">
        <v>59</v>
      </c>
      <c r="P8" s="27" t="s">
        <v>68</v>
      </c>
      <c r="Q8" s="27" t="s">
        <v>59</v>
      </c>
      <c r="R8" s="27" t="s">
        <v>68</v>
      </c>
    </row>
    <row r="9" spans="3:18" ht="12.75">
      <c r="C9" s="23"/>
      <c r="E9" s="27" t="s">
        <v>241</v>
      </c>
      <c r="F9" s="27" t="s">
        <v>241</v>
      </c>
      <c r="G9" s="27" t="s">
        <v>69</v>
      </c>
      <c r="H9" s="44" t="s">
        <v>69</v>
      </c>
      <c r="J9" s="27" t="s">
        <v>241</v>
      </c>
      <c r="K9" s="27" t="s">
        <v>241</v>
      </c>
      <c r="L9" s="27" t="s">
        <v>69</v>
      </c>
      <c r="M9" s="44" t="s">
        <v>69</v>
      </c>
      <c r="O9" s="27" t="s">
        <v>241</v>
      </c>
      <c r="P9" s="27" t="s">
        <v>241</v>
      </c>
      <c r="Q9" s="27" t="s">
        <v>69</v>
      </c>
      <c r="R9" s="44" t="s">
        <v>69</v>
      </c>
    </row>
    <row r="10" spans="1:15" ht="13.5" customHeight="1">
      <c r="A10" s="22" t="s">
        <v>94</v>
      </c>
      <c r="O10" s="24"/>
    </row>
    <row r="11" spans="2:18" ht="12.75">
      <c r="B11" s="22" t="s">
        <v>70</v>
      </c>
      <c r="C11" s="23">
        <v>1</v>
      </c>
      <c r="D11" s="104"/>
      <c r="E11" s="104">
        <v>0.0958</v>
      </c>
      <c r="F11" s="42">
        <f aca="true" t="shared" si="0" ref="F11:H35">IF(E11="","",E11*$C11)</f>
        <v>0.0958</v>
      </c>
      <c r="G11" s="46">
        <f aca="true" t="shared" si="1" ref="G11:G35">IF(E11=0,"",IF(D11="nd",E11/2,E11))</f>
        <v>0.0958</v>
      </c>
      <c r="H11" s="42">
        <f t="shared" si="0"/>
        <v>0.0958</v>
      </c>
      <c r="I11" s="104"/>
      <c r="J11" s="104">
        <v>0.0545</v>
      </c>
      <c r="K11" s="42">
        <f aca="true" t="shared" si="2" ref="K11:M35">IF(J11="","",J11*$C11)</f>
        <v>0.0545</v>
      </c>
      <c r="L11" s="46">
        <f>IF(J11=0,"",IF(I11="nd",J11/2,J11))</f>
        <v>0.0545</v>
      </c>
      <c r="M11" s="42">
        <f t="shared" si="2"/>
        <v>0.0545</v>
      </c>
      <c r="N11" s="104"/>
      <c r="O11" s="104">
        <v>0.0471</v>
      </c>
      <c r="P11" s="42">
        <f aca="true" t="shared" si="3" ref="P11:R35">IF(O11="","",O11*$C11)</f>
        <v>0.0471</v>
      </c>
      <c r="Q11" s="46">
        <f>IF(O11=0,"",IF(N11="nd",O11/2,O11))</f>
        <v>0.0471</v>
      </c>
      <c r="R11" s="42">
        <f t="shared" si="3"/>
        <v>0.0471</v>
      </c>
    </row>
    <row r="12" spans="2:18" ht="12.75">
      <c r="B12" s="22" t="s">
        <v>134</v>
      </c>
      <c r="C12" s="23">
        <v>0</v>
      </c>
      <c r="D12" s="104"/>
      <c r="E12" s="104">
        <v>6.1042</v>
      </c>
      <c r="F12" s="42">
        <f t="shared" si="0"/>
        <v>0</v>
      </c>
      <c r="G12" s="46">
        <f t="shared" si="1"/>
        <v>6.1042</v>
      </c>
      <c r="H12" s="42">
        <f t="shared" si="0"/>
        <v>0</v>
      </c>
      <c r="I12" s="104"/>
      <c r="J12" s="104">
        <v>2.0455</v>
      </c>
      <c r="K12" s="42">
        <f t="shared" si="2"/>
        <v>0</v>
      </c>
      <c r="L12" s="46">
        <f aca="true" t="shared" si="4" ref="L12:L35">IF(J12=0,"",IF(I12="nd",J12/2,J12))</f>
        <v>2.0455</v>
      </c>
      <c r="M12" s="42">
        <f t="shared" si="2"/>
        <v>0</v>
      </c>
      <c r="N12" s="104"/>
      <c r="O12" s="104">
        <v>1.7529</v>
      </c>
      <c r="P12" s="42">
        <f t="shared" si="3"/>
        <v>0</v>
      </c>
      <c r="Q12" s="46">
        <f aca="true" t="shared" si="5" ref="Q12:Q35">IF(O12=0,"",IF(N12="nd",O12/2,O12))</f>
        <v>1.7529</v>
      </c>
      <c r="R12" s="42">
        <f t="shared" si="3"/>
        <v>0</v>
      </c>
    </row>
    <row r="13" spans="2:18" ht="12.75">
      <c r="B13" s="22" t="s">
        <v>71</v>
      </c>
      <c r="C13" s="23">
        <v>0.5</v>
      </c>
      <c r="D13" s="104"/>
      <c r="E13" s="104">
        <v>0.5092</v>
      </c>
      <c r="F13" s="42">
        <f t="shared" si="0"/>
        <v>0.2546</v>
      </c>
      <c r="G13" s="46">
        <f t="shared" si="1"/>
        <v>0.5092</v>
      </c>
      <c r="H13" s="42">
        <f t="shared" si="0"/>
        <v>0.2546</v>
      </c>
      <c r="I13" s="104"/>
      <c r="J13" s="104">
        <v>0.215</v>
      </c>
      <c r="K13" s="42">
        <f t="shared" si="2"/>
        <v>0.1075</v>
      </c>
      <c r="L13" s="46">
        <f t="shared" si="4"/>
        <v>0.215</v>
      </c>
      <c r="M13" s="42">
        <f t="shared" si="2"/>
        <v>0.1075</v>
      </c>
      <c r="N13" s="104"/>
      <c r="O13" s="104">
        <v>0.1953</v>
      </c>
      <c r="P13" s="42">
        <f t="shared" si="3"/>
        <v>0.09765</v>
      </c>
      <c r="Q13" s="46">
        <f t="shared" si="5"/>
        <v>0.1953</v>
      </c>
      <c r="R13" s="42">
        <f t="shared" si="3"/>
        <v>0.09765</v>
      </c>
    </row>
    <row r="14" spans="2:18" ht="12.75">
      <c r="B14" s="22" t="s">
        <v>135</v>
      </c>
      <c r="C14" s="23">
        <v>0</v>
      </c>
      <c r="D14" s="104"/>
      <c r="E14" s="104">
        <v>12.4908</v>
      </c>
      <c r="F14" s="42">
        <f t="shared" si="0"/>
        <v>0</v>
      </c>
      <c r="G14" s="46">
        <f t="shared" si="1"/>
        <v>12.4908</v>
      </c>
      <c r="H14" s="42">
        <f t="shared" si="0"/>
        <v>0</v>
      </c>
      <c r="I14" s="104"/>
      <c r="J14" s="104">
        <v>4.285</v>
      </c>
      <c r="K14" s="42">
        <f t="shared" si="2"/>
        <v>0</v>
      </c>
      <c r="L14" s="46">
        <f t="shared" si="4"/>
        <v>4.285</v>
      </c>
      <c r="M14" s="42">
        <f t="shared" si="2"/>
        <v>0</v>
      </c>
      <c r="N14" s="104"/>
      <c r="O14" s="104">
        <v>4.404</v>
      </c>
      <c r="P14" s="42">
        <f t="shared" si="3"/>
        <v>0</v>
      </c>
      <c r="Q14" s="46">
        <f t="shared" si="5"/>
        <v>4.404</v>
      </c>
      <c r="R14" s="42">
        <f t="shared" si="3"/>
        <v>0</v>
      </c>
    </row>
    <row r="15" spans="2:18" ht="12.75">
      <c r="B15" s="22" t="s">
        <v>72</v>
      </c>
      <c r="C15" s="23">
        <v>0.1</v>
      </c>
      <c r="D15" s="104"/>
      <c r="E15" s="104">
        <v>0.4107</v>
      </c>
      <c r="F15" s="42">
        <f t="shared" si="0"/>
        <v>0.04107</v>
      </c>
      <c r="G15" s="46">
        <f t="shared" si="1"/>
        <v>0.4107</v>
      </c>
      <c r="H15" s="42">
        <f t="shared" si="0"/>
        <v>0.04107</v>
      </c>
      <c r="I15" s="104"/>
      <c r="J15" s="104">
        <v>0.1609</v>
      </c>
      <c r="K15" s="42">
        <f t="shared" si="2"/>
        <v>0.01609</v>
      </c>
      <c r="L15" s="46">
        <f t="shared" si="4"/>
        <v>0.1609</v>
      </c>
      <c r="M15" s="42">
        <f t="shared" si="2"/>
        <v>0.01609</v>
      </c>
      <c r="N15" s="104"/>
      <c r="O15" s="104">
        <v>0.2011</v>
      </c>
      <c r="P15" s="42">
        <f t="shared" si="3"/>
        <v>0.020110000000000003</v>
      </c>
      <c r="Q15" s="46">
        <f t="shared" si="5"/>
        <v>0.2011</v>
      </c>
      <c r="R15" s="42">
        <f t="shared" si="3"/>
        <v>0.020110000000000003</v>
      </c>
    </row>
    <row r="16" spans="2:18" ht="12.75">
      <c r="B16" s="22" t="s">
        <v>73</v>
      </c>
      <c r="C16" s="23">
        <v>0.1</v>
      </c>
      <c r="D16" s="104"/>
      <c r="E16" s="104">
        <v>1.6936</v>
      </c>
      <c r="F16" s="42">
        <f t="shared" si="0"/>
        <v>0.16936</v>
      </c>
      <c r="G16" s="46">
        <f t="shared" si="1"/>
        <v>1.6936</v>
      </c>
      <c r="H16" s="42">
        <f t="shared" si="0"/>
        <v>0.16936</v>
      </c>
      <c r="I16" s="104"/>
      <c r="J16" s="104">
        <v>0.6432</v>
      </c>
      <c r="K16" s="42">
        <f t="shared" si="2"/>
        <v>0.06432</v>
      </c>
      <c r="L16" s="46">
        <f t="shared" si="4"/>
        <v>0.6432</v>
      </c>
      <c r="M16" s="42">
        <f t="shared" si="2"/>
        <v>0.06432</v>
      </c>
      <c r="N16" s="104"/>
      <c r="O16" s="104">
        <v>0.716</v>
      </c>
      <c r="P16" s="42">
        <f t="shared" si="3"/>
        <v>0.0716</v>
      </c>
      <c r="Q16" s="46">
        <f t="shared" si="5"/>
        <v>0.716</v>
      </c>
      <c r="R16" s="42">
        <f t="shared" si="3"/>
        <v>0.0716</v>
      </c>
    </row>
    <row r="17" spans="2:18" ht="12.75">
      <c r="B17" s="22" t="s">
        <v>74</v>
      </c>
      <c r="C17" s="23">
        <v>0.1</v>
      </c>
      <c r="D17" s="104"/>
      <c r="E17" s="104">
        <v>1.1817</v>
      </c>
      <c r="F17" s="42">
        <f t="shared" si="0"/>
        <v>0.11817</v>
      </c>
      <c r="G17" s="46">
        <f t="shared" si="1"/>
        <v>1.1817</v>
      </c>
      <c r="H17" s="42">
        <f t="shared" si="0"/>
        <v>0.11817</v>
      </c>
      <c r="I17" s="104"/>
      <c r="J17" s="104">
        <v>0.4819</v>
      </c>
      <c r="K17" s="42">
        <f t="shared" si="2"/>
        <v>0.048190000000000004</v>
      </c>
      <c r="L17" s="46">
        <f t="shared" si="4"/>
        <v>0.4819</v>
      </c>
      <c r="M17" s="42">
        <f t="shared" si="2"/>
        <v>0.048190000000000004</v>
      </c>
      <c r="N17" s="104"/>
      <c r="O17" s="104">
        <v>0.5872</v>
      </c>
      <c r="P17" s="42">
        <f t="shared" si="3"/>
        <v>0.05872000000000001</v>
      </c>
      <c r="Q17" s="46">
        <f t="shared" si="5"/>
        <v>0.5872</v>
      </c>
      <c r="R17" s="42">
        <f t="shared" si="3"/>
        <v>0.05872000000000001</v>
      </c>
    </row>
    <row r="18" spans="2:18" ht="12.75">
      <c r="B18" s="22" t="s">
        <v>136</v>
      </c>
      <c r="C18" s="23">
        <v>0</v>
      </c>
      <c r="D18" s="104"/>
      <c r="E18" s="104">
        <v>14.1069</v>
      </c>
      <c r="F18" s="42">
        <f t="shared" si="0"/>
        <v>0</v>
      </c>
      <c r="G18" s="46">
        <f t="shared" si="1"/>
        <v>14.1069</v>
      </c>
      <c r="H18" s="42">
        <f t="shared" si="0"/>
        <v>0</v>
      </c>
      <c r="I18" s="104"/>
      <c r="J18" s="104">
        <v>5.2151</v>
      </c>
      <c r="K18" s="42">
        <f t="shared" si="2"/>
        <v>0</v>
      </c>
      <c r="L18" s="46">
        <f t="shared" si="4"/>
        <v>5.2151</v>
      </c>
      <c r="M18" s="42">
        <f t="shared" si="2"/>
        <v>0</v>
      </c>
      <c r="N18" s="104"/>
      <c r="O18" s="104">
        <v>6.337</v>
      </c>
      <c r="P18" s="42">
        <f t="shared" si="3"/>
        <v>0</v>
      </c>
      <c r="Q18" s="46">
        <f t="shared" si="5"/>
        <v>6.337</v>
      </c>
      <c r="R18" s="42">
        <f t="shared" si="3"/>
        <v>0</v>
      </c>
    </row>
    <row r="19" spans="2:18" ht="12.75">
      <c r="B19" s="22" t="s">
        <v>75</v>
      </c>
      <c r="C19" s="23">
        <v>0.01</v>
      </c>
      <c r="D19" s="104"/>
      <c r="E19" s="104">
        <v>5.8176</v>
      </c>
      <c r="F19" s="42">
        <f t="shared" si="0"/>
        <v>0.058176</v>
      </c>
      <c r="G19" s="46">
        <f t="shared" si="1"/>
        <v>5.8176</v>
      </c>
      <c r="H19" s="42">
        <f t="shared" si="0"/>
        <v>0.058176</v>
      </c>
      <c r="I19" s="104"/>
      <c r="J19" s="104">
        <v>2.6643</v>
      </c>
      <c r="K19" s="42">
        <f t="shared" si="2"/>
        <v>0.026643</v>
      </c>
      <c r="L19" s="46">
        <f t="shared" si="4"/>
        <v>2.6643</v>
      </c>
      <c r="M19" s="42">
        <f t="shared" si="2"/>
        <v>0.026643</v>
      </c>
      <c r="N19" s="104"/>
      <c r="O19" s="104">
        <v>3.4886</v>
      </c>
      <c r="P19" s="42">
        <f t="shared" si="3"/>
        <v>0.034886</v>
      </c>
      <c r="Q19" s="46">
        <f t="shared" si="5"/>
        <v>3.4886</v>
      </c>
      <c r="R19" s="42">
        <f t="shared" si="3"/>
        <v>0.034886</v>
      </c>
    </row>
    <row r="20" spans="2:18" ht="12.75">
      <c r="B20" s="22" t="s">
        <v>137</v>
      </c>
      <c r="C20" s="23">
        <v>0</v>
      </c>
      <c r="D20" s="104"/>
      <c r="E20" s="104">
        <v>5.8035</v>
      </c>
      <c r="F20" s="42">
        <f t="shared" si="0"/>
        <v>0</v>
      </c>
      <c r="G20" s="46">
        <f t="shared" si="1"/>
        <v>5.8035</v>
      </c>
      <c r="H20" s="42">
        <f t="shared" si="0"/>
        <v>0</v>
      </c>
      <c r="I20" s="104"/>
      <c r="J20" s="104">
        <v>2.382</v>
      </c>
      <c r="K20" s="42">
        <f t="shared" si="2"/>
        <v>0</v>
      </c>
      <c r="L20" s="46">
        <f t="shared" si="4"/>
        <v>2.382</v>
      </c>
      <c r="M20" s="42">
        <f t="shared" si="2"/>
        <v>0</v>
      </c>
      <c r="N20" s="104"/>
      <c r="O20" s="104">
        <v>3.2408</v>
      </c>
      <c r="P20" s="42">
        <f t="shared" si="3"/>
        <v>0</v>
      </c>
      <c r="Q20" s="46">
        <f t="shared" si="5"/>
        <v>3.2408</v>
      </c>
      <c r="R20" s="42">
        <f t="shared" si="3"/>
        <v>0</v>
      </c>
    </row>
    <row r="21" spans="2:18" ht="12.75">
      <c r="B21" s="22" t="s">
        <v>76</v>
      </c>
      <c r="C21" s="23">
        <v>0.001</v>
      </c>
      <c r="D21" s="104"/>
      <c r="E21" s="104">
        <v>4.196</v>
      </c>
      <c r="F21" s="42">
        <f t="shared" si="0"/>
        <v>0.004196</v>
      </c>
      <c r="G21" s="46">
        <f t="shared" si="1"/>
        <v>4.196</v>
      </c>
      <c r="H21" s="42">
        <f t="shared" si="0"/>
        <v>0.004196</v>
      </c>
      <c r="I21" s="104"/>
      <c r="J21" s="104">
        <v>2.104</v>
      </c>
      <c r="K21" s="42">
        <f t="shared" si="2"/>
        <v>0.002104</v>
      </c>
      <c r="L21" s="46">
        <f t="shared" si="4"/>
        <v>2.104</v>
      </c>
      <c r="M21" s="42">
        <f t="shared" si="2"/>
        <v>0.002104</v>
      </c>
      <c r="N21" s="104"/>
      <c r="O21" s="104">
        <v>4.2862</v>
      </c>
      <c r="P21" s="42">
        <f t="shared" si="3"/>
        <v>0.0042862</v>
      </c>
      <c r="Q21" s="46">
        <f t="shared" si="5"/>
        <v>4.2862</v>
      </c>
      <c r="R21" s="42">
        <f t="shared" si="3"/>
        <v>0.0042862</v>
      </c>
    </row>
    <row r="22" spans="2:18" ht="12.75">
      <c r="B22" s="22" t="s">
        <v>77</v>
      </c>
      <c r="C22" s="23">
        <v>0.1</v>
      </c>
      <c r="D22" s="104"/>
      <c r="E22" s="104">
        <v>2.2814</v>
      </c>
      <c r="F22" s="42">
        <f t="shared" si="0"/>
        <v>0.22814</v>
      </c>
      <c r="G22" s="46">
        <f t="shared" si="1"/>
        <v>2.2814</v>
      </c>
      <c r="H22" s="42">
        <f t="shared" si="0"/>
        <v>0.22814</v>
      </c>
      <c r="I22" s="104"/>
      <c r="J22" s="104">
        <v>1.1927</v>
      </c>
      <c r="K22" s="42">
        <f t="shared" si="2"/>
        <v>0.11927000000000001</v>
      </c>
      <c r="L22" s="46">
        <f t="shared" si="4"/>
        <v>1.1927</v>
      </c>
      <c r="M22" s="42">
        <f t="shared" si="2"/>
        <v>0.11927000000000001</v>
      </c>
      <c r="N22" s="104"/>
      <c r="O22" s="104">
        <v>1.2918</v>
      </c>
      <c r="P22" s="42">
        <f t="shared" si="3"/>
        <v>0.12918000000000002</v>
      </c>
      <c r="Q22" s="46">
        <f t="shared" si="5"/>
        <v>1.2918</v>
      </c>
      <c r="R22" s="42">
        <f t="shared" si="3"/>
        <v>0.12918000000000002</v>
      </c>
    </row>
    <row r="23" spans="2:18" ht="12.75">
      <c r="B23" s="22" t="s">
        <v>138</v>
      </c>
      <c r="C23" s="23">
        <v>0</v>
      </c>
      <c r="D23" s="104"/>
      <c r="E23" s="104">
        <v>56.2688</v>
      </c>
      <c r="F23" s="42">
        <f t="shared" si="0"/>
        <v>0</v>
      </c>
      <c r="G23" s="46">
        <f t="shared" si="1"/>
        <v>56.2688</v>
      </c>
      <c r="H23" s="42">
        <f t="shared" si="0"/>
        <v>0</v>
      </c>
      <c r="I23" s="104"/>
      <c r="J23" s="104">
        <v>28.2657</v>
      </c>
      <c r="K23" s="42">
        <f t="shared" si="2"/>
        <v>0</v>
      </c>
      <c r="L23" s="46">
        <f t="shared" si="4"/>
        <v>28.2657</v>
      </c>
      <c r="M23" s="42">
        <f t="shared" si="2"/>
        <v>0</v>
      </c>
      <c r="N23" s="104"/>
      <c r="O23" s="104">
        <v>34.0082</v>
      </c>
      <c r="P23" s="42">
        <f t="shared" si="3"/>
        <v>0</v>
      </c>
      <c r="Q23" s="46">
        <f t="shared" si="5"/>
        <v>34.0082</v>
      </c>
      <c r="R23" s="42">
        <f t="shared" si="3"/>
        <v>0</v>
      </c>
    </row>
    <row r="24" spans="2:18" ht="12.75">
      <c r="B24" s="22" t="s">
        <v>78</v>
      </c>
      <c r="C24" s="23">
        <v>0.05</v>
      </c>
      <c r="D24" s="104"/>
      <c r="E24" s="104">
        <v>2.5576</v>
      </c>
      <c r="F24" s="42">
        <f t="shared" si="0"/>
        <v>0.12788</v>
      </c>
      <c r="G24" s="46">
        <f t="shared" si="1"/>
        <v>2.5576</v>
      </c>
      <c r="H24" s="42">
        <f t="shared" si="0"/>
        <v>0.12788</v>
      </c>
      <c r="I24" s="104"/>
      <c r="J24" s="104">
        <v>1.3932</v>
      </c>
      <c r="K24" s="42">
        <f t="shared" si="2"/>
        <v>0.06966</v>
      </c>
      <c r="L24" s="46">
        <f t="shared" si="4"/>
        <v>1.3932</v>
      </c>
      <c r="M24" s="42">
        <f t="shared" si="2"/>
        <v>0.06966</v>
      </c>
      <c r="N24" s="104"/>
      <c r="O24" s="104">
        <v>1.4835</v>
      </c>
      <c r="P24" s="42">
        <f t="shared" si="3"/>
        <v>0.074175</v>
      </c>
      <c r="Q24" s="46">
        <f t="shared" si="5"/>
        <v>1.4835</v>
      </c>
      <c r="R24" s="42">
        <f t="shared" si="3"/>
        <v>0.074175</v>
      </c>
    </row>
    <row r="25" spans="2:18" ht="12.75">
      <c r="B25" s="22" t="s">
        <v>79</v>
      </c>
      <c r="C25" s="23">
        <v>0.5</v>
      </c>
      <c r="D25" s="104"/>
      <c r="E25" s="104">
        <v>4.6931</v>
      </c>
      <c r="F25" s="42">
        <f t="shared" si="0"/>
        <v>2.34655</v>
      </c>
      <c r="G25" s="46">
        <f t="shared" si="1"/>
        <v>4.6931</v>
      </c>
      <c r="H25" s="42">
        <f t="shared" si="0"/>
        <v>2.34655</v>
      </c>
      <c r="I25" s="104"/>
      <c r="J25" s="104">
        <v>2.514</v>
      </c>
      <c r="K25" s="42">
        <f t="shared" si="2"/>
        <v>1.257</v>
      </c>
      <c r="L25" s="46">
        <f t="shared" si="4"/>
        <v>2.514</v>
      </c>
      <c r="M25" s="42">
        <f t="shared" si="2"/>
        <v>1.257</v>
      </c>
      <c r="N25" s="104"/>
      <c r="O25" s="104">
        <v>3.127</v>
      </c>
      <c r="P25" s="42">
        <f t="shared" si="3"/>
        <v>1.5635</v>
      </c>
      <c r="Q25" s="46">
        <f t="shared" si="5"/>
        <v>3.127</v>
      </c>
      <c r="R25" s="42">
        <f t="shared" si="3"/>
        <v>1.5635</v>
      </c>
    </row>
    <row r="26" spans="2:18" ht="12.75">
      <c r="B26" s="22" t="s">
        <v>139</v>
      </c>
      <c r="C26" s="23">
        <v>0</v>
      </c>
      <c r="D26" s="104"/>
      <c r="E26" s="104">
        <v>33.9493</v>
      </c>
      <c r="F26" s="42">
        <f t="shared" si="0"/>
        <v>0</v>
      </c>
      <c r="G26" s="46">
        <f t="shared" si="1"/>
        <v>33.9493</v>
      </c>
      <c r="H26" s="42">
        <f t="shared" si="0"/>
        <v>0</v>
      </c>
      <c r="I26" s="104"/>
      <c r="J26" s="104">
        <v>17.3928</v>
      </c>
      <c r="K26" s="42">
        <f t="shared" si="2"/>
        <v>0</v>
      </c>
      <c r="L26" s="46">
        <f t="shared" si="4"/>
        <v>17.3928</v>
      </c>
      <c r="M26" s="42">
        <f t="shared" si="2"/>
        <v>0</v>
      </c>
      <c r="N26" s="104"/>
      <c r="O26" s="104">
        <v>22.268</v>
      </c>
      <c r="P26" s="42">
        <f t="shared" si="3"/>
        <v>0</v>
      </c>
      <c r="Q26" s="46">
        <f t="shared" si="5"/>
        <v>22.268</v>
      </c>
      <c r="R26" s="42">
        <f t="shared" si="3"/>
        <v>0</v>
      </c>
    </row>
    <row r="27" spans="2:18" ht="12.75">
      <c r="B27" s="22" t="s">
        <v>80</v>
      </c>
      <c r="C27" s="23">
        <v>0.1</v>
      </c>
      <c r="D27" s="104"/>
      <c r="E27" s="104">
        <v>4.6515</v>
      </c>
      <c r="F27" s="42">
        <f t="shared" si="0"/>
        <v>0.46515000000000006</v>
      </c>
      <c r="G27" s="46">
        <f t="shared" si="1"/>
        <v>4.6515</v>
      </c>
      <c r="H27" s="42">
        <f t="shared" si="0"/>
        <v>0.46515000000000006</v>
      </c>
      <c r="I27" s="104"/>
      <c r="J27" s="104">
        <v>2.3184</v>
      </c>
      <c r="K27" s="42">
        <f t="shared" si="2"/>
        <v>0.23184000000000002</v>
      </c>
      <c r="L27" s="46">
        <f t="shared" si="4"/>
        <v>2.3184</v>
      </c>
      <c r="M27" s="42">
        <f t="shared" si="2"/>
        <v>0.23184000000000002</v>
      </c>
      <c r="N27" s="104"/>
      <c r="O27" s="104">
        <v>2.9097</v>
      </c>
      <c r="P27" s="42">
        <f t="shared" si="3"/>
        <v>0.29097</v>
      </c>
      <c r="Q27" s="46">
        <f t="shared" si="5"/>
        <v>2.9097</v>
      </c>
      <c r="R27" s="42">
        <f t="shared" si="3"/>
        <v>0.29097</v>
      </c>
    </row>
    <row r="28" spans="2:18" ht="12.75">
      <c r="B28" s="22" t="s">
        <v>81</v>
      </c>
      <c r="C28" s="23">
        <v>0.1</v>
      </c>
      <c r="D28" s="104"/>
      <c r="E28" s="104">
        <v>2.5113</v>
      </c>
      <c r="F28" s="42">
        <f t="shared" si="0"/>
        <v>0.25113</v>
      </c>
      <c r="G28" s="46">
        <f t="shared" si="1"/>
        <v>2.5113</v>
      </c>
      <c r="H28" s="42">
        <f t="shared" si="0"/>
        <v>0.25113</v>
      </c>
      <c r="I28" s="104"/>
      <c r="J28" s="104">
        <v>1.2663</v>
      </c>
      <c r="K28" s="42">
        <f t="shared" si="2"/>
        <v>0.12663</v>
      </c>
      <c r="L28" s="46">
        <f t="shared" si="4"/>
        <v>1.2663</v>
      </c>
      <c r="M28" s="42">
        <f t="shared" si="2"/>
        <v>0.12663</v>
      </c>
      <c r="N28" s="104"/>
      <c r="O28" s="104">
        <v>1.5612</v>
      </c>
      <c r="P28" s="42">
        <f t="shared" si="3"/>
        <v>0.15612</v>
      </c>
      <c r="Q28" s="46">
        <f t="shared" si="5"/>
        <v>1.5612</v>
      </c>
      <c r="R28" s="42">
        <f t="shared" si="3"/>
        <v>0.15612</v>
      </c>
    </row>
    <row r="29" spans="2:18" ht="12.75">
      <c r="B29" s="22" t="s">
        <v>82</v>
      </c>
      <c r="C29" s="23">
        <v>0.1</v>
      </c>
      <c r="D29" s="104"/>
      <c r="E29" s="104">
        <v>2.6824</v>
      </c>
      <c r="F29" s="42">
        <f t="shared" si="0"/>
        <v>0.26824</v>
      </c>
      <c r="G29" s="46">
        <f t="shared" si="1"/>
        <v>2.6824</v>
      </c>
      <c r="H29" s="42">
        <f t="shared" si="0"/>
        <v>0.26824</v>
      </c>
      <c r="I29" s="104"/>
      <c r="J29" s="104">
        <v>1.3767</v>
      </c>
      <c r="K29" s="42">
        <f t="shared" si="2"/>
        <v>0.13767000000000001</v>
      </c>
      <c r="L29" s="46">
        <f t="shared" si="4"/>
        <v>1.3767</v>
      </c>
      <c r="M29" s="42">
        <f t="shared" si="2"/>
        <v>0.13767000000000001</v>
      </c>
      <c r="N29" s="104"/>
      <c r="O29" s="104">
        <v>1.6844</v>
      </c>
      <c r="P29" s="42">
        <f t="shared" si="3"/>
        <v>0.16844</v>
      </c>
      <c r="Q29" s="46">
        <f t="shared" si="5"/>
        <v>1.6844</v>
      </c>
      <c r="R29" s="42">
        <f t="shared" si="3"/>
        <v>0.16844</v>
      </c>
    </row>
    <row r="30" spans="2:18" ht="12.75">
      <c r="B30" s="22" t="s">
        <v>83</v>
      </c>
      <c r="C30" s="23">
        <v>0.1</v>
      </c>
      <c r="D30" s="104"/>
      <c r="E30" s="104">
        <v>0.36</v>
      </c>
      <c r="F30" s="42">
        <f t="shared" si="0"/>
        <v>0.036</v>
      </c>
      <c r="G30" s="46">
        <f t="shared" si="1"/>
        <v>0.36</v>
      </c>
      <c r="H30" s="42">
        <f t="shared" si="0"/>
        <v>0.036</v>
      </c>
      <c r="I30" s="104"/>
      <c r="J30" s="104">
        <v>0.1849</v>
      </c>
      <c r="K30" s="42">
        <f t="shared" si="2"/>
        <v>0.018490000000000003</v>
      </c>
      <c r="L30" s="46">
        <f t="shared" si="4"/>
        <v>0.1849</v>
      </c>
      <c r="M30" s="42">
        <f t="shared" si="2"/>
        <v>0.018490000000000003</v>
      </c>
      <c r="N30" s="104"/>
      <c r="O30" s="104">
        <v>0.2457</v>
      </c>
      <c r="P30" s="42">
        <f t="shared" si="3"/>
        <v>0.02457</v>
      </c>
      <c r="Q30" s="46">
        <f t="shared" si="5"/>
        <v>0.2457</v>
      </c>
      <c r="R30" s="42">
        <f t="shared" si="3"/>
        <v>0.02457</v>
      </c>
    </row>
    <row r="31" spans="2:18" ht="12.75">
      <c r="B31" s="22" t="s">
        <v>140</v>
      </c>
      <c r="C31" s="23">
        <v>0</v>
      </c>
      <c r="D31" s="104"/>
      <c r="E31" s="104">
        <v>12.4948</v>
      </c>
      <c r="F31" s="42">
        <f t="shared" si="0"/>
        <v>0</v>
      </c>
      <c r="G31" s="46">
        <f t="shared" si="1"/>
        <v>12.4948</v>
      </c>
      <c r="H31" s="42">
        <f t="shared" si="0"/>
        <v>0</v>
      </c>
      <c r="I31" s="104"/>
      <c r="J31" s="104">
        <v>6.0162</v>
      </c>
      <c r="K31" s="42">
        <f t="shared" si="2"/>
        <v>0</v>
      </c>
      <c r="L31" s="46">
        <f t="shared" si="4"/>
        <v>6.0162</v>
      </c>
      <c r="M31" s="42">
        <f t="shared" si="2"/>
        <v>0</v>
      </c>
      <c r="N31" s="104"/>
      <c r="O31" s="104">
        <v>7.5804</v>
      </c>
      <c r="P31" s="42">
        <f t="shared" si="3"/>
        <v>0</v>
      </c>
      <c r="Q31" s="46">
        <f t="shared" si="5"/>
        <v>7.5804</v>
      </c>
      <c r="R31" s="42">
        <f t="shared" si="3"/>
        <v>0</v>
      </c>
    </row>
    <row r="32" spans="2:18" ht="12.75">
      <c r="B32" s="22" t="s">
        <v>84</v>
      </c>
      <c r="C32" s="23">
        <v>0.01</v>
      </c>
      <c r="D32" s="104"/>
      <c r="E32" s="104">
        <v>6.5186</v>
      </c>
      <c r="F32" s="42">
        <f t="shared" si="0"/>
        <v>0.06518600000000001</v>
      </c>
      <c r="G32" s="46">
        <f t="shared" si="1"/>
        <v>6.5186</v>
      </c>
      <c r="H32" s="42">
        <f t="shared" si="0"/>
        <v>0.06518600000000001</v>
      </c>
      <c r="I32" s="104"/>
      <c r="J32" s="104">
        <v>2.2181</v>
      </c>
      <c r="K32" s="42">
        <f t="shared" si="2"/>
        <v>0.022181000000000003</v>
      </c>
      <c r="L32" s="46">
        <f t="shared" si="4"/>
        <v>2.2181</v>
      </c>
      <c r="M32" s="42">
        <f t="shared" si="2"/>
        <v>0.022181000000000003</v>
      </c>
      <c r="N32" s="104"/>
      <c r="O32" s="104">
        <v>2.6408</v>
      </c>
      <c r="P32" s="42">
        <f t="shared" si="3"/>
        <v>0.026408</v>
      </c>
      <c r="Q32" s="46">
        <f t="shared" si="5"/>
        <v>2.6408</v>
      </c>
      <c r="R32" s="42">
        <f t="shared" si="3"/>
        <v>0.026408</v>
      </c>
    </row>
    <row r="33" spans="2:18" ht="12.75">
      <c r="B33" s="22" t="s">
        <v>85</v>
      </c>
      <c r="C33" s="23">
        <v>0.01</v>
      </c>
      <c r="D33" s="104"/>
      <c r="E33" s="104">
        <v>1.1308</v>
      </c>
      <c r="F33" s="42">
        <f t="shared" si="0"/>
        <v>0.011308</v>
      </c>
      <c r="G33" s="46">
        <f t="shared" si="1"/>
        <v>1.1308</v>
      </c>
      <c r="H33" s="42">
        <f t="shared" si="0"/>
        <v>0.011308</v>
      </c>
      <c r="I33" s="104"/>
      <c r="J33" s="104">
        <v>0.5752</v>
      </c>
      <c r="K33" s="42">
        <f t="shared" si="2"/>
        <v>0.005752</v>
      </c>
      <c r="L33" s="46">
        <f t="shared" si="4"/>
        <v>0.5752</v>
      </c>
      <c r="M33" s="42">
        <f t="shared" si="2"/>
        <v>0.005752</v>
      </c>
      <c r="N33" s="104"/>
      <c r="O33" s="104">
        <v>0.7454</v>
      </c>
      <c r="P33" s="42">
        <f t="shared" si="3"/>
        <v>0.007454</v>
      </c>
      <c r="Q33" s="46">
        <f t="shared" si="5"/>
        <v>0.7454</v>
      </c>
      <c r="R33" s="42">
        <f t="shared" si="3"/>
        <v>0.007454</v>
      </c>
    </row>
    <row r="34" spans="2:18" ht="12.75">
      <c r="B34" s="22" t="s">
        <v>141</v>
      </c>
      <c r="C34" s="23">
        <v>0</v>
      </c>
      <c r="D34" s="104"/>
      <c r="E34" s="104">
        <v>2.7247</v>
      </c>
      <c r="F34" s="42">
        <f t="shared" si="0"/>
        <v>0</v>
      </c>
      <c r="G34" s="46">
        <f t="shared" si="1"/>
        <v>2.7247</v>
      </c>
      <c r="H34" s="42">
        <f t="shared" si="0"/>
        <v>0</v>
      </c>
      <c r="I34" s="104"/>
      <c r="J34" s="104">
        <v>1.1794</v>
      </c>
      <c r="K34" s="42">
        <f t="shared" si="2"/>
        <v>0</v>
      </c>
      <c r="L34" s="46">
        <f t="shared" si="4"/>
        <v>1.1794</v>
      </c>
      <c r="M34" s="42">
        <f t="shared" si="2"/>
        <v>0</v>
      </c>
      <c r="N34" s="104"/>
      <c r="O34" s="104">
        <v>1.5744</v>
      </c>
      <c r="P34" s="42">
        <f t="shared" si="3"/>
        <v>0</v>
      </c>
      <c r="Q34" s="46">
        <f t="shared" si="5"/>
        <v>1.5744</v>
      </c>
      <c r="R34" s="42">
        <f t="shared" si="3"/>
        <v>0</v>
      </c>
    </row>
    <row r="35" spans="2:18" ht="12.75">
      <c r="B35" s="22" t="s">
        <v>86</v>
      </c>
      <c r="C35" s="23">
        <v>0.001</v>
      </c>
      <c r="D35" s="104"/>
      <c r="E35" s="104">
        <v>2.3921</v>
      </c>
      <c r="F35" s="42">
        <f t="shared" si="0"/>
        <v>0.0023921000000000003</v>
      </c>
      <c r="G35" s="46">
        <f t="shared" si="1"/>
        <v>2.3921</v>
      </c>
      <c r="H35" s="42">
        <f t="shared" si="0"/>
        <v>0.0023921000000000003</v>
      </c>
      <c r="I35" s="104"/>
      <c r="J35" s="104">
        <v>0.9723</v>
      </c>
      <c r="K35" s="42">
        <f t="shared" si="2"/>
        <v>0.0009723</v>
      </c>
      <c r="L35" s="46">
        <f t="shared" si="4"/>
        <v>0.9723</v>
      </c>
      <c r="M35" s="42">
        <f t="shared" si="2"/>
        <v>0.0009723</v>
      </c>
      <c r="N35" s="104"/>
      <c r="O35" s="104">
        <v>1.4297</v>
      </c>
      <c r="P35" s="42">
        <f t="shared" si="3"/>
        <v>0.0014297</v>
      </c>
      <c r="Q35" s="46">
        <f t="shared" si="5"/>
        <v>1.4297</v>
      </c>
      <c r="R35" s="42">
        <f t="shared" si="3"/>
        <v>0.0014297</v>
      </c>
    </row>
    <row r="36" spans="5:17" ht="12.75">
      <c r="E36" s="45"/>
      <c r="G36" s="45"/>
      <c r="I36" s="71"/>
      <c r="J36" s="22"/>
      <c r="K36" s="24"/>
      <c r="L36" s="24"/>
      <c r="M36" s="24"/>
      <c r="N36" s="71"/>
      <c r="O36" s="22"/>
      <c r="Q36" s="45"/>
    </row>
    <row r="37" spans="2:18" ht="12.75">
      <c r="B37" s="22" t="s">
        <v>88</v>
      </c>
      <c r="E37" s="45"/>
      <c r="F37" s="45">
        <v>116.112</v>
      </c>
      <c r="G37" s="45">
        <v>116.112</v>
      </c>
      <c r="H37" s="45">
        <v>116.112</v>
      </c>
      <c r="I37" s="71"/>
      <c r="J37" s="45"/>
      <c r="K37" s="45">
        <v>113.347</v>
      </c>
      <c r="L37" s="45">
        <v>113.347</v>
      </c>
      <c r="M37" s="45">
        <v>113.347</v>
      </c>
      <c r="N37" s="71"/>
      <c r="O37" s="45"/>
      <c r="P37" s="45">
        <v>109.498</v>
      </c>
      <c r="Q37" s="45">
        <v>109.498</v>
      </c>
      <c r="R37" s="45">
        <v>109.498</v>
      </c>
    </row>
    <row r="38" spans="2:18" ht="12.75">
      <c r="B38" s="22" t="s">
        <v>89</v>
      </c>
      <c r="E38" s="45"/>
      <c r="F38" s="45">
        <v>15.3</v>
      </c>
      <c r="G38" s="45">
        <v>15.3</v>
      </c>
      <c r="H38" s="45">
        <v>15.3</v>
      </c>
      <c r="I38" s="71"/>
      <c r="J38" s="45"/>
      <c r="K38" s="24">
        <v>16</v>
      </c>
      <c r="L38" s="24">
        <v>16</v>
      </c>
      <c r="M38" s="24">
        <v>16</v>
      </c>
      <c r="N38" s="71"/>
      <c r="O38" s="45"/>
      <c r="P38" s="24">
        <v>16.1</v>
      </c>
      <c r="Q38" s="24">
        <v>16.1</v>
      </c>
      <c r="R38" s="24">
        <v>16.1</v>
      </c>
    </row>
    <row r="39" spans="5:18" ht="12.75">
      <c r="E39" s="45"/>
      <c r="G39" s="45"/>
      <c r="I39" s="23"/>
      <c r="J39" s="45"/>
      <c r="K39" s="24"/>
      <c r="L39" s="24"/>
      <c r="M39" s="24"/>
      <c r="N39" s="71"/>
      <c r="O39" s="45"/>
      <c r="P39" s="45"/>
      <c r="Q39" s="45"/>
      <c r="R39" s="45"/>
    </row>
    <row r="40" spans="2:18" ht="12" customHeight="1">
      <c r="B40" s="22" t="s">
        <v>90</v>
      </c>
      <c r="C40" s="42"/>
      <c r="D40" s="44"/>
      <c r="E40" s="24"/>
      <c r="F40" s="46">
        <f>SUM(F11:F35)</f>
        <v>4.5433480999999984</v>
      </c>
      <c r="G40" s="46">
        <f>SUM(G11:G35)</f>
        <v>187.6264</v>
      </c>
      <c r="H40" s="46">
        <f>SUM(H11:H35)</f>
        <v>4.5433480999999984</v>
      </c>
      <c r="I40" s="44"/>
      <c r="J40" s="24"/>
      <c r="K40" s="46">
        <f>SUM(K11:K35)</f>
        <v>2.3088122999999996</v>
      </c>
      <c r="L40" s="46">
        <f>SUM(L11:L35)</f>
        <v>87.11730000000001</v>
      </c>
      <c r="M40" s="46">
        <f>SUM(M11:M35)</f>
        <v>2.3088122999999996</v>
      </c>
      <c r="N40" s="44"/>
      <c r="O40" s="45"/>
      <c r="P40" s="46">
        <f>SUM(P11:P35)</f>
        <v>2.7765989000000006</v>
      </c>
      <c r="Q40" s="46">
        <f>SUM(Q11:Q35)</f>
        <v>107.8064</v>
      </c>
      <c r="R40" s="46">
        <f>SUM(R11:R35)</f>
        <v>2.7765989000000006</v>
      </c>
    </row>
    <row r="41" spans="2:18" ht="12.75">
      <c r="B41" s="22" t="s">
        <v>91</v>
      </c>
      <c r="C41" s="42"/>
      <c r="D41" s="24">
        <f>(F41-H41)*2/F41*100</f>
        <v>0</v>
      </c>
      <c r="E41" s="45"/>
      <c r="F41" s="46">
        <f>(F40/F37/0.0283*(21-7)/(21-F38))</f>
        <v>3.3959841248961116</v>
      </c>
      <c r="G41" s="46">
        <f>(G40/G37/0.0283*(21-7)/(21-G38))</f>
        <v>140.2437721669198</v>
      </c>
      <c r="H41" s="46">
        <f>(H40/H37/0.0283*(21-7)/(21-H38))</f>
        <v>3.3959841248961116</v>
      </c>
      <c r="I41" s="24">
        <f>(K41-M41)*2/K41*100</f>
        <v>0</v>
      </c>
      <c r="J41" s="45"/>
      <c r="K41" s="46">
        <f>(K40/K37/0.0283*(21-7)/(21-K38))</f>
        <v>2.0153486708519237</v>
      </c>
      <c r="L41" s="46">
        <f>(L40/L37/0.0283*(21-7)/(21-L38))</f>
        <v>76.04417854288474</v>
      </c>
      <c r="M41" s="46">
        <f>(M40/M37/0.0283*(21-7)/(21-M38))</f>
        <v>2.0153486708519237</v>
      </c>
      <c r="N41" s="24">
        <f>(P41-R41)*2/P41*100</f>
        <v>0</v>
      </c>
      <c r="O41" s="45"/>
      <c r="P41" s="46">
        <f>(P40/P37/0.0283*(21-7)/(21-P38))</f>
        <v>2.56007377396819</v>
      </c>
      <c r="Q41" s="46">
        <f>(Q40/Q37/0.0283*(21-7)/(21-Q38))</f>
        <v>99.39942614899263</v>
      </c>
      <c r="R41" s="46">
        <f>(R40/R37/0.0283*(21-7)/(21-R38))</f>
        <v>2.56007377396819</v>
      </c>
    </row>
    <row r="42" spans="5:17" ht="12.75">
      <c r="E42" s="46"/>
      <c r="G42" s="46"/>
      <c r="I42" s="72"/>
      <c r="J42" s="46"/>
      <c r="K42" s="46"/>
      <c r="L42" s="46"/>
      <c r="M42" s="46"/>
      <c r="N42" s="72"/>
      <c r="O42" s="46"/>
      <c r="Q42" s="46"/>
    </row>
    <row r="43" spans="2:32" s="45" customFormat="1" ht="12.75">
      <c r="B43" s="45" t="s">
        <v>92</v>
      </c>
      <c r="C43" s="46">
        <f>AVERAGE(H41,M41,R41)</f>
        <v>2.657135523238742</v>
      </c>
      <c r="D43" s="71"/>
      <c r="F43" s="42"/>
      <c r="H43" s="42"/>
      <c r="I43" s="71"/>
      <c r="N43" s="71"/>
      <c r="P43" s="41"/>
      <c r="R43" s="41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2:3" ht="12.75">
      <c r="B44" s="22" t="s">
        <v>93</v>
      </c>
      <c r="C44" s="45">
        <f>AVERAGE(G41,L41,Q41)</f>
        <v>105.22912561959906</v>
      </c>
    </row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spans="5:18" ht="12.75">
      <c r="E134" s="45"/>
      <c r="F134" s="45"/>
      <c r="G134" s="45"/>
      <c r="H134" s="45"/>
      <c r="I134" s="71"/>
      <c r="J134" s="45"/>
      <c r="K134" s="24"/>
      <c r="L134" s="24"/>
      <c r="M134" s="24"/>
      <c r="N134" s="71"/>
      <c r="O134" s="45"/>
      <c r="P134" s="45"/>
      <c r="Q134" s="45"/>
      <c r="R134" s="45"/>
    </row>
    <row r="135" spans="5:18" ht="12.75">
      <c r="E135" s="45"/>
      <c r="F135" s="45"/>
      <c r="G135" s="45"/>
      <c r="H135" s="45"/>
      <c r="I135" s="71"/>
      <c r="J135" s="45"/>
      <c r="K135" s="24"/>
      <c r="L135" s="24"/>
      <c r="M135" s="24"/>
      <c r="N135" s="71"/>
      <c r="O135" s="45"/>
      <c r="P135" s="45"/>
      <c r="Q135" s="45"/>
      <c r="R135" s="45"/>
    </row>
    <row r="136" spans="5:18" ht="12.75">
      <c r="E136" s="45"/>
      <c r="F136" s="9"/>
      <c r="G136" s="45"/>
      <c r="H136" s="9"/>
      <c r="I136" s="30"/>
      <c r="J136" s="45"/>
      <c r="K136" s="25"/>
      <c r="L136" s="24"/>
      <c r="M136" s="25"/>
      <c r="N136" s="71"/>
      <c r="O136" s="45"/>
      <c r="P136" s="45"/>
      <c r="Q136" s="45"/>
      <c r="R136" s="45"/>
    </row>
    <row r="137" spans="3:18" ht="12.75">
      <c r="C137" s="42"/>
      <c r="D137" s="44"/>
      <c r="E137" s="24"/>
      <c r="F137" s="45"/>
      <c r="G137" s="24"/>
      <c r="H137" s="45"/>
      <c r="I137" s="44"/>
      <c r="J137" s="24"/>
      <c r="K137" s="24"/>
      <c r="L137" s="24"/>
      <c r="M137" s="24"/>
      <c r="N137" s="44"/>
      <c r="O137" s="45"/>
      <c r="P137" s="42"/>
      <c r="Q137" s="42"/>
      <c r="R137" s="42"/>
    </row>
    <row r="138" spans="3:18" ht="12.75">
      <c r="C138" s="42"/>
      <c r="D138" s="44"/>
      <c r="E138" s="45"/>
      <c r="G138" s="46"/>
      <c r="I138" s="44"/>
      <c r="J138" s="45"/>
      <c r="K138" s="42"/>
      <c r="L138" s="24"/>
      <c r="M138" s="42"/>
      <c r="N138" s="44"/>
      <c r="O138" s="45"/>
      <c r="P138" s="46"/>
      <c r="Q138" s="46"/>
      <c r="R138" s="46"/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458"/>
  <sheetViews>
    <sheetView tabSelected="1" workbookViewId="0" topLeftCell="B1">
      <selection activeCell="C1" sqref="C1"/>
    </sheetView>
  </sheetViews>
  <sheetFormatPr defaultColWidth="9.140625" defaultRowHeight="12.75"/>
  <cols>
    <col min="1" max="1" width="2.7109375" style="1" hidden="1" customWidth="1"/>
    <col min="2" max="2" width="23.8515625" style="1" customWidth="1"/>
    <col min="3" max="3" width="69.28125" style="1" customWidth="1"/>
    <col min="4" max="4" width="12.7109375" style="1" customWidth="1"/>
    <col min="5" max="16384" width="8.8515625" style="1" customWidth="1"/>
  </cols>
  <sheetData>
    <row r="1" spans="2:12" ht="12.75">
      <c r="B1" s="2" t="s">
        <v>45</v>
      </c>
      <c r="C1" s="35"/>
      <c r="D1" s="9"/>
      <c r="E1" s="9"/>
      <c r="F1" s="9"/>
      <c r="G1" s="9"/>
      <c r="H1" s="9"/>
      <c r="I1" s="9"/>
      <c r="J1" s="9"/>
      <c r="K1" s="9"/>
      <c r="L1" s="9"/>
    </row>
    <row r="2" spans="2:12" ht="12.7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2.75">
      <c r="B3" s="9" t="s">
        <v>203</v>
      </c>
      <c r="C3" s="10">
        <v>313</v>
      </c>
      <c r="D3" s="9"/>
      <c r="E3" s="9"/>
      <c r="F3" s="9"/>
      <c r="G3" s="9"/>
      <c r="H3" s="9"/>
      <c r="I3" s="9"/>
      <c r="J3" s="9"/>
      <c r="K3" s="9"/>
      <c r="L3" s="9"/>
    </row>
    <row r="4" spans="2:12" ht="12.75">
      <c r="B4" s="9" t="s">
        <v>0</v>
      </c>
      <c r="C4" s="35" t="s">
        <v>129</v>
      </c>
      <c r="D4" s="9"/>
      <c r="E4" s="9"/>
      <c r="F4" s="9"/>
      <c r="G4" s="9"/>
      <c r="H4" s="9"/>
      <c r="I4" s="9"/>
      <c r="J4" s="9"/>
      <c r="K4" s="9"/>
      <c r="L4" s="9"/>
    </row>
    <row r="5" spans="2:12" ht="12.75">
      <c r="B5" s="9" t="s">
        <v>1</v>
      </c>
      <c r="C5" s="9" t="s">
        <v>115</v>
      </c>
      <c r="D5" s="9"/>
      <c r="E5" s="9"/>
      <c r="F5" s="9"/>
      <c r="G5" s="9"/>
      <c r="H5" s="9"/>
      <c r="I5" s="9"/>
      <c r="J5" s="9"/>
      <c r="K5" s="9"/>
      <c r="L5" s="9"/>
    </row>
    <row r="6" spans="2:12" ht="12.75"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2:12" ht="12.75">
      <c r="B7" s="9" t="s">
        <v>3</v>
      </c>
      <c r="C7" s="9" t="s">
        <v>130</v>
      </c>
      <c r="D7" s="9"/>
      <c r="E7" s="9"/>
      <c r="F7" s="9"/>
      <c r="G7" s="9"/>
      <c r="H7" s="9"/>
      <c r="I7" s="9"/>
      <c r="J7" s="9"/>
      <c r="K7" s="9"/>
      <c r="L7" s="9"/>
    </row>
    <row r="8" spans="2:12" ht="12.75">
      <c r="B8" s="9" t="s">
        <v>4</v>
      </c>
      <c r="C8" s="9" t="s">
        <v>114</v>
      </c>
      <c r="D8" s="9"/>
      <c r="E8" s="9"/>
      <c r="F8" s="9"/>
      <c r="G8" s="9"/>
      <c r="H8" s="9"/>
      <c r="I8" s="9"/>
      <c r="J8" s="9"/>
      <c r="K8" s="9"/>
      <c r="L8" s="9"/>
    </row>
    <row r="9" spans="2:12" ht="12.75">
      <c r="B9" s="9" t="s">
        <v>5</v>
      </c>
      <c r="C9" s="9" t="s">
        <v>153</v>
      </c>
      <c r="D9" s="9"/>
      <c r="E9" s="9"/>
      <c r="F9" s="9"/>
      <c r="G9" s="9"/>
      <c r="H9" s="9"/>
      <c r="I9" s="9"/>
      <c r="J9" s="9"/>
      <c r="K9" s="9"/>
      <c r="L9" s="9"/>
    </row>
    <row r="10" spans="2:12" ht="12.75">
      <c r="B10" s="9" t="s">
        <v>6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2:12" ht="12.75">
      <c r="B11" s="9" t="s">
        <v>213</v>
      </c>
      <c r="C11" s="10">
        <v>0</v>
      </c>
      <c r="D11" s="9"/>
      <c r="E11" s="9"/>
      <c r="F11" s="9"/>
      <c r="G11" s="9"/>
      <c r="H11" s="9"/>
      <c r="I11" s="9"/>
      <c r="J11" s="9"/>
      <c r="K11" s="9"/>
      <c r="L11" s="9"/>
    </row>
    <row r="12" spans="2:12" ht="12.75">
      <c r="B12" s="9" t="s">
        <v>191</v>
      </c>
      <c r="C12" s="9" t="s">
        <v>227</v>
      </c>
      <c r="D12" s="9"/>
      <c r="E12" s="9"/>
      <c r="F12" s="9"/>
      <c r="G12" s="9"/>
      <c r="H12" s="9"/>
      <c r="I12" s="9"/>
      <c r="J12" s="9"/>
      <c r="K12" s="9"/>
      <c r="L12" s="9"/>
    </row>
    <row r="13" spans="2:12" ht="12.75">
      <c r="B13" s="9" t="s">
        <v>190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2:12" s="29" customFormat="1" ht="12.75">
      <c r="B14" s="28" t="s">
        <v>39</v>
      </c>
      <c r="C14" s="57"/>
      <c r="D14" s="34"/>
      <c r="E14" s="28"/>
      <c r="F14" s="28"/>
      <c r="G14" s="28"/>
      <c r="H14" s="28"/>
      <c r="I14" s="28"/>
      <c r="J14" s="28"/>
      <c r="K14" s="28"/>
      <c r="L14" s="28"/>
    </row>
    <row r="15" spans="2:12" s="29" customFormat="1" ht="12.75">
      <c r="B15" s="28" t="s">
        <v>41</v>
      </c>
      <c r="C15" s="61"/>
      <c r="D15" s="28"/>
      <c r="E15" s="28"/>
      <c r="F15" s="28"/>
      <c r="G15" s="28"/>
      <c r="H15" s="28"/>
      <c r="I15" s="28"/>
      <c r="J15" s="28"/>
      <c r="K15" s="28"/>
      <c r="L15" s="28"/>
    </row>
    <row r="16" spans="2:12" s="29" customFormat="1" ht="12.75">
      <c r="B16" s="9" t="s">
        <v>46</v>
      </c>
      <c r="C16" s="28"/>
      <c r="F16" s="28"/>
      <c r="G16" s="28"/>
      <c r="H16" s="28"/>
      <c r="I16" s="28"/>
      <c r="J16" s="28"/>
      <c r="K16" s="28"/>
      <c r="L16" s="28"/>
    </row>
    <row r="17" spans="2:12" s="29" customFormat="1" ht="12.75">
      <c r="B17" s="9" t="s">
        <v>214</v>
      </c>
      <c r="C17" s="57" t="s">
        <v>131</v>
      </c>
      <c r="D17" s="28"/>
      <c r="E17" s="28"/>
      <c r="F17" s="28"/>
      <c r="G17" s="28"/>
      <c r="H17" s="28"/>
      <c r="I17" s="28"/>
      <c r="J17" s="28"/>
      <c r="K17" s="28"/>
      <c r="L17" s="28"/>
    </row>
    <row r="18" spans="2:12" s="29" customFormat="1" ht="12.75">
      <c r="B18" s="9" t="s">
        <v>215</v>
      </c>
      <c r="C18" s="57" t="s">
        <v>216</v>
      </c>
      <c r="D18" s="28"/>
      <c r="E18" s="28"/>
      <c r="F18" s="28"/>
      <c r="G18" s="28"/>
      <c r="H18" s="28"/>
      <c r="I18" s="28"/>
      <c r="J18" s="28"/>
      <c r="K18" s="28"/>
      <c r="L18" s="28"/>
    </row>
    <row r="19" spans="2:12" ht="25.5">
      <c r="B19" s="28" t="s">
        <v>7</v>
      </c>
      <c r="C19" s="28" t="s">
        <v>196</v>
      </c>
      <c r="D19" s="9"/>
      <c r="E19" s="9"/>
      <c r="F19" s="9"/>
      <c r="G19" s="9"/>
      <c r="H19" s="9"/>
      <c r="I19" s="9"/>
      <c r="J19" s="9"/>
      <c r="K19" s="9"/>
      <c r="L19" s="9"/>
    </row>
    <row r="20" spans="2:12" ht="12.75">
      <c r="B20" s="9" t="s">
        <v>60</v>
      </c>
      <c r="C20" s="1" t="s">
        <v>217</v>
      </c>
      <c r="D20" s="35"/>
      <c r="E20" s="9"/>
      <c r="F20" s="9"/>
      <c r="G20" s="9"/>
      <c r="H20" s="9"/>
      <c r="I20" s="9"/>
      <c r="J20" s="9"/>
      <c r="K20" s="9"/>
      <c r="L20" s="9"/>
    </row>
    <row r="21" spans="2:12" ht="12.75">
      <c r="B21" s="36" t="s">
        <v>47</v>
      </c>
      <c r="C21" s="37" t="s">
        <v>121</v>
      </c>
      <c r="D21" s="9"/>
      <c r="E21" s="9"/>
      <c r="F21" s="9"/>
      <c r="G21" s="9"/>
      <c r="H21" s="9"/>
      <c r="I21" s="9"/>
      <c r="J21" s="9"/>
      <c r="K21" s="9"/>
      <c r="L21" s="9"/>
    </row>
    <row r="22" spans="2:12" ht="12.75">
      <c r="B22" s="9" t="s">
        <v>40</v>
      </c>
      <c r="C22" s="28"/>
      <c r="D22" s="9"/>
      <c r="E22" s="9"/>
      <c r="F22" s="9"/>
      <c r="G22" s="9"/>
      <c r="H22" s="9"/>
      <c r="I22" s="9"/>
      <c r="J22" s="9"/>
      <c r="K22" s="9"/>
      <c r="L22" s="9"/>
    </row>
    <row r="23" spans="2:12" ht="12.7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2:12" ht="12.75">
      <c r="B24" s="9" t="s">
        <v>8</v>
      </c>
      <c r="C24" s="10"/>
      <c r="D24" s="9"/>
      <c r="E24" s="9"/>
      <c r="F24" s="9"/>
      <c r="G24" s="9"/>
      <c r="H24" s="9"/>
      <c r="I24" s="9"/>
      <c r="J24" s="9"/>
      <c r="K24" s="9"/>
      <c r="L24" s="9"/>
    </row>
    <row r="25" spans="2:12" ht="12.75">
      <c r="B25" s="9" t="s">
        <v>9</v>
      </c>
      <c r="C25" s="59">
        <v>4.333121877001313</v>
      </c>
      <c r="D25" s="9"/>
      <c r="E25" s="9"/>
      <c r="F25" s="9"/>
      <c r="G25" s="9"/>
      <c r="H25" s="9"/>
      <c r="I25" s="9"/>
      <c r="J25" s="9"/>
      <c r="K25" s="9"/>
      <c r="L25" s="9"/>
    </row>
    <row r="26" spans="2:12" ht="12.75">
      <c r="B26" s="9" t="s">
        <v>10</v>
      </c>
      <c r="C26" s="59">
        <v>80</v>
      </c>
      <c r="D26" s="9"/>
      <c r="E26" s="9"/>
      <c r="F26" s="9"/>
      <c r="G26" s="9"/>
      <c r="H26" s="9"/>
      <c r="I26" s="9"/>
      <c r="J26" s="9"/>
      <c r="K26" s="9"/>
      <c r="L26" s="9"/>
    </row>
    <row r="27" spans="2:12" ht="12.75">
      <c r="B27" s="9" t="s">
        <v>42</v>
      </c>
      <c r="C27" s="11">
        <v>12.377297036003865</v>
      </c>
      <c r="D27" s="9"/>
      <c r="E27" s="9"/>
      <c r="F27" s="9"/>
      <c r="G27" s="9"/>
      <c r="H27" s="9"/>
      <c r="I27" s="9"/>
      <c r="J27" s="9"/>
      <c r="K27" s="9"/>
      <c r="L27" s="9"/>
    </row>
    <row r="28" spans="2:12" ht="14.25" customHeight="1">
      <c r="B28" s="9" t="s">
        <v>43</v>
      </c>
      <c r="C28" s="11">
        <v>342.1111111111111</v>
      </c>
      <c r="D28" s="9"/>
      <c r="E28" s="9"/>
      <c r="F28" s="9"/>
      <c r="G28" s="9"/>
      <c r="H28" s="9"/>
      <c r="I28" s="9"/>
      <c r="J28" s="9"/>
      <c r="K28" s="9"/>
      <c r="L28" s="9"/>
    </row>
    <row r="29" spans="2:12" ht="12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2.75">
      <c r="B30" s="36" t="s">
        <v>11</v>
      </c>
      <c r="C30" s="37" t="s">
        <v>142</v>
      </c>
      <c r="D30" s="9"/>
      <c r="E30" s="9"/>
      <c r="F30" s="9"/>
      <c r="G30" s="9"/>
      <c r="H30" s="9"/>
      <c r="I30" s="9"/>
      <c r="J30" s="9"/>
      <c r="K30" s="9"/>
      <c r="L30" s="9"/>
    </row>
    <row r="31" spans="2:12" ht="12.75">
      <c r="B31" s="9" t="s">
        <v>57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2:12" ht="14.2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57" spans="2:12" ht="12.7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2:12" ht="12.7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2:12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2:12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2:12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2:12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2:12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2:12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2:12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2:12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2:12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2:12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2:12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2:12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2:12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2:12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2:12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2:12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2:12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2:12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2:12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2:12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2:12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2:12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2:12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2:12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2:12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2:12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2:12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2:12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2:12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2:12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2:12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2:12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2:12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2:12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2:12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2:12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2:12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2:12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2:12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2:12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2:12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2:12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2:12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2:12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2:12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2:12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2:12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2:12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2:12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2:12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2:12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2:12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2:12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2:12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2:12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2:12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2:12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2:12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2:12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2:12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2:12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2:12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2:12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2:12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2:12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2:12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2:12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2:12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2:12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2:12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2:12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2:12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2:12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2:12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2:12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2:12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2:12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2:12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2:12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2:12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2:12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2:12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2:12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2:12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2:12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2:12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2:12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2:12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2:12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2:12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2:12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2:12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2:12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2:12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2:12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2:12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2:12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2:12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2:12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2:12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2:12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2:12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2:12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2:12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2:12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2:12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2:12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2:12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2:12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2:12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2:12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2:12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2:12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2:12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2:12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2:12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2:12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2:12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2:12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2:12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2:12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2:12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2:12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2:12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2:12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2:12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2:12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2:12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2:12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2:12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2:12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2:12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2:12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2:12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2:12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2:12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2:12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2:12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2:12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2:12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2:12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2:12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2:12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2:12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2:12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2:12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2:12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2:12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2:12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2:12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2:12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2:12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2:12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2:12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2:12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2:12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2:12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2:12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2:12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2:12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2:12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2:12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2:12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2:12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2:12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2:12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2:12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2:12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2:12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2:12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2:12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2:12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2:12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2:12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2:12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2:12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2:12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2:12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2:12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2:12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2:12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2:12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2:12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2:12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2:12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2:12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2:12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2:12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2:12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2:12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2:12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2:12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2:12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2:12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2:12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2:12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2:12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2:12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2:12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2:12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2:12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2:12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2:12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2:12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2:12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2:12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2:12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2:12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2:12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2:12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2:12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2:12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2:12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2:12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2:12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2:12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2:12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2:12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2:12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2:12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2:12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2:12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2:12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2:12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2:12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2:12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2:12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2:12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2:12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2:12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2:12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2:12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2:12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2:12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2:12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2:12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2:12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2:12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2:12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2:12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2:12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2:12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2:12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2:12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</row>
    <row r="303" spans="2:12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</row>
    <row r="304" spans="2:12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</row>
    <row r="305" spans="2:12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</row>
    <row r="306" spans="2:12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</row>
    <row r="307" spans="2:12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</row>
    <row r="308" spans="2:12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</row>
    <row r="309" spans="2:12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</row>
    <row r="310" spans="2:12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</row>
    <row r="311" spans="2:12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</row>
    <row r="312" spans="2:12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2:12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</row>
    <row r="314" spans="2:12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</row>
    <row r="315" spans="2:12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</row>
    <row r="316" spans="2:12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</row>
    <row r="317" spans="2:12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</row>
    <row r="318" spans="2:12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2:12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</row>
    <row r="320" spans="2:12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</row>
    <row r="321" spans="2:12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</row>
    <row r="322" spans="2:12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</row>
    <row r="323" spans="2:12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</row>
    <row r="324" spans="2:12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</row>
    <row r="325" spans="2:12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</row>
    <row r="326" spans="2:12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</row>
    <row r="327" spans="2:12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</row>
    <row r="328" spans="2:12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</row>
    <row r="329" spans="2:12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</row>
    <row r="330" spans="2:12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</row>
    <row r="331" spans="2:12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</row>
    <row r="332" spans="2:12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</row>
    <row r="333" spans="2:12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</row>
    <row r="334" spans="2:12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</row>
    <row r="335" spans="2:12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</row>
    <row r="336" spans="2:12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</row>
    <row r="337" spans="2:12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2:12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2:12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</row>
    <row r="340" spans="2:12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</row>
    <row r="341" spans="2:12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</row>
    <row r="342" spans="2:12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2:12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2:12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</row>
    <row r="345" spans="2:12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</row>
    <row r="346" spans="2:12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</row>
    <row r="347" spans="2:12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</row>
    <row r="348" spans="2:12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</row>
    <row r="349" spans="2:12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</row>
    <row r="350" spans="2:12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</row>
    <row r="351" spans="2:12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</row>
    <row r="352" spans="2:12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</row>
    <row r="353" spans="2:12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</row>
    <row r="354" spans="2:12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</row>
    <row r="355" spans="2:12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</row>
    <row r="356" spans="2:12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</row>
    <row r="357" spans="2:12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</row>
    <row r="358" spans="2:12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</row>
    <row r="359" spans="2:12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</row>
    <row r="360" spans="2:12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</row>
    <row r="361" spans="2:12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</row>
    <row r="362" spans="2:12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</row>
    <row r="363" spans="2:12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</row>
    <row r="364" spans="2:12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</row>
    <row r="365" spans="2:12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</row>
    <row r="366" spans="2:12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</row>
    <row r="367" spans="2:12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</row>
    <row r="368" spans="2:12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</row>
    <row r="369" spans="2:12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</row>
    <row r="370" spans="2:12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</row>
    <row r="371" spans="2:12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</row>
    <row r="372" spans="2:12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</row>
    <row r="373" spans="2:12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</row>
    <row r="374" spans="2:12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</row>
    <row r="375" spans="2:12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</row>
    <row r="376" spans="2:12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</row>
    <row r="377" spans="2:12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</row>
    <row r="378" spans="2:12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</row>
    <row r="379" spans="2:12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</row>
    <row r="380" spans="2:12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</row>
    <row r="381" spans="2:12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</row>
    <row r="382" spans="2:12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</row>
    <row r="383" spans="2:12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</row>
    <row r="384" spans="2:12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</row>
    <row r="385" spans="2:12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</row>
    <row r="386" spans="2:12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</row>
    <row r="387" spans="2:12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</row>
    <row r="388" spans="2:12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</row>
    <row r="389" spans="2:12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</row>
    <row r="390" spans="2:12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</row>
    <row r="391" spans="2:12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</row>
    <row r="392" spans="2:12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</row>
    <row r="393" spans="2:12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</row>
    <row r="394" spans="2:12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</row>
    <row r="395" spans="2:12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</row>
    <row r="396" spans="2:12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</row>
    <row r="397" spans="2:12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</row>
    <row r="398" spans="2:12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</row>
    <row r="399" spans="2:12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</row>
    <row r="400" spans="2:12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</row>
    <row r="401" spans="2:12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</row>
    <row r="402" spans="2:12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</row>
    <row r="403" spans="2:12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</row>
    <row r="404" spans="2:12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</row>
    <row r="405" spans="2:12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</row>
    <row r="406" spans="2:12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</row>
    <row r="407" spans="2:12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</row>
    <row r="408" spans="2:12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</row>
    <row r="409" spans="2:12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</row>
    <row r="410" spans="2:12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</row>
    <row r="411" spans="2:12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</row>
    <row r="412" spans="2:12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</row>
    <row r="413" spans="2:12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</row>
    <row r="414" spans="2:12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</row>
    <row r="415" spans="2:12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</row>
    <row r="416" spans="2:12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</row>
    <row r="417" spans="2:12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</row>
    <row r="418" spans="2:12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</row>
    <row r="419" spans="2:12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</row>
    <row r="420" spans="2:12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</row>
    <row r="421" spans="2:12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</row>
    <row r="422" spans="2:12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</row>
    <row r="423" spans="2:12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</row>
    <row r="424" spans="2:12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</row>
    <row r="425" spans="2:12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</row>
    <row r="426" spans="2:12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</row>
    <row r="427" spans="2:12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</row>
    <row r="428" spans="2:12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</row>
    <row r="429" spans="2:12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</row>
    <row r="430" spans="2:12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</row>
    <row r="431" spans="2:12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</row>
    <row r="432" spans="2:12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</row>
    <row r="433" spans="2:12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</row>
    <row r="434" spans="2:12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</row>
    <row r="435" spans="2:12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</row>
    <row r="436" spans="2:12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</row>
    <row r="437" spans="2:12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</row>
    <row r="438" spans="2:12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</row>
    <row r="439" spans="2:12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</row>
    <row r="440" spans="2:12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</row>
    <row r="441" spans="2:12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</row>
    <row r="442" spans="2:12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</row>
    <row r="443" spans="2:12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</row>
    <row r="444" spans="2:12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</row>
    <row r="445" spans="2:12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</row>
    <row r="446" spans="2:12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</row>
    <row r="447" spans="2:12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</row>
    <row r="448" spans="2:12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</row>
    <row r="449" spans="2:12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</row>
    <row r="450" spans="2:12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</row>
    <row r="451" spans="2:12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</row>
    <row r="452" spans="2:12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</row>
    <row r="453" spans="2:12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</row>
    <row r="454" spans="2:12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</row>
    <row r="455" spans="2:12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</row>
    <row r="456" spans="2:12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</row>
    <row r="457" spans="2:12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</row>
    <row r="458" spans="2:12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B1">
      <selection activeCell="B2" sqref="B2"/>
    </sheetView>
  </sheetViews>
  <sheetFormatPr defaultColWidth="9.140625" defaultRowHeight="12.75"/>
  <cols>
    <col min="1" max="1" width="2.140625" style="0" hidden="1" customWidth="1"/>
    <col min="2" max="2" width="21.00390625" style="0" customWidth="1"/>
    <col min="3" max="3" width="62.00390625" style="85" customWidth="1"/>
  </cols>
  <sheetData>
    <row r="1" ht="12.75">
      <c r="B1" s="2" t="s">
        <v>189</v>
      </c>
    </row>
    <row r="3" spans="2:12" s="1" customFormat="1" ht="12.75">
      <c r="B3" s="2" t="s">
        <v>150</v>
      </c>
      <c r="C3" s="9"/>
      <c r="D3" s="33"/>
      <c r="E3" s="9"/>
      <c r="F3" s="9"/>
      <c r="G3" s="9"/>
      <c r="H3" s="9"/>
      <c r="I3" s="9"/>
      <c r="J3" s="9"/>
      <c r="K3" s="9"/>
      <c r="L3" s="9"/>
    </row>
    <row r="4" spans="2:12" s="1" customFormat="1" ht="12.75">
      <c r="B4" s="2"/>
      <c r="C4" s="9"/>
      <c r="D4" s="33"/>
      <c r="E4" s="9"/>
      <c r="F4" s="9"/>
      <c r="G4" s="9"/>
      <c r="H4" s="9"/>
      <c r="I4" s="9"/>
      <c r="J4" s="9"/>
      <c r="K4" s="9"/>
      <c r="L4" s="9"/>
    </row>
    <row r="5" spans="2:12" s="1" customFormat="1" ht="38.25">
      <c r="B5" s="73" t="s">
        <v>174</v>
      </c>
      <c r="C5" s="48" t="s">
        <v>133</v>
      </c>
      <c r="D5" s="9"/>
      <c r="E5" s="9"/>
      <c r="F5" s="9"/>
      <c r="G5" s="9"/>
      <c r="H5" s="9"/>
      <c r="I5" s="9"/>
      <c r="J5" s="9"/>
      <c r="K5" s="9"/>
      <c r="L5" s="9"/>
    </row>
    <row r="6" spans="2:12" s="1" customFormat="1" ht="12.75">
      <c r="B6" s="9" t="s">
        <v>185</v>
      </c>
      <c r="C6" s="9" t="s">
        <v>116</v>
      </c>
      <c r="D6" s="33"/>
      <c r="E6" s="9"/>
      <c r="F6" s="9"/>
      <c r="G6" s="9"/>
      <c r="H6" s="9"/>
      <c r="I6" s="9"/>
      <c r="J6" s="9"/>
      <c r="K6" s="9"/>
      <c r="L6" s="9"/>
    </row>
    <row r="7" spans="2:12" s="1" customFormat="1" ht="12.75">
      <c r="B7" s="9" t="s">
        <v>176</v>
      </c>
      <c r="C7" s="9" t="s">
        <v>117</v>
      </c>
      <c r="D7" s="9"/>
      <c r="E7" s="9"/>
      <c r="F7" s="9"/>
      <c r="G7" s="9"/>
      <c r="H7" s="9"/>
      <c r="I7" s="9"/>
      <c r="J7" s="9"/>
      <c r="K7" s="9"/>
      <c r="L7" s="9"/>
    </row>
    <row r="8" spans="2:12" s="1" customFormat="1" ht="12.75">
      <c r="B8" s="9" t="s">
        <v>186</v>
      </c>
      <c r="C8" s="12" t="s">
        <v>212</v>
      </c>
      <c r="D8" s="9"/>
      <c r="E8" s="9"/>
      <c r="F8" s="9"/>
      <c r="G8" s="9"/>
      <c r="H8" s="9"/>
      <c r="I8" s="9"/>
      <c r="J8" s="9"/>
      <c r="K8" s="9"/>
      <c r="L8" s="9"/>
    </row>
    <row r="9" spans="2:12" s="1" customFormat="1" ht="12.75">
      <c r="B9" s="9" t="s">
        <v>211</v>
      </c>
      <c r="C9" s="95">
        <v>36495</v>
      </c>
      <c r="D9" s="9"/>
      <c r="E9" s="9"/>
      <c r="F9" s="9"/>
      <c r="G9" s="9"/>
      <c r="H9" s="9"/>
      <c r="I9" s="9"/>
      <c r="J9" s="9"/>
      <c r="K9" s="9"/>
      <c r="L9" s="9"/>
    </row>
    <row r="10" spans="2:12" s="1" customFormat="1" ht="12.75">
      <c r="B10" s="9" t="s">
        <v>187</v>
      </c>
      <c r="C10" s="31" t="s">
        <v>123</v>
      </c>
      <c r="D10" s="9"/>
      <c r="E10" s="9"/>
      <c r="F10" s="9"/>
      <c r="G10" s="9"/>
      <c r="H10" s="9"/>
      <c r="I10" s="9"/>
      <c r="J10" s="9"/>
      <c r="K10" s="9"/>
      <c r="L10" s="9"/>
    </row>
    <row r="11" spans="2:12" s="1" customFormat="1" ht="12.75">
      <c r="B11" s="9" t="s">
        <v>188</v>
      </c>
      <c r="C11" s="12" t="s">
        <v>148</v>
      </c>
      <c r="D11" s="9"/>
      <c r="E11" s="9"/>
      <c r="F11" s="9"/>
      <c r="G11" s="9"/>
      <c r="H11" s="9"/>
      <c r="I11" s="9"/>
      <c r="J11" s="9"/>
      <c r="K11" s="9"/>
      <c r="L11" s="9"/>
    </row>
    <row r="12" spans="2:12" s="1" customFormat="1" ht="12.75">
      <c r="B12" s="9"/>
      <c r="C12" s="12"/>
      <c r="D12" s="9"/>
      <c r="E12" s="9"/>
      <c r="F12" s="9"/>
      <c r="G12" s="9"/>
      <c r="H12" s="9"/>
      <c r="I12" s="9"/>
      <c r="J12" s="9"/>
      <c r="K12" s="9"/>
      <c r="L12" s="9"/>
    </row>
    <row r="13" spans="2:12" s="1" customFormat="1" ht="12.75">
      <c r="B13" s="2" t="s">
        <v>151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2:12" s="1" customFormat="1" ht="12.75">
      <c r="B14" s="2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2:12" s="74" customFormat="1" ht="38.25">
      <c r="B15" s="73" t="s">
        <v>174</v>
      </c>
      <c r="C15" s="57" t="s">
        <v>159</v>
      </c>
      <c r="D15" s="73"/>
      <c r="E15" s="73"/>
      <c r="F15" s="73"/>
      <c r="G15" s="73"/>
      <c r="H15" s="73"/>
      <c r="I15" s="73"/>
      <c r="J15" s="73"/>
      <c r="K15" s="73"/>
      <c r="L15" s="73"/>
    </row>
    <row r="16" spans="2:12" s="1" customFormat="1" ht="12.75">
      <c r="B16" s="9" t="s">
        <v>185</v>
      </c>
      <c r="C16" s="9" t="s">
        <v>116</v>
      </c>
      <c r="D16" s="9"/>
      <c r="E16" s="9"/>
      <c r="F16" s="9"/>
      <c r="G16" s="9"/>
      <c r="H16" s="9"/>
      <c r="I16" s="9"/>
      <c r="J16" s="9"/>
      <c r="K16" s="9"/>
      <c r="L16" s="9"/>
    </row>
    <row r="17" spans="2:12" s="1" customFormat="1" ht="12.75">
      <c r="B17" s="9" t="s">
        <v>176</v>
      </c>
      <c r="C17" s="9" t="s">
        <v>117</v>
      </c>
      <c r="D17" s="9"/>
      <c r="E17" s="9"/>
      <c r="F17" s="9"/>
      <c r="G17" s="9"/>
      <c r="H17" s="9"/>
      <c r="I17" s="9"/>
      <c r="J17" s="9"/>
      <c r="K17" s="9"/>
      <c r="L17" s="9"/>
    </row>
    <row r="18" spans="2:12" s="1" customFormat="1" ht="12.75">
      <c r="B18" s="9" t="s">
        <v>186</v>
      </c>
      <c r="C18" s="12" t="s">
        <v>161</v>
      </c>
      <c r="D18" s="9"/>
      <c r="E18" s="9"/>
      <c r="F18" s="9"/>
      <c r="G18" s="9"/>
      <c r="H18" s="9"/>
      <c r="I18" s="9"/>
      <c r="J18" s="9"/>
      <c r="K18" s="9"/>
      <c r="L18" s="9"/>
    </row>
    <row r="19" spans="2:12" s="1" customFormat="1" ht="12.75">
      <c r="B19" s="9" t="s">
        <v>211</v>
      </c>
      <c r="C19" s="95">
        <v>36281</v>
      </c>
      <c r="D19" s="9"/>
      <c r="E19" s="9"/>
      <c r="F19" s="9"/>
      <c r="G19" s="9"/>
      <c r="H19" s="9"/>
      <c r="I19" s="9"/>
      <c r="J19" s="9"/>
      <c r="K19" s="9"/>
      <c r="L19" s="9"/>
    </row>
    <row r="20" spans="2:12" s="1" customFormat="1" ht="12.75">
      <c r="B20" s="9" t="s">
        <v>187</v>
      </c>
      <c r="C20" s="31" t="s">
        <v>160</v>
      </c>
      <c r="D20" s="9"/>
      <c r="E20" s="9"/>
      <c r="F20" s="9"/>
      <c r="G20" s="9"/>
      <c r="H20" s="9"/>
      <c r="I20" s="9"/>
      <c r="J20" s="9"/>
      <c r="K20" s="9"/>
      <c r="L20" s="9"/>
    </row>
    <row r="21" spans="2:12" s="1" customFormat="1" ht="12.75">
      <c r="B21" s="9" t="s">
        <v>188</v>
      </c>
      <c r="C21" s="12" t="s">
        <v>149</v>
      </c>
      <c r="D21" s="9"/>
      <c r="E21" s="9"/>
      <c r="F21" s="9"/>
      <c r="G21" s="9"/>
      <c r="H21" s="9"/>
      <c r="I21" s="9"/>
      <c r="J21" s="9"/>
      <c r="K21" s="9"/>
      <c r="L21" s="9"/>
    </row>
    <row r="22" spans="2:12" s="1" customFormat="1" ht="12.75">
      <c r="B22" s="22"/>
      <c r="C22" s="54"/>
      <c r="D22" s="9"/>
      <c r="E22" s="9"/>
      <c r="F22" s="9"/>
      <c r="G22" s="9"/>
      <c r="H22" s="9"/>
      <c r="I22" s="9"/>
      <c r="J22" s="9"/>
      <c r="K22" s="9"/>
      <c r="L22" s="9"/>
    </row>
    <row r="23" spans="2:12" s="1" customFormat="1" ht="12.75">
      <c r="B23" s="40" t="s">
        <v>166</v>
      </c>
      <c r="C23" s="58"/>
      <c r="D23" s="9"/>
      <c r="E23" s="9"/>
      <c r="F23" s="9"/>
      <c r="G23" s="9"/>
      <c r="H23" s="9"/>
      <c r="I23" s="9"/>
      <c r="J23" s="9"/>
      <c r="K23" s="9"/>
      <c r="L23" s="9"/>
    </row>
    <row r="24" spans="2:12" s="1" customFormat="1" ht="12.75">
      <c r="B24" s="40"/>
      <c r="C24" s="58"/>
      <c r="D24" s="9"/>
      <c r="E24" s="9"/>
      <c r="F24" s="9"/>
      <c r="G24" s="9"/>
      <c r="H24" s="9"/>
      <c r="I24" s="9"/>
      <c r="J24" s="9"/>
      <c r="K24" s="9"/>
      <c r="L24" s="9"/>
    </row>
    <row r="25" spans="2:12" s="1" customFormat="1" ht="38.25">
      <c r="B25" s="73" t="s">
        <v>174</v>
      </c>
      <c r="C25" s="57" t="s">
        <v>159</v>
      </c>
      <c r="D25" s="9"/>
      <c r="E25" s="9"/>
      <c r="F25" s="9"/>
      <c r="G25" s="9"/>
      <c r="H25" s="9"/>
      <c r="I25" s="9"/>
      <c r="J25" s="9"/>
      <c r="K25" s="9"/>
      <c r="L25" s="9"/>
    </row>
    <row r="26" spans="2:12" s="1" customFormat="1" ht="12.75">
      <c r="B26" s="9" t="s">
        <v>185</v>
      </c>
      <c r="C26" s="9" t="s">
        <v>116</v>
      </c>
      <c r="D26" s="9"/>
      <c r="E26" s="9"/>
      <c r="F26" s="9"/>
      <c r="G26" s="9"/>
      <c r="H26" s="9"/>
      <c r="I26" s="9"/>
      <c r="J26" s="9"/>
      <c r="K26" s="9"/>
      <c r="L26" s="9"/>
    </row>
    <row r="27" spans="2:12" s="1" customFormat="1" ht="12.75">
      <c r="B27" s="9" t="s">
        <v>176</v>
      </c>
      <c r="C27" s="9" t="s">
        <v>117</v>
      </c>
      <c r="D27" s="9"/>
      <c r="E27" s="9"/>
      <c r="F27" s="9"/>
      <c r="G27" s="9"/>
      <c r="H27" s="9"/>
      <c r="I27" s="9"/>
      <c r="J27" s="9"/>
      <c r="K27" s="9"/>
      <c r="L27" s="9"/>
    </row>
    <row r="28" spans="2:12" s="1" customFormat="1" ht="12.75">
      <c r="B28" s="9" t="s">
        <v>186</v>
      </c>
      <c r="C28" s="12">
        <v>36286</v>
      </c>
      <c r="D28" s="9"/>
      <c r="E28" s="9"/>
      <c r="F28" s="9"/>
      <c r="G28" s="9"/>
      <c r="H28" s="9"/>
      <c r="I28" s="9"/>
      <c r="J28" s="9"/>
      <c r="K28" s="9"/>
      <c r="L28" s="9"/>
    </row>
    <row r="29" spans="2:12" s="1" customFormat="1" ht="12.75">
      <c r="B29" s="9" t="s">
        <v>211</v>
      </c>
      <c r="C29" s="95">
        <v>36281</v>
      </c>
      <c r="D29" s="9"/>
      <c r="E29" s="9"/>
      <c r="F29" s="9"/>
      <c r="G29" s="9"/>
      <c r="H29" s="9"/>
      <c r="I29" s="9"/>
      <c r="J29" s="9"/>
      <c r="K29" s="9"/>
      <c r="L29" s="9"/>
    </row>
    <row r="30" spans="2:12" s="1" customFormat="1" ht="12.75">
      <c r="B30" s="9" t="s">
        <v>187</v>
      </c>
      <c r="C30" s="31" t="s">
        <v>162</v>
      </c>
      <c r="D30" s="9"/>
      <c r="E30" s="9"/>
      <c r="F30" s="9"/>
      <c r="G30" s="9"/>
      <c r="H30" s="9"/>
      <c r="I30" s="9"/>
      <c r="J30" s="9"/>
      <c r="K30" s="9"/>
      <c r="L30" s="9"/>
    </row>
    <row r="31" spans="2:12" s="1" customFormat="1" ht="12.75">
      <c r="B31" s="9" t="s">
        <v>188</v>
      </c>
      <c r="C31" s="12" t="s">
        <v>163</v>
      </c>
      <c r="D31" s="9"/>
      <c r="E31" s="9"/>
      <c r="F31" s="9"/>
      <c r="G31" s="9"/>
      <c r="H31" s="9"/>
      <c r="I31" s="9"/>
      <c r="J31" s="9"/>
      <c r="K31" s="9"/>
      <c r="L31" s="9"/>
    </row>
    <row r="32" spans="2:12" s="1" customFormat="1" ht="12.75">
      <c r="B32" s="22"/>
      <c r="C32" s="22"/>
      <c r="D32" s="9"/>
      <c r="E32" s="9"/>
      <c r="F32" s="9"/>
      <c r="G32" s="9"/>
      <c r="H32" s="9"/>
      <c r="I32" s="9"/>
      <c r="J32" s="9"/>
      <c r="K32" s="9"/>
      <c r="L32" s="9"/>
    </row>
    <row r="33" ht="12.75">
      <c r="B33" s="2" t="s">
        <v>173</v>
      </c>
    </row>
    <row r="35" spans="2:3" ht="38.25">
      <c r="B35" s="86" t="s">
        <v>174</v>
      </c>
      <c r="C35" s="94" t="s">
        <v>206</v>
      </c>
    </row>
    <row r="36" spans="2:3" ht="12.75">
      <c r="B36" t="s">
        <v>175</v>
      </c>
      <c r="C36" s="85" t="s">
        <v>207</v>
      </c>
    </row>
    <row r="37" spans="2:3" ht="12.75">
      <c r="B37" t="s">
        <v>176</v>
      </c>
      <c r="C37" s="85" t="s">
        <v>207</v>
      </c>
    </row>
    <row r="38" spans="1:3" ht="12.75">
      <c r="A38" t="s">
        <v>173</v>
      </c>
      <c r="B38" t="s">
        <v>177</v>
      </c>
      <c r="C38" s="85" t="s">
        <v>178</v>
      </c>
    </row>
    <row r="39" ht="12.75">
      <c r="B39" s="9" t="s">
        <v>186</v>
      </c>
    </row>
    <row r="40" spans="2:3" ht="12.75">
      <c r="B40" s="9" t="s">
        <v>211</v>
      </c>
      <c r="C40" s="96">
        <v>33824</v>
      </c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14"/>
  <sheetViews>
    <sheetView workbookViewId="0" topLeftCell="B1">
      <selection activeCell="B2" sqref="B2"/>
    </sheetView>
  </sheetViews>
  <sheetFormatPr defaultColWidth="9.140625" defaultRowHeight="12.75"/>
  <cols>
    <col min="1" max="1" width="4.140625" style="14" hidden="1" customWidth="1"/>
    <col min="2" max="2" width="19.8515625" style="14" customWidth="1"/>
    <col min="3" max="3" width="11.57421875" style="14" customWidth="1"/>
    <col min="4" max="4" width="8.7109375" style="4" customWidth="1"/>
    <col min="5" max="5" width="4.8515625" style="4" customWidth="1"/>
    <col min="6" max="6" width="2.7109375" style="4" customWidth="1"/>
    <col min="7" max="7" width="10.28125" style="14" customWidth="1"/>
    <col min="8" max="8" width="2.7109375" style="14" customWidth="1"/>
    <col min="9" max="9" width="10.140625" style="15" customWidth="1"/>
    <col min="10" max="10" width="2.57421875" style="14" customWidth="1"/>
    <col min="11" max="11" width="10.421875" style="14" customWidth="1"/>
    <col min="12" max="12" width="2.57421875" style="14" customWidth="1"/>
    <col min="13" max="13" width="10.57421875" style="14" customWidth="1"/>
    <col min="14" max="14" width="2.140625" style="14" customWidth="1"/>
    <col min="15" max="15" width="8.8515625" style="14" customWidth="1"/>
    <col min="16" max="16" width="2.140625" style="14" customWidth="1"/>
    <col min="17" max="16384" width="8.8515625" style="14" customWidth="1"/>
  </cols>
  <sheetData>
    <row r="1" spans="2:5" ht="12.75">
      <c r="B1" s="13" t="s">
        <v>192</v>
      </c>
      <c r="C1" s="13"/>
      <c r="E1" s="32"/>
    </row>
    <row r="2" spans="2:5" ht="12.75">
      <c r="B2" s="13"/>
      <c r="C2" s="13"/>
      <c r="E2" s="32"/>
    </row>
    <row r="3" spans="2:5" ht="12.75">
      <c r="B3" s="13"/>
      <c r="C3" s="13"/>
      <c r="E3" s="32"/>
    </row>
    <row r="4" spans="1:13" ht="12.75">
      <c r="A4" s="16">
        <v>10</v>
      </c>
      <c r="B4" s="13" t="s">
        <v>150</v>
      </c>
      <c r="C4" s="14" t="s">
        <v>109</v>
      </c>
      <c r="G4" s="16" t="s">
        <v>170</v>
      </c>
      <c r="H4" s="16"/>
      <c r="I4" s="16" t="s">
        <v>171</v>
      </c>
      <c r="J4" s="16"/>
      <c r="K4" s="16" t="s">
        <v>172</v>
      </c>
      <c r="M4" s="16" t="s">
        <v>169</v>
      </c>
    </row>
    <row r="5" spans="3:6" ht="12.75">
      <c r="C5" s="23"/>
      <c r="D5" s="16"/>
      <c r="E5" s="70"/>
      <c r="F5" s="14"/>
    </row>
    <row r="6" spans="2:13" ht="12.75">
      <c r="B6" s="4" t="s">
        <v>13</v>
      </c>
      <c r="C6" s="4" t="s">
        <v>208</v>
      </c>
      <c r="D6" s="4" t="s">
        <v>14</v>
      </c>
      <c r="E6" s="4" t="s">
        <v>15</v>
      </c>
      <c r="F6" s="16"/>
      <c r="G6">
        <v>0.00746</v>
      </c>
      <c r="H6"/>
      <c r="I6">
        <v>0.0214</v>
      </c>
      <c r="J6"/>
      <c r="K6">
        <v>0.0146</v>
      </c>
      <c r="M6" s="64">
        <f aca="true" t="shared" si="0" ref="M6:M14">AVERAGE(K6,I6,G6)</f>
        <v>0.014486666666666667</v>
      </c>
    </row>
    <row r="7" spans="2:13" ht="12.75">
      <c r="B7" s="4" t="s">
        <v>145</v>
      </c>
      <c r="C7" s="4" t="s">
        <v>208</v>
      </c>
      <c r="D7" s="4" t="s">
        <v>16</v>
      </c>
      <c r="E7" s="4" t="s">
        <v>15</v>
      </c>
      <c r="F7" s="16"/>
      <c r="G7">
        <v>3.05</v>
      </c>
      <c r="H7"/>
      <c r="I7">
        <v>0.94</v>
      </c>
      <c r="J7"/>
      <c r="K7">
        <v>12.43</v>
      </c>
      <c r="M7" s="18">
        <f t="shared" si="0"/>
        <v>5.473333333333333</v>
      </c>
    </row>
    <row r="8" spans="2:13" ht="12.75">
      <c r="B8" s="4" t="s">
        <v>146</v>
      </c>
      <c r="C8" s="4" t="s">
        <v>208</v>
      </c>
      <c r="D8" s="4" t="s">
        <v>16</v>
      </c>
      <c r="E8" s="4" t="s">
        <v>15</v>
      </c>
      <c r="F8" s="16"/>
      <c r="G8">
        <v>4.66</v>
      </c>
      <c r="H8"/>
      <c r="I8">
        <v>2.75</v>
      </c>
      <c r="J8"/>
      <c r="K8">
        <v>20.44</v>
      </c>
      <c r="M8" s="18">
        <f t="shared" si="0"/>
        <v>9.283333333333333</v>
      </c>
    </row>
    <row r="9" spans="2:13" ht="12.75">
      <c r="B9" s="4" t="s">
        <v>132</v>
      </c>
      <c r="C9" s="4" t="s">
        <v>208</v>
      </c>
      <c r="D9" s="4" t="s">
        <v>16</v>
      </c>
      <c r="E9" s="4" t="s">
        <v>15</v>
      </c>
      <c r="F9" s="16"/>
      <c r="G9">
        <v>0.1</v>
      </c>
      <c r="H9"/>
      <c r="I9">
        <v>0.1</v>
      </c>
      <c r="J9"/>
      <c r="K9">
        <v>0.1</v>
      </c>
      <c r="M9" s="18">
        <f t="shared" si="0"/>
        <v>0.10000000000000002</v>
      </c>
    </row>
    <row r="10" spans="2:13" ht="12.75">
      <c r="B10" s="4" t="s">
        <v>156</v>
      </c>
      <c r="C10" s="4" t="s">
        <v>208</v>
      </c>
      <c r="D10" s="4" t="s">
        <v>16</v>
      </c>
      <c r="E10" s="4" t="s">
        <v>15</v>
      </c>
      <c r="F10" s="16"/>
      <c r="G10">
        <v>0.2</v>
      </c>
      <c r="H10"/>
      <c r="I10">
        <v>0.3</v>
      </c>
      <c r="J10"/>
      <c r="K10">
        <v>0.3</v>
      </c>
      <c r="M10" s="18">
        <f t="shared" si="0"/>
        <v>0.26666666666666666</v>
      </c>
    </row>
    <row r="11" spans="2:13" ht="12.75">
      <c r="B11" s="4"/>
      <c r="C11" s="4"/>
      <c r="F11" s="16"/>
      <c r="G11"/>
      <c r="H11"/>
      <c r="I11"/>
      <c r="J11"/>
      <c r="K11"/>
      <c r="M11" s="18"/>
    </row>
    <row r="12" spans="2:13" ht="12.75">
      <c r="B12" s="4" t="s">
        <v>24</v>
      </c>
      <c r="C12" s="4" t="s">
        <v>208</v>
      </c>
      <c r="D12" s="4" t="s">
        <v>16</v>
      </c>
      <c r="E12" s="4" t="s">
        <v>15</v>
      </c>
      <c r="F12" s="16"/>
      <c r="G12">
        <v>1208</v>
      </c>
      <c r="H12"/>
      <c r="I12">
        <v>1195</v>
      </c>
      <c r="J12"/>
      <c r="K12">
        <v>1189</v>
      </c>
      <c r="L12" s="19"/>
      <c r="M12" s="18">
        <f t="shared" si="0"/>
        <v>1197.3333333333333</v>
      </c>
    </row>
    <row r="13" spans="2:13" ht="12.75">
      <c r="B13" s="4" t="s">
        <v>25</v>
      </c>
      <c r="C13" s="4" t="s">
        <v>208</v>
      </c>
      <c r="D13" s="4" t="s">
        <v>16</v>
      </c>
      <c r="E13" s="4" t="s">
        <v>15</v>
      </c>
      <c r="F13" s="16"/>
      <c r="G13">
        <v>2.13</v>
      </c>
      <c r="H13"/>
      <c r="I13">
        <v>1.37</v>
      </c>
      <c r="J13"/>
      <c r="K13">
        <v>8.43</v>
      </c>
      <c r="L13" s="19"/>
      <c r="M13" s="50">
        <f t="shared" si="0"/>
        <v>3.9766666666666666</v>
      </c>
    </row>
    <row r="14" spans="2:13" ht="12.75">
      <c r="B14" s="4" t="s">
        <v>53</v>
      </c>
      <c r="C14" s="4" t="s">
        <v>208</v>
      </c>
      <c r="D14" s="4" t="s">
        <v>16</v>
      </c>
      <c r="E14" s="4" t="s">
        <v>15</v>
      </c>
      <c r="F14" s="16"/>
      <c r="G14" s="69">
        <f>G12+2*G13</f>
        <v>1212.26</v>
      </c>
      <c r="H14"/>
      <c r="I14" s="69">
        <f>I12+2*I13</f>
        <v>1197.74</v>
      </c>
      <c r="J14"/>
      <c r="K14" s="69">
        <f>K12+2*K13</f>
        <v>1205.86</v>
      </c>
      <c r="L14" s="19"/>
      <c r="M14" s="18">
        <f t="shared" si="0"/>
        <v>1205.2866666666666</v>
      </c>
    </row>
    <row r="15" spans="2:13" ht="12.75">
      <c r="B15" s="4"/>
      <c r="C15" s="4"/>
      <c r="G15" s="24"/>
      <c r="H15" s="19"/>
      <c r="I15" s="24"/>
      <c r="J15" s="19"/>
      <c r="K15" s="24"/>
      <c r="M15" s="18"/>
    </row>
    <row r="16" spans="2:13" ht="12.75">
      <c r="B16" s="4" t="s">
        <v>124</v>
      </c>
      <c r="C16" s="4" t="s">
        <v>127</v>
      </c>
      <c r="G16" s="24"/>
      <c r="H16" s="19"/>
      <c r="I16" s="24"/>
      <c r="J16" s="19"/>
      <c r="K16" s="24"/>
      <c r="M16" s="18"/>
    </row>
    <row r="17" spans="2:13" ht="12.75">
      <c r="B17" s="4" t="s">
        <v>125</v>
      </c>
      <c r="C17" s="4"/>
      <c r="D17" s="4" t="s">
        <v>27</v>
      </c>
      <c r="G17">
        <v>32.74</v>
      </c>
      <c r="H17"/>
      <c r="I17">
        <v>32.83</v>
      </c>
      <c r="J17"/>
      <c r="K17">
        <v>32.74</v>
      </c>
      <c r="L17" s="21"/>
      <c r="M17" s="50">
        <f>AVERAGE(G17,I17,K17)</f>
        <v>32.77</v>
      </c>
    </row>
    <row r="18" spans="2:13" ht="12.75">
      <c r="B18" s="4" t="s">
        <v>126</v>
      </c>
      <c r="C18" s="4" t="s">
        <v>209</v>
      </c>
      <c r="D18" s="4" t="s">
        <v>27</v>
      </c>
      <c r="G18">
        <v>0.000483</v>
      </c>
      <c r="H18"/>
      <c r="I18">
        <v>0.000462</v>
      </c>
      <c r="J18"/>
      <c r="K18">
        <v>0.000502</v>
      </c>
      <c r="M18" s="65">
        <f>AVERAGE(G18,I18,K18)</f>
        <v>0.0004823333333333333</v>
      </c>
    </row>
    <row r="19" spans="2:13" ht="12.75">
      <c r="B19" s="4" t="s">
        <v>26</v>
      </c>
      <c r="C19" s="4" t="s">
        <v>209</v>
      </c>
      <c r="D19" s="4" t="s">
        <v>18</v>
      </c>
      <c r="G19" s="100">
        <f>(G17-G18)/G17*100</f>
        <v>99.99852474037874</v>
      </c>
      <c r="H19" s="100"/>
      <c r="I19" s="100">
        <f>(I17-I18)/I17*100</f>
        <v>99.99859275053305</v>
      </c>
      <c r="J19" s="100"/>
      <c r="K19" s="100">
        <f>(K17-K18)/K17*100</f>
        <v>99.99846670739157</v>
      </c>
      <c r="M19" s="50"/>
    </row>
    <row r="20" spans="2:13" ht="12.75">
      <c r="B20" s="4"/>
      <c r="C20" s="4"/>
      <c r="G20" s="19"/>
      <c r="H20" s="19"/>
      <c r="I20" s="19"/>
      <c r="J20" s="19"/>
      <c r="K20" s="19"/>
      <c r="M20" s="21"/>
    </row>
    <row r="21" spans="2:13" ht="12.75">
      <c r="B21" s="4" t="s">
        <v>124</v>
      </c>
      <c r="C21" s="4" t="s">
        <v>128</v>
      </c>
      <c r="G21" s="24"/>
      <c r="H21" s="19"/>
      <c r="I21" s="24"/>
      <c r="J21" s="19"/>
      <c r="K21" s="24"/>
      <c r="M21" s="18"/>
    </row>
    <row r="22" spans="2:13" ht="12.75">
      <c r="B22" s="4" t="s">
        <v>125</v>
      </c>
      <c r="C22" s="4"/>
      <c r="D22" s="4" t="s">
        <v>27</v>
      </c>
      <c r="G22">
        <v>32.71</v>
      </c>
      <c r="H22"/>
      <c r="I22">
        <v>32.8</v>
      </c>
      <c r="J22"/>
      <c r="K22">
        <v>32.71</v>
      </c>
      <c r="M22" s="50">
        <f>AVERAGE(G22,I22,K22)</f>
        <v>32.74</v>
      </c>
    </row>
    <row r="23" spans="2:13" ht="12.75">
      <c r="B23" s="4" t="s">
        <v>126</v>
      </c>
      <c r="C23" s="4" t="s">
        <v>209</v>
      </c>
      <c r="D23" s="4" t="s">
        <v>27</v>
      </c>
      <c r="G23">
        <v>0.000442</v>
      </c>
      <c r="H23"/>
      <c r="I23">
        <v>0.00059</v>
      </c>
      <c r="J23"/>
      <c r="K23">
        <v>0.000314</v>
      </c>
      <c r="M23" s="65">
        <f>AVERAGE(G23,I23,K23)</f>
        <v>0.00044866666666666666</v>
      </c>
    </row>
    <row r="24" spans="2:13" ht="12.75">
      <c r="B24" s="4" t="s">
        <v>26</v>
      </c>
      <c r="C24" s="4" t="s">
        <v>209</v>
      </c>
      <c r="D24" s="4" t="s">
        <v>18</v>
      </c>
      <c r="G24" s="100">
        <f>(G22-G23)/G22*100</f>
        <v>99.99864873127484</v>
      </c>
      <c r="H24" s="100"/>
      <c r="I24" s="100">
        <f>(I22-I23)/I22*100</f>
        <v>99.99820121951218</v>
      </c>
      <c r="J24" s="100"/>
      <c r="K24" s="100">
        <f>(K22-K23)/K22*100</f>
        <v>99.9990400489147</v>
      </c>
      <c r="L24" s="16"/>
      <c r="M24" s="21"/>
    </row>
    <row r="25" spans="2:13" ht="12.75">
      <c r="B25" s="4"/>
      <c r="C25" s="4"/>
      <c r="G25" s="19"/>
      <c r="H25" s="19"/>
      <c r="I25" s="20"/>
      <c r="J25" s="19"/>
      <c r="K25" s="19"/>
      <c r="M25" s="50"/>
    </row>
    <row r="26" spans="2:12" ht="12.75">
      <c r="B26" s="4" t="s">
        <v>54</v>
      </c>
      <c r="C26" s="4" t="s">
        <v>50</v>
      </c>
      <c r="D26" s="4" t="s">
        <v>208</v>
      </c>
      <c r="F26" s="16"/>
      <c r="G26"/>
      <c r="H26"/>
      <c r="I26"/>
      <c r="J26"/>
      <c r="K26"/>
      <c r="L26" s="19"/>
    </row>
    <row r="27" spans="2:13" ht="12.75">
      <c r="B27" s="4" t="s">
        <v>49</v>
      </c>
      <c r="C27" s="4"/>
      <c r="D27" s="4" t="s">
        <v>17</v>
      </c>
      <c r="F27" s="16"/>
      <c r="G27">
        <v>20836</v>
      </c>
      <c r="H27"/>
      <c r="I27">
        <v>23624</v>
      </c>
      <c r="J27"/>
      <c r="K27">
        <v>21264</v>
      </c>
      <c r="L27" s="19"/>
      <c r="M27" s="18">
        <f>AVERAGE(G27,I27,K27)</f>
        <v>21908</v>
      </c>
    </row>
    <row r="28" spans="2:13" ht="12.75">
      <c r="B28" s="4" t="s">
        <v>51</v>
      </c>
      <c r="C28" s="4"/>
      <c r="D28" s="4" t="s">
        <v>18</v>
      </c>
      <c r="F28" s="16" t="s">
        <v>87</v>
      </c>
      <c r="G28">
        <v>15.3</v>
      </c>
      <c r="H28"/>
      <c r="I28">
        <v>16</v>
      </c>
      <c r="J28"/>
      <c r="K28">
        <v>16.1</v>
      </c>
      <c r="L28" s="19"/>
      <c r="M28" s="18">
        <f>AVERAGE(G28,I28,K28)</f>
        <v>15.800000000000002</v>
      </c>
    </row>
    <row r="29" spans="2:13" ht="12.75">
      <c r="B29" s="4" t="s">
        <v>52</v>
      </c>
      <c r="C29" s="4"/>
      <c r="D29" s="4" t="s">
        <v>18</v>
      </c>
      <c r="F29" s="16"/>
      <c r="G29">
        <v>12.1</v>
      </c>
      <c r="H29"/>
      <c r="I29">
        <v>12.6</v>
      </c>
      <c r="J29"/>
      <c r="K29">
        <v>12</v>
      </c>
      <c r="L29" s="19"/>
      <c r="M29" s="18">
        <f>AVERAGE(G29,I29,K29)</f>
        <v>12.233333333333334</v>
      </c>
    </row>
    <row r="30" spans="2:13" ht="12.75">
      <c r="B30" s="4" t="s">
        <v>48</v>
      </c>
      <c r="C30" s="4"/>
      <c r="D30" s="4" t="s">
        <v>19</v>
      </c>
      <c r="F30" s="16"/>
      <c r="G30">
        <v>294</v>
      </c>
      <c r="H30"/>
      <c r="I30">
        <v>312</v>
      </c>
      <c r="J30"/>
      <c r="K30">
        <v>297</v>
      </c>
      <c r="L30" s="19"/>
      <c r="M30" s="18">
        <f>AVERAGE(G30,I30,K30)</f>
        <v>301</v>
      </c>
    </row>
    <row r="31" spans="2:13" ht="12.75">
      <c r="B31" s="4"/>
      <c r="C31" s="4"/>
      <c r="F31" s="16"/>
      <c r="G31"/>
      <c r="H31"/>
      <c r="I31"/>
      <c r="J31"/>
      <c r="K31"/>
      <c r="L31" s="19"/>
      <c r="M31" s="21"/>
    </row>
    <row r="32" spans="2:12" ht="12.75">
      <c r="B32" s="4" t="s">
        <v>54</v>
      </c>
      <c r="C32" s="4" t="s">
        <v>61</v>
      </c>
      <c r="D32" s="4" t="s">
        <v>209</v>
      </c>
      <c r="F32" s="16"/>
      <c r="G32"/>
      <c r="H32"/>
      <c r="I32"/>
      <c r="J32"/>
      <c r="K32"/>
      <c r="L32" s="19"/>
    </row>
    <row r="33" spans="2:13" ht="12.75">
      <c r="B33" s="4" t="s">
        <v>49</v>
      </c>
      <c r="C33" s="4"/>
      <c r="D33" s="4" t="s">
        <v>17</v>
      </c>
      <c r="F33" s="16"/>
      <c r="G33">
        <v>22265</v>
      </c>
      <c r="H33"/>
      <c r="I33">
        <v>22364</v>
      </c>
      <c r="J33"/>
      <c r="K33">
        <v>21696</v>
      </c>
      <c r="L33" s="19"/>
      <c r="M33" s="21">
        <f>AVERAGE(G33,I33,K33)</f>
        <v>22108.333333333332</v>
      </c>
    </row>
    <row r="34" spans="2:13" ht="12.75">
      <c r="B34" s="4" t="s">
        <v>51</v>
      </c>
      <c r="C34" s="4"/>
      <c r="D34" s="4" t="s">
        <v>18</v>
      </c>
      <c r="F34" s="16" t="s">
        <v>87</v>
      </c>
      <c r="G34">
        <v>15.3</v>
      </c>
      <c r="H34"/>
      <c r="I34">
        <v>16</v>
      </c>
      <c r="J34"/>
      <c r="K34">
        <v>16.1</v>
      </c>
      <c r="L34" s="19"/>
      <c r="M34" s="18">
        <f>AVERAGE(G34,I34,K34)</f>
        <v>15.800000000000002</v>
      </c>
    </row>
    <row r="35" spans="2:13" ht="12.75">
      <c r="B35" s="4" t="s">
        <v>52</v>
      </c>
      <c r="C35" s="4"/>
      <c r="D35" s="4" t="s">
        <v>18</v>
      </c>
      <c r="F35" s="16"/>
      <c r="G35">
        <v>11</v>
      </c>
      <c r="H35"/>
      <c r="I35">
        <v>11.6</v>
      </c>
      <c r="J35"/>
      <c r="K35">
        <v>11.5</v>
      </c>
      <c r="L35" s="19"/>
      <c r="M35" s="21">
        <f>AVERAGE(G35,I35,K35)</f>
        <v>11.366666666666667</v>
      </c>
    </row>
    <row r="36" spans="2:13" ht="12.75">
      <c r="B36" s="4" t="s">
        <v>48</v>
      </c>
      <c r="C36" s="4"/>
      <c r="D36" s="4" t="s">
        <v>19</v>
      </c>
      <c r="F36" s="16"/>
      <c r="G36">
        <v>306</v>
      </c>
      <c r="H36"/>
      <c r="I36">
        <v>311</v>
      </c>
      <c r="J36"/>
      <c r="K36">
        <v>308</v>
      </c>
      <c r="L36" s="19"/>
      <c r="M36" s="21">
        <f>AVERAGE(G36,I36,K36)</f>
        <v>308.3333333333333</v>
      </c>
    </row>
    <row r="37" spans="2:11" ht="12.75">
      <c r="B37" s="4"/>
      <c r="C37" s="4"/>
      <c r="E37" s="16"/>
      <c r="F37" s="14"/>
      <c r="G37" s="50"/>
      <c r="I37" s="50"/>
      <c r="K37" s="50"/>
    </row>
    <row r="38" spans="1:13" ht="12.75">
      <c r="A38" s="16">
        <v>11</v>
      </c>
      <c r="B38" s="13" t="s">
        <v>151</v>
      </c>
      <c r="C38" s="14" t="s">
        <v>143</v>
      </c>
      <c r="G38" s="16" t="s">
        <v>170</v>
      </c>
      <c r="H38" s="16"/>
      <c r="I38" s="16" t="s">
        <v>171</v>
      </c>
      <c r="J38" s="16"/>
      <c r="K38" s="16" t="s">
        <v>172</v>
      </c>
      <c r="M38" s="16" t="s">
        <v>169</v>
      </c>
    </row>
    <row r="39" spans="3:13" ht="12.75">
      <c r="C39" s="23"/>
      <c r="D39" s="16"/>
      <c r="E39" s="62"/>
      <c r="F39" s="14"/>
      <c r="G39" s="16"/>
      <c r="H39" s="16"/>
      <c r="I39" s="16"/>
      <c r="J39" s="16"/>
      <c r="K39" s="16"/>
      <c r="M39" s="16"/>
    </row>
    <row r="40" spans="2:13" ht="12.75">
      <c r="B40" s="4" t="s">
        <v>13</v>
      </c>
      <c r="C40" s="4" t="s">
        <v>208</v>
      </c>
      <c r="D40" s="4" t="s">
        <v>14</v>
      </c>
      <c r="E40" s="16" t="s">
        <v>15</v>
      </c>
      <c r="G40">
        <v>0.0224</v>
      </c>
      <c r="H40"/>
      <c r="I40">
        <v>0.022</v>
      </c>
      <c r="J40"/>
      <c r="K40">
        <v>0.0112</v>
      </c>
      <c r="M40" s="64">
        <f aca="true" t="shared" si="1" ref="M40:M45">AVERAGE(G40,I40,K40)</f>
        <v>0.018533333333333332</v>
      </c>
    </row>
    <row r="41" spans="2:13" ht="12.75">
      <c r="B41" s="4" t="s">
        <v>145</v>
      </c>
      <c r="C41" s="4" t="s">
        <v>208</v>
      </c>
      <c r="D41" s="4" t="s">
        <v>16</v>
      </c>
      <c r="E41" s="16" t="s">
        <v>15</v>
      </c>
      <c r="G41">
        <v>19.3</v>
      </c>
      <c r="H41"/>
      <c r="I41">
        <v>0</v>
      </c>
      <c r="J41"/>
      <c r="K41">
        <v>25.2</v>
      </c>
      <c r="L41" s="18"/>
      <c r="M41" s="18">
        <f t="shared" si="1"/>
        <v>14.833333333333334</v>
      </c>
    </row>
    <row r="42" spans="2:13" ht="12.75">
      <c r="B42" s="4" t="s">
        <v>146</v>
      </c>
      <c r="C42" s="4" t="s">
        <v>208</v>
      </c>
      <c r="D42" s="4" t="s">
        <v>16</v>
      </c>
      <c r="E42" s="16" t="s">
        <v>15</v>
      </c>
      <c r="G42">
        <v>83.2</v>
      </c>
      <c r="H42"/>
      <c r="I42">
        <v>0</v>
      </c>
      <c r="J42"/>
      <c r="K42">
        <v>62.1</v>
      </c>
      <c r="L42" s="18"/>
      <c r="M42" s="18">
        <f t="shared" si="1"/>
        <v>48.43333333333334</v>
      </c>
    </row>
    <row r="43" spans="2:13" ht="12.75">
      <c r="B43" s="4"/>
      <c r="C43" s="4"/>
      <c r="E43" s="16"/>
      <c r="G43"/>
      <c r="H43"/>
      <c r="I43"/>
      <c r="J43"/>
      <c r="K43"/>
      <c r="L43" s="18"/>
      <c r="M43" s="18"/>
    </row>
    <row r="44" spans="2:15" ht="12.75">
      <c r="B44" s="4" t="s">
        <v>24</v>
      </c>
      <c r="C44" s="4" t="s">
        <v>208</v>
      </c>
      <c r="D44" s="4" t="s">
        <v>16</v>
      </c>
      <c r="E44" s="16" t="s">
        <v>15</v>
      </c>
      <c r="G44">
        <v>1805</v>
      </c>
      <c r="H44"/>
      <c r="I44">
        <v>1957</v>
      </c>
      <c r="J44"/>
      <c r="K44">
        <v>1733</v>
      </c>
      <c r="M44" s="18">
        <f t="shared" si="1"/>
        <v>1831.6666666666667</v>
      </c>
      <c r="O44" s="38"/>
    </row>
    <row r="45" spans="2:15" ht="12.75">
      <c r="B45" s="4" t="s">
        <v>25</v>
      </c>
      <c r="C45" s="4" t="s">
        <v>208</v>
      </c>
      <c r="D45" s="4" t="s">
        <v>16</v>
      </c>
      <c r="E45" s="16" t="s">
        <v>15</v>
      </c>
      <c r="G45">
        <v>2.44</v>
      </c>
      <c r="H45"/>
      <c r="I45">
        <v>1.77</v>
      </c>
      <c r="J45"/>
      <c r="K45">
        <v>0.246</v>
      </c>
      <c r="M45" s="18">
        <f t="shared" si="1"/>
        <v>1.4853333333333332</v>
      </c>
      <c r="O45" s="38"/>
    </row>
    <row r="46" spans="2:13" ht="12.75">
      <c r="B46" s="14" t="s">
        <v>53</v>
      </c>
      <c r="C46" s="4" t="s">
        <v>208</v>
      </c>
      <c r="D46" s="14" t="s">
        <v>16</v>
      </c>
      <c r="E46" s="16" t="s">
        <v>15</v>
      </c>
      <c r="F46" s="14"/>
      <c r="G46" s="18">
        <f>G44+2*G45</f>
        <v>1809.88</v>
      </c>
      <c r="I46" s="18">
        <f>I44+2*I45</f>
        <v>1960.54</v>
      </c>
      <c r="K46" s="18">
        <f>K44+2*K45</f>
        <v>1733.492</v>
      </c>
      <c r="M46" s="18">
        <f>M44+2*M45</f>
        <v>1834.6373333333333</v>
      </c>
    </row>
    <row r="47" spans="4:9" ht="12.75">
      <c r="D47" s="14"/>
      <c r="E47" s="14"/>
      <c r="F47" s="14"/>
      <c r="I47" s="14"/>
    </row>
    <row r="48" spans="2:13" ht="12.75">
      <c r="B48" s="4" t="s">
        <v>96</v>
      </c>
      <c r="D48" s="4" t="s">
        <v>27</v>
      </c>
      <c r="E48" s="14"/>
      <c r="F48"/>
      <c r="G48" s="75">
        <v>0.00037</v>
      </c>
      <c r="H48"/>
      <c r="I48" s="75">
        <v>0.000255</v>
      </c>
      <c r="J48"/>
      <c r="K48" s="75">
        <v>0.000103</v>
      </c>
      <c r="M48" s="49"/>
    </row>
    <row r="49" spans="2:13" ht="12.75">
      <c r="B49" s="4" t="s">
        <v>95</v>
      </c>
      <c r="D49" s="4" t="s">
        <v>27</v>
      </c>
      <c r="E49" s="14"/>
      <c r="F49"/>
      <c r="G49">
        <v>0.00349</v>
      </c>
      <c r="H49"/>
      <c r="I49">
        <v>0.00337</v>
      </c>
      <c r="J49"/>
      <c r="K49">
        <v>0.00303</v>
      </c>
      <c r="M49" s="49"/>
    </row>
    <row r="50" spans="2:13" ht="12.75">
      <c r="B50" s="4" t="s">
        <v>97</v>
      </c>
      <c r="D50" s="4" t="s">
        <v>27</v>
      </c>
      <c r="E50" s="14"/>
      <c r="F50"/>
      <c r="G50" s="75">
        <v>0.00179</v>
      </c>
      <c r="H50"/>
      <c r="I50" s="75">
        <v>0.00146</v>
      </c>
      <c r="J50"/>
      <c r="K50" s="75">
        <v>0.0009</v>
      </c>
      <c r="M50" s="49"/>
    </row>
    <row r="51" spans="2:13" ht="12.75">
      <c r="B51" s="4" t="s">
        <v>98</v>
      </c>
      <c r="D51" s="4" t="s">
        <v>27</v>
      </c>
      <c r="E51" s="14"/>
      <c r="F51"/>
      <c r="G51" s="75">
        <v>0.0003</v>
      </c>
      <c r="H51"/>
      <c r="I51" s="75">
        <v>0.000296</v>
      </c>
      <c r="J51"/>
      <c r="K51" s="75">
        <v>0.000232</v>
      </c>
      <c r="M51" s="49"/>
    </row>
    <row r="52" spans="2:13" ht="12.75">
      <c r="B52" s="4" t="s">
        <v>99</v>
      </c>
      <c r="D52" s="4" t="s">
        <v>27</v>
      </c>
      <c r="E52" s="14"/>
      <c r="F52"/>
      <c r="G52">
        <v>0.00212</v>
      </c>
      <c r="H52"/>
      <c r="I52">
        <v>0.00204</v>
      </c>
      <c r="J52"/>
      <c r="K52">
        <v>0.00209</v>
      </c>
      <c r="M52" s="49"/>
    </row>
    <row r="53" spans="2:13" ht="12.75">
      <c r="B53" s="4" t="s">
        <v>100</v>
      </c>
      <c r="D53" s="4" t="s">
        <v>27</v>
      </c>
      <c r="E53" s="14"/>
      <c r="F53"/>
      <c r="G53">
        <v>0.00415</v>
      </c>
      <c r="H53"/>
      <c r="I53">
        <v>0.00444</v>
      </c>
      <c r="J53"/>
      <c r="K53">
        <v>0.00343</v>
      </c>
      <c r="M53" s="49"/>
    </row>
    <row r="54" spans="2:13" ht="12.75">
      <c r="B54" s="89" t="s">
        <v>180</v>
      </c>
      <c r="D54" s="4" t="s">
        <v>27</v>
      </c>
      <c r="E54" s="14"/>
      <c r="F54" t="s">
        <v>165</v>
      </c>
      <c r="G54" s="75">
        <v>5.48E-05</v>
      </c>
      <c r="H54" t="s">
        <v>165</v>
      </c>
      <c r="I54" s="75">
        <v>4.38E-05</v>
      </c>
      <c r="J54" t="s">
        <v>165</v>
      </c>
      <c r="K54" s="75">
        <v>5.4E-05</v>
      </c>
      <c r="M54" s="49"/>
    </row>
    <row r="55" spans="2:13" ht="12.75">
      <c r="B55" s="4" t="s">
        <v>118</v>
      </c>
      <c r="D55" s="4" t="s">
        <v>27</v>
      </c>
      <c r="E55" s="14"/>
      <c r="F55"/>
      <c r="G55" s="75">
        <v>0.000197</v>
      </c>
      <c r="H55"/>
      <c r="I55" s="75">
        <v>0.000163</v>
      </c>
      <c r="J55"/>
      <c r="K55" s="75">
        <v>9.85E-05</v>
      </c>
      <c r="M55" s="49"/>
    </row>
    <row r="56" spans="2:13" ht="12.75">
      <c r="B56" s="4" t="s">
        <v>101</v>
      </c>
      <c r="D56" s="4" t="s">
        <v>27</v>
      </c>
      <c r="E56" s="14"/>
      <c r="F56"/>
      <c r="G56" s="75">
        <v>0.00113</v>
      </c>
      <c r="H56"/>
      <c r="I56" s="75">
        <v>0.000785</v>
      </c>
      <c r="J56"/>
      <c r="K56" s="75">
        <v>0.000373</v>
      </c>
      <c r="M56" s="49"/>
    </row>
    <row r="57" spans="2:13" ht="12.75">
      <c r="B57" s="4" t="s">
        <v>102</v>
      </c>
      <c r="D57" s="4" t="s">
        <v>27</v>
      </c>
      <c r="E57" s="14"/>
      <c r="F57"/>
      <c r="G57">
        <v>0.0385</v>
      </c>
      <c r="H57"/>
      <c r="I57">
        <v>0.0376</v>
      </c>
      <c r="J57"/>
      <c r="K57">
        <v>0.0362</v>
      </c>
      <c r="M57" s="49"/>
    </row>
    <row r="58" spans="2:13" ht="12.75">
      <c r="B58" s="4" t="s">
        <v>164</v>
      </c>
      <c r="D58" s="4" t="s">
        <v>27</v>
      </c>
      <c r="E58" s="14"/>
      <c r="F58"/>
      <c r="G58" s="75">
        <v>0.0023</v>
      </c>
      <c r="H58"/>
      <c r="I58" s="75">
        <v>0.00129</v>
      </c>
      <c r="J58"/>
      <c r="K58" s="75">
        <v>0.00069</v>
      </c>
      <c r="M58" s="49"/>
    </row>
    <row r="59" spans="2:13" ht="12.75">
      <c r="B59" s="4" t="s">
        <v>103</v>
      </c>
      <c r="D59" s="4" t="s">
        <v>27</v>
      </c>
      <c r="E59" s="14"/>
      <c r="F59"/>
      <c r="G59" s="75">
        <v>0.000143</v>
      </c>
      <c r="H59"/>
      <c r="I59" s="75">
        <v>0.000131</v>
      </c>
      <c r="J59"/>
      <c r="K59" s="75">
        <v>0.000121</v>
      </c>
      <c r="M59" s="49"/>
    </row>
    <row r="60" spans="2:13" ht="12.75">
      <c r="B60" s="4" t="s">
        <v>104</v>
      </c>
      <c r="D60" s="4" t="s">
        <v>27</v>
      </c>
      <c r="E60" s="14"/>
      <c r="F60"/>
      <c r="G60" s="75">
        <v>0.000329</v>
      </c>
      <c r="H60"/>
      <c r="I60" s="75">
        <v>0.00033</v>
      </c>
      <c r="J60"/>
      <c r="K60" s="75">
        <v>9.93E-05</v>
      </c>
      <c r="M60" s="49"/>
    </row>
    <row r="61" spans="2:13" ht="12.75">
      <c r="B61" s="4" t="s">
        <v>105</v>
      </c>
      <c r="D61" s="4" t="s">
        <v>27</v>
      </c>
      <c r="E61" s="14"/>
      <c r="F61"/>
      <c r="G61" s="75">
        <v>0.000445</v>
      </c>
      <c r="H61"/>
      <c r="I61" s="75">
        <v>0.000224</v>
      </c>
      <c r="J61"/>
      <c r="K61" s="75">
        <v>0.00013</v>
      </c>
      <c r="M61" s="49"/>
    </row>
    <row r="62" spans="2:13" ht="12.75">
      <c r="B62" s="4" t="s">
        <v>106</v>
      </c>
      <c r="D62" s="4" t="s">
        <v>27</v>
      </c>
      <c r="E62" s="14"/>
      <c r="F62"/>
      <c r="G62" s="75">
        <v>0.000178</v>
      </c>
      <c r="H62"/>
      <c r="I62" s="75">
        <v>6.6E-05</v>
      </c>
      <c r="J62"/>
      <c r="K62" s="75">
        <v>1.71E-05</v>
      </c>
      <c r="M62" s="49"/>
    </row>
    <row r="63" spans="2:13" ht="12.75">
      <c r="B63" s="4" t="s">
        <v>107</v>
      </c>
      <c r="D63" s="4" t="s">
        <v>27</v>
      </c>
      <c r="E63" s="14"/>
      <c r="F63" t="s">
        <v>165</v>
      </c>
      <c r="G63" s="75">
        <v>3.7E-05</v>
      </c>
      <c r="H63" t="s">
        <v>165</v>
      </c>
      <c r="I63" s="75">
        <v>3.76E-05</v>
      </c>
      <c r="J63" t="s">
        <v>165</v>
      </c>
      <c r="K63" s="75">
        <v>3.72E-05</v>
      </c>
      <c r="M63" s="49"/>
    </row>
    <row r="64" spans="2:13" ht="12.75">
      <c r="B64" s="4" t="s">
        <v>108</v>
      </c>
      <c r="D64" s="4" t="s">
        <v>27</v>
      </c>
      <c r="E64" s="14"/>
      <c r="F64" t="s">
        <v>165</v>
      </c>
      <c r="G64" s="75">
        <v>0.00215</v>
      </c>
      <c r="H64" t="s">
        <v>165</v>
      </c>
      <c r="I64" s="75">
        <v>0.00298</v>
      </c>
      <c r="J64" t="s">
        <v>165</v>
      </c>
      <c r="K64" s="75">
        <v>0.000713</v>
      </c>
      <c r="M64" s="49"/>
    </row>
    <row r="65" spans="2:13" ht="12.75">
      <c r="B65" s="4"/>
      <c r="C65" s="4"/>
      <c r="G65" s="19"/>
      <c r="H65" s="19"/>
      <c r="I65" s="20"/>
      <c r="J65" s="19"/>
      <c r="K65" s="19"/>
      <c r="L65" s="16"/>
      <c r="M65" s="21"/>
    </row>
    <row r="66" spans="2:13" ht="12.75">
      <c r="B66" s="4" t="s">
        <v>54</v>
      </c>
      <c r="C66" s="4" t="s">
        <v>50</v>
      </c>
      <c r="D66" s="4" t="s">
        <v>208</v>
      </c>
      <c r="L66" s="16"/>
      <c r="M66" s="50"/>
    </row>
    <row r="67" spans="2:13" ht="12.75">
      <c r="B67" s="4" t="s">
        <v>49</v>
      </c>
      <c r="C67" s="4"/>
      <c r="D67" s="4" t="s">
        <v>17</v>
      </c>
      <c r="G67" s="19">
        <v>20841</v>
      </c>
      <c r="H67" s="4"/>
      <c r="I67">
        <v>20571</v>
      </c>
      <c r="J67"/>
      <c r="K67">
        <v>19927</v>
      </c>
      <c r="M67" s="21">
        <f>AVERAGE(G67,I67,K67)</f>
        <v>20446.333333333332</v>
      </c>
    </row>
    <row r="68" spans="2:13" ht="12.75">
      <c r="B68" s="4" t="s">
        <v>51</v>
      </c>
      <c r="C68" s="4"/>
      <c r="D68" s="4" t="s">
        <v>18</v>
      </c>
      <c r="G68">
        <v>14.1</v>
      </c>
      <c r="H68"/>
      <c r="I68">
        <v>14.4</v>
      </c>
      <c r="J68"/>
      <c r="K68">
        <v>14.2</v>
      </c>
      <c r="M68" s="18">
        <f>AVERAGE(G68,I68,K68)</f>
        <v>14.233333333333334</v>
      </c>
    </row>
    <row r="69" spans="2:13" ht="12.75">
      <c r="B69" s="4" t="s">
        <v>52</v>
      </c>
      <c r="C69" s="4"/>
      <c r="D69" s="4" t="s">
        <v>18</v>
      </c>
      <c r="G69">
        <v>17.1</v>
      </c>
      <c r="H69"/>
      <c r="I69">
        <v>16.4</v>
      </c>
      <c r="J69"/>
      <c r="K69">
        <v>17.8</v>
      </c>
      <c r="M69" s="18">
        <f>AVERAGE(G69,I69,K69)</f>
        <v>17.099999999999998</v>
      </c>
    </row>
    <row r="70" spans="2:13" ht="12.75">
      <c r="B70" s="4" t="s">
        <v>48</v>
      </c>
      <c r="C70" s="4"/>
      <c r="D70" s="4" t="s">
        <v>19</v>
      </c>
      <c r="G70">
        <v>328</v>
      </c>
      <c r="H70"/>
      <c r="I70">
        <v>336</v>
      </c>
      <c r="J70"/>
      <c r="K70">
        <v>334</v>
      </c>
      <c r="M70" s="21">
        <f>AVERAGE(G70,I70,K70)</f>
        <v>332.6666666666667</v>
      </c>
    </row>
    <row r="71" spans="2:13" ht="12.75">
      <c r="B71" s="4"/>
      <c r="C71" s="4"/>
      <c r="G71"/>
      <c r="H71"/>
      <c r="I71"/>
      <c r="J71"/>
      <c r="K71"/>
      <c r="M71" s="50"/>
    </row>
    <row r="72" spans="2:13" ht="12.75">
      <c r="B72" s="4" t="s">
        <v>54</v>
      </c>
      <c r="C72" s="4" t="s">
        <v>110</v>
      </c>
      <c r="D72" s="4" t="s">
        <v>209</v>
      </c>
      <c r="G72"/>
      <c r="H72"/>
      <c r="I72"/>
      <c r="J72"/>
      <c r="K72"/>
      <c r="M72" s="50"/>
    </row>
    <row r="73" spans="2:13" ht="12.75">
      <c r="B73" s="4" t="s">
        <v>49</v>
      </c>
      <c r="C73" s="4"/>
      <c r="D73" s="4" t="s">
        <v>17</v>
      </c>
      <c r="G73">
        <v>20529</v>
      </c>
      <c r="H73"/>
      <c r="I73">
        <v>21188</v>
      </c>
      <c r="J73"/>
      <c r="K73">
        <v>20396</v>
      </c>
      <c r="M73" s="18">
        <f>AVERAGE(G73,I73,K73)</f>
        <v>20704.333333333332</v>
      </c>
    </row>
    <row r="74" spans="2:13" ht="12.75">
      <c r="B74" s="4" t="s">
        <v>51</v>
      </c>
      <c r="C74" s="4"/>
      <c r="D74" s="4" t="s">
        <v>18</v>
      </c>
      <c r="G74">
        <v>14.1</v>
      </c>
      <c r="H74"/>
      <c r="I74">
        <v>14.4</v>
      </c>
      <c r="J74"/>
      <c r="K74">
        <v>14.2</v>
      </c>
      <c r="M74" s="18">
        <f>AVERAGE(G74,I74,K74)</f>
        <v>14.233333333333334</v>
      </c>
    </row>
    <row r="75" spans="2:13" ht="12.75">
      <c r="B75" s="4" t="s">
        <v>52</v>
      </c>
      <c r="C75" s="4"/>
      <c r="D75" s="4" t="s">
        <v>18</v>
      </c>
      <c r="G75">
        <v>16.9</v>
      </c>
      <c r="H75"/>
      <c r="I75">
        <v>16.2</v>
      </c>
      <c r="J75"/>
      <c r="K75">
        <v>17.6</v>
      </c>
      <c r="M75" s="18">
        <f>AVERAGE(G75,I75,K75)</f>
        <v>16.9</v>
      </c>
    </row>
    <row r="76" spans="2:13" ht="12.75">
      <c r="B76" s="4" t="s">
        <v>48</v>
      </c>
      <c r="C76" s="4"/>
      <c r="D76" s="4" t="s">
        <v>19</v>
      </c>
      <c r="G76">
        <v>323</v>
      </c>
      <c r="H76"/>
      <c r="I76">
        <v>333</v>
      </c>
      <c r="J76"/>
      <c r="K76">
        <v>323</v>
      </c>
      <c r="M76" s="18">
        <f>AVERAGE(G76,I76,K76)</f>
        <v>326.3333333333333</v>
      </c>
    </row>
    <row r="77" spans="2:13" ht="12.75">
      <c r="B77" s="4"/>
      <c r="C77" s="4"/>
      <c r="E77" s="16"/>
      <c r="G77" s="5"/>
      <c r="H77" s="6"/>
      <c r="I77" s="5"/>
      <c r="J77" s="6"/>
      <c r="K77" s="5"/>
      <c r="L77" s="6"/>
      <c r="M77" s="21"/>
    </row>
    <row r="78" spans="2:13" ht="12.75">
      <c r="B78" s="4" t="s">
        <v>96</v>
      </c>
      <c r="C78" s="4" t="s">
        <v>209</v>
      </c>
      <c r="D78" s="4" t="s">
        <v>33</v>
      </c>
      <c r="E78" s="16" t="s">
        <v>15</v>
      </c>
      <c r="F78" s="14"/>
      <c r="G78" s="5">
        <f aca="true" t="shared" si="2" ref="G78:G94">G48*1/60*454*1000000/(G$73*0.0283)*(21-7)/(21-G$74)</f>
        <v>9.777572417657966</v>
      </c>
      <c r="H78" s="49"/>
      <c r="I78" s="5">
        <f aca="true" t="shared" si="3" ref="I78:I94">I48*1/60*454*1000000/(I$73*0.0283)*(21-7)/(21-I$74)</f>
        <v>6.825783091900789</v>
      </c>
      <c r="K78" s="5">
        <f aca="true" t="shared" si="4" ref="K78:K94">K48*1/60*454*1000000/(K$73*0.0283)*(21-7)/(21-K$74)</f>
        <v>2.7799021622277307</v>
      </c>
      <c r="L78" s="6"/>
      <c r="M78" s="50">
        <f aca="true" t="shared" si="5" ref="M78:M88">AVERAGE(G78,I78,K78)</f>
        <v>6.461085890595495</v>
      </c>
    </row>
    <row r="79" spans="2:13" ht="12.75">
      <c r="B79" s="4" t="s">
        <v>95</v>
      </c>
      <c r="C79" s="4" t="s">
        <v>209</v>
      </c>
      <c r="D79" s="4" t="s">
        <v>33</v>
      </c>
      <c r="E79" s="16" t="s">
        <v>15</v>
      </c>
      <c r="F79" s="14"/>
      <c r="G79" s="5">
        <f t="shared" si="2"/>
        <v>92.22629118277378</v>
      </c>
      <c r="I79" s="5">
        <f t="shared" si="3"/>
        <v>90.20740792041437</v>
      </c>
      <c r="K79" s="5">
        <f t="shared" si="4"/>
        <v>81.7777043839808</v>
      </c>
      <c r="L79" s="16"/>
      <c r="M79" s="50">
        <f t="shared" si="5"/>
        <v>88.07046782905631</v>
      </c>
    </row>
    <row r="80" spans="1:13" ht="12.75">
      <c r="A80" s="16"/>
      <c r="B80" s="4" t="s">
        <v>97</v>
      </c>
      <c r="C80" s="4" t="s">
        <v>209</v>
      </c>
      <c r="D80" s="4" t="s">
        <v>33</v>
      </c>
      <c r="E80" s="16" t="s">
        <v>15</v>
      </c>
      <c r="F80" s="14"/>
      <c r="G80" s="5">
        <f t="shared" si="2"/>
        <v>47.30230980434528</v>
      </c>
      <c r="I80" s="5">
        <f t="shared" si="3"/>
        <v>39.08095417323588</v>
      </c>
      <c r="K80" s="5">
        <f t="shared" si="4"/>
        <v>24.290407242766577</v>
      </c>
      <c r="L80" s="19"/>
      <c r="M80" s="50">
        <f t="shared" si="5"/>
        <v>36.89122374011591</v>
      </c>
    </row>
    <row r="81" spans="2:13" ht="12.75">
      <c r="B81" s="4" t="s">
        <v>98</v>
      </c>
      <c r="C81" s="4" t="s">
        <v>209</v>
      </c>
      <c r="D81" s="4" t="s">
        <v>33</v>
      </c>
      <c r="E81" s="16" t="s">
        <v>15</v>
      </c>
      <c r="F81" s="14"/>
      <c r="G81" s="5">
        <f t="shared" si="2"/>
        <v>7.927761419722674</v>
      </c>
      <c r="I81" s="5">
        <f t="shared" si="3"/>
        <v>7.923261941971114</v>
      </c>
      <c r="J81" s="49"/>
      <c r="K81" s="5">
        <f t="shared" si="4"/>
        <v>6.261527200357605</v>
      </c>
      <c r="M81" s="50">
        <f t="shared" si="5"/>
        <v>7.370850187350464</v>
      </c>
    </row>
    <row r="82" spans="2:13" ht="12.75">
      <c r="B82" s="4" t="s">
        <v>99</v>
      </c>
      <c r="C82" s="4" t="s">
        <v>209</v>
      </c>
      <c r="D82" s="4" t="s">
        <v>33</v>
      </c>
      <c r="E82" s="16" t="s">
        <v>15</v>
      </c>
      <c r="F82" s="14"/>
      <c r="G82" s="5">
        <f t="shared" si="2"/>
        <v>56.02284736604021</v>
      </c>
      <c r="I82" s="5">
        <f t="shared" si="3"/>
        <v>54.60626473520631</v>
      </c>
      <c r="K82" s="5">
        <f t="shared" si="4"/>
        <v>56.40772348598015</v>
      </c>
      <c r="M82" s="50">
        <f t="shared" si="5"/>
        <v>55.67894519574222</v>
      </c>
    </row>
    <row r="83" spans="2:13" ht="12.75">
      <c r="B83" s="4" t="s">
        <v>100</v>
      </c>
      <c r="C83" s="4" t="s">
        <v>209</v>
      </c>
      <c r="D83" s="4" t="s">
        <v>33</v>
      </c>
      <c r="E83" s="16" t="s">
        <v>15</v>
      </c>
      <c r="F83" s="14"/>
      <c r="G83" s="5">
        <f t="shared" si="2"/>
        <v>109.66736630616366</v>
      </c>
      <c r="I83" s="5">
        <f t="shared" si="3"/>
        <v>118.84892912956671</v>
      </c>
      <c r="K83" s="5">
        <f t="shared" si="4"/>
        <v>92.5734409363215</v>
      </c>
      <c r="M83" s="50">
        <f t="shared" si="5"/>
        <v>107.0299121240173</v>
      </c>
    </row>
    <row r="84" spans="2:13" ht="12.75">
      <c r="B84" s="89" t="s">
        <v>180</v>
      </c>
      <c r="C84" s="4" t="s">
        <v>209</v>
      </c>
      <c r="D84" s="4" t="s">
        <v>33</v>
      </c>
      <c r="E84" s="16" t="s">
        <v>15</v>
      </c>
      <c r="F84" s="14"/>
      <c r="G84" s="5">
        <f t="shared" si="2"/>
        <v>1.4481377526693417</v>
      </c>
      <c r="I84" s="5">
        <f t="shared" si="3"/>
        <v>1.1724286251970768</v>
      </c>
      <c r="K84" s="5">
        <f t="shared" si="4"/>
        <v>1.4574244345659944</v>
      </c>
      <c r="L84" s="18"/>
      <c r="M84" s="50">
        <f t="shared" si="5"/>
        <v>1.3593302708108042</v>
      </c>
    </row>
    <row r="85" spans="2:13" ht="12.75">
      <c r="B85" s="4" t="s">
        <v>118</v>
      </c>
      <c r="C85" s="4" t="s">
        <v>209</v>
      </c>
      <c r="D85" s="4" t="s">
        <v>33</v>
      </c>
      <c r="E85" s="16" t="s">
        <v>15</v>
      </c>
      <c r="F85"/>
      <c r="G85" s="5">
        <f t="shared" si="2"/>
        <v>5.205896665617889</v>
      </c>
      <c r="H85"/>
      <c r="I85" s="5">
        <f t="shared" si="3"/>
        <v>4.363147623450308</v>
      </c>
      <c r="J85"/>
      <c r="K85" s="5">
        <f t="shared" si="4"/>
        <v>2.658450126013897</v>
      </c>
      <c r="L85" s="18"/>
      <c r="M85" s="50">
        <f t="shared" si="5"/>
        <v>4.075831471694031</v>
      </c>
    </row>
    <row r="86" spans="2:13" ht="12.75">
      <c r="B86" s="4" t="s">
        <v>101</v>
      </c>
      <c r="C86" s="4" t="s">
        <v>209</v>
      </c>
      <c r="D86" s="4" t="s">
        <v>33</v>
      </c>
      <c r="E86" s="16" t="s">
        <v>15</v>
      </c>
      <c r="F86"/>
      <c r="G86" s="5">
        <f t="shared" si="2"/>
        <v>29.8612346809554</v>
      </c>
      <c r="H86"/>
      <c r="I86" s="5">
        <f t="shared" si="3"/>
        <v>21.012704812322035</v>
      </c>
      <c r="J86"/>
      <c r="K86" s="5">
        <f t="shared" si="4"/>
        <v>10.067024335057702</v>
      </c>
      <c r="M86" s="50">
        <f t="shared" si="5"/>
        <v>20.313654609445045</v>
      </c>
    </row>
    <row r="87" spans="2:13" ht="12.75">
      <c r="B87" s="4" t="s">
        <v>102</v>
      </c>
      <c r="C87" s="4" t="s">
        <v>209</v>
      </c>
      <c r="D87" s="4" t="s">
        <v>33</v>
      </c>
      <c r="E87" s="16" t="s">
        <v>15</v>
      </c>
      <c r="F87"/>
      <c r="G87" s="5">
        <f t="shared" si="2"/>
        <v>1017.3960488644097</v>
      </c>
      <c r="H87"/>
      <c r="I87" s="5">
        <f t="shared" si="3"/>
        <v>1006.4684088449792</v>
      </c>
      <c r="J87"/>
      <c r="K87" s="5">
        <f t="shared" si="4"/>
        <v>977.0141579868334</v>
      </c>
      <c r="M87" s="50">
        <f t="shared" si="5"/>
        <v>1000.2928718987408</v>
      </c>
    </row>
    <row r="88" spans="2:13" ht="12.75">
      <c r="B88" s="4" t="s">
        <v>164</v>
      </c>
      <c r="C88" s="4" t="s">
        <v>209</v>
      </c>
      <c r="D88" s="4" t="s">
        <v>33</v>
      </c>
      <c r="E88" s="16" t="s">
        <v>15</v>
      </c>
      <c r="F88"/>
      <c r="G88" s="5">
        <f t="shared" si="2"/>
        <v>60.77950421787382</v>
      </c>
      <c r="H88"/>
      <c r="I88" s="5">
        <f t="shared" si="3"/>
        <v>34.53043211196869</v>
      </c>
      <c r="J88"/>
      <c r="K88" s="5">
        <f t="shared" si="4"/>
        <v>18.62264555278771</v>
      </c>
      <c r="M88" s="50">
        <f t="shared" si="5"/>
        <v>37.97752729421007</v>
      </c>
    </row>
    <row r="89" spans="2:13" ht="12.75">
      <c r="B89" s="4" t="s">
        <v>103</v>
      </c>
      <c r="C89" s="4" t="s">
        <v>209</v>
      </c>
      <c r="D89" s="4" t="s">
        <v>33</v>
      </c>
      <c r="E89" s="16" t="s">
        <v>15</v>
      </c>
      <c r="F89"/>
      <c r="G89" s="5">
        <f t="shared" si="2"/>
        <v>3.778899610067808</v>
      </c>
      <c r="H89"/>
      <c r="I89" s="5">
        <f t="shared" si="3"/>
        <v>3.5065787648588373</v>
      </c>
      <c r="J89"/>
      <c r="K89" s="5">
        <f t="shared" si="4"/>
        <v>3.265710307083062</v>
      </c>
      <c r="M89" s="50">
        <f aca="true" t="shared" si="6" ref="M89:M94">AVERAGE(G89,I89,K89)</f>
        <v>3.5170628940032356</v>
      </c>
    </row>
    <row r="90" spans="2:13" ht="12.75">
      <c r="B90" s="4" t="s">
        <v>104</v>
      </c>
      <c r="C90" s="4" t="s">
        <v>209</v>
      </c>
      <c r="D90" s="4" t="s">
        <v>33</v>
      </c>
      <c r="E90" s="16" t="s">
        <v>15</v>
      </c>
      <c r="F90"/>
      <c r="G90" s="5">
        <f t="shared" si="2"/>
        <v>8.694111690295864</v>
      </c>
      <c r="H90"/>
      <c r="I90" s="5">
        <f t="shared" si="3"/>
        <v>8.83336635422455</v>
      </c>
      <c r="J90"/>
      <c r="K90" s="5">
        <f t="shared" si="4"/>
        <v>2.680041599118579</v>
      </c>
      <c r="M90" s="50">
        <f t="shared" si="6"/>
        <v>6.735839881212997</v>
      </c>
    </row>
    <row r="91" spans="2:13" ht="12.75">
      <c r="B91" s="4" t="s">
        <v>105</v>
      </c>
      <c r="C91" s="4" t="s">
        <v>209</v>
      </c>
      <c r="D91" s="4" t="s">
        <v>33</v>
      </c>
      <c r="E91" s="16" t="s">
        <v>15</v>
      </c>
      <c r="F91"/>
      <c r="G91" s="5">
        <f t="shared" si="2"/>
        <v>11.759512772588632</v>
      </c>
      <c r="H91"/>
      <c r="I91" s="5">
        <f t="shared" si="3"/>
        <v>5.995982010140302</v>
      </c>
      <c r="J91"/>
      <c r="K91" s="5">
        <f t="shared" si="4"/>
        <v>3.508614379510727</v>
      </c>
      <c r="M91" s="50">
        <f t="shared" si="6"/>
        <v>7.088036387413221</v>
      </c>
    </row>
    <row r="92" spans="2:13" ht="12.75">
      <c r="B92" s="4" t="s">
        <v>106</v>
      </c>
      <c r="C92" s="4" t="s">
        <v>209</v>
      </c>
      <c r="D92" s="4" t="s">
        <v>33</v>
      </c>
      <c r="E92" s="16" t="s">
        <v>15</v>
      </c>
      <c r="F92"/>
      <c r="G92" s="5">
        <f t="shared" si="2"/>
        <v>4.703805109035453</v>
      </c>
      <c r="H92"/>
      <c r="I92" s="5">
        <f t="shared" si="3"/>
        <v>1.76667327084491</v>
      </c>
      <c r="J92"/>
      <c r="K92" s="5">
        <f t="shared" si="4"/>
        <v>0.46151773761256487</v>
      </c>
      <c r="M92" s="50">
        <f t="shared" si="6"/>
        <v>2.3106653724976423</v>
      </c>
    </row>
    <row r="93" spans="2:13" ht="12.75">
      <c r="B93" s="4" t="s">
        <v>107</v>
      </c>
      <c r="C93" s="4" t="s">
        <v>209</v>
      </c>
      <c r="D93" s="4" t="s">
        <v>33</v>
      </c>
      <c r="E93" s="16" t="s">
        <v>15</v>
      </c>
      <c r="F93"/>
      <c r="G93" s="5">
        <f t="shared" si="2"/>
        <v>0.9777572417657965</v>
      </c>
      <c r="H93"/>
      <c r="I93" s="5">
        <f t="shared" si="3"/>
        <v>1.0064684088449791</v>
      </c>
      <c r="J93"/>
      <c r="K93" s="5">
        <f t="shared" si="4"/>
        <v>1.0040034993676852</v>
      </c>
      <c r="M93" s="50">
        <f t="shared" si="6"/>
        <v>0.9960763833261536</v>
      </c>
    </row>
    <row r="94" spans="2:13" ht="12.75">
      <c r="B94" s="4" t="s">
        <v>108</v>
      </c>
      <c r="C94" s="4" t="s">
        <v>209</v>
      </c>
      <c r="D94" s="4" t="s">
        <v>33</v>
      </c>
      <c r="E94" s="16" t="s">
        <v>15</v>
      </c>
      <c r="F94"/>
      <c r="G94" s="5">
        <f t="shared" si="2"/>
        <v>56.81562350801249</v>
      </c>
      <c r="H94"/>
      <c r="I94" s="5">
        <f t="shared" si="3"/>
        <v>79.76797495633078</v>
      </c>
      <c r="J94"/>
      <c r="K94" s="5">
        <f t="shared" si="4"/>
        <v>19.243400404547298</v>
      </c>
      <c r="M94" s="50">
        <f t="shared" si="6"/>
        <v>51.942332956296845</v>
      </c>
    </row>
    <row r="95" spans="2:13" ht="12.75">
      <c r="B95" s="4"/>
      <c r="C95" s="4"/>
      <c r="E95" s="16"/>
      <c r="F95" s="14"/>
      <c r="G95" s="5"/>
      <c r="I95" s="5"/>
      <c r="K95" s="5"/>
      <c r="M95" s="50"/>
    </row>
    <row r="96" spans="2:13" ht="12.75">
      <c r="B96" s="4" t="s">
        <v>35</v>
      </c>
      <c r="C96" s="4" t="s">
        <v>209</v>
      </c>
      <c r="D96" s="4" t="s">
        <v>33</v>
      </c>
      <c r="E96" s="16" t="s">
        <v>15</v>
      </c>
      <c r="G96" s="18">
        <f>G79+G81+G83</f>
        <v>209.82141890866012</v>
      </c>
      <c r="I96" s="18">
        <f>I79+I81+I83</f>
        <v>216.9795989919522</v>
      </c>
      <c r="K96" s="18">
        <f>K79+K81+K83</f>
        <v>180.6126725206599</v>
      </c>
      <c r="M96" s="18">
        <f>AVERAGE(G96,I96,K96)</f>
        <v>202.47123014042407</v>
      </c>
    </row>
    <row r="97" spans="2:13" ht="12.75">
      <c r="B97" s="4" t="s">
        <v>34</v>
      </c>
      <c r="C97" s="4" t="s">
        <v>209</v>
      </c>
      <c r="D97" s="4" t="s">
        <v>33</v>
      </c>
      <c r="E97" s="16" t="s">
        <v>15</v>
      </c>
      <c r="G97" s="18">
        <f>G82+G87</f>
        <v>1073.41889623045</v>
      </c>
      <c r="I97" s="18">
        <f>I82+I87</f>
        <v>1061.0746735801854</v>
      </c>
      <c r="K97" s="18">
        <f>K82+K87</f>
        <v>1033.4218814728135</v>
      </c>
      <c r="M97" s="18">
        <f>AVERAGE(G97,I97,K97)</f>
        <v>1055.9718170944832</v>
      </c>
    </row>
    <row r="98" spans="2:11" ht="12.75">
      <c r="B98" s="4"/>
      <c r="C98" s="4"/>
      <c r="E98" s="16"/>
      <c r="G98" s="50"/>
      <c r="H98" s="4"/>
      <c r="I98" s="50"/>
      <c r="J98" s="4"/>
      <c r="K98" s="50"/>
    </row>
    <row r="99" spans="1:13" ht="12.75">
      <c r="A99" s="16">
        <v>12</v>
      </c>
      <c r="B99" s="13" t="s">
        <v>166</v>
      </c>
      <c r="C99" s="14" t="s">
        <v>167</v>
      </c>
      <c r="G99" s="16" t="s">
        <v>170</v>
      </c>
      <c r="H99" s="16"/>
      <c r="I99" s="16" t="s">
        <v>171</v>
      </c>
      <c r="J99" s="16"/>
      <c r="K99" s="16" t="s">
        <v>172</v>
      </c>
      <c r="M99" s="16" t="s">
        <v>169</v>
      </c>
    </row>
    <row r="100" spans="3:13" ht="12.75">
      <c r="C100" s="23"/>
      <c r="D100" s="16"/>
      <c r="E100" s="62"/>
      <c r="F100" s="14"/>
      <c r="G100" s="16"/>
      <c r="H100" s="16"/>
      <c r="I100" s="16"/>
      <c r="J100" s="16"/>
      <c r="K100" s="16"/>
      <c r="M100" s="16"/>
    </row>
    <row r="101" spans="2:13" ht="12.75">
      <c r="B101" s="4" t="s">
        <v>13</v>
      </c>
      <c r="C101" s="4" t="s">
        <v>208</v>
      </c>
      <c r="D101" s="4" t="s">
        <v>14</v>
      </c>
      <c r="E101" s="16" t="s">
        <v>15</v>
      </c>
      <c r="G101">
        <v>0.0514</v>
      </c>
      <c r="H101"/>
      <c r="I101">
        <v>0.0372</v>
      </c>
      <c r="J101"/>
      <c r="K101">
        <v>0.0211</v>
      </c>
      <c r="M101" s="64">
        <f>AVERAGE(G101,I101,K101)</f>
        <v>0.036566666666666664</v>
      </c>
    </row>
    <row r="102" spans="2:15" ht="12.75">
      <c r="B102" s="4" t="s">
        <v>24</v>
      </c>
      <c r="C102" s="4" t="s">
        <v>208</v>
      </c>
      <c r="D102" s="4" t="s">
        <v>16</v>
      </c>
      <c r="E102" s="16" t="s">
        <v>15</v>
      </c>
      <c r="G102">
        <v>627</v>
      </c>
      <c r="H102"/>
      <c r="I102">
        <v>1014</v>
      </c>
      <c r="J102"/>
      <c r="K102">
        <v>1231</v>
      </c>
      <c r="M102" s="18">
        <f>AVERAGE(G102,I102,K102)</f>
        <v>957.3333333333334</v>
      </c>
      <c r="O102" s="38"/>
    </row>
    <row r="103" spans="2:15" ht="12.75">
      <c r="B103" s="4" t="s">
        <v>25</v>
      </c>
      <c r="C103" s="4" t="s">
        <v>208</v>
      </c>
      <c r="D103" s="4" t="s">
        <v>16</v>
      </c>
      <c r="E103" s="16" t="s">
        <v>15</v>
      </c>
      <c r="G103">
        <v>1.84</v>
      </c>
      <c r="H103"/>
      <c r="I103">
        <v>0.408</v>
      </c>
      <c r="J103"/>
      <c r="K103">
        <v>0.279</v>
      </c>
      <c r="M103" s="18">
        <f>AVERAGE(G103,I103,K103)</f>
        <v>0.8423333333333334</v>
      </c>
      <c r="O103" s="38"/>
    </row>
    <row r="104" spans="2:13" ht="12.75">
      <c r="B104" s="14" t="s">
        <v>53</v>
      </c>
      <c r="C104" s="4" t="s">
        <v>208</v>
      </c>
      <c r="D104" s="14" t="s">
        <v>16</v>
      </c>
      <c r="E104" s="16" t="s">
        <v>15</v>
      </c>
      <c r="F104" s="14"/>
      <c r="G104" s="18">
        <f>G102+2*G103</f>
        <v>630.68</v>
      </c>
      <c r="I104" s="18">
        <f>I102+2*I103</f>
        <v>1014.816</v>
      </c>
      <c r="K104" s="18">
        <f>K102+2*K103</f>
        <v>1231.558</v>
      </c>
      <c r="M104" s="18">
        <f>M102+2*M103</f>
        <v>959.018</v>
      </c>
    </row>
    <row r="105" spans="4:9" ht="12.75">
      <c r="D105" s="14"/>
      <c r="E105" s="14"/>
      <c r="F105" s="14"/>
      <c r="I105" s="14"/>
    </row>
    <row r="106" spans="2:13" ht="12.75">
      <c r="B106" s="4" t="s">
        <v>54</v>
      </c>
      <c r="C106" s="4" t="s">
        <v>50</v>
      </c>
      <c r="D106" s="4" t="s">
        <v>208</v>
      </c>
      <c r="L106" s="16"/>
      <c r="M106" s="50"/>
    </row>
    <row r="107" spans="2:13" ht="12.75">
      <c r="B107" s="4" t="s">
        <v>49</v>
      </c>
      <c r="C107" s="4"/>
      <c r="D107" s="4" t="s">
        <v>17</v>
      </c>
      <c r="G107">
        <v>22017</v>
      </c>
      <c r="H107"/>
      <c r="I107">
        <v>21437</v>
      </c>
      <c r="J107"/>
      <c r="K107">
        <v>22344</v>
      </c>
      <c r="M107" s="21">
        <f>AVERAGE(G107,I107,K107)</f>
        <v>21932.666666666668</v>
      </c>
    </row>
    <row r="108" spans="2:13" ht="12.75">
      <c r="B108" s="4" t="s">
        <v>51</v>
      </c>
      <c r="C108" s="4"/>
      <c r="D108" s="4" t="s">
        <v>18</v>
      </c>
      <c r="G108">
        <v>14.4</v>
      </c>
      <c r="H108"/>
      <c r="I108">
        <v>14.4</v>
      </c>
      <c r="J108"/>
      <c r="K108">
        <v>14.5</v>
      </c>
      <c r="M108" s="18">
        <f>AVERAGE(G108,I108,K108)</f>
        <v>14.433333333333332</v>
      </c>
    </row>
    <row r="109" spans="2:13" ht="12.75">
      <c r="B109" s="4" t="s">
        <v>52</v>
      </c>
      <c r="C109" s="4"/>
      <c r="D109" s="4" t="s">
        <v>18</v>
      </c>
      <c r="G109">
        <v>16.5</v>
      </c>
      <c r="H109"/>
      <c r="I109">
        <v>16.2</v>
      </c>
      <c r="J109"/>
      <c r="K109">
        <v>15.7</v>
      </c>
      <c r="M109" s="18">
        <f>AVERAGE(G109,I109,K109)</f>
        <v>16.133333333333336</v>
      </c>
    </row>
    <row r="110" spans="2:13" ht="12.75">
      <c r="B110" s="4" t="s">
        <v>48</v>
      </c>
      <c r="C110" s="4"/>
      <c r="D110" s="4" t="s">
        <v>19</v>
      </c>
      <c r="G110">
        <v>326</v>
      </c>
      <c r="H110"/>
      <c r="I110">
        <v>339</v>
      </c>
      <c r="J110"/>
      <c r="K110">
        <v>336</v>
      </c>
      <c r="M110" s="21">
        <f>AVERAGE(G110,I110,K110)</f>
        <v>333.6666666666667</v>
      </c>
    </row>
    <row r="111" spans="2:13" ht="12.75">
      <c r="B111" s="4"/>
      <c r="C111" s="4"/>
      <c r="G111" s="49"/>
      <c r="H111" s="49"/>
      <c r="I111" s="49"/>
      <c r="J111" s="49"/>
      <c r="K111" s="49"/>
      <c r="M111" s="63"/>
    </row>
    <row r="112" spans="2:13" ht="12.75">
      <c r="B112" s="4"/>
      <c r="C112" s="4"/>
      <c r="G112" s="49"/>
      <c r="H112" s="49"/>
      <c r="I112" s="49"/>
      <c r="J112" s="49"/>
      <c r="K112" s="49"/>
      <c r="M112" s="63"/>
    </row>
    <row r="113" spans="2:13" ht="12.75">
      <c r="B113" s="4"/>
      <c r="C113" s="4"/>
      <c r="G113" s="49"/>
      <c r="H113" s="49"/>
      <c r="I113" s="49"/>
      <c r="J113" s="49"/>
      <c r="K113" s="49"/>
      <c r="M113" s="63"/>
    </row>
    <row r="114" spans="2:13" ht="12.75">
      <c r="B114" s="4"/>
      <c r="C114" s="4"/>
      <c r="G114" s="49"/>
      <c r="H114" s="49"/>
      <c r="I114" s="49"/>
      <c r="J114" s="49"/>
      <c r="K114" s="49"/>
      <c r="M114" s="63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I45"/>
  <sheetViews>
    <sheetView workbookViewId="0" topLeftCell="B1">
      <selection activeCell="B2" sqref="B2"/>
    </sheetView>
  </sheetViews>
  <sheetFormatPr defaultColWidth="9.140625" defaultRowHeight="12.75"/>
  <cols>
    <col min="1" max="1" width="4.140625" style="84" hidden="1" customWidth="1"/>
    <col min="2" max="2" width="18.140625" style="0" customWidth="1"/>
    <col min="3" max="3" width="8.00390625" style="0" customWidth="1"/>
    <col min="5" max="5" width="4.421875" style="0" customWidth="1"/>
    <col min="6" max="6" width="3.00390625" style="0" bestFit="1" customWidth="1"/>
    <col min="8" max="8" width="3.421875" style="0" customWidth="1"/>
    <col min="10" max="10" width="3.00390625" style="0" bestFit="1" customWidth="1"/>
    <col min="12" max="12" width="4.140625" style="0" customWidth="1"/>
    <col min="14" max="14" width="2.421875" style="0" customWidth="1"/>
    <col min="15" max="15" width="10.57421875" style="0" bestFit="1" customWidth="1"/>
  </cols>
  <sheetData>
    <row r="1" ht="12.75">
      <c r="B1" s="2" t="s">
        <v>193</v>
      </c>
    </row>
    <row r="2" ht="12.75">
      <c r="B2" s="2"/>
    </row>
    <row r="3" ht="12.75">
      <c r="B3" s="2"/>
    </row>
    <row r="4" spans="1:13" ht="12.75">
      <c r="A4" s="84">
        <v>1</v>
      </c>
      <c r="B4" s="2" t="s">
        <v>173</v>
      </c>
      <c r="G4" s="92" t="s">
        <v>170</v>
      </c>
      <c r="H4" s="92"/>
      <c r="I4" s="92" t="s">
        <v>171</v>
      </c>
      <c r="J4" s="92"/>
      <c r="K4" s="92" t="s">
        <v>172</v>
      </c>
      <c r="L4" s="92"/>
      <c r="M4" s="92" t="s">
        <v>169</v>
      </c>
    </row>
    <row r="6" spans="1:61" s="87" customFormat="1" ht="12.75">
      <c r="A6" s="90"/>
      <c r="B6" s="87" t="s">
        <v>13</v>
      </c>
      <c r="C6" s="87" t="s">
        <v>208</v>
      </c>
      <c r="D6" s="87" t="s">
        <v>14</v>
      </c>
      <c r="E6" s="87" t="s">
        <v>15</v>
      </c>
      <c r="F6" s="88" t="s">
        <v>179</v>
      </c>
      <c r="G6" s="87">
        <v>0.00800007936</v>
      </c>
      <c r="H6" s="88" t="s">
        <v>179</v>
      </c>
      <c r="I6" s="87">
        <v>0.00600005952</v>
      </c>
      <c r="J6" s="88" t="s">
        <v>179</v>
      </c>
      <c r="K6" s="87">
        <v>0.00600005952</v>
      </c>
      <c r="L6" s="88" t="s">
        <v>179</v>
      </c>
      <c r="M6" s="87">
        <f>AVERAGE(G6,I6,K6)</f>
        <v>0.006666732800000001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</row>
    <row r="7" spans="1:61" s="89" customFormat="1" ht="12.75">
      <c r="A7" s="90"/>
      <c r="B7" s="89" t="s">
        <v>146</v>
      </c>
      <c r="C7" s="87" t="s">
        <v>208</v>
      </c>
      <c r="D7" s="89" t="s">
        <v>16</v>
      </c>
      <c r="E7" s="87" t="s">
        <v>15</v>
      </c>
      <c r="F7" s="88" t="s">
        <v>179</v>
      </c>
      <c r="G7" s="89">
        <v>46.9</v>
      </c>
      <c r="H7" s="88" t="s">
        <v>179</v>
      </c>
      <c r="I7" s="89">
        <v>19</v>
      </c>
      <c r="J7" s="88" t="s">
        <v>179</v>
      </c>
      <c r="K7" s="89">
        <v>16</v>
      </c>
      <c r="L7" s="88" t="s">
        <v>179</v>
      </c>
      <c r="M7" s="89">
        <f aca="true" t="shared" si="0" ref="M7:M12">AVERAGE(G7,I7,K7)</f>
        <v>27.3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1:61" s="89" customFormat="1" ht="12.75">
      <c r="A8" s="90"/>
      <c r="B8" s="89" t="s">
        <v>145</v>
      </c>
      <c r="C8" s="87" t="s">
        <v>208</v>
      </c>
      <c r="D8" s="89" t="s">
        <v>16</v>
      </c>
      <c r="E8" s="87" t="s">
        <v>15</v>
      </c>
      <c r="F8" s="88" t="s">
        <v>179</v>
      </c>
      <c r="G8" s="89">
        <v>22.2</v>
      </c>
      <c r="H8" s="88" t="s">
        <v>179</v>
      </c>
      <c r="I8" s="89">
        <v>15.1</v>
      </c>
      <c r="J8" s="88" t="s">
        <v>179</v>
      </c>
      <c r="K8" s="89">
        <v>6.6</v>
      </c>
      <c r="L8" s="88" t="s">
        <v>179</v>
      </c>
      <c r="M8" s="89">
        <f t="shared" si="0"/>
        <v>14.633333333333333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</row>
    <row r="9" spans="1:61" s="89" customFormat="1" ht="12.75">
      <c r="A9" s="90"/>
      <c r="B9" s="89" t="s">
        <v>156</v>
      </c>
      <c r="C9" s="87" t="s">
        <v>208</v>
      </c>
      <c r="D9" s="89" t="s">
        <v>16</v>
      </c>
      <c r="E9" s="87" t="s">
        <v>15</v>
      </c>
      <c r="F9" s="88" t="s">
        <v>179</v>
      </c>
      <c r="G9" s="89">
        <v>4.3</v>
      </c>
      <c r="H9" s="88" t="s">
        <v>179</v>
      </c>
      <c r="I9" s="89">
        <v>4</v>
      </c>
      <c r="J9" s="88" t="s">
        <v>179</v>
      </c>
      <c r="K9" s="89">
        <v>5.6</v>
      </c>
      <c r="L9" s="88" t="s">
        <v>179</v>
      </c>
      <c r="M9" s="89">
        <f t="shared" si="0"/>
        <v>4.633333333333334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</row>
    <row r="10" spans="1:61" s="89" customFormat="1" ht="12.75">
      <c r="A10" s="90"/>
      <c r="B10" s="89" t="s">
        <v>132</v>
      </c>
      <c r="C10" s="87" t="s">
        <v>208</v>
      </c>
      <c r="D10" s="89" t="s">
        <v>16</v>
      </c>
      <c r="E10" s="87" t="s">
        <v>15</v>
      </c>
      <c r="F10" s="88" t="s">
        <v>179</v>
      </c>
      <c r="G10" s="89">
        <v>3.7</v>
      </c>
      <c r="H10" s="88" t="s">
        <v>179</v>
      </c>
      <c r="I10" s="89">
        <v>3.5</v>
      </c>
      <c r="J10" s="88" t="s">
        <v>179</v>
      </c>
      <c r="K10" s="89">
        <v>1.6</v>
      </c>
      <c r="L10" s="88" t="s">
        <v>179</v>
      </c>
      <c r="M10" s="89">
        <f t="shared" si="0"/>
        <v>2.9333333333333336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</row>
    <row r="11" spans="1:61" s="89" customFormat="1" ht="12.75">
      <c r="A11" s="90"/>
      <c r="B11" s="89" t="s">
        <v>24</v>
      </c>
      <c r="C11" s="87" t="s">
        <v>208</v>
      </c>
      <c r="D11" s="89" t="s">
        <v>16</v>
      </c>
      <c r="E11" s="87" t="s">
        <v>15</v>
      </c>
      <c r="F11" s="88" t="s">
        <v>179</v>
      </c>
      <c r="G11" s="89">
        <v>1569.9269197387277</v>
      </c>
      <c r="H11" s="88" t="s">
        <v>179</v>
      </c>
      <c r="I11" s="89">
        <v>1531.4705090099296</v>
      </c>
      <c r="J11" s="88" t="s">
        <v>179</v>
      </c>
      <c r="K11" s="89">
        <v>1487.0439657534844</v>
      </c>
      <c r="L11" s="88" t="s">
        <v>179</v>
      </c>
      <c r="M11" s="89">
        <f t="shared" si="0"/>
        <v>1529.480464834047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</row>
    <row r="12" spans="1:61" s="89" customFormat="1" ht="12.75">
      <c r="A12" s="90"/>
      <c r="B12" s="89" t="s">
        <v>25</v>
      </c>
      <c r="C12" s="87" t="s">
        <v>208</v>
      </c>
      <c r="D12" s="89" t="s">
        <v>16</v>
      </c>
      <c r="E12" s="87" t="s">
        <v>15</v>
      </c>
      <c r="F12" s="88" t="s">
        <v>179</v>
      </c>
      <c r="G12" s="89">
        <v>2.1373189640126</v>
      </c>
      <c r="H12" s="88" t="s">
        <v>179</v>
      </c>
      <c r="I12" s="89">
        <v>0.6009346569615783</v>
      </c>
      <c r="J12" s="88" t="s">
        <v>179</v>
      </c>
      <c r="K12" s="89">
        <v>0.53729624826811</v>
      </c>
      <c r="L12" s="88" t="s">
        <v>179</v>
      </c>
      <c r="M12" s="89">
        <f t="shared" si="0"/>
        <v>1.091849956414096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</row>
    <row r="13" spans="1:61" s="89" customFormat="1" ht="12.75">
      <c r="A13" s="90"/>
      <c r="B13" s="89" t="s">
        <v>53</v>
      </c>
      <c r="C13" s="87" t="s">
        <v>208</v>
      </c>
      <c r="D13" s="89" t="s">
        <v>16</v>
      </c>
      <c r="E13" s="87" t="s">
        <v>15</v>
      </c>
      <c r="F13" s="88"/>
      <c r="G13" s="89">
        <f>G11+2*G12</f>
        <v>1574.201557666753</v>
      </c>
      <c r="H13" s="88"/>
      <c r="I13" s="89">
        <f>I11+2*I12</f>
        <v>1532.6723783238529</v>
      </c>
      <c r="J13" s="88"/>
      <c r="K13" s="89">
        <f>K11+2*K12</f>
        <v>1488.1185582500207</v>
      </c>
      <c r="L13" s="88"/>
      <c r="M13" s="89">
        <f>AVERAGE(G13,I13,K13)</f>
        <v>1531.6641647468757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</row>
    <row r="14" spans="1:61" s="89" customFormat="1" ht="12.75">
      <c r="A14" s="90"/>
      <c r="C14" s="87"/>
      <c r="E14" s="87"/>
      <c r="F14" s="88"/>
      <c r="H14" s="88"/>
      <c r="J14" s="88"/>
      <c r="L14" s="88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</row>
    <row r="15" spans="1:61" s="89" customFormat="1" ht="12.75">
      <c r="A15" s="90"/>
      <c r="B15" s="89" t="s">
        <v>96</v>
      </c>
      <c r="C15" s="89" t="s">
        <v>209</v>
      </c>
      <c r="D15" s="89" t="s">
        <v>33</v>
      </c>
      <c r="E15" s="87" t="s">
        <v>15</v>
      </c>
      <c r="F15" s="88" t="s">
        <v>179</v>
      </c>
      <c r="G15" s="89">
        <v>303.20799652325</v>
      </c>
      <c r="H15" s="88" t="s">
        <v>179</v>
      </c>
      <c r="I15" s="89">
        <v>255.79035175879395</v>
      </c>
      <c r="J15" s="88" t="s">
        <v>179</v>
      </c>
      <c r="K15" s="89">
        <v>201.63872201492538</v>
      </c>
      <c r="L15" s="88" t="s">
        <v>179</v>
      </c>
      <c r="M15" s="89">
        <f aca="true" t="shared" si="1" ref="M15:M22">AVERAGE(G15,I15,K15)</f>
        <v>253.54569009898978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</row>
    <row r="16" spans="1:61" s="89" customFormat="1" ht="12.75">
      <c r="A16" s="90"/>
      <c r="B16" s="89" t="s">
        <v>95</v>
      </c>
      <c r="C16" s="89" t="s">
        <v>209</v>
      </c>
      <c r="D16" s="89" t="s">
        <v>33</v>
      </c>
      <c r="E16" s="87" t="s">
        <v>15</v>
      </c>
      <c r="F16" s="88" t="s">
        <v>179</v>
      </c>
      <c r="G16" s="89">
        <v>2.0304106910039112</v>
      </c>
      <c r="H16" s="88" t="s">
        <v>179</v>
      </c>
      <c r="I16" s="89">
        <v>34.28425460636515</v>
      </c>
      <c r="J16" s="88" t="s">
        <v>179</v>
      </c>
      <c r="K16" s="89">
        <v>31.088390858209</v>
      </c>
      <c r="L16" s="88" t="s">
        <v>179</v>
      </c>
      <c r="M16" s="89">
        <f t="shared" si="1"/>
        <v>22.467685385192684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</row>
    <row r="17" spans="1:61" s="89" customFormat="1" ht="12.75">
      <c r="A17" s="90"/>
      <c r="B17" s="89" t="s">
        <v>97</v>
      </c>
      <c r="C17" s="89" t="s">
        <v>209</v>
      </c>
      <c r="D17" s="89" t="s">
        <v>33</v>
      </c>
      <c r="E17" s="87" t="s">
        <v>15</v>
      </c>
      <c r="F17" s="88" t="s">
        <v>179</v>
      </c>
      <c r="G17" s="89">
        <v>15.755986962190352</v>
      </c>
      <c r="H17" s="88" t="s">
        <v>165</v>
      </c>
      <c r="I17" s="89">
        <v>31.899262981574537</v>
      </c>
      <c r="J17" s="88" t="s">
        <v>165</v>
      </c>
      <c r="K17" s="89">
        <v>23.82474813432836</v>
      </c>
      <c r="L17" s="88" t="s">
        <v>179</v>
      </c>
      <c r="M17" s="89">
        <f t="shared" si="1"/>
        <v>23.82666602603108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</row>
    <row r="18" spans="1:61" s="89" customFormat="1" ht="12.75">
      <c r="A18" s="90"/>
      <c r="B18" s="89" t="s">
        <v>98</v>
      </c>
      <c r="C18" s="89" t="s">
        <v>209</v>
      </c>
      <c r="D18" s="89" t="s">
        <v>33</v>
      </c>
      <c r="E18" s="87" t="s">
        <v>15</v>
      </c>
      <c r="F18" s="88" t="s">
        <v>179</v>
      </c>
      <c r="G18" s="89">
        <v>1.2534401999130813</v>
      </c>
      <c r="H18" s="88" t="s">
        <v>179</v>
      </c>
      <c r="I18" s="89">
        <v>2.4326914572864315</v>
      </c>
      <c r="J18" s="88" t="s">
        <v>179</v>
      </c>
      <c r="K18" s="89">
        <v>1.4091466884328359</v>
      </c>
      <c r="L18" s="88" t="s">
        <v>179</v>
      </c>
      <c r="M18" s="89">
        <f t="shared" si="1"/>
        <v>1.698426115210783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</row>
    <row r="19" spans="1:61" s="89" customFormat="1" ht="12.75">
      <c r="A19" s="90"/>
      <c r="B19" s="89" t="s">
        <v>99</v>
      </c>
      <c r="C19" s="89" t="s">
        <v>209</v>
      </c>
      <c r="D19" s="89" t="s">
        <v>33</v>
      </c>
      <c r="E19" s="87" t="s">
        <v>15</v>
      </c>
      <c r="F19" s="88" t="s">
        <v>179</v>
      </c>
      <c r="G19" s="89">
        <v>21.79307475010865</v>
      </c>
      <c r="H19" s="88" t="s">
        <v>179</v>
      </c>
      <c r="I19" s="89">
        <v>44.12234505862646</v>
      </c>
      <c r="J19" s="88" t="s">
        <v>179</v>
      </c>
      <c r="K19" s="89">
        <v>31.378936567164175</v>
      </c>
      <c r="L19" s="88" t="s">
        <v>179</v>
      </c>
      <c r="M19" s="89">
        <f t="shared" si="1"/>
        <v>32.431452125299764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</row>
    <row r="20" spans="1:61" s="89" customFormat="1" ht="12.75">
      <c r="A20" s="90"/>
      <c r="B20" s="89" t="s">
        <v>100</v>
      </c>
      <c r="C20" s="89" t="s">
        <v>209</v>
      </c>
      <c r="D20" s="89" t="s">
        <v>33</v>
      </c>
      <c r="E20" s="87" t="s">
        <v>15</v>
      </c>
      <c r="F20" s="88" t="s">
        <v>165</v>
      </c>
      <c r="G20" s="89">
        <v>12.29075271621034</v>
      </c>
      <c r="H20" s="88" t="s">
        <v>165</v>
      </c>
      <c r="I20" s="89">
        <v>20.63017755443886</v>
      </c>
      <c r="J20" s="88" t="s">
        <v>165</v>
      </c>
      <c r="K20" s="89">
        <v>13.655648320895521</v>
      </c>
      <c r="L20" s="88">
        <v>100</v>
      </c>
      <c r="M20" s="89">
        <f t="shared" si="1"/>
        <v>15.525526197181575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</row>
    <row r="21" spans="1:61" s="89" customFormat="1" ht="12.75">
      <c r="A21" s="90"/>
      <c r="B21" s="89" t="s">
        <v>180</v>
      </c>
      <c r="C21" s="89" t="s">
        <v>210</v>
      </c>
      <c r="D21" s="89" t="s">
        <v>33</v>
      </c>
      <c r="E21" s="87" t="s">
        <v>15</v>
      </c>
      <c r="F21" s="88" t="s">
        <v>179</v>
      </c>
      <c r="G21" s="89">
        <v>1.5920557091882246</v>
      </c>
      <c r="H21" s="88" t="s">
        <v>165</v>
      </c>
      <c r="I21" s="89">
        <v>1.8080652663934424</v>
      </c>
      <c r="J21" s="88" t="s">
        <v>179</v>
      </c>
      <c r="K21" s="89">
        <v>1.9278562335382</v>
      </c>
      <c r="L21" s="88" t="s">
        <v>179</v>
      </c>
      <c r="M21" s="89">
        <f t="shared" si="1"/>
        <v>1.7759924030399556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</row>
    <row r="22" spans="1:61" s="89" customFormat="1" ht="12.75">
      <c r="A22" s="90"/>
      <c r="B22" s="89" t="s">
        <v>102</v>
      </c>
      <c r="C22" s="89" t="s">
        <v>209</v>
      </c>
      <c r="D22" s="89" t="s">
        <v>33</v>
      </c>
      <c r="E22" s="87" t="s">
        <v>15</v>
      </c>
      <c r="F22" s="88" t="s">
        <v>179</v>
      </c>
      <c r="G22" s="89">
        <v>219.55507605389</v>
      </c>
      <c r="H22" s="88" t="s">
        <v>179</v>
      </c>
      <c r="I22" s="89">
        <v>1326.6515912897821</v>
      </c>
      <c r="J22" s="88" t="s">
        <v>179</v>
      </c>
      <c r="K22" s="89">
        <v>424.1967350746269</v>
      </c>
      <c r="L22" s="88" t="s">
        <v>179</v>
      </c>
      <c r="M22" s="89">
        <f t="shared" si="1"/>
        <v>656.801134139433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</row>
    <row r="23" spans="1:61" s="89" customFormat="1" ht="12.75">
      <c r="A23" s="90"/>
      <c r="B23" s="89" t="s">
        <v>103</v>
      </c>
      <c r="C23" s="89" t="s">
        <v>209</v>
      </c>
      <c r="D23" s="89" t="s">
        <v>33</v>
      </c>
      <c r="E23" s="87" t="s">
        <v>15</v>
      </c>
      <c r="F23" s="88" t="s">
        <v>165</v>
      </c>
      <c r="G23" s="89">
        <v>0.3573522816166884</v>
      </c>
      <c r="H23" s="88" t="s">
        <v>165</v>
      </c>
      <c r="I23" s="89">
        <v>0.065587269681742</v>
      </c>
      <c r="J23" s="88" t="s">
        <v>165</v>
      </c>
      <c r="K23" s="89">
        <v>0.7060260727611941</v>
      </c>
      <c r="L23" s="88">
        <v>100</v>
      </c>
      <c r="M23" s="89">
        <f>AVERAGE(G23,I23,K23)</f>
        <v>0.3763218746865415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</row>
    <row r="24" spans="1:61" s="89" customFormat="1" ht="12.75">
      <c r="A24" s="90"/>
      <c r="B24" s="89" t="s">
        <v>106</v>
      </c>
      <c r="C24" s="89" t="s">
        <v>209</v>
      </c>
      <c r="D24" s="89" t="s">
        <v>33</v>
      </c>
      <c r="E24" s="87" t="s">
        <v>15</v>
      </c>
      <c r="F24" s="88" t="s">
        <v>165</v>
      </c>
      <c r="G24" s="89">
        <v>2.7342863972186</v>
      </c>
      <c r="H24" s="88" t="s">
        <v>165</v>
      </c>
      <c r="I24" s="89">
        <v>4.9190452261306525</v>
      </c>
      <c r="J24" s="88" t="s">
        <v>165</v>
      </c>
      <c r="K24" s="89">
        <v>2.8182933768656717</v>
      </c>
      <c r="L24" s="88">
        <v>100</v>
      </c>
      <c r="M24" s="89">
        <f>AVERAGE(G24,I24,K24)</f>
        <v>3.490541666738308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</row>
    <row r="25" spans="1:61" s="89" customFormat="1" ht="12.75">
      <c r="A25" s="90"/>
      <c r="B25" s="89" t="s">
        <v>107</v>
      </c>
      <c r="C25" s="89" t="s">
        <v>209</v>
      </c>
      <c r="D25" s="89" t="s">
        <v>33</v>
      </c>
      <c r="E25" s="87" t="s">
        <v>15</v>
      </c>
      <c r="F25" s="88" t="s">
        <v>165</v>
      </c>
      <c r="G25" s="89">
        <v>0.77697049109083</v>
      </c>
      <c r="H25" s="88" t="s">
        <v>165</v>
      </c>
      <c r="I25" s="89">
        <v>2.1703423785594635</v>
      </c>
      <c r="J25" s="88" t="s">
        <v>165</v>
      </c>
      <c r="K25" s="89">
        <v>0.8338661847014925</v>
      </c>
      <c r="L25" s="88">
        <v>100</v>
      </c>
      <c r="M25" s="89">
        <f>AVERAGE(G25,I25,K25)</f>
        <v>1.260393018117262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</row>
    <row r="26" spans="1:61" s="89" customFormat="1" ht="12.75">
      <c r="A26" s="90"/>
      <c r="B26" s="89" t="s">
        <v>34</v>
      </c>
      <c r="C26" s="89" t="s">
        <v>209</v>
      </c>
      <c r="D26" s="89" t="s">
        <v>33</v>
      </c>
      <c r="E26" s="87" t="s">
        <v>15</v>
      </c>
      <c r="F26" s="88"/>
      <c r="G26" s="89">
        <f>G22+G19</f>
        <v>241.34815080399864</v>
      </c>
      <c r="H26" s="88"/>
      <c r="I26" s="89">
        <f>I22+I19</f>
        <v>1370.7739363484086</v>
      </c>
      <c r="J26" s="88"/>
      <c r="K26" s="89">
        <f>K22+K19</f>
        <v>455.575671641791</v>
      </c>
      <c r="L26" s="88"/>
      <c r="M26" s="89">
        <f>AVERAGE(G26,I26,K26)</f>
        <v>689.2325862647327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</row>
    <row r="27" spans="1:61" s="89" customFormat="1" ht="12.75">
      <c r="A27" s="90"/>
      <c r="B27" s="89" t="s">
        <v>35</v>
      </c>
      <c r="C27" s="89" t="s">
        <v>209</v>
      </c>
      <c r="D27" s="89" t="s">
        <v>33</v>
      </c>
      <c r="E27" s="87" t="s">
        <v>15</v>
      </c>
      <c r="F27" s="88"/>
      <c r="G27" s="89">
        <f>G16+G18+G20</f>
        <v>15.574603607127333</v>
      </c>
      <c r="H27" s="88"/>
      <c r="I27" s="89">
        <f>I16+I18+I20</f>
        <v>57.34712361809044</v>
      </c>
      <c r="J27" s="88"/>
      <c r="K27" s="89">
        <f>K16+K18+K20</f>
        <v>46.15318586753736</v>
      </c>
      <c r="L27" s="88"/>
      <c r="M27" s="89">
        <f>AVERAGE(G27,I27,K27)</f>
        <v>39.691637697585044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</row>
    <row r="28" spans="1:61" s="91" customFormat="1" ht="12.75">
      <c r="A28" s="90"/>
      <c r="G28" s="88"/>
      <c r="H28" s="88"/>
      <c r="I28" s="88"/>
      <c r="J28" s="88"/>
      <c r="K28" s="88"/>
      <c r="L28" s="88"/>
      <c r="M28" s="8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</row>
    <row r="29" spans="1:61" s="91" customFormat="1" ht="12.75">
      <c r="A29" s="90"/>
      <c r="B29" s="89" t="s">
        <v>54</v>
      </c>
      <c r="C29" s="91" t="s">
        <v>182</v>
      </c>
      <c r="D29" s="4" t="s">
        <v>208</v>
      </c>
      <c r="G29" s="88"/>
      <c r="H29" s="88"/>
      <c r="I29" s="88"/>
      <c r="J29" s="88"/>
      <c r="K29" s="88"/>
      <c r="L29" s="88"/>
      <c r="M29" s="88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</row>
    <row r="30" spans="1:61" s="91" customFormat="1" ht="12.75">
      <c r="A30" s="90"/>
      <c r="B30" s="4" t="s">
        <v>49</v>
      </c>
      <c r="C30" s="4"/>
      <c r="D30" s="4" t="s">
        <v>17</v>
      </c>
      <c r="G30" s="88">
        <v>21700</v>
      </c>
      <c r="H30" s="88"/>
      <c r="I30" s="88">
        <v>22100</v>
      </c>
      <c r="J30" s="88"/>
      <c r="K30" s="88">
        <v>19400</v>
      </c>
      <c r="L30" s="88"/>
      <c r="M30" s="88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</row>
    <row r="31" spans="1:61" s="91" customFormat="1" ht="12.75">
      <c r="A31" s="90"/>
      <c r="B31" s="4" t="s">
        <v>51</v>
      </c>
      <c r="C31" s="4"/>
      <c r="D31" s="4" t="s">
        <v>18</v>
      </c>
      <c r="G31" s="88">
        <v>15</v>
      </c>
      <c r="H31" s="88"/>
      <c r="I31" s="88">
        <v>14.8</v>
      </c>
      <c r="J31" s="88"/>
      <c r="K31" s="88">
        <v>14.6</v>
      </c>
      <c r="L31" s="88"/>
      <c r="M31" s="88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</row>
    <row r="32" spans="1:61" s="91" customFormat="1" ht="12.75">
      <c r="A32" s="90"/>
      <c r="B32" s="4" t="s">
        <v>52</v>
      </c>
      <c r="C32" s="4"/>
      <c r="D32" s="4" t="s">
        <v>18</v>
      </c>
      <c r="G32" s="88">
        <v>11.4</v>
      </c>
      <c r="H32" s="88"/>
      <c r="I32" s="88">
        <v>11.4</v>
      </c>
      <c r="J32" s="88"/>
      <c r="K32" s="88">
        <v>12.3</v>
      </c>
      <c r="L32" s="88"/>
      <c r="M32" s="88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</row>
    <row r="33" spans="1:61" s="91" customFormat="1" ht="12.75">
      <c r="A33" s="90"/>
      <c r="B33" s="4" t="s">
        <v>48</v>
      </c>
      <c r="C33" s="4"/>
      <c r="D33" s="4" t="s">
        <v>19</v>
      </c>
      <c r="G33" s="88">
        <v>344</v>
      </c>
      <c r="H33" s="88"/>
      <c r="I33" s="88">
        <v>349</v>
      </c>
      <c r="J33" s="88"/>
      <c r="K33" s="88">
        <v>341</v>
      </c>
      <c r="L33" s="88"/>
      <c r="M33" s="88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</row>
    <row r="34" spans="1:61" s="91" customFormat="1" ht="12.75">
      <c r="A34" s="90"/>
      <c r="G34" s="88"/>
      <c r="H34" s="88"/>
      <c r="I34" s="88"/>
      <c r="J34" s="88"/>
      <c r="K34" s="88"/>
      <c r="L34" s="88"/>
      <c r="M34" s="88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</row>
    <row r="35" spans="1:61" s="91" customFormat="1" ht="12.75">
      <c r="A35" s="90"/>
      <c r="B35" s="89" t="s">
        <v>54</v>
      </c>
      <c r="C35" s="91" t="s">
        <v>110</v>
      </c>
      <c r="D35" s="4" t="s">
        <v>209</v>
      </c>
      <c r="G35" s="88"/>
      <c r="H35" s="88"/>
      <c r="I35" s="88"/>
      <c r="J35" s="88"/>
      <c r="K35" s="88"/>
      <c r="L35" s="88"/>
      <c r="M35" s="88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</row>
    <row r="36" spans="1:61" s="91" customFormat="1" ht="12.75">
      <c r="A36" s="90"/>
      <c r="B36" s="4" t="s">
        <v>49</v>
      </c>
      <c r="C36" s="4"/>
      <c r="D36" s="4" t="s">
        <v>17</v>
      </c>
      <c r="G36" s="88">
        <v>23400</v>
      </c>
      <c r="H36" s="88"/>
      <c r="I36" s="88">
        <v>19900</v>
      </c>
      <c r="J36" s="88"/>
      <c r="K36" s="88">
        <v>20100</v>
      </c>
      <c r="L36" s="88"/>
      <c r="M36" s="88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</row>
    <row r="37" spans="1:61" s="91" customFormat="1" ht="12.75">
      <c r="A37" s="90"/>
      <c r="B37" s="4" t="s">
        <v>51</v>
      </c>
      <c r="C37" s="4"/>
      <c r="D37" s="4" t="s">
        <v>18</v>
      </c>
      <c r="G37" s="88">
        <v>15.1</v>
      </c>
      <c r="H37" s="88"/>
      <c r="I37" s="88">
        <v>14.7</v>
      </c>
      <c r="J37" s="88"/>
      <c r="K37" s="88">
        <v>14.6</v>
      </c>
      <c r="L37" s="88"/>
      <c r="M37" s="88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</row>
    <row r="38" spans="1:61" s="91" customFormat="1" ht="12.75">
      <c r="A38" s="90"/>
      <c r="B38" s="4" t="s">
        <v>52</v>
      </c>
      <c r="C38" s="4"/>
      <c r="D38" s="4" t="s">
        <v>18</v>
      </c>
      <c r="G38" s="88">
        <v>10.4</v>
      </c>
      <c r="H38" s="88"/>
      <c r="I38" s="88">
        <v>13</v>
      </c>
      <c r="J38" s="88"/>
      <c r="K38" s="88">
        <v>12.9</v>
      </c>
      <c r="L38" s="88"/>
      <c r="M38" s="8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</row>
    <row r="39" spans="1:61" s="91" customFormat="1" ht="12.75">
      <c r="A39" s="90"/>
      <c r="B39" s="4" t="s">
        <v>48</v>
      </c>
      <c r="C39" s="4"/>
      <c r="D39" s="4" t="s">
        <v>19</v>
      </c>
      <c r="G39" s="88">
        <v>340</v>
      </c>
      <c r="H39" s="88"/>
      <c r="I39" s="88">
        <v>341</v>
      </c>
      <c r="J39" s="88"/>
      <c r="K39" s="88">
        <v>336</v>
      </c>
      <c r="L39" s="88"/>
      <c r="M39" s="88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</row>
    <row r="41" spans="2:4" ht="12.75">
      <c r="B41" s="89" t="s">
        <v>54</v>
      </c>
      <c r="C41" s="91" t="s">
        <v>181</v>
      </c>
      <c r="D41" s="89" t="s">
        <v>210</v>
      </c>
    </row>
    <row r="42" spans="1:61" s="91" customFormat="1" ht="12.75">
      <c r="A42" s="90"/>
      <c r="B42" s="4" t="s">
        <v>49</v>
      </c>
      <c r="C42" s="4"/>
      <c r="D42" s="4" t="s">
        <v>17</v>
      </c>
      <c r="G42" s="88">
        <v>22800</v>
      </c>
      <c r="H42" s="88"/>
      <c r="I42" s="88">
        <v>22400</v>
      </c>
      <c r="J42" s="88"/>
      <c r="K42" s="88">
        <v>20400</v>
      </c>
      <c r="L42" s="88"/>
      <c r="M42" s="88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</row>
    <row r="43" spans="1:61" s="91" customFormat="1" ht="12.75">
      <c r="A43" s="90"/>
      <c r="B43" s="4" t="s">
        <v>51</v>
      </c>
      <c r="C43" s="4"/>
      <c r="D43" s="4" t="s">
        <v>18</v>
      </c>
      <c r="G43" s="88">
        <v>15.1</v>
      </c>
      <c r="H43" s="88"/>
      <c r="I43" s="88">
        <v>14.9</v>
      </c>
      <c r="J43" s="88"/>
      <c r="K43" s="88">
        <v>14.3</v>
      </c>
      <c r="L43" s="88"/>
      <c r="M43" s="88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</row>
    <row r="44" spans="1:61" s="91" customFormat="1" ht="12.75">
      <c r="A44" s="90"/>
      <c r="B44" s="4" t="s">
        <v>52</v>
      </c>
      <c r="C44" s="4"/>
      <c r="D44" s="4" t="s">
        <v>18</v>
      </c>
      <c r="G44" s="88">
        <v>4.6</v>
      </c>
      <c r="H44" s="88"/>
      <c r="I44" s="88">
        <v>2.6</v>
      </c>
      <c r="J44" s="88"/>
      <c r="K44" s="88">
        <v>8.9</v>
      </c>
      <c r="L44" s="88"/>
      <c r="M44" s="88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</row>
    <row r="45" spans="1:61" s="91" customFormat="1" ht="12.75">
      <c r="A45" s="90"/>
      <c r="B45" s="4" t="s">
        <v>48</v>
      </c>
      <c r="C45" s="4"/>
      <c r="D45" s="4" t="s">
        <v>19</v>
      </c>
      <c r="G45" s="88">
        <v>346</v>
      </c>
      <c r="H45" s="88"/>
      <c r="I45" s="88">
        <v>344</v>
      </c>
      <c r="J45" s="88"/>
      <c r="K45" s="88">
        <v>338</v>
      </c>
      <c r="L45" s="88"/>
      <c r="M45" s="88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93"/>
  <sheetViews>
    <sheetView workbookViewId="0" topLeftCell="B1">
      <selection activeCell="B2" sqref="B2"/>
    </sheetView>
  </sheetViews>
  <sheetFormatPr defaultColWidth="9.140625" defaultRowHeight="12.75"/>
  <cols>
    <col min="1" max="1" width="2.421875" style="14" hidden="1" customWidth="1"/>
    <col min="2" max="2" width="20.28125" style="4" customWidth="1"/>
    <col min="3" max="3" width="3.140625" style="4" customWidth="1"/>
    <col min="4" max="4" width="7.00390625" style="4" customWidth="1"/>
    <col min="5" max="5" width="3.7109375" style="14" customWidth="1"/>
    <col min="6" max="6" width="9.140625" style="19" customWidth="1"/>
    <col min="7" max="7" width="3.7109375" style="16" customWidth="1"/>
    <col min="8" max="8" width="9.28125" style="14" customWidth="1"/>
    <col min="9" max="9" width="4.140625" style="14" customWidth="1"/>
    <col min="10" max="10" width="8.421875" style="14" customWidth="1"/>
    <col min="11" max="11" width="3.7109375" style="14" customWidth="1"/>
    <col min="12" max="12" width="8.00390625" style="14" bestFit="1" customWidth="1"/>
    <col min="13" max="13" width="3.8515625" style="14" customWidth="1"/>
    <col min="14" max="14" width="8.00390625" style="14" bestFit="1" customWidth="1"/>
    <col min="15" max="15" width="3.7109375" style="14" customWidth="1"/>
    <col min="16" max="16" width="9.00390625" style="14" bestFit="1" customWidth="1"/>
    <col min="17" max="17" width="2.140625" style="14" customWidth="1"/>
    <col min="18" max="18" width="9.00390625" style="14" bestFit="1" customWidth="1"/>
    <col min="19" max="19" width="1.28515625" style="14" customWidth="1"/>
    <col min="20" max="20" width="9.00390625" style="14" bestFit="1" customWidth="1"/>
    <col min="21" max="21" width="2.140625" style="14" customWidth="1"/>
    <col min="22" max="22" width="9.00390625" style="14" bestFit="1" customWidth="1"/>
    <col min="23" max="23" width="4.00390625" style="14" customWidth="1"/>
    <col min="24" max="24" width="8.00390625" style="14" bestFit="1" customWidth="1"/>
    <col min="25" max="25" width="4.28125" style="14" customWidth="1"/>
    <col min="26" max="26" width="8.00390625" style="14" bestFit="1" customWidth="1"/>
    <col min="27" max="27" width="3.8515625" style="14" customWidth="1"/>
    <col min="28" max="28" width="8.00390625" style="14" bestFit="1" customWidth="1"/>
    <col min="29" max="29" width="4.7109375" style="14" customWidth="1"/>
    <col min="30" max="30" width="8.8515625" style="14" bestFit="1" customWidth="1"/>
    <col min="31" max="16384" width="8.8515625" style="14" customWidth="1"/>
  </cols>
  <sheetData>
    <row r="1" spans="2:3" ht="12.75">
      <c r="B1" s="17" t="s">
        <v>194</v>
      </c>
      <c r="C1" s="17"/>
    </row>
    <row r="2" ht="12.75">
      <c r="D2" s="16"/>
    </row>
    <row r="4" spans="1:30" ht="12.75">
      <c r="A4" s="14" t="s">
        <v>56</v>
      </c>
      <c r="B4" s="17" t="s">
        <v>150</v>
      </c>
      <c r="C4" s="4" t="s">
        <v>55</v>
      </c>
      <c r="F4" s="16" t="s">
        <v>170</v>
      </c>
      <c r="H4" s="16" t="s">
        <v>171</v>
      </c>
      <c r="I4" s="16"/>
      <c r="J4" s="16" t="s">
        <v>172</v>
      </c>
      <c r="L4" s="16" t="s">
        <v>170</v>
      </c>
      <c r="M4" s="16"/>
      <c r="N4" s="16" t="s">
        <v>171</v>
      </c>
      <c r="O4" s="16"/>
      <c r="P4" s="16" t="s">
        <v>172</v>
      </c>
      <c r="Q4" s="76"/>
      <c r="R4" s="16" t="s">
        <v>170</v>
      </c>
      <c r="S4" s="16"/>
      <c r="T4" s="16" t="s">
        <v>171</v>
      </c>
      <c r="U4" s="16"/>
      <c r="V4" s="16" t="s">
        <v>172</v>
      </c>
      <c r="W4" s="76"/>
      <c r="X4" s="16" t="s">
        <v>170</v>
      </c>
      <c r="Y4" s="16"/>
      <c r="Z4" s="16" t="s">
        <v>171</v>
      </c>
      <c r="AA4" s="16"/>
      <c r="AB4" s="16" t="s">
        <v>172</v>
      </c>
      <c r="AD4" s="16" t="s">
        <v>169</v>
      </c>
    </row>
    <row r="5" spans="2:30" ht="12.75">
      <c r="B5" s="17"/>
      <c r="F5" s="16"/>
      <c r="H5" s="16"/>
      <c r="I5" s="16"/>
      <c r="J5" s="16"/>
      <c r="L5" s="16"/>
      <c r="M5" s="16"/>
      <c r="N5" s="16"/>
      <c r="O5" s="16"/>
      <c r="P5" s="16"/>
      <c r="Q5" s="76"/>
      <c r="R5" s="16"/>
      <c r="S5" s="16"/>
      <c r="T5" s="16"/>
      <c r="U5" s="16"/>
      <c r="V5" s="16"/>
      <c r="W5" s="76"/>
      <c r="X5" s="16"/>
      <c r="Y5" s="16"/>
      <c r="Z5" s="16"/>
      <c r="AA5" s="16"/>
      <c r="AB5" s="16"/>
      <c r="AD5" s="16"/>
    </row>
    <row r="6" spans="2:30" ht="12.75">
      <c r="B6" s="8" t="s">
        <v>228</v>
      </c>
      <c r="F6" s="16" t="s">
        <v>229</v>
      </c>
      <c r="H6" s="16" t="s">
        <v>229</v>
      </c>
      <c r="I6" s="16"/>
      <c r="J6" s="16" t="s">
        <v>229</v>
      </c>
      <c r="L6" s="16" t="s">
        <v>230</v>
      </c>
      <c r="M6" s="16"/>
      <c r="N6" s="16" t="s">
        <v>230</v>
      </c>
      <c r="O6" s="16"/>
      <c r="P6" s="16" t="s">
        <v>230</v>
      </c>
      <c r="Q6" s="76"/>
      <c r="R6" s="16" t="s">
        <v>231</v>
      </c>
      <c r="S6" s="16"/>
      <c r="T6" s="16" t="s">
        <v>231</v>
      </c>
      <c r="U6" s="16"/>
      <c r="V6" s="16" t="s">
        <v>231</v>
      </c>
      <c r="W6" s="76"/>
      <c r="X6" s="16" t="s">
        <v>232</v>
      </c>
      <c r="Y6" s="16"/>
      <c r="Z6" s="16" t="s">
        <v>232</v>
      </c>
      <c r="AA6" s="16"/>
      <c r="AB6" s="16" t="s">
        <v>232</v>
      </c>
      <c r="AD6" s="16" t="s">
        <v>232</v>
      </c>
    </row>
    <row r="7" spans="1:30" ht="12.75">
      <c r="A7" s="13"/>
      <c r="B7" s="8" t="s">
        <v>233</v>
      </c>
      <c r="F7" s="19" t="s">
        <v>234</v>
      </c>
      <c r="H7" s="19" t="s">
        <v>234</v>
      </c>
      <c r="J7" s="19" t="s">
        <v>234</v>
      </c>
      <c r="L7" s="14" t="s">
        <v>235</v>
      </c>
      <c r="N7" s="14" t="s">
        <v>235</v>
      </c>
      <c r="P7" s="14" t="s">
        <v>235</v>
      </c>
      <c r="R7" s="76" t="s">
        <v>32</v>
      </c>
      <c r="S7" s="76"/>
      <c r="T7" s="76" t="s">
        <v>32</v>
      </c>
      <c r="U7" s="76"/>
      <c r="V7" s="76" t="s">
        <v>32</v>
      </c>
      <c r="X7" s="76" t="s">
        <v>59</v>
      </c>
      <c r="Y7" s="76"/>
      <c r="Z7" s="76" t="s">
        <v>59</v>
      </c>
      <c r="AA7" s="76"/>
      <c r="AB7" s="76" t="s">
        <v>59</v>
      </c>
      <c r="AD7" s="16" t="s">
        <v>59</v>
      </c>
    </row>
    <row r="8" spans="1:30" ht="12.75">
      <c r="A8" s="13"/>
      <c r="B8" s="8" t="s">
        <v>238</v>
      </c>
      <c r="F8" s="19" t="s">
        <v>239</v>
      </c>
      <c r="H8" s="19" t="s">
        <v>239</v>
      </c>
      <c r="J8" s="19" t="s">
        <v>239</v>
      </c>
      <c r="L8" s="16" t="s">
        <v>38</v>
      </c>
      <c r="N8" s="16" t="s">
        <v>38</v>
      </c>
      <c r="P8" s="16" t="s">
        <v>38</v>
      </c>
      <c r="R8" s="76" t="s">
        <v>32</v>
      </c>
      <c r="S8" s="76"/>
      <c r="T8" s="76" t="s">
        <v>32</v>
      </c>
      <c r="U8" s="76"/>
      <c r="V8" s="76" t="s">
        <v>32</v>
      </c>
      <c r="X8" s="76" t="s">
        <v>59</v>
      </c>
      <c r="Y8" s="76"/>
      <c r="Z8" s="76" t="s">
        <v>59</v>
      </c>
      <c r="AA8" s="76"/>
      <c r="AB8" s="76" t="s">
        <v>59</v>
      </c>
      <c r="AD8" s="16" t="s">
        <v>59</v>
      </c>
    </row>
    <row r="9" spans="2:30" ht="12.75">
      <c r="B9" s="4" t="s">
        <v>20</v>
      </c>
      <c r="C9" s="17"/>
      <c r="D9" s="14"/>
      <c r="F9" s="70" t="s">
        <v>144</v>
      </c>
      <c r="H9" s="70" t="s">
        <v>144</v>
      </c>
      <c r="J9" s="70" t="s">
        <v>144</v>
      </c>
      <c r="K9" s="19"/>
      <c r="L9" s="70" t="s">
        <v>119</v>
      </c>
      <c r="M9" s="16"/>
      <c r="N9" s="70" t="s">
        <v>119</v>
      </c>
      <c r="P9" s="70" t="s">
        <v>119</v>
      </c>
      <c r="Q9" s="17"/>
      <c r="R9" s="76" t="s">
        <v>32</v>
      </c>
      <c r="S9" s="76"/>
      <c r="T9" s="76" t="s">
        <v>32</v>
      </c>
      <c r="U9" s="76"/>
      <c r="V9" s="76" t="s">
        <v>32</v>
      </c>
      <c r="W9" s="17"/>
      <c r="X9" s="76" t="s">
        <v>59</v>
      </c>
      <c r="Y9" s="76"/>
      <c r="Z9" s="76" t="s">
        <v>59</v>
      </c>
      <c r="AA9" s="76"/>
      <c r="AB9" s="76" t="s">
        <v>59</v>
      </c>
      <c r="AD9" s="16" t="s">
        <v>59</v>
      </c>
    </row>
    <row r="10" spans="2:30" ht="12.75">
      <c r="B10" s="4" t="s">
        <v>58</v>
      </c>
      <c r="D10" s="4" t="s">
        <v>245</v>
      </c>
      <c r="H10" s="19"/>
      <c r="J10" s="19"/>
      <c r="L10" s="19">
        <v>43.24</v>
      </c>
      <c r="M10" s="16"/>
      <c r="N10" s="19">
        <v>46.54</v>
      </c>
      <c r="P10" s="19">
        <v>47.02</v>
      </c>
      <c r="Q10" s="4"/>
      <c r="R10" s="19"/>
      <c r="S10" s="16"/>
      <c r="X10" s="7"/>
      <c r="Y10" s="16"/>
      <c r="Z10" s="7"/>
      <c r="AA10" s="19"/>
      <c r="AB10" s="7"/>
      <c r="AD10" s="18"/>
    </row>
    <row r="11" spans="2:30" ht="12.75">
      <c r="B11" s="4" t="s">
        <v>111</v>
      </c>
      <c r="D11" s="4" t="s">
        <v>112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2:30" ht="12.75">
      <c r="B12" s="4" t="s">
        <v>21</v>
      </c>
      <c r="D12" s="4" t="s">
        <v>22</v>
      </c>
      <c r="F12" s="9"/>
      <c r="G12" s="9"/>
      <c r="H12" s="9"/>
      <c r="I12" s="9"/>
      <c r="J12" s="9"/>
      <c r="K12" s="9"/>
      <c r="L12" s="9">
        <v>10418</v>
      </c>
      <c r="M12" s="9"/>
      <c r="N12" s="9">
        <v>10418</v>
      </c>
      <c r="O12" s="9"/>
      <c r="P12" s="9">
        <v>10418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2:30" ht="12.75">
      <c r="B13" s="4" t="s">
        <v>23</v>
      </c>
      <c r="D13" s="4" t="s">
        <v>18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5" spans="2:30" ht="12.75">
      <c r="B15" s="4" t="s">
        <v>23</v>
      </c>
      <c r="D15" s="4" t="s">
        <v>120</v>
      </c>
      <c r="AD15" s="14">
        <v>25263</v>
      </c>
    </row>
    <row r="17" spans="2:30" ht="12.75">
      <c r="B17" s="4" t="s">
        <v>36</v>
      </c>
      <c r="D17" s="4" t="s">
        <v>17</v>
      </c>
      <c r="E17" s="16"/>
      <c r="F17" s="7">
        <f>'emiss 1'!$G$27</f>
        <v>20836</v>
      </c>
      <c r="H17" s="7">
        <f>'emiss 1'!$I$27</f>
        <v>23624</v>
      </c>
      <c r="J17" s="7">
        <f>'emiss 1'!$K$27</f>
        <v>21264</v>
      </c>
      <c r="K17" s="16"/>
      <c r="L17" s="7">
        <f>'emiss 1'!$G$27</f>
        <v>20836</v>
      </c>
      <c r="M17" s="16"/>
      <c r="N17" s="7">
        <f>'emiss 1'!$I$27</f>
        <v>23624</v>
      </c>
      <c r="P17" s="7">
        <f>'emiss 1'!$K$27</f>
        <v>21264</v>
      </c>
      <c r="R17" s="7">
        <f>'emiss 1'!$G$27</f>
        <v>20836</v>
      </c>
      <c r="S17" s="16"/>
      <c r="T17" s="7">
        <f>'emiss 1'!$I$27</f>
        <v>23624</v>
      </c>
      <c r="V17" s="7">
        <f>'emiss 1'!$K$27</f>
        <v>21264</v>
      </c>
      <c r="X17" s="7">
        <f>'emiss 1'!$G$27</f>
        <v>20836</v>
      </c>
      <c r="Y17" s="16"/>
      <c r="Z17" s="7">
        <f>'emiss 1'!$I$27</f>
        <v>23624</v>
      </c>
      <c r="AB17" s="7">
        <f>'emiss 1'!$K$27</f>
        <v>21264</v>
      </c>
      <c r="AD17" s="21">
        <f>AVERAGE(X17,Z17,AB17)</f>
        <v>21908</v>
      </c>
    </row>
    <row r="18" spans="2:30" ht="12.75">
      <c r="B18" s="4" t="s">
        <v>37</v>
      </c>
      <c r="D18" s="4" t="s">
        <v>18</v>
      </c>
      <c r="E18" s="16"/>
      <c r="F18" s="5">
        <f>'emiss 1'!$G$28</f>
        <v>15.3</v>
      </c>
      <c r="H18" s="5">
        <f>'emiss 1'!$I$28</f>
        <v>16</v>
      </c>
      <c r="J18" s="5">
        <f>'emiss 1'!$K$28</f>
        <v>16.1</v>
      </c>
      <c r="K18" s="16"/>
      <c r="L18" s="5">
        <f>'emiss 1'!$G$28</f>
        <v>15.3</v>
      </c>
      <c r="M18" s="16"/>
      <c r="N18" s="5">
        <f>'emiss 1'!$I$28</f>
        <v>16</v>
      </c>
      <c r="P18" s="5">
        <f>'emiss 1'!$K$28</f>
        <v>16.1</v>
      </c>
      <c r="Q18" s="16"/>
      <c r="R18" s="5">
        <f>'emiss 1'!$G$28</f>
        <v>15.3</v>
      </c>
      <c r="S18" s="16"/>
      <c r="T18" s="5">
        <f>'emiss 1'!$I$28</f>
        <v>16</v>
      </c>
      <c r="V18" s="5">
        <f>'emiss 1'!$K$28</f>
        <v>16.1</v>
      </c>
      <c r="W18" s="16"/>
      <c r="X18" s="5">
        <f>'emiss 1'!$G$28</f>
        <v>15.3</v>
      </c>
      <c r="Y18" s="16"/>
      <c r="Z18" s="5">
        <f>'emiss 1'!$I$28</f>
        <v>16</v>
      </c>
      <c r="AB18" s="5">
        <f>'emiss 1'!$K$28</f>
        <v>16.1</v>
      </c>
      <c r="AD18" s="18">
        <f>AVERAGE(X18,Z18,AB18)</f>
        <v>15.800000000000002</v>
      </c>
    </row>
    <row r="19" ht="12.75">
      <c r="E19" s="16"/>
    </row>
    <row r="20" spans="2:30" ht="12.75">
      <c r="B20" s="4" t="s">
        <v>244</v>
      </c>
      <c r="D20" s="4" t="s">
        <v>31</v>
      </c>
      <c r="E20" s="16"/>
      <c r="F20" s="5"/>
      <c r="L20" s="18">
        <f>L12*L10*60/1000000</f>
        <v>27.0284592</v>
      </c>
      <c r="M20" s="18"/>
      <c r="N20" s="18">
        <f>N12*N10*60/1000000</f>
        <v>29.091223199999998</v>
      </c>
      <c r="O20" s="18"/>
      <c r="P20" s="18">
        <f>P12*P10*60/1000000</f>
        <v>29.3912616</v>
      </c>
      <c r="X20" s="18">
        <f>L20</f>
        <v>27.0284592</v>
      </c>
      <c r="Z20" s="18">
        <f>N20</f>
        <v>29.091223199999998</v>
      </c>
      <c r="AB20" s="18">
        <f>P20</f>
        <v>29.3912616</v>
      </c>
      <c r="AD20" s="18">
        <f>AVERAGE(X20,Z20,AB20)</f>
        <v>28.503648</v>
      </c>
    </row>
    <row r="21" spans="2:30" ht="12.75">
      <c r="B21" s="4" t="s">
        <v>240</v>
      </c>
      <c r="D21" s="4" t="s">
        <v>31</v>
      </c>
      <c r="E21" s="16"/>
      <c r="F21" s="18"/>
      <c r="X21" s="50">
        <f>X17/9000*60*(21-X18)/21</f>
        <v>37.70323809523809</v>
      </c>
      <c r="Y21" s="21"/>
      <c r="Z21" s="50">
        <f>Z17/9000*60*(21-Z18)/21</f>
        <v>37.4984126984127</v>
      </c>
      <c r="AA21" s="21"/>
      <c r="AB21" s="50">
        <f>AB17/9000*60*(21-AB18)/21</f>
        <v>33.07733333333332</v>
      </c>
      <c r="AD21" s="18">
        <f>AVERAGE(X21,Z21,AB21)</f>
        <v>36.0929947089947</v>
      </c>
    </row>
    <row r="23" ht="12.75">
      <c r="B23" s="47" t="s">
        <v>44</v>
      </c>
    </row>
    <row r="24" spans="2:30" ht="12.75">
      <c r="B24" s="4" t="s">
        <v>23</v>
      </c>
      <c r="D24" s="4" t="s">
        <v>33</v>
      </c>
      <c r="AB24" s="49"/>
      <c r="AD24" s="21">
        <f>AD15*1/60*1000000/(AD17*0.0283)*(21-7)/(21-AD$18)</f>
        <v>1828391.50976708</v>
      </c>
    </row>
    <row r="26" spans="1:30" ht="12.75">
      <c r="A26" s="14" t="s">
        <v>56</v>
      </c>
      <c r="B26" s="17" t="s">
        <v>151</v>
      </c>
      <c r="C26" s="4" t="s">
        <v>143</v>
      </c>
      <c r="F26" s="16" t="s">
        <v>170</v>
      </c>
      <c r="H26" s="16" t="s">
        <v>171</v>
      </c>
      <c r="I26" s="16"/>
      <c r="J26" s="16" t="s">
        <v>172</v>
      </c>
      <c r="L26" s="16" t="s">
        <v>170</v>
      </c>
      <c r="M26" s="16"/>
      <c r="N26" s="16" t="s">
        <v>171</v>
      </c>
      <c r="O26" s="16"/>
      <c r="P26" s="16" t="s">
        <v>172</v>
      </c>
      <c r="Q26" s="76"/>
      <c r="R26" s="16" t="s">
        <v>170</v>
      </c>
      <c r="S26" s="16"/>
      <c r="T26" s="16" t="s">
        <v>171</v>
      </c>
      <c r="U26" s="16"/>
      <c r="V26" s="16" t="s">
        <v>172</v>
      </c>
      <c r="W26" s="76"/>
      <c r="X26" s="16" t="s">
        <v>170</v>
      </c>
      <c r="Y26" s="16"/>
      <c r="Z26" s="16" t="s">
        <v>171</v>
      </c>
      <c r="AA26" s="16"/>
      <c r="AB26" s="16" t="s">
        <v>172</v>
      </c>
      <c r="AD26" s="16" t="s">
        <v>169</v>
      </c>
    </row>
    <row r="27" spans="2:30" ht="12.75">
      <c r="B27" s="17"/>
      <c r="F27" s="16"/>
      <c r="H27" s="16"/>
      <c r="I27" s="16"/>
      <c r="J27" s="16"/>
      <c r="L27" s="16"/>
      <c r="M27" s="16"/>
      <c r="N27" s="16"/>
      <c r="O27" s="16"/>
      <c r="P27" s="16"/>
      <c r="Q27" s="76"/>
      <c r="R27" s="16"/>
      <c r="S27" s="16"/>
      <c r="T27" s="16"/>
      <c r="U27" s="16"/>
      <c r="V27" s="16"/>
      <c r="W27" s="76"/>
      <c r="X27" s="16"/>
      <c r="Y27" s="16"/>
      <c r="Z27" s="16"/>
      <c r="AA27" s="16"/>
      <c r="AB27" s="16"/>
      <c r="AD27" s="16"/>
    </row>
    <row r="28" spans="2:30" ht="12.75">
      <c r="B28" s="8" t="s">
        <v>228</v>
      </c>
      <c r="F28" s="16" t="s">
        <v>229</v>
      </c>
      <c r="H28" s="16" t="s">
        <v>229</v>
      </c>
      <c r="I28" s="16"/>
      <c r="J28" s="16" t="s">
        <v>229</v>
      </c>
      <c r="L28" s="16" t="s">
        <v>230</v>
      </c>
      <c r="M28" s="16"/>
      <c r="N28" s="16" t="s">
        <v>230</v>
      </c>
      <c r="O28" s="16"/>
      <c r="P28" s="16" t="s">
        <v>230</v>
      </c>
      <c r="Q28" s="76"/>
      <c r="R28" s="16" t="s">
        <v>231</v>
      </c>
      <c r="S28" s="16"/>
      <c r="T28" s="16" t="s">
        <v>231</v>
      </c>
      <c r="U28" s="16"/>
      <c r="V28" s="16" t="s">
        <v>231</v>
      </c>
      <c r="W28" s="76"/>
      <c r="X28" s="16" t="s">
        <v>232</v>
      </c>
      <c r="Y28" s="16"/>
      <c r="Z28" s="16" t="s">
        <v>232</v>
      </c>
      <c r="AA28" s="16"/>
      <c r="AB28" s="16" t="s">
        <v>232</v>
      </c>
      <c r="AD28" s="16" t="s">
        <v>232</v>
      </c>
    </row>
    <row r="29" spans="1:30" ht="12.75">
      <c r="A29" s="13"/>
      <c r="B29" s="8" t="s">
        <v>233</v>
      </c>
      <c r="F29" s="19" t="s">
        <v>234</v>
      </c>
      <c r="H29" s="19" t="s">
        <v>234</v>
      </c>
      <c r="J29" s="19" t="s">
        <v>234</v>
      </c>
      <c r="L29" s="14" t="s">
        <v>235</v>
      </c>
      <c r="N29" s="14" t="s">
        <v>235</v>
      </c>
      <c r="P29" s="14" t="s">
        <v>235</v>
      </c>
      <c r="R29" s="76" t="s">
        <v>32</v>
      </c>
      <c r="S29" s="76"/>
      <c r="T29" s="76" t="s">
        <v>32</v>
      </c>
      <c r="U29" s="76"/>
      <c r="V29" s="76" t="s">
        <v>32</v>
      </c>
      <c r="X29" s="76" t="s">
        <v>59</v>
      </c>
      <c r="Y29" s="76"/>
      <c r="Z29" s="76" t="s">
        <v>59</v>
      </c>
      <c r="AA29" s="76"/>
      <c r="AB29" s="76" t="s">
        <v>59</v>
      </c>
      <c r="AD29" s="16" t="s">
        <v>59</v>
      </c>
    </row>
    <row r="30" spans="1:30" ht="12.75">
      <c r="A30" s="13"/>
      <c r="B30" s="8" t="s">
        <v>238</v>
      </c>
      <c r="F30" s="19" t="s">
        <v>239</v>
      </c>
      <c r="H30" s="19" t="s">
        <v>239</v>
      </c>
      <c r="J30" s="19" t="s">
        <v>239</v>
      </c>
      <c r="L30" s="16" t="s">
        <v>38</v>
      </c>
      <c r="N30" s="16" t="s">
        <v>38</v>
      </c>
      <c r="P30" s="16" t="s">
        <v>38</v>
      </c>
      <c r="R30" s="76" t="s">
        <v>32</v>
      </c>
      <c r="S30" s="76"/>
      <c r="T30" s="76" t="s">
        <v>32</v>
      </c>
      <c r="U30" s="76"/>
      <c r="V30" s="76" t="s">
        <v>32</v>
      </c>
      <c r="X30" s="76" t="s">
        <v>59</v>
      </c>
      <c r="Y30" s="76"/>
      <c r="Z30" s="76" t="s">
        <v>59</v>
      </c>
      <c r="AA30" s="76"/>
      <c r="AB30" s="76" t="s">
        <v>59</v>
      </c>
      <c r="AD30" s="16" t="s">
        <v>59</v>
      </c>
    </row>
    <row r="31" spans="2:30" ht="12.75">
      <c r="B31" s="4" t="s">
        <v>20</v>
      </c>
      <c r="C31" s="17"/>
      <c r="D31" s="14"/>
      <c r="F31" s="70" t="s">
        <v>144</v>
      </c>
      <c r="H31" s="70" t="s">
        <v>144</v>
      </c>
      <c r="J31" s="70" t="s">
        <v>144</v>
      </c>
      <c r="K31" s="19"/>
      <c r="L31" s="70" t="s">
        <v>119</v>
      </c>
      <c r="M31" s="16"/>
      <c r="N31" s="70" t="s">
        <v>119</v>
      </c>
      <c r="P31" s="70" t="s">
        <v>119</v>
      </c>
      <c r="Q31" s="17"/>
      <c r="R31" s="76" t="s">
        <v>32</v>
      </c>
      <c r="S31" s="76"/>
      <c r="T31" s="76" t="s">
        <v>32</v>
      </c>
      <c r="U31" s="76"/>
      <c r="V31" s="76" t="s">
        <v>32</v>
      </c>
      <c r="W31" s="17"/>
      <c r="X31" s="76" t="s">
        <v>59</v>
      </c>
      <c r="Y31" s="76"/>
      <c r="Z31" s="76" t="s">
        <v>59</v>
      </c>
      <c r="AA31" s="76"/>
      <c r="AB31" s="76" t="s">
        <v>59</v>
      </c>
      <c r="AD31" s="16" t="s">
        <v>59</v>
      </c>
    </row>
    <row r="32" spans="2:30" ht="12.75">
      <c r="B32" s="4" t="s">
        <v>58</v>
      </c>
      <c r="D32" s="4" t="s">
        <v>27</v>
      </c>
      <c r="E32" s="9"/>
      <c r="F32" s="9">
        <f>14.61*2000</f>
        <v>29220</v>
      </c>
      <c r="G32" s="9"/>
      <c r="H32" s="9">
        <f>14.53*2000</f>
        <v>29060</v>
      </c>
      <c r="I32" s="9"/>
      <c r="J32" s="9">
        <f>14.57*2000</f>
        <v>29140</v>
      </c>
      <c r="K32" s="9"/>
      <c r="L32" s="83">
        <v>3359.4</v>
      </c>
      <c r="M32" s="83"/>
      <c r="N32" s="83">
        <v>3156</v>
      </c>
      <c r="O32" s="83"/>
      <c r="P32" s="83">
        <v>3456.6</v>
      </c>
      <c r="Q32" s="9"/>
      <c r="R32" s="9"/>
      <c r="S32" s="9"/>
      <c r="T32" s="9"/>
      <c r="U32" s="9"/>
      <c r="V32" s="9"/>
      <c r="X32" s="7">
        <f>F32+L32+R32</f>
        <v>32579.4</v>
      </c>
      <c r="Y32" s="16"/>
      <c r="Z32" s="7">
        <f>H32+N32+T32</f>
        <v>32216</v>
      </c>
      <c r="AA32" s="19"/>
      <c r="AB32" s="7">
        <f>J32+P32+V32</f>
        <v>32596.6</v>
      </c>
      <c r="AD32" s="18">
        <f>AVERAGE(X32,Z32,AB32)</f>
        <v>32464</v>
      </c>
    </row>
    <row r="33" spans="2:28" ht="12.75">
      <c r="B33" s="4" t="s">
        <v>21</v>
      </c>
      <c r="D33" s="4" t="s">
        <v>22</v>
      </c>
      <c r="E33" s="9"/>
      <c r="F33" s="9">
        <v>0</v>
      </c>
      <c r="G33" s="9"/>
      <c r="H33" s="9">
        <v>0</v>
      </c>
      <c r="I33" s="9"/>
      <c r="J33" s="9">
        <v>0</v>
      </c>
      <c r="K33" s="9"/>
      <c r="L33" s="9">
        <v>10416</v>
      </c>
      <c r="M33" s="9"/>
      <c r="N33" s="9">
        <v>9783</v>
      </c>
      <c r="O33" s="9"/>
      <c r="P33" s="9">
        <v>10516</v>
      </c>
      <c r="Q33" s="9"/>
      <c r="R33" s="9"/>
      <c r="S33" s="9"/>
      <c r="T33" s="9"/>
      <c r="U33" s="9"/>
      <c r="V33" s="9"/>
      <c r="X33" s="7"/>
      <c r="Y33" s="16"/>
      <c r="Z33" s="7"/>
      <c r="AA33" s="19"/>
      <c r="AB33" s="7"/>
    </row>
    <row r="34" spans="2:30" ht="12.75">
      <c r="B34" s="4" t="s">
        <v>23</v>
      </c>
      <c r="D34" s="4" t="s">
        <v>120</v>
      </c>
      <c r="E34" s="9"/>
      <c r="F34" s="83">
        <v>1245.89</v>
      </c>
      <c r="G34" s="83" t="s">
        <v>165</v>
      </c>
      <c r="H34" s="83">
        <f>50*H$32*454/1000000</f>
        <v>659.662</v>
      </c>
      <c r="I34" s="83" t="s">
        <v>165</v>
      </c>
      <c r="J34" s="83">
        <f>50*J$32*454/1000000</f>
        <v>661.478</v>
      </c>
      <c r="K34" s="83"/>
      <c r="L34" s="83">
        <v>19126.53</v>
      </c>
      <c r="M34" s="83"/>
      <c r="N34" s="83">
        <v>20360.97</v>
      </c>
      <c r="O34" s="9"/>
      <c r="P34" s="9">
        <v>20781.05</v>
      </c>
      <c r="Q34" s="9"/>
      <c r="R34" s="9">
        <v>28702</v>
      </c>
      <c r="S34" s="9"/>
      <c r="T34" s="9">
        <v>28584</v>
      </c>
      <c r="U34" s="9"/>
      <c r="V34" s="9">
        <v>28456</v>
      </c>
      <c r="X34" s="7">
        <f>F34+L34+R34</f>
        <v>49074.42</v>
      </c>
      <c r="Y34" s="16"/>
      <c r="Z34" s="7">
        <f>H34+N34+T34</f>
        <v>49604.632</v>
      </c>
      <c r="AA34" s="19"/>
      <c r="AB34" s="7">
        <f>J34+P34+V34</f>
        <v>49898.528</v>
      </c>
      <c r="AD34" s="77"/>
    </row>
    <row r="35" spans="2:30" ht="12.75">
      <c r="B35" s="4" t="s">
        <v>96</v>
      </c>
      <c r="D35" s="4" t="s">
        <v>120</v>
      </c>
      <c r="E35" s="9" t="s">
        <v>165</v>
      </c>
      <c r="F35" s="26">
        <f>0.5*F$32*454/1000000</f>
        <v>6.63294</v>
      </c>
      <c r="G35" s="26" t="s">
        <v>165</v>
      </c>
      <c r="H35" s="26">
        <f>0.5*H$32*454/1000000</f>
        <v>6.59662</v>
      </c>
      <c r="I35" s="26" t="s">
        <v>165</v>
      </c>
      <c r="J35" s="26">
        <f>0.5*J$32*454/1000000</f>
        <v>6.61478</v>
      </c>
      <c r="K35" s="9"/>
      <c r="L35" s="9">
        <v>2.62</v>
      </c>
      <c r="M35" s="9"/>
      <c r="N35" s="9">
        <v>3.04</v>
      </c>
      <c r="O35" s="9"/>
      <c r="P35" s="9">
        <v>3.33</v>
      </c>
      <c r="Q35" s="9"/>
      <c r="R35" s="9"/>
      <c r="S35" s="9"/>
      <c r="T35" s="9"/>
      <c r="U35" s="9"/>
      <c r="V35" s="9"/>
      <c r="X35" s="5">
        <f>F35+L35+R35</f>
        <v>9.252939999999999</v>
      </c>
      <c r="Y35" s="78"/>
      <c r="Z35" s="5">
        <f>H35+N35+T35</f>
        <v>9.63662</v>
      </c>
      <c r="AA35" s="6"/>
      <c r="AB35" s="5">
        <f>J35+P35+V35</f>
        <v>9.94478</v>
      </c>
      <c r="AD35" s="77"/>
    </row>
    <row r="36" spans="2:30" ht="12.75">
      <c r="B36" s="4" t="s">
        <v>95</v>
      </c>
      <c r="D36" s="4" t="s">
        <v>120</v>
      </c>
      <c r="E36" s="9"/>
      <c r="F36" s="9">
        <v>170.98</v>
      </c>
      <c r="G36" s="9"/>
      <c r="H36" s="9">
        <v>169.36</v>
      </c>
      <c r="I36" s="9"/>
      <c r="J36" s="9">
        <v>188.11</v>
      </c>
      <c r="K36" s="9"/>
      <c r="L36" s="9">
        <v>2.13</v>
      </c>
      <c r="M36" s="9"/>
      <c r="N36" s="9">
        <v>1.93</v>
      </c>
      <c r="O36" s="9"/>
      <c r="P36" s="9">
        <v>1.56</v>
      </c>
      <c r="Q36" s="9"/>
      <c r="R36" s="9">
        <v>558.64</v>
      </c>
      <c r="S36" s="9"/>
      <c r="T36" s="9">
        <v>544.44</v>
      </c>
      <c r="U36" s="9"/>
      <c r="V36" s="9">
        <v>645.58</v>
      </c>
      <c r="X36" s="5">
        <f>F36+L36+R36</f>
        <v>731.75</v>
      </c>
      <c r="Y36" s="78"/>
      <c r="Z36" s="5">
        <f>H36+N36+T36</f>
        <v>715.73</v>
      </c>
      <c r="AA36" s="6"/>
      <c r="AB36" s="5">
        <f>J36+P36+V36</f>
        <v>835.25</v>
      </c>
      <c r="AD36" s="77"/>
    </row>
    <row r="37" spans="2:30" ht="12.75">
      <c r="B37" s="4" t="s">
        <v>97</v>
      </c>
      <c r="D37" s="4" t="s">
        <v>120</v>
      </c>
      <c r="E37" s="9"/>
      <c r="F37" s="9">
        <v>221.35</v>
      </c>
      <c r="G37" s="9"/>
      <c r="H37" s="9">
        <v>235.14</v>
      </c>
      <c r="I37" s="9"/>
      <c r="J37" s="9">
        <v>218.36</v>
      </c>
      <c r="K37" s="9"/>
      <c r="L37" s="9">
        <v>84.25</v>
      </c>
      <c r="M37" s="9"/>
      <c r="N37" s="9">
        <v>94.64</v>
      </c>
      <c r="O37" s="9"/>
      <c r="P37" s="9">
        <v>101.27</v>
      </c>
      <c r="Q37" s="9"/>
      <c r="R37" s="9"/>
      <c r="S37" s="9"/>
      <c r="T37" s="9"/>
      <c r="U37" s="9"/>
      <c r="V37" s="9"/>
      <c r="X37" s="7">
        <f aca="true" t="shared" si="0" ref="X37:X47">F37+L37+R37</f>
        <v>305.6</v>
      </c>
      <c r="Y37" s="7"/>
      <c r="Z37" s="7">
        <f aca="true" t="shared" si="1" ref="Z37:Z47">H37+N37+T37</f>
        <v>329.78</v>
      </c>
      <c r="AA37" s="7"/>
      <c r="AB37" s="7">
        <f aca="true" t="shared" si="2" ref="AB37:AB47">J37+P37+V37</f>
        <v>319.63</v>
      </c>
      <c r="AD37" s="77"/>
    </row>
    <row r="38" spans="2:30" ht="12.75">
      <c r="B38" s="4" t="s">
        <v>98</v>
      </c>
      <c r="D38" s="4" t="s">
        <v>120</v>
      </c>
      <c r="E38" s="9"/>
      <c r="F38" s="9">
        <v>3.04</v>
      </c>
      <c r="G38" s="9"/>
      <c r="H38" s="9">
        <v>2.96</v>
      </c>
      <c r="I38" s="9"/>
      <c r="J38" s="9">
        <v>2.78</v>
      </c>
      <c r="K38" s="9" t="s">
        <v>165</v>
      </c>
      <c r="L38" s="56">
        <f>0.05*L32*454/1000000</f>
        <v>0.07625838000000001</v>
      </c>
      <c r="M38" s="9" t="s">
        <v>165</v>
      </c>
      <c r="N38" s="56">
        <f>0.05*N32*454/1000000</f>
        <v>0.07164120000000002</v>
      </c>
      <c r="O38" s="9" t="s">
        <v>165</v>
      </c>
      <c r="P38" s="56">
        <f>0.05*P32*454/1000000</f>
        <v>0.07846482</v>
      </c>
      <c r="Q38" s="9"/>
      <c r="R38" s="25">
        <v>116.26</v>
      </c>
      <c r="S38" s="25"/>
      <c r="T38" s="25">
        <v>117.56</v>
      </c>
      <c r="U38" s="25"/>
      <c r="V38" s="25">
        <v>111.79</v>
      </c>
      <c r="X38" s="5">
        <f t="shared" si="0"/>
        <v>119.37625838000001</v>
      </c>
      <c r="Y38" s="78"/>
      <c r="Z38" s="5">
        <f t="shared" si="1"/>
        <v>120.5916412</v>
      </c>
      <c r="AA38" s="6"/>
      <c r="AB38" s="5">
        <f t="shared" si="2"/>
        <v>114.64846482</v>
      </c>
      <c r="AD38" s="77"/>
    </row>
    <row r="39" spans="2:30" ht="12.75">
      <c r="B39" s="4" t="s">
        <v>99</v>
      </c>
      <c r="D39" s="4" t="s">
        <v>120</v>
      </c>
      <c r="E39" s="9"/>
      <c r="F39" s="9">
        <v>1.46</v>
      </c>
      <c r="G39" s="9"/>
      <c r="H39" s="9">
        <v>2.57</v>
      </c>
      <c r="I39" s="9" t="s">
        <v>165</v>
      </c>
      <c r="J39" s="56">
        <f>0.2*J$32*454/1000000</f>
        <v>2.645912</v>
      </c>
      <c r="K39" s="9"/>
      <c r="L39" s="9">
        <v>3.68</v>
      </c>
      <c r="M39" s="9"/>
      <c r="N39" s="9">
        <v>3.74</v>
      </c>
      <c r="O39" s="9"/>
      <c r="P39" s="9">
        <v>3.56</v>
      </c>
      <c r="Q39" s="9"/>
      <c r="R39" s="25">
        <v>330.46</v>
      </c>
      <c r="S39" s="25"/>
      <c r="T39" s="25">
        <v>311.92</v>
      </c>
      <c r="U39" s="25"/>
      <c r="V39" s="25">
        <v>339.69</v>
      </c>
      <c r="X39" s="5">
        <f t="shared" si="0"/>
        <v>335.59999999999997</v>
      </c>
      <c r="Y39" s="78"/>
      <c r="Z39" s="5">
        <f t="shared" si="1"/>
        <v>318.23</v>
      </c>
      <c r="AA39" s="6"/>
      <c r="AB39" s="5">
        <f t="shared" si="2"/>
        <v>345.895912</v>
      </c>
      <c r="AD39" s="77"/>
    </row>
    <row r="40" spans="2:30" ht="12.75">
      <c r="B40" s="4" t="s">
        <v>100</v>
      </c>
      <c r="D40" s="4" t="s">
        <v>120</v>
      </c>
      <c r="E40" s="9"/>
      <c r="F40" s="9">
        <v>231.95</v>
      </c>
      <c r="G40" s="9"/>
      <c r="H40" s="9">
        <v>224.07</v>
      </c>
      <c r="I40" s="9"/>
      <c r="J40" s="9">
        <v>235.46</v>
      </c>
      <c r="K40" s="9"/>
      <c r="L40" s="9">
        <v>20.71</v>
      </c>
      <c r="M40" s="9"/>
      <c r="N40" s="9">
        <v>127.3</v>
      </c>
      <c r="O40" s="9"/>
      <c r="P40" s="9">
        <v>19.96</v>
      </c>
      <c r="Q40" s="9"/>
      <c r="R40" s="25">
        <v>1390.01</v>
      </c>
      <c r="S40" s="25"/>
      <c r="T40" s="25">
        <v>1360.44</v>
      </c>
      <c r="U40" s="25"/>
      <c r="V40" s="25">
        <v>1434.37</v>
      </c>
      <c r="X40" s="7">
        <f t="shared" si="0"/>
        <v>1642.67</v>
      </c>
      <c r="Y40" s="7"/>
      <c r="Z40" s="7">
        <f t="shared" si="1"/>
        <v>1711.81</v>
      </c>
      <c r="AA40" s="7"/>
      <c r="AB40" s="7">
        <f t="shared" si="2"/>
        <v>1689.79</v>
      </c>
      <c r="AD40" s="77"/>
    </row>
    <row r="41" spans="2:30" ht="12.75">
      <c r="B41" s="4" t="s">
        <v>168</v>
      </c>
      <c r="D41" s="4" t="s">
        <v>120</v>
      </c>
      <c r="E41" s="9"/>
      <c r="F41" s="26">
        <f>16.6*F$32*454/1000000</f>
        <v>220.21360800000002</v>
      </c>
      <c r="G41" s="26"/>
      <c r="H41" s="26">
        <f>15.85*H$32*454/1000000</f>
        <v>209.112854</v>
      </c>
      <c r="I41" s="9"/>
      <c r="J41" s="26">
        <f>17.1*J$32*454/1000000</f>
        <v>226.22547600000004</v>
      </c>
      <c r="K41" s="9"/>
      <c r="L41" s="26">
        <f>77.8*L$32*454/1000000</f>
        <v>118.65803928</v>
      </c>
      <c r="M41" s="9"/>
      <c r="N41" s="26">
        <f>12.55*N$32*454/1000000</f>
        <v>17.9819412</v>
      </c>
      <c r="O41" s="9"/>
      <c r="P41" s="56">
        <f>77.1*P$32*454/1000000</f>
        <v>120.99275244</v>
      </c>
      <c r="Q41" s="9"/>
      <c r="R41" s="25"/>
      <c r="S41" s="25"/>
      <c r="T41" s="25"/>
      <c r="U41" s="25"/>
      <c r="V41" s="25"/>
      <c r="X41" s="7"/>
      <c r="Y41" s="7"/>
      <c r="Z41" s="7"/>
      <c r="AA41" s="7"/>
      <c r="AB41" s="7"/>
      <c r="AD41" s="77"/>
    </row>
    <row r="42" spans="2:30" ht="12.75">
      <c r="B42" s="4" t="s">
        <v>102</v>
      </c>
      <c r="D42" s="4" t="s">
        <v>120</v>
      </c>
      <c r="E42" s="9"/>
      <c r="F42" s="9">
        <v>229.3</v>
      </c>
      <c r="G42" s="9"/>
      <c r="H42" s="9">
        <v>254.69</v>
      </c>
      <c r="I42" s="9"/>
      <c r="J42" s="9">
        <v>281.5</v>
      </c>
      <c r="K42" s="9"/>
      <c r="L42" s="9">
        <v>8.24</v>
      </c>
      <c r="M42" s="9"/>
      <c r="N42" s="9">
        <v>8.78</v>
      </c>
      <c r="O42" s="9"/>
      <c r="P42" s="9">
        <v>13.79</v>
      </c>
      <c r="Q42" s="9"/>
      <c r="R42" s="25">
        <v>7669.79</v>
      </c>
      <c r="S42" s="25"/>
      <c r="T42" s="25">
        <v>7495.97</v>
      </c>
      <c r="U42" s="25"/>
      <c r="V42" s="25">
        <v>7626.33</v>
      </c>
      <c r="X42" s="7">
        <f t="shared" si="0"/>
        <v>7907.33</v>
      </c>
      <c r="Y42" s="7"/>
      <c r="Z42" s="7">
        <f t="shared" si="1"/>
        <v>7759.4400000000005</v>
      </c>
      <c r="AA42" s="7"/>
      <c r="AB42" s="7">
        <f t="shared" si="2"/>
        <v>7921.62</v>
      </c>
      <c r="AD42" s="77"/>
    </row>
    <row r="43" spans="2:30" ht="12.75">
      <c r="B43" s="4" t="s">
        <v>164</v>
      </c>
      <c r="D43" s="4" t="s">
        <v>120</v>
      </c>
      <c r="E43" s="9"/>
      <c r="F43" s="9">
        <v>9118.88</v>
      </c>
      <c r="G43" s="9"/>
      <c r="H43" s="9">
        <v>8734.87</v>
      </c>
      <c r="I43" s="9"/>
      <c r="J43" s="9">
        <v>8129.42</v>
      </c>
      <c r="K43" s="9"/>
      <c r="L43" s="9">
        <v>5.82</v>
      </c>
      <c r="M43" s="9"/>
      <c r="N43" s="9">
        <v>6.06</v>
      </c>
      <c r="O43" s="9"/>
      <c r="P43" s="9">
        <v>6.15</v>
      </c>
      <c r="Q43" s="9"/>
      <c r="R43" s="9"/>
      <c r="S43" s="9"/>
      <c r="T43" s="9"/>
      <c r="U43" s="9"/>
      <c r="V43" s="9"/>
      <c r="X43" s="7"/>
      <c r="Y43" s="7"/>
      <c r="Z43" s="7"/>
      <c r="AA43" s="7"/>
      <c r="AB43" s="7"/>
      <c r="AD43" s="77"/>
    </row>
    <row r="44" spans="2:30" ht="12.75">
      <c r="B44" s="4" t="s">
        <v>103</v>
      </c>
      <c r="D44" s="4" t="s">
        <v>120</v>
      </c>
      <c r="E44" s="9" t="s">
        <v>165</v>
      </c>
      <c r="F44" s="56">
        <f>0.02*F$32*454/1000000</f>
        <v>0.2653176</v>
      </c>
      <c r="G44" s="9" t="s">
        <v>165</v>
      </c>
      <c r="H44" s="56">
        <f>0.02*H$32*454/1000000</f>
        <v>0.26386480000000007</v>
      </c>
      <c r="I44" s="9" t="s">
        <v>165</v>
      </c>
      <c r="J44" s="56">
        <f>0.02*J$32*454/1000000</f>
        <v>0.2645912</v>
      </c>
      <c r="K44" s="9" t="s">
        <v>165</v>
      </c>
      <c r="L44" s="56">
        <f>0.021*L$32*454/1000000</f>
        <v>0.032028519600000006</v>
      </c>
      <c r="M44" s="9"/>
      <c r="N44" s="56">
        <f>0.02*N$32*454/1000000</f>
        <v>0.02865648</v>
      </c>
      <c r="O44" s="9" t="s">
        <v>165</v>
      </c>
      <c r="P44" s="56">
        <f>0.02*P$32*454/1000000</f>
        <v>0.031385928</v>
      </c>
      <c r="Q44" s="9"/>
      <c r="R44" s="9"/>
      <c r="S44" s="9"/>
      <c r="T44" s="9"/>
      <c r="U44" s="9"/>
      <c r="V44" s="9"/>
      <c r="X44" s="60">
        <f t="shared" si="0"/>
        <v>0.2973461196</v>
      </c>
      <c r="Y44" s="60"/>
      <c r="Z44" s="60">
        <f t="shared" si="1"/>
        <v>0.29252128000000005</v>
      </c>
      <c r="AA44" s="60"/>
      <c r="AB44" s="60">
        <f t="shared" si="2"/>
        <v>0.29597712800000003</v>
      </c>
      <c r="AD44" s="77"/>
    </row>
    <row r="45" spans="2:30" ht="12.75">
      <c r="B45" s="4" t="s">
        <v>104</v>
      </c>
      <c r="D45" s="4" t="s">
        <v>120</v>
      </c>
      <c r="E45" s="9"/>
      <c r="F45" s="9">
        <v>449.32</v>
      </c>
      <c r="G45" s="9"/>
      <c r="H45" s="9">
        <v>435.77</v>
      </c>
      <c r="I45" s="9"/>
      <c r="J45" s="9">
        <v>459.09</v>
      </c>
      <c r="K45" s="9"/>
      <c r="L45" s="9">
        <v>3.29</v>
      </c>
      <c r="M45" s="9"/>
      <c r="N45" s="9">
        <v>2.46</v>
      </c>
      <c r="O45" s="9"/>
      <c r="P45" s="9">
        <v>1.96</v>
      </c>
      <c r="Q45" s="9"/>
      <c r="R45" s="9"/>
      <c r="S45" s="9"/>
      <c r="T45" s="9"/>
      <c r="U45" s="9"/>
      <c r="V45" s="9"/>
      <c r="X45" s="5">
        <f t="shared" si="0"/>
        <v>452.61</v>
      </c>
      <c r="Y45" s="78"/>
      <c r="Z45" s="5">
        <f t="shared" si="1"/>
        <v>438.22999999999996</v>
      </c>
      <c r="AA45" s="6"/>
      <c r="AB45" s="5">
        <f t="shared" si="2"/>
        <v>461.04999999999995</v>
      </c>
      <c r="AD45" s="77"/>
    </row>
    <row r="46" spans="2:30" ht="12.75">
      <c r="B46" s="4" t="s">
        <v>106</v>
      </c>
      <c r="D46" s="4" t="s">
        <v>120</v>
      </c>
      <c r="E46" s="9" t="s">
        <v>165</v>
      </c>
      <c r="F46" s="56">
        <f>0.2*F$32*454/1000000</f>
        <v>2.653176</v>
      </c>
      <c r="G46" s="9" t="s">
        <v>165</v>
      </c>
      <c r="H46" s="56">
        <f>0.2*H$32*454/1000000</f>
        <v>2.638648</v>
      </c>
      <c r="I46" s="9" t="s">
        <v>165</v>
      </c>
      <c r="J46" s="26">
        <f>0.2*J$32*454/1000000</f>
        <v>2.645912</v>
      </c>
      <c r="K46" s="9"/>
      <c r="L46" s="9">
        <v>0.32</v>
      </c>
      <c r="M46" s="9"/>
      <c r="N46" s="9">
        <v>0.39</v>
      </c>
      <c r="O46" s="9"/>
      <c r="P46" s="9">
        <v>0.41</v>
      </c>
      <c r="Q46" s="9"/>
      <c r="R46" s="9"/>
      <c r="S46" s="9"/>
      <c r="T46" s="9"/>
      <c r="U46" s="9"/>
      <c r="V46" s="9"/>
      <c r="X46" s="6">
        <f t="shared" si="0"/>
        <v>2.973176</v>
      </c>
      <c r="Y46" s="6"/>
      <c r="Z46" s="6">
        <f t="shared" si="1"/>
        <v>3.028648</v>
      </c>
      <c r="AA46" s="6"/>
      <c r="AB46" s="6">
        <f t="shared" si="2"/>
        <v>3.055912</v>
      </c>
      <c r="AD46" s="77"/>
    </row>
    <row r="47" spans="2:30" ht="12.75">
      <c r="B47" s="4" t="s">
        <v>107</v>
      </c>
      <c r="D47" s="4" t="s">
        <v>120</v>
      </c>
      <c r="E47" s="9" t="s">
        <v>165</v>
      </c>
      <c r="F47" s="56">
        <f>0.5*F$32*454/1000000</f>
        <v>6.63294</v>
      </c>
      <c r="G47" s="9" t="s">
        <v>165</v>
      </c>
      <c r="H47" s="56">
        <f>0.5*H$32*454/1000000</f>
        <v>6.59662</v>
      </c>
      <c r="I47" s="9" t="s">
        <v>165</v>
      </c>
      <c r="J47" s="56">
        <f>0.5*J$32*454/1000000</f>
        <v>6.61478</v>
      </c>
      <c r="K47" s="9" t="s">
        <v>165</v>
      </c>
      <c r="L47" s="56">
        <f>0.5*L$32*454/1000000</f>
        <v>0.7625838</v>
      </c>
      <c r="M47" s="9" t="s">
        <v>165</v>
      </c>
      <c r="N47" s="56">
        <f>0.5*N$32*454/1000000</f>
        <v>0.716412</v>
      </c>
      <c r="O47" s="9" t="s">
        <v>165</v>
      </c>
      <c r="P47" s="56">
        <f>0.5*P$32*454/1000000</f>
        <v>0.7846481999999999</v>
      </c>
      <c r="Q47" s="9"/>
      <c r="R47" s="9"/>
      <c r="S47" s="9"/>
      <c r="T47" s="9"/>
      <c r="U47" s="9"/>
      <c r="V47" s="9"/>
      <c r="X47" s="6">
        <f t="shared" si="0"/>
        <v>7.395523799999999</v>
      </c>
      <c r="Y47" s="6"/>
      <c r="Z47" s="6">
        <f t="shared" si="1"/>
        <v>7.313032</v>
      </c>
      <c r="AA47" s="6"/>
      <c r="AB47" s="6">
        <f t="shared" si="2"/>
        <v>7.399428199999999</v>
      </c>
      <c r="AD47" s="77"/>
    </row>
    <row r="48" spans="5:30" ht="12.75">
      <c r="E48" s="16"/>
      <c r="I48" s="5"/>
      <c r="L48" s="19"/>
      <c r="M48" s="16"/>
      <c r="O48" s="5"/>
      <c r="Q48" s="4"/>
      <c r="R48" s="19"/>
      <c r="S48" s="16"/>
      <c r="T48" s="19"/>
      <c r="U48" s="5"/>
      <c r="V48" s="19"/>
      <c r="X48" s="5"/>
      <c r="Y48" s="53"/>
      <c r="Z48" s="5"/>
      <c r="AA48" s="39"/>
      <c r="AB48" s="5"/>
      <c r="AC48" s="77"/>
      <c r="AD48" s="77"/>
    </row>
    <row r="49" spans="2:30" ht="12.75">
      <c r="B49" s="4" t="s">
        <v>36</v>
      </c>
      <c r="D49" s="4" t="s">
        <v>17</v>
      </c>
      <c r="E49" s="16"/>
      <c r="F49" s="7">
        <f>'emiss 1'!G73</f>
        <v>20529</v>
      </c>
      <c r="H49" s="7">
        <f>'emiss 1'!I73</f>
        <v>21188</v>
      </c>
      <c r="I49" s="19"/>
      <c r="J49" s="7">
        <f>'emiss 1'!K73</f>
        <v>20396</v>
      </c>
      <c r="K49" s="16"/>
      <c r="L49" s="19">
        <f>$F49</f>
        <v>20529</v>
      </c>
      <c r="M49" s="16"/>
      <c r="N49" s="19">
        <f>$H49</f>
        <v>21188</v>
      </c>
      <c r="O49" s="19"/>
      <c r="P49" s="19">
        <f>$J49</f>
        <v>20396</v>
      </c>
      <c r="R49" s="19">
        <f>$F49</f>
        <v>20529</v>
      </c>
      <c r="S49" s="16"/>
      <c r="T49" s="19">
        <f>$H49</f>
        <v>21188</v>
      </c>
      <c r="U49" s="19"/>
      <c r="V49" s="19">
        <f>$J49</f>
        <v>20396</v>
      </c>
      <c r="X49" s="19">
        <f>$F49</f>
        <v>20529</v>
      </c>
      <c r="Y49" s="16"/>
      <c r="Z49" s="19">
        <f>$H49</f>
        <v>21188</v>
      </c>
      <c r="AA49" s="19"/>
      <c r="AB49" s="19">
        <f>$J49</f>
        <v>20396</v>
      </c>
      <c r="AD49" s="21">
        <f>AVERAGE(X49,Z49,AB49)</f>
        <v>20704.333333333332</v>
      </c>
    </row>
    <row r="50" spans="2:30" ht="12.75">
      <c r="B50" s="4" t="s">
        <v>37</v>
      </c>
      <c r="D50" s="4" t="s">
        <v>18</v>
      </c>
      <c r="E50" s="16"/>
      <c r="F50" s="5">
        <f>'emiss 1'!G74</f>
        <v>14.1</v>
      </c>
      <c r="G50" s="79"/>
      <c r="H50" s="5">
        <f>'emiss 1'!I74</f>
        <v>14.4</v>
      </c>
      <c r="I50" s="5"/>
      <c r="J50" s="5">
        <f>'emiss 1'!K74</f>
        <v>14.2</v>
      </c>
      <c r="K50" s="16"/>
      <c r="L50" s="19">
        <f>$F50</f>
        <v>14.1</v>
      </c>
      <c r="M50" s="16"/>
      <c r="N50" s="19">
        <f>$H50</f>
        <v>14.4</v>
      </c>
      <c r="O50" s="19"/>
      <c r="P50" s="19">
        <f>$J50</f>
        <v>14.2</v>
      </c>
      <c r="Q50" s="16"/>
      <c r="R50" s="19">
        <f>$F50</f>
        <v>14.1</v>
      </c>
      <c r="S50" s="16"/>
      <c r="T50" s="19">
        <f>$H50</f>
        <v>14.4</v>
      </c>
      <c r="U50" s="19"/>
      <c r="V50" s="19">
        <f>$J50</f>
        <v>14.2</v>
      </c>
      <c r="W50" s="16"/>
      <c r="X50" s="19">
        <f>$F50</f>
        <v>14.1</v>
      </c>
      <c r="Y50" s="16"/>
      <c r="Z50" s="19">
        <f>$H50</f>
        <v>14.4</v>
      </c>
      <c r="AA50" s="19"/>
      <c r="AB50" s="19">
        <f>$J50</f>
        <v>14.2</v>
      </c>
      <c r="AD50" s="18">
        <f>AVERAGE(X50,Z50,AB50)</f>
        <v>14.233333333333334</v>
      </c>
    </row>
    <row r="51" spans="5:11" ht="12.75">
      <c r="E51" s="16"/>
      <c r="I51" s="19"/>
      <c r="J51" s="16"/>
      <c r="K51" s="16"/>
    </row>
    <row r="52" spans="2:30" ht="12.75">
      <c r="B52" s="4" t="s">
        <v>244</v>
      </c>
      <c r="D52" s="4" t="s">
        <v>31</v>
      </c>
      <c r="E52" s="16"/>
      <c r="F52" s="5"/>
      <c r="H52" s="5"/>
      <c r="I52" s="19"/>
      <c r="J52" s="5"/>
      <c r="K52" s="16"/>
      <c r="L52" s="5">
        <f>L32*L33/1000000</f>
        <v>34.991510399999996</v>
      </c>
      <c r="N52" s="5">
        <f>N32*N33/1000000</f>
        <v>30.875148</v>
      </c>
      <c r="P52" s="5">
        <f>P32*P33/1000000</f>
        <v>36.349605600000004</v>
      </c>
      <c r="R52" s="5"/>
      <c r="S52" s="16"/>
      <c r="T52" s="5"/>
      <c r="U52" s="19"/>
      <c r="V52" s="5"/>
      <c r="X52" s="5">
        <f>F52+L52+R52</f>
        <v>34.991510399999996</v>
      </c>
      <c r="Y52" s="79"/>
      <c r="Z52" s="5">
        <f>H52+N52+T52</f>
        <v>30.875148</v>
      </c>
      <c r="AA52" s="5"/>
      <c r="AB52" s="5">
        <f>J52+P52+V52</f>
        <v>36.349605600000004</v>
      </c>
      <c r="AD52" s="18">
        <f>AVERAGE(X52,Z52,AB52)</f>
        <v>34.072088</v>
      </c>
    </row>
    <row r="53" spans="2:30" ht="12.75">
      <c r="B53" s="4" t="s">
        <v>240</v>
      </c>
      <c r="D53" s="4" t="s">
        <v>31</v>
      </c>
      <c r="E53" s="16"/>
      <c r="F53" s="18"/>
      <c r="I53" s="5"/>
      <c r="J53" s="16"/>
      <c r="K53" s="16"/>
      <c r="X53" s="50">
        <f>X49/9000*60*(21-X50)/21</f>
        <v>44.96828571428572</v>
      </c>
      <c r="Y53" s="21"/>
      <c r="Z53" s="50">
        <f>Z49/9000*60*(21-Z50)/21</f>
        <v>44.39390476190477</v>
      </c>
      <c r="AA53" s="21"/>
      <c r="AB53" s="50">
        <f>AB49/9000*60*(21-AB50)/21</f>
        <v>44.02946031746032</v>
      </c>
      <c r="AD53" s="18">
        <f>AVERAGE(X53,Z53,AB53)</f>
        <v>44.4638835978836</v>
      </c>
    </row>
    <row r="54" spans="8:30" ht="12.75">
      <c r="H54" s="19"/>
      <c r="J54" s="19"/>
      <c r="X54" s="16"/>
      <c r="Z54" s="16"/>
      <c r="AB54" s="16"/>
      <c r="AD54" s="16"/>
    </row>
    <row r="55" spans="2:30" ht="12.75">
      <c r="B55" s="47" t="s">
        <v>44</v>
      </c>
      <c r="C55" s="47"/>
      <c r="F55" s="16"/>
      <c r="H55" s="16"/>
      <c r="I55" s="16"/>
      <c r="J55" s="16"/>
      <c r="K55" s="19"/>
      <c r="Q55" s="17"/>
      <c r="R55" s="16"/>
      <c r="S55" s="16"/>
      <c r="T55" s="16"/>
      <c r="U55" s="16"/>
      <c r="V55" s="16"/>
      <c r="W55" s="17"/>
      <c r="X55" s="16"/>
      <c r="Y55" s="16"/>
      <c r="Z55" s="16"/>
      <c r="AA55" s="19"/>
      <c r="AB55" s="16"/>
      <c r="AD55" s="16"/>
    </row>
    <row r="56" spans="2:30" ht="12.75">
      <c r="B56" s="4" t="s">
        <v>23</v>
      </c>
      <c r="D56" s="4" t="s">
        <v>33</v>
      </c>
      <c r="F56" s="7">
        <f aca="true" t="shared" si="3" ref="F56:F69">F34*1/60*1000000/(F$49*0.0283)*(21-7)/(21-F$50)</f>
        <v>72519.22669029576</v>
      </c>
      <c r="G56" s="9">
        <v>100</v>
      </c>
      <c r="H56" s="7">
        <f aca="true" t="shared" si="4" ref="H56:H69">H34*1/60*1000000/(H$49*0.0283)*(21-7)/(21-H$50)</f>
        <v>38893.57973541901</v>
      </c>
      <c r="I56" s="9">
        <v>100</v>
      </c>
      <c r="J56" s="7">
        <f aca="true" t="shared" si="5" ref="J56:J69">J34*1/60*1000000/(J$49*0.0283)*(21-7)/(21-J$50)</f>
        <v>39323.470391901</v>
      </c>
      <c r="K56" s="68"/>
      <c r="L56" s="7">
        <f aca="true" t="shared" si="6" ref="L56:L69">L34*1/60*1000000/(L$49*0.0283)*(21-7)/(21-L$50)</f>
        <v>1113293.4407281077</v>
      </c>
      <c r="M56" s="68"/>
      <c r="N56" s="7">
        <f aca="true" t="shared" si="7" ref="N56:N69">N34*1/60*1000000/(N$49*0.0283)*(21-7)/(21-N$50)</f>
        <v>1200479.9581990086</v>
      </c>
      <c r="O56" s="51"/>
      <c r="P56" s="7">
        <f aca="true" t="shared" si="8" ref="P56:P69">P34*1/60*1000000/(P$49*0.0283)*(21-7)/(21-P$50)</f>
        <v>1235389.5433976853</v>
      </c>
      <c r="Q56" s="80"/>
      <c r="R56" s="7">
        <f aca="true" t="shared" si="9" ref="R56:R69">R34*1/60*1000000/(R$49*0.0283)*(21-7)/(21-R$50)</f>
        <v>1670650.5746613818</v>
      </c>
      <c r="S56" s="68"/>
      <c r="T56" s="7">
        <f aca="true" t="shared" si="10" ref="T56:T69">T34*1/60*1000000/(T$49*0.0283)*(21-7)/(21-T$50)</f>
        <v>1685308.662856458</v>
      </c>
      <c r="U56" s="51"/>
      <c r="V56" s="7">
        <f aca="true" t="shared" si="11" ref="V56:V69">V34*1/60*1000000/(V$49*0.0283)*(21-7)/(21-V$50)</f>
        <v>1691649.1152720647</v>
      </c>
      <c r="W56" s="21">
        <f>SUM((F56*E56/100),(L56*K56/100))/X56*100</f>
        <v>0</v>
      </c>
      <c r="X56" s="7">
        <f>F56+L56+R56</f>
        <v>2856463.242079785</v>
      </c>
      <c r="Y56" s="21">
        <f>SUM((H56*G56/100),(N56*M56/100))/Z56*100</f>
        <v>1.329839519825487</v>
      </c>
      <c r="Z56" s="7">
        <f>H56+N56+T56</f>
        <v>2924682.200790886</v>
      </c>
      <c r="AA56" s="21">
        <f>SUM((J56*I56/100),(P56*O56/100))/AB56*100</f>
        <v>1.3256463196669852</v>
      </c>
      <c r="AB56" s="7">
        <f>J56+P56+V56</f>
        <v>2966362.129061651</v>
      </c>
      <c r="AC56" s="21">
        <f>SUM((AB56*AA56/100),(Z56*Y56/100),(X56*W56/100))/AD56/3*100</f>
        <v>0.8941638459198484</v>
      </c>
      <c r="AD56" s="101">
        <f>AVERAGE(X56,Z56,AB56)</f>
        <v>2915835.857310774</v>
      </c>
    </row>
    <row r="57" spans="2:35" ht="12.75">
      <c r="B57" s="4" t="s">
        <v>96</v>
      </c>
      <c r="D57" s="4" t="s">
        <v>33</v>
      </c>
      <c r="E57" s="9">
        <v>100</v>
      </c>
      <c r="F57" s="7">
        <f t="shared" si="3"/>
        <v>386.08198114049424</v>
      </c>
      <c r="G57" s="9">
        <v>100</v>
      </c>
      <c r="H57" s="7">
        <f t="shared" si="4"/>
        <v>388.9357973541901</v>
      </c>
      <c r="I57" s="9">
        <v>100</v>
      </c>
      <c r="J57" s="7">
        <f t="shared" si="5"/>
        <v>393.2347039190099</v>
      </c>
      <c r="L57" s="7">
        <f t="shared" si="6"/>
        <v>152.5017248140485</v>
      </c>
      <c r="M57" s="16"/>
      <c r="N57" s="7">
        <f t="shared" si="7"/>
        <v>179.2379770180392</v>
      </c>
      <c r="P57" s="7">
        <f t="shared" si="8"/>
        <v>197.96146871858218</v>
      </c>
      <c r="R57" s="7">
        <f t="shared" si="9"/>
        <v>0</v>
      </c>
      <c r="S57" s="16"/>
      <c r="T57" s="7">
        <f t="shared" si="10"/>
        <v>0</v>
      </c>
      <c r="V57" s="7">
        <f t="shared" si="11"/>
        <v>0</v>
      </c>
      <c r="W57" s="21">
        <f>SUM((F57*E57/100),(L57*K57/100))/X57*100</f>
        <v>71.68467535723781</v>
      </c>
      <c r="X57" s="7">
        <f aca="true" t="shared" si="12" ref="X57:X69">F57+L57+R57</f>
        <v>538.5837059545427</v>
      </c>
      <c r="Y57" s="21">
        <f>SUM((H57*G57/100),(N57*M57/100))/Z57*100</f>
        <v>68.45366944011491</v>
      </c>
      <c r="Z57" s="7">
        <f aca="true" t="shared" si="13" ref="Z57:Z69">H57+N57+T57</f>
        <v>568.1737743722292</v>
      </c>
      <c r="AA57" s="21">
        <f>SUM((J57*I57/100),(P57*O57/100))/AB57*100</f>
        <v>66.51509636211158</v>
      </c>
      <c r="AB57" s="7">
        <f aca="true" t="shared" si="14" ref="AB57:AB69">J57+P57+V57</f>
        <v>591.1961726375921</v>
      </c>
      <c r="AC57" s="98">
        <f>SUM((AB57*AA57/100),(Z57*Y57/100),(X57*W57/100))/AD57/3*100</f>
        <v>68.80355540765831</v>
      </c>
      <c r="AD57" s="81">
        <f aca="true" t="shared" si="15" ref="AD57:AD69">AVERAGE(X57,Z57,AB57)</f>
        <v>565.9845509881213</v>
      </c>
      <c r="AE57" s="7"/>
      <c r="AF57" s="16"/>
      <c r="AG57" s="7"/>
      <c r="AI57" s="7"/>
    </row>
    <row r="58" spans="2:35" ht="12.75">
      <c r="B58" s="4" t="s">
        <v>95</v>
      </c>
      <c r="D58" s="4" t="s">
        <v>33</v>
      </c>
      <c r="E58" s="9"/>
      <c r="F58" s="7">
        <f t="shared" si="3"/>
        <v>9952.192713246568</v>
      </c>
      <c r="G58" s="9"/>
      <c r="H58" s="7">
        <f t="shared" si="4"/>
        <v>9985.442035452344</v>
      </c>
      <c r="I58" s="9"/>
      <c r="J58" s="7">
        <f t="shared" si="5"/>
        <v>11182.742306502254</v>
      </c>
      <c r="L58" s="7">
        <f t="shared" si="6"/>
        <v>123.98040986790964</v>
      </c>
      <c r="M58" s="16"/>
      <c r="N58" s="7">
        <f t="shared" si="7"/>
        <v>113.79253146211042</v>
      </c>
      <c r="P58" s="7">
        <f t="shared" si="8"/>
        <v>92.73870606636285</v>
      </c>
      <c r="R58" s="7">
        <f t="shared" si="9"/>
        <v>32516.62730920612</v>
      </c>
      <c r="S58" s="16"/>
      <c r="T58" s="7">
        <f t="shared" si="10"/>
        <v>32100.10664727016</v>
      </c>
      <c r="V58" s="7">
        <f t="shared" si="11"/>
        <v>38378.367860463164</v>
      </c>
      <c r="W58" s="21"/>
      <c r="X58" s="7">
        <f t="shared" si="12"/>
        <v>42592.8004323206</v>
      </c>
      <c r="Y58" s="21"/>
      <c r="Z58" s="7">
        <f t="shared" si="13"/>
        <v>42199.34121418461</v>
      </c>
      <c r="AA58" s="21"/>
      <c r="AB58" s="7">
        <f t="shared" si="14"/>
        <v>49653.84887303178</v>
      </c>
      <c r="AC58" s="98"/>
      <c r="AD58" s="81">
        <f t="shared" si="15"/>
        <v>44815.330173179005</v>
      </c>
      <c r="AE58" s="7"/>
      <c r="AF58" s="16"/>
      <c r="AG58" s="7"/>
      <c r="AI58" s="7"/>
    </row>
    <row r="59" spans="2:35" ht="12.75">
      <c r="B59" s="4" t="s">
        <v>97</v>
      </c>
      <c r="D59" s="4" t="s">
        <v>33</v>
      </c>
      <c r="E59" s="9"/>
      <c r="F59" s="7">
        <f t="shared" si="3"/>
        <v>12884.067476179249</v>
      </c>
      <c r="G59" s="9"/>
      <c r="H59" s="7">
        <f t="shared" si="4"/>
        <v>13863.821682901886</v>
      </c>
      <c r="I59" s="9"/>
      <c r="J59" s="7">
        <f t="shared" si="5"/>
        <v>12981.040933750635</v>
      </c>
      <c r="L59" s="7">
        <f t="shared" si="6"/>
        <v>4903.919967779994</v>
      </c>
      <c r="M59" s="16"/>
      <c r="N59" s="7">
        <f t="shared" si="7"/>
        <v>5579.961231903694</v>
      </c>
      <c r="P59" s="7">
        <f t="shared" si="8"/>
        <v>6020.287668808054</v>
      </c>
      <c r="R59" s="7">
        <f t="shared" si="9"/>
        <v>0</v>
      </c>
      <c r="S59" s="16"/>
      <c r="T59" s="7">
        <f t="shared" si="10"/>
        <v>0</v>
      </c>
      <c r="V59" s="7">
        <f t="shared" si="11"/>
        <v>0</v>
      </c>
      <c r="W59" s="21"/>
      <c r="X59" s="7">
        <f t="shared" si="12"/>
        <v>17787.987443959242</v>
      </c>
      <c r="Y59" s="21"/>
      <c r="Z59" s="7">
        <f t="shared" si="13"/>
        <v>19443.78291480558</v>
      </c>
      <c r="AA59" s="21"/>
      <c r="AB59" s="7">
        <f t="shared" si="14"/>
        <v>19001.32860255869</v>
      </c>
      <c r="AC59" s="98"/>
      <c r="AD59" s="81">
        <f t="shared" si="15"/>
        <v>18744.36632044117</v>
      </c>
      <c r="AE59" s="7"/>
      <c r="AF59" s="16"/>
      <c r="AG59" s="7"/>
      <c r="AI59" s="7"/>
    </row>
    <row r="60" spans="2:35" ht="12.75">
      <c r="B60" s="4" t="s">
        <v>98</v>
      </c>
      <c r="D60" s="4" t="s">
        <v>33</v>
      </c>
      <c r="E60" s="9"/>
      <c r="F60" s="7">
        <f t="shared" si="3"/>
        <v>176.9485661964532</v>
      </c>
      <c r="G60" s="9"/>
      <c r="H60" s="7">
        <f t="shared" si="4"/>
        <v>174.52118814914343</v>
      </c>
      <c r="I60" s="9"/>
      <c r="J60" s="7">
        <f t="shared" si="5"/>
        <v>165.2651300413389</v>
      </c>
      <c r="K60" s="9">
        <v>100</v>
      </c>
      <c r="L60" s="7">
        <f t="shared" si="6"/>
        <v>4.438753618902726</v>
      </c>
      <c r="M60" s="9">
        <v>100</v>
      </c>
      <c r="N60" s="7">
        <f t="shared" si="7"/>
        <v>4.223955183929195</v>
      </c>
      <c r="O60" s="9">
        <v>100</v>
      </c>
      <c r="P60" s="7">
        <f t="shared" si="8"/>
        <v>4.664567870852609</v>
      </c>
      <c r="R60" s="7">
        <f t="shared" si="9"/>
        <v>6767.118521710411</v>
      </c>
      <c r="S60" s="16"/>
      <c r="T60" s="7">
        <f t="shared" si="10"/>
        <v>6931.321242842332</v>
      </c>
      <c r="V60" s="7">
        <f t="shared" si="11"/>
        <v>6645.6794558709635</v>
      </c>
      <c r="W60" s="21"/>
      <c r="X60" s="7">
        <f t="shared" si="12"/>
        <v>6948.505841525767</v>
      </c>
      <c r="Y60" s="21"/>
      <c r="Z60" s="7">
        <f t="shared" si="13"/>
        <v>7110.066386175405</v>
      </c>
      <c r="AA60" s="21"/>
      <c r="AB60" s="7">
        <f t="shared" si="14"/>
        <v>6815.609153783155</v>
      </c>
      <c r="AC60" s="98"/>
      <c r="AD60" s="81">
        <f t="shared" si="15"/>
        <v>6958.060460494776</v>
      </c>
      <c r="AE60" s="7"/>
      <c r="AF60" s="16"/>
      <c r="AG60" s="7"/>
      <c r="AI60" s="7"/>
    </row>
    <row r="61" spans="2:35" ht="12.75">
      <c r="B61" s="4" t="s">
        <v>99</v>
      </c>
      <c r="D61" s="4" t="s">
        <v>33</v>
      </c>
      <c r="E61" s="9"/>
      <c r="F61" s="7">
        <f t="shared" si="3"/>
        <v>84.9818771864545</v>
      </c>
      <c r="G61" s="9"/>
      <c r="H61" s="7">
        <f t="shared" si="4"/>
        <v>151.52684241327654</v>
      </c>
      <c r="I61" s="9">
        <v>100</v>
      </c>
      <c r="J61" s="7">
        <f t="shared" si="5"/>
        <v>157.293881567604</v>
      </c>
      <c r="K61" s="9"/>
      <c r="L61" s="7">
        <f t="shared" si="6"/>
        <v>214.2008959220223</v>
      </c>
      <c r="M61" s="9"/>
      <c r="N61" s="7">
        <f t="shared" si="7"/>
        <v>220.50987962087717</v>
      </c>
      <c r="O61" s="9"/>
      <c r="P61" s="7">
        <f t="shared" si="8"/>
        <v>211.63448307452035</v>
      </c>
      <c r="R61" s="7">
        <f t="shared" si="9"/>
        <v>19235.007626736813</v>
      </c>
      <c r="S61" s="16"/>
      <c r="T61" s="7">
        <f t="shared" si="10"/>
        <v>18390.759799824606</v>
      </c>
      <c r="V61" s="7">
        <f t="shared" si="11"/>
        <v>20193.853245950508</v>
      </c>
      <c r="W61" s="21"/>
      <c r="X61" s="7">
        <f t="shared" si="12"/>
        <v>19534.19039984529</v>
      </c>
      <c r="Y61" s="21"/>
      <c r="Z61" s="7">
        <f t="shared" si="13"/>
        <v>18762.79652185876</v>
      </c>
      <c r="AA61" s="21">
        <f>SUM((J61*I61/100),(P61*O61/100))/AB61*100</f>
        <v>0.7649445709552068</v>
      </c>
      <c r="AB61" s="7">
        <f t="shared" si="14"/>
        <v>20562.781610592632</v>
      </c>
      <c r="AC61" s="98"/>
      <c r="AD61" s="81">
        <f t="shared" si="15"/>
        <v>19619.922844098895</v>
      </c>
      <c r="AE61" s="7"/>
      <c r="AF61" s="16"/>
      <c r="AG61" s="7"/>
      <c r="AI61" s="7"/>
    </row>
    <row r="62" spans="2:35" ht="12.75">
      <c r="B62" s="4" t="s">
        <v>100</v>
      </c>
      <c r="D62" s="4" t="s">
        <v>33</v>
      </c>
      <c r="E62" s="9"/>
      <c r="F62" s="7">
        <f t="shared" si="3"/>
        <v>13501.059187258987</v>
      </c>
      <c r="G62" s="9"/>
      <c r="H62" s="7">
        <f t="shared" si="4"/>
        <v>13211.136023168436</v>
      </c>
      <c r="I62" s="9"/>
      <c r="J62" s="7">
        <f t="shared" si="5"/>
        <v>13997.599827170383</v>
      </c>
      <c r="K62" s="9"/>
      <c r="L62" s="7">
        <f t="shared" si="6"/>
        <v>1205.4621072133375</v>
      </c>
      <c r="M62" s="9"/>
      <c r="N62" s="7">
        <f t="shared" si="7"/>
        <v>7505.590287630392</v>
      </c>
      <c r="O62" s="9"/>
      <c r="P62" s="7">
        <f t="shared" si="8"/>
        <v>1186.5798545414118</v>
      </c>
      <c r="R62" s="7">
        <f t="shared" si="9"/>
        <v>80907.98569037234</v>
      </c>
      <c r="S62" s="16"/>
      <c r="T62" s="7">
        <f t="shared" si="10"/>
        <v>80211.35311000698</v>
      </c>
      <c r="V62" s="7">
        <f t="shared" si="11"/>
        <v>85270.26783359541</v>
      </c>
      <c r="W62" s="21"/>
      <c r="X62" s="7">
        <f t="shared" si="12"/>
        <v>95614.50698484466</v>
      </c>
      <c r="Y62" s="21"/>
      <c r="Z62" s="7">
        <f t="shared" si="13"/>
        <v>100928.0794208058</v>
      </c>
      <c r="AA62" s="21"/>
      <c r="AB62" s="7">
        <f t="shared" si="14"/>
        <v>100454.4475153072</v>
      </c>
      <c r="AC62" s="98"/>
      <c r="AD62" s="81">
        <f t="shared" si="15"/>
        <v>98999.0113069859</v>
      </c>
      <c r="AE62" s="7"/>
      <c r="AF62" s="16"/>
      <c r="AG62" s="7"/>
      <c r="AI62" s="7"/>
    </row>
    <row r="63" spans="2:35" ht="12.75">
      <c r="B63" s="4" t="s">
        <v>168</v>
      </c>
      <c r="D63" s="4" t="s">
        <v>33</v>
      </c>
      <c r="E63" s="9"/>
      <c r="F63" s="7">
        <f t="shared" si="3"/>
        <v>12817.921773864407</v>
      </c>
      <c r="G63" s="9"/>
      <c r="H63" s="7">
        <f t="shared" si="4"/>
        <v>12329.264776127824</v>
      </c>
      <c r="I63" s="9"/>
      <c r="J63" s="7">
        <f t="shared" si="5"/>
        <v>13448.626874030144</v>
      </c>
      <c r="K63" s="9"/>
      <c r="L63" s="7">
        <f t="shared" si="6"/>
        <v>6906.70063101264</v>
      </c>
      <c r="M63" s="9"/>
      <c r="N63" s="7">
        <f t="shared" si="7"/>
        <v>1060.2127511662277</v>
      </c>
      <c r="O63" s="9"/>
      <c r="P63" s="7">
        <f t="shared" si="8"/>
        <v>7192.763656854722</v>
      </c>
      <c r="R63" s="7">
        <f t="shared" si="9"/>
        <v>0</v>
      </c>
      <c r="S63" s="16"/>
      <c r="T63" s="7">
        <f t="shared" si="10"/>
        <v>0</v>
      </c>
      <c r="V63" s="7">
        <f t="shared" si="11"/>
        <v>0</v>
      </c>
      <c r="W63" s="21"/>
      <c r="X63" s="7">
        <f t="shared" si="12"/>
        <v>19724.622404877045</v>
      </c>
      <c r="Y63" s="21"/>
      <c r="Z63" s="7">
        <f t="shared" si="13"/>
        <v>13389.477527294051</v>
      </c>
      <c r="AA63" s="21"/>
      <c r="AB63" s="7">
        <f t="shared" si="14"/>
        <v>20641.390530884866</v>
      </c>
      <c r="AC63" s="98"/>
      <c r="AD63" s="81">
        <f t="shared" si="15"/>
        <v>17918.496821018653</v>
      </c>
      <c r="AE63" s="7"/>
      <c r="AF63" s="16"/>
      <c r="AG63" s="7"/>
      <c r="AI63" s="7"/>
    </row>
    <row r="64" spans="2:35" ht="12.75">
      <c r="B64" s="4" t="s">
        <v>102</v>
      </c>
      <c r="D64" s="4" t="s">
        <v>33</v>
      </c>
      <c r="E64" s="9"/>
      <c r="F64" s="7">
        <f t="shared" si="3"/>
        <v>13346.811259489054</v>
      </c>
      <c r="G64" s="9"/>
      <c r="H64" s="7">
        <f t="shared" si="4"/>
        <v>15016.48696273829</v>
      </c>
      <c r="I64" s="9"/>
      <c r="J64" s="7">
        <f t="shared" si="5"/>
        <v>16734.580613898164</v>
      </c>
      <c r="K64" s="9"/>
      <c r="L64" s="7">
        <f t="shared" si="6"/>
        <v>479.6237452167021</v>
      </c>
      <c r="M64" s="9"/>
      <c r="N64" s="7">
        <f t="shared" si="7"/>
        <v>517.6675783613106</v>
      </c>
      <c r="O64" s="9"/>
      <c r="P64" s="7">
        <f t="shared" si="8"/>
        <v>819.7863824712458</v>
      </c>
      <c r="R64" s="7">
        <f t="shared" si="9"/>
        <v>446433.6656341759</v>
      </c>
      <c r="S64" s="16"/>
      <c r="T64" s="7">
        <f t="shared" si="10"/>
        <v>441961.34821970767</v>
      </c>
      <c r="V64" s="7">
        <f t="shared" si="11"/>
        <v>453369.2155353108</v>
      </c>
      <c r="W64" s="21"/>
      <c r="X64" s="7">
        <f t="shared" si="12"/>
        <v>460260.1006388816</v>
      </c>
      <c r="Y64" s="21"/>
      <c r="Z64" s="7">
        <f t="shared" si="13"/>
        <v>457495.5027608073</v>
      </c>
      <c r="AA64" s="21"/>
      <c r="AB64" s="7">
        <f t="shared" si="14"/>
        <v>470923.58253168024</v>
      </c>
      <c r="AC64" s="98"/>
      <c r="AD64" s="81">
        <f t="shared" si="15"/>
        <v>462893.0619771231</v>
      </c>
      <c r="AE64" s="7"/>
      <c r="AF64" s="16"/>
      <c r="AG64" s="7"/>
      <c r="AI64" s="7"/>
    </row>
    <row r="65" spans="2:35" ht="12.75">
      <c r="B65" s="4" t="s">
        <v>164</v>
      </c>
      <c r="D65" s="4" t="s">
        <v>33</v>
      </c>
      <c r="E65" s="9"/>
      <c r="F65" s="7">
        <f t="shared" si="3"/>
        <v>530780.5070123398</v>
      </c>
      <c r="G65" s="9"/>
      <c r="H65" s="7">
        <f t="shared" si="4"/>
        <v>515006.71984064486</v>
      </c>
      <c r="I65" s="9"/>
      <c r="J65" s="7">
        <f t="shared" si="5"/>
        <v>483276.85376282776</v>
      </c>
      <c r="K65" s="9"/>
      <c r="L65" s="7">
        <f t="shared" si="6"/>
        <v>338.76337344189403</v>
      </c>
      <c r="M65" s="9"/>
      <c r="N65" s="7">
        <f t="shared" si="7"/>
        <v>357.2967568188544</v>
      </c>
      <c r="O65" s="9"/>
      <c r="P65" s="7">
        <f t="shared" si="8"/>
        <v>365.6045143000843</v>
      </c>
      <c r="R65" s="7">
        <f t="shared" si="9"/>
        <v>0</v>
      </c>
      <c r="S65" s="16"/>
      <c r="T65" s="7">
        <f t="shared" si="10"/>
        <v>0</v>
      </c>
      <c r="V65" s="7">
        <f t="shared" si="11"/>
        <v>0</v>
      </c>
      <c r="W65" s="21"/>
      <c r="X65" s="7">
        <f t="shared" si="12"/>
        <v>531119.2703857817</v>
      </c>
      <c r="Y65" s="21"/>
      <c r="Z65" s="7">
        <f t="shared" si="13"/>
        <v>515364.0165974637</v>
      </c>
      <c r="AA65" s="21"/>
      <c r="AB65" s="7">
        <f t="shared" si="14"/>
        <v>483642.4582771278</v>
      </c>
      <c r="AC65" s="98"/>
      <c r="AD65" s="81">
        <f t="shared" si="15"/>
        <v>510041.9150867911</v>
      </c>
      <c r="AE65" s="7"/>
      <c r="AF65" s="16"/>
      <c r="AG65" s="7"/>
      <c r="AI65" s="7"/>
    </row>
    <row r="66" spans="2:35" ht="12.75">
      <c r="B66" s="4" t="s">
        <v>103</v>
      </c>
      <c r="D66" s="4" t="s">
        <v>33</v>
      </c>
      <c r="E66" s="9">
        <v>100</v>
      </c>
      <c r="F66" s="7">
        <f t="shared" si="3"/>
        <v>15.443279245619767</v>
      </c>
      <c r="G66" s="9">
        <v>100</v>
      </c>
      <c r="H66" s="7">
        <f t="shared" si="4"/>
        <v>15.557431894167607</v>
      </c>
      <c r="I66" s="9">
        <v>100</v>
      </c>
      <c r="J66" s="7">
        <f t="shared" si="5"/>
        <v>15.729388156760402</v>
      </c>
      <c r="K66" s="9">
        <v>100</v>
      </c>
      <c r="L66" s="7">
        <f t="shared" si="6"/>
        <v>1.8642765199391444</v>
      </c>
      <c r="M66" s="9"/>
      <c r="N66" s="7">
        <f t="shared" si="7"/>
        <v>1.6895820735716778</v>
      </c>
      <c r="O66" s="9">
        <v>100</v>
      </c>
      <c r="P66" s="7">
        <f t="shared" si="8"/>
        <v>1.8658271483410431</v>
      </c>
      <c r="R66" s="7">
        <f t="shared" si="9"/>
        <v>0</v>
      </c>
      <c r="S66" s="16"/>
      <c r="T66" s="7">
        <f t="shared" si="10"/>
        <v>0</v>
      </c>
      <c r="V66" s="7">
        <f t="shared" si="11"/>
        <v>0</v>
      </c>
      <c r="W66" s="21">
        <f>SUM((F66*E66/100),(L66*K66/100))/X66*100</f>
        <v>100</v>
      </c>
      <c r="X66" s="5">
        <f t="shared" si="12"/>
        <v>17.30755576555891</v>
      </c>
      <c r="Y66" s="21">
        <f>SUM((H66*G66/100),(N66*M66/100))/Z66*100</f>
        <v>90.2036255276881</v>
      </c>
      <c r="Z66" s="5">
        <f t="shared" si="13"/>
        <v>17.247013967739285</v>
      </c>
      <c r="AA66" s="21">
        <f>SUM((J66*I66/100),(P66*O66/100))/AB66*100</f>
        <v>100</v>
      </c>
      <c r="AB66" s="5">
        <f t="shared" si="14"/>
        <v>17.595215305101444</v>
      </c>
      <c r="AC66" s="98">
        <f>SUM((AB66*AA66/100),(Z66*Y66/100),(X66*W66/100))/AD66/3*100</f>
        <v>96.76013607279957</v>
      </c>
      <c r="AD66" s="81">
        <f t="shared" si="15"/>
        <v>17.383261679466546</v>
      </c>
      <c r="AE66" s="7"/>
      <c r="AF66" s="16"/>
      <c r="AG66" s="7"/>
      <c r="AI66" s="7"/>
    </row>
    <row r="67" spans="2:35" ht="12.75">
      <c r="B67" s="4" t="s">
        <v>104</v>
      </c>
      <c r="D67" s="4" t="s">
        <v>33</v>
      </c>
      <c r="E67" s="9"/>
      <c r="F67" s="7">
        <f t="shared" si="3"/>
        <v>26153.463737957354</v>
      </c>
      <c r="G67" s="9"/>
      <c r="H67" s="7">
        <f t="shared" si="4"/>
        <v>25692.93856748386</v>
      </c>
      <c r="I67" s="9"/>
      <c r="J67" s="7">
        <f t="shared" si="5"/>
        <v>27291.931133337508</v>
      </c>
      <c r="K67" s="9"/>
      <c r="L67" s="7">
        <f t="shared" si="6"/>
        <v>191.50025749550363</v>
      </c>
      <c r="M67" s="9"/>
      <c r="N67" s="7">
        <f t="shared" si="7"/>
        <v>145.0412577185449</v>
      </c>
      <c r="O67" s="9"/>
      <c r="P67" s="7">
        <f t="shared" si="8"/>
        <v>116.51786146799432</v>
      </c>
      <c r="R67" s="7">
        <f t="shared" si="9"/>
        <v>0</v>
      </c>
      <c r="S67" s="16"/>
      <c r="T67" s="7">
        <f t="shared" si="10"/>
        <v>0</v>
      </c>
      <c r="V67" s="7">
        <f t="shared" si="11"/>
        <v>0</v>
      </c>
      <c r="W67" s="21">
        <f>SUM((F67*E67/100),(L67*K67/100))/X67*100</f>
        <v>0</v>
      </c>
      <c r="X67" s="7">
        <f t="shared" si="12"/>
        <v>26344.963995452857</v>
      </c>
      <c r="Y67" s="21">
        <f>SUM((H67*G67/100),(N67*M67/100))/Z67*100</f>
        <v>0</v>
      </c>
      <c r="Z67" s="7">
        <f t="shared" si="13"/>
        <v>25837.979825202405</v>
      </c>
      <c r="AA67" s="21">
        <f>SUM((J67*I67/100),(P67*O67/100))/AB67*100</f>
        <v>0</v>
      </c>
      <c r="AB67" s="7">
        <f t="shared" si="14"/>
        <v>27408.4489948055</v>
      </c>
      <c r="AC67" s="98"/>
      <c r="AD67" s="81">
        <f t="shared" si="15"/>
        <v>26530.464271820252</v>
      </c>
      <c r="AE67" s="7"/>
      <c r="AF67" s="16"/>
      <c r="AG67" s="7"/>
      <c r="AI67" s="7"/>
    </row>
    <row r="68" spans="2:35" ht="12.75">
      <c r="B68" s="4" t="s">
        <v>106</v>
      </c>
      <c r="D68" s="4" t="s">
        <v>33</v>
      </c>
      <c r="E68" s="9">
        <v>100</v>
      </c>
      <c r="F68" s="7">
        <f t="shared" si="3"/>
        <v>154.43279245619772</v>
      </c>
      <c r="G68" s="9">
        <v>100</v>
      </c>
      <c r="H68" s="7">
        <f t="shared" si="4"/>
        <v>155.574318941676</v>
      </c>
      <c r="I68" s="9">
        <v>100</v>
      </c>
      <c r="J68" s="7">
        <f t="shared" si="5"/>
        <v>157.293881567604</v>
      </c>
      <c r="K68" s="9"/>
      <c r="L68" s="7">
        <f t="shared" si="6"/>
        <v>18.62616486278455</v>
      </c>
      <c r="M68" s="9"/>
      <c r="N68" s="7">
        <f t="shared" si="7"/>
        <v>22.994345735866876</v>
      </c>
      <c r="O68" s="9"/>
      <c r="P68" s="7">
        <f t="shared" si="8"/>
        <v>24.37363428667229</v>
      </c>
      <c r="R68" s="7">
        <f t="shared" si="9"/>
        <v>0</v>
      </c>
      <c r="S68" s="16"/>
      <c r="T68" s="7">
        <f t="shared" si="10"/>
        <v>0</v>
      </c>
      <c r="V68" s="7">
        <f t="shared" si="11"/>
        <v>0</v>
      </c>
      <c r="W68" s="21">
        <f>SUM((F68*E68/100),(L68*K68/100))/X68*100</f>
        <v>89.23709864468165</v>
      </c>
      <c r="X68" s="7">
        <f t="shared" si="12"/>
        <v>173.05895731898227</v>
      </c>
      <c r="Y68" s="21">
        <f>SUM((H68*G68/100),(N68*M68/100))/Z68*100</f>
        <v>87.12296707970025</v>
      </c>
      <c r="Z68" s="7">
        <f t="shared" si="13"/>
        <v>178.5686646775429</v>
      </c>
      <c r="AA68" s="21">
        <f>SUM((J68*I68/100),(P68*O68/100))/AB68*100</f>
        <v>86.58338329114189</v>
      </c>
      <c r="AB68" s="7">
        <f t="shared" si="14"/>
        <v>181.66751585427627</v>
      </c>
      <c r="AC68" s="98">
        <f>SUM((AB68*AA68/100),(Z68*Y68/100),(X68*W68/100))/AD68/3*100</f>
        <v>87.62521159459986</v>
      </c>
      <c r="AD68" s="81">
        <f t="shared" si="15"/>
        <v>177.76504595026714</v>
      </c>
      <c r="AE68" s="7"/>
      <c r="AF68" s="16"/>
      <c r="AG68" s="7"/>
      <c r="AI68" s="7"/>
    </row>
    <row r="69" spans="2:35" ht="12.75">
      <c r="B69" s="4" t="s">
        <v>107</v>
      </c>
      <c r="D69" s="4" t="s">
        <v>33</v>
      </c>
      <c r="E69" s="9">
        <v>100</v>
      </c>
      <c r="F69" s="7">
        <f t="shared" si="3"/>
        <v>386.08198114049424</v>
      </c>
      <c r="G69" s="9">
        <v>100</v>
      </c>
      <c r="H69" s="7">
        <f t="shared" si="4"/>
        <v>388.9357973541901</v>
      </c>
      <c r="I69" s="9">
        <v>100</v>
      </c>
      <c r="J69" s="7">
        <f t="shared" si="5"/>
        <v>393.2347039190099</v>
      </c>
      <c r="K69" s="9">
        <v>100</v>
      </c>
      <c r="L69" s="7">
        <f t="shared" si="6"/>
        <v>44.38753618902725</v>
      </c>
      <c r="M69" s="9">
        <v>100</v>
      </c>
      <c r="N69" s="7">
        <f t="shared" si="7"/>
        <v>42.23955183929194</v>
      </c>
      <c r="O69" s="9">
        <v>100</v>
      </c>
      <c r="P69" s="7">
        <f t="shared" si="8"/>
        <v>46.64567870852607</v>
      </c>
      <c r="R69" s="7">
        <f t="shared" si="9"/>
        <v>0</v>
      </c>
      <c r="S69" s="16"/>
      <c r="T69" s="7">
        <f t="shared" si="10"/>
        <v>0</v>
      </c>
      <c r="V69" s="7">
        <f t="shared" si="11"/>
        <v>0</v>
      </c>
      <c r="W69" s="21">
        <f>SUM((F69*E69/100),(L69*K69/100))/X69*100</f>
        <v>100</v>
      </c>
      <c r="X69" s="7">
        <f t="shared" si="12"/>
        <v>430.46951732952147</v>
      </c>
      <c r="Y69" s="21">
        <f>SUM((H69*G69/100),(N69*M69/100))/Z69*100</f>
        <v>100</v>
      </c>
      <c r="Z69" s="7">
        <f t="shared" si="13"/>
        <v>431.175349193482</v>
      </c>
      <c r="AA69" s="21">
        <f>SUM((J69*I69/100),(P69*O69/100))/AB69*100</f>
        <v>100</v>
      </c>
      <c r="AB69" s="7">
        <f t="shared" si="14"/>
        <v>439.880382627536</v>
      </c>
      <c r="AC69" s="98">
        <f>SUM((AB69*AA69/100),(Z69*Y69/100),(X69*W69/100))/AD69/3*100</f>
        <v>100.00000000000003</v>
      </c>
      <c r="AD69" s="81">
        <f t="shared" si="15"/>
        <v>433.84174971684644</v>
      </c>
      <c r="AE69" s="7"/>
      <c r="AF69" s="16"/>
      <c r="AG69" s="7"/>
      <c r="AI69" s="7"/>
    </row>
    <row r="70" spans="6:35" ht="12.75">
      <c r="F70" s="7"/>
      <c r="H70" s="7"/>
      <c r="J70" s="7"/>
      <c r="L70" s="7"/>
      <c r="M70" s="16"/>
      <c r="N70" s="7"/>
      <c r="P70" s="7"/>
      <c r="R70" s="7"/>
      <c r="S70" s="16"/>
      <c r="T70" s="7"/>
      <c r="V70" s="7"/>
      <c r="X70" s="7"/>
      <c r="Y70" s="82"/>
      <c r="Z70" s="7"/>
      <c r="AA70" s="55"/>
      <c r="AB70" s="7"/>
      <c r="AE70" s="7"/>
      <c r="AF70" s="16"/>
      <c r="AG70" s="7"/>
      <c r="AI70" s="7"/>
    </row>
    <row r="71" spans="2:35" ht="12.75">
      <c r="B71" s="4" t="s">
        <v>34</v>
      </c>
      <c r="D71" s="4" t="s">
        <v>33</v>
      </c>
      <c r="F71" s="7">
        <f>F61+F64</f>
        <v>13431.793136675507</v>
      </c>
      <c r="H71" s="7">
        <f>H61+H64</f>
        <v>15168.013805151568</v>
      </c>
      <c r="J71" s="7">
        <f>J61+J64</f>
        <v>16891.874495465767</v>
      </c>
      <c r="L71" s="7">
        <f>L61+L64</f>
        <v>693.8246411387245</v>
      </c>
      <c r="M71" s="16"/>
      <c r="N71" s="7">
        <f>N61+N64</f>
        <v>738.1774579821878</v>
      </c>
      <c r="P71" s="7">
        <f>P61+P64</f>
        <v>1031.4208655457662</v>
      </c>
      <c r="R71" s="7">
        <f>R61+R64</f>
        <v>465668.6732609127</v>
      </c>
      <c r="S71" s="16"/>
      <c r="T71" s="7">
        <f>T61+T64</f>
        <v>460352.1080195323</v>
      </c>
      <c r="V71" s="7">
        <f>V61+V64</f>
        <v>473563.06878126133</v>
      </c>
      <c r="X71" s="7">
        <f>F71+L71+R71</f>
        <v>479794.2910387269</v>
      </c>
      <c r="Y71" s="7"/>
      <c r="Z71" s="7">
        <f>H71+N71+T71</f>
        <v>476258.29928266606</v>
      </c>
      <c r="AA71" s="7"/>
      <c r="AB71" s="7">
        <f>J71+P71+V71</f>
        <v>491486.36414227285</v>
      </c>
      <c r="AD71" s="21">
        <f>AVERAGE(X71,Z71,AB71)</f>
        <v>482512.98482122197</v>
      </c>
      <c r="AE71" s="7"/>
      <c r="AF71" s="16"/>
      <c r="AG71" s="7"/>
      <c r="AI71" s="7"/>
    </row>
    <row r="72" spans="2:35" ht="12.75">
      <c r="B72" s="4" t="s">
        <v>35</v>
      </c>
      <c r="D72" s="4" t="s">
        <v>33</v>
      </c>
      <c r="F72" s="7">
        <f>F58+F60+F62</f>
        <v>23630.20046670201</v>
      </c>
      <c r="H72" s="7">
        <f>H58+H60+H62</f>
        <v>23371.099246769925</v>
      </c>
      <c r="J72" s="7">
        <f>J58+J60+J62</f>
        <v>25345.607263713973</v>
      </c>
      <c r="L72" s="7">
        <f>L58+L60+L62</f>
        <v>1333.8812707001498</v>
      </c>
      <c r="M72" s="16"/>
      <c r="N72" s="7">
        <f>N58+N60+N62</f>
        <v>7623.606774276432</v>
      </c>
      <c r="P72" s="7">
        <f>P58+P60+P62</f>
        <v>1283.9831284786273</v>
      </c>
      <c r="R72" s="7">
        <f>R58+R60+R62</f>
        <v>120191.73152128886</v>
      </c>
      <c r="S72" s="16"/>
      <c r="T72" s="7">
        <f>T58+T60+T62</f>
        <v>119242.78100011947</v>
      </c>
      <c r="V72" s="7">
        <f>V58+V60+V62</f>
        <v>130294.31514992955</v>
      </c>
      <c r="X72" s="7">
        <f>F72+L72+R72</f>
        <v>145155.81325869102</v>
      </c>
      <c r="Y72" s="7"/>
      <c r="Z72" s="7">
        <f>H72+N72+T72</f>
        <v>150237.48702116584</v>
      </c>
      <c r="AA72" s="7"/>
      <c r="AB72" s="7">
        <f>J72+P72+V72</f>
        <v>156923.90554212214</v>
      </c>
      <c r="AD72" s="21">
        <f>AVERAGE(X72,Z72,AB72)</f>
        <v>150772.40194065968</v>
      </c>
      <c r="AE72" s="7"/>
      <c r="AF72" s="16"/>
      <c r="AG72" s="7"/>
      <c r="AI72" s="7"/>
    </row>
    <row r="76" spans="1:30" ht="12.75">
      <c r="A76" s="14" t="s">
        <v>56</v>
      </c>
      <c r="B76" s="17" t="s">
        <v>166</v>
      </c>
      <c r="C76" s="4" t="s">
        <v>143</v>
      </c>
      <c r="F76" s="16" t="s">
        <v>170</v>
      </c>
      <c r="H76" s="16" t="s">
        <v>171</v>
      </c>
      <c r="I76" s="16"/>
      <c r="J76" s="16" t="s">
        <v>172</v>
      </c>
      <c r="L76" s="16" t="s">
        <v>170</v>
      </c>
      <c r="M76" s="16"/>
      <c r="N76" s="16" t="s">
        <v>171</v>
      </c>
      <c r="O76" s="16"/>
      <c r="P76" s="16" t="s">
        <v>172</v>
      </c>
      <c r="Q76" s="76"/>
      <c r="R76" s="16" t="s">
        <v>170</v>
      </c>
      <c r="S76" s="16"/>
      <c r="T76" s="16" t="s">
        <v>171</v>
      </c>
      <c r="U76" s="16"/>
      <c r="V76" s="16" t="s">
        <v>172</v>
      </c>
      <c r="W76" s="76"/>
      <c r="X76" s="16" t="s">
        <v>170</v>
      </c>
      <c r="Y76" s="16"/>
      <c r="Z76" s="16" t="s">
        <v>171</v>
      </c>
      <c r="AA76" s="16"/>
      <c r="AB76" s="16" t="s">
        <v>172</v>
      </c>
      <c r="AD76" s="16" t="s">
        <v>169</v>
      </c>
    </row>
    <row r="77" spans="2:30" ht="12.75">
      <c r="B77" s="17"/>
      <c r="F77" s="16"/>
      <c r="H77" s="16"/>
      <c r="I77" s="16"/>
      <c r="J77" s="16"/>
      <c r="L77" s="16"/>
      <c r="M77" s="16"/>
      <c r="N77" s="16"/>
      <c r="O77" s="16"/>
      <c r="P77" s="16"/>
      <c r="Q77" s="76"/>
      <c r="R77" s="16"/>
      <c r="S77" s="16"/>
      <c r="T77" s="16"/>
      <c r="U77" s="16"/>
      <c r="V77" s="16"/>
      <c r="W77" s="76"/>
      <c r="X77" s="16"/>
      <c r="Y77" s="16"/>
      <c r="Z77" s="16"/>
      <c r="AA77" s="16"/>
      <c r="AB77" s="16"/>
      <c r="AD77" s="16"/>
    </row>
    <row r="78" spans="2:30" ht="12.75">
      <c r="B78" s="8" t="s">
        <v>228</v>
      </c>
      <c r="F78" s="16" t="s">
        <v>229</v>
      </c>
      <c r="H78" s="16" t="s">
        <v>229</v>
      </c>
      <c r="I78" s="16"/>
      <c r="J78" s="16" t="s">
        <v>229</v>
      </c>
      <c r="L78" s="16" t="s">
        <v>230</v>
      </c>
      <c r="M78" s="16"/>
      <c r="N78" s="16" t="s">
        <v>230</v>
      </c>
      <c r="O78" s="16"/>
      <c r="P78" s="16" t="s">
        <v>230</v>
      </c>
      <c r="Q78" s="76"/>
      <c r="R78" s="16" t="s">
        <v>231</v>
      </c>
      <c r="S78" s="16"/>
      <c r="T78" s="16" t="s">
        <v>231</v>
      </c>
      <c r="U78" s="16"/>
      <c r="V78" s="16" t="s">
        <v>231</v>
      </c>
      <c r="W78" s="76"/>
      <c r="X78" s="16" t="s">
        <v>232</v>
      </c>
      <c r="Y78" s="16"/>
      <c r="Z78" s="16" t="s">
        <v>232</v>
      </c>
      <c r="AA78" s="16"/>
      <c r="AB78" s="16" t="s">
        <v>232</v>
      </c>
      <c r="AD78" s="16" t="s">
        <v>232</v>
      </c>
    </row>
    <row r="79" spans="1:30" ht="12.75">
      <c r="A79" s="13"/>
      <c r="B79" s="8" t="s">
        <v>233</v>
      </c>
      <c r="F79" s="19" t="s">
        <v>234</v>
      </c>
      <c r="H79" s="19" t="s">
        <v>234</v>
      </c>
      <c r="J79" s="19" t="s">
        <v>234</v>
      </c>
      <c r="L79" s="14" t="s">
        <v>235</v>
      </c>
      <c r="N79" s="14" t="s">
        <v>235</v>
      </c>
      <c r="P79" s="14" t="s">
        <v>235</v>
      </c>
      <c r="R79" s="76" t="s">
        <v>32</v>
      </c>
      <c r="S79" s="76"/>
      <c r="T79" s="76" t="s">
        <v>32</v>
      </c>
      <c r="U79" s="76"/>
      <c r="V79" s="76" t="s">
        <v>32</v>
      </c>
      <c r="X79" s="76" t="s">
        <v>59</v>
      </c>
      <c r="Y79" s="76"/>
      <c r="Z79" s="76" t="s">
        <v>59</v>
      </c>
      <c r="AA79" s="76"/>
      <c r="AB79" s="76" t="s">
        <v>59</v>
      </c>
      <c r="AD79" s="16" t="s">
        <v>59</v>
      </c>
    </row>
    <row r="80" spans="1:30" ht="12.75">
      <c r="A80" s="13"/>
      <c r="B80" s="8" t="s">
        <v>238</v>
      </c>
      <c r="F80" s="19" t="s">
        <v>239</v>
      </c>
      <c r="H80" s="19" t="s">
        <v>239</v>
      </c>
      <c r="J80" s="19" t="s">
        <v>239</v>
      </c>
      <c r="L80" s="16" t="s">
        <v>38</v>
      </c>
      <c r="N80" s="16" t="s">
        <v>38</v>
      </c>
      <c r="P80" s="16" t="s">
        <v>38</v>
      </c>
      <c r="R80" s="76" t="s">
        <v>32</v>
      </c>
      <c r="S80" s="76"/>
      <c r="T80" s="76" t="s">
        <v>32</v>
      </c>
      <c r="U80" s="76"/>
      <c r="V80" s="76" t="s">
        <v>32</v>
      </c>
      <c r="X80" s="76" t="s">
        <v>59</v>
      </c>
      <c r="Y80" s="76"/>
      <c r="Z80" s="76" t="s">
        <v>59</v>
      </c>
      <c r="AA80" s="76"/>
      <c r="AB80" s="76" t="s">
        <v>59</v>
      </c>
      <c r="AD80" s="16" t="s">
        <v>59</v>
      </c>
    </row>
    <row r="81" spans="2:30" ht="12.75">
      <c r="B81" s="4" t="s">
        <v>20</v>
      </c>
      <c r="C81" s="17"/>
      <c r="D81" s="14"/>
      <c r="F81" s="70" t="s">
        <v>144</v>
      </c>
      <c r="H81" s="70" t="s">
        <v>144</v>
      </c>
      <c r="J81" s="70" t="s">
        <v>144</v>
      </c>
      <c r="K81" s="19"/>
      <c r="L81" s="70" t="s">
        <v>119</v>
      </c>
      <c r="M81" s="16"/>
      <c r="N81" s="70" t="s">
        <v>119</v>
      </c>
      <c r="P81" s="70" t="s">
        <v>119</v>
      </c>
      <c r="Q81" s="17"/>
      <c r="R81" s="76" t="s">
        <v>32</v>
      </c>
      <c r="S81" s="76"/>
      <c r="T81" s="76" t="s">
        <v>32</v>
      </c>
      <c r="U81" s="76"/>
      <c r="V81" s="76" t="s">
        <v>32</v>
      </c>
      <c r="W81" s="17"/>
      <c r="X81" s="76" t="s">
        <v>59</v>
      </c>
      <c r="Y81" s="76"/>
      <c r="Z81" s="76" t="s">
        <v>59</v>
      </c>
      <c r="AA81" s="76"/>
      <c r="AB81" s="76" t="s">
        <v>59</v>
      </c>
      <c r="AD81" s="16" t="s">
        <v>59</v>
      </c>
    </row>
    <row r="82" spans="2:30" ht="12.75">
      <c r="B82" s="4" t="s">
        <v>58</v>
      </c>
      <c r="D82" s="4" t="s">
        <v>27</v>
      </c>
      <c r="E82" s="9"/>
      <c r="F82">
        <f>14.53*2000</f>
        <v>29060</v>
      </c>
      <c r="G82"/>
      <c r="H82">
        <f>14.66*2000</f>
        <v>29320</v>
      </c>
      <c r="I82"/>
      <c r="J82">
        <f>14.6*2000</f>
        <v>29200</v>
      </c>
      <c r="K82"/>
      <c r="L82">
        <v>3405.6</v>
      </c>
      <c r="M82"/>
      <c r="N82">
        <v>3612</v>
      </c>
      <c r="O82"/>
      <c r="P82">
        <v>3292.2</v>
      </c>
      <c r="Q82" s="9"/>
      <c r="R82" s="9"/>
      <c r="S82" s="9"/>
      <c r="T82" s="9"/>
      <c r="U82" s="9"/>
      <c r="V82" s="9"/>
      <c r="X82" s="7">
        <f>F82+L82+R82</f>
        <v>32465.6</v>
      </c>
      <c r="Y82" s="16"/>
      <c r="Z82" s="7">
        <f>H82+N82+T82</f>
        <v>32932</v>
      </c>
      <c r="AA82" s="19"/>
      <c r="AB82" s="7">
        <f>J82+P82+V82</f>
        <v>32492.2</v>
      </c>
      <c r="AD82" s="18">
        <f>AVERAGE(X82,Z82,AB82)</f>
        <v>32629.933333333334</v>
      </c>
    </row>
    <row r="83" spans="2:28" ht="12.75">
      <c r="B83" s="4" t="s">
        <v>21</v>
      </c>
      <c r="D83" s="4" t="s">
        <v>22</v>
      </c>
      <c r="E83" s="9"/>
      <c r="F83" s="9">
        <v>0</v>
      </c>
      <c r="G83" s="9"/>
      <c r="H83" s="9">
        <v>0</v>
      </c>
      <c r="I83" s="9"/>
      <c r="J83" s="9">
        <v>0</v>
      </c>
      <c r="K83" s="9"/>
      <c r="L83" s="9">
        <v>10749</v>
      </c>
      <c r="M83" s="9"/>
      <c r="N83" s="9">
        <v>10888</v>
      </c>
      <c r="O83" s="9"/>
      <c r="P83" s="9">
        <v>10147</v>
      </c>
      <c r="Q83" s="9"/>
      <c r="R83" s="9"/>
      <c r="S83" s="9"/>
      <c r="T83" s="9"/>
      <c r="U83" s="9"/>
      <c r="V83" s="9"/>
      <c r="X83" s="7"/>
      <c r="Y83" s="16"/>
      <c r="Z83" s="7"/>
      <c r="AA83" s="19"/>
      <c r="AB83" s="7"/>
    </row>
    <row r="84" spans="2:30" ht="12.75">
      <c r="B84" s="4" t="s">
        <v>23</v>
      </c>
      <c r="D84" s="4" t="s">
        <v>120</v>
      </c>
      <c r="E84" s="9" t="s">
        <v>165</v>
      </c>
      <c r="F84" s="56">
        <f>50*F$82*454/1000000</f>
        <v>659.662</v>
      </c>
      <c r="G84" s="9" t="s">
        <v>165</v>
      </c>
      <c r="H84" s="56">
        <f>50*H$82*454/1000000</f>
        <v>665.564</v>
      </c>
      <c r="I84" s="9" t="s">
        <v>165</v>
      </c>
      <c r="J84" s="56">
        <f>50*J$82*454/1000000</f>
        <v>662.84</v>
      </c>
      <c r="K84" s="9"/>
      <c r="L84" s="9">
        <v>5848.28</v>
      </c>
      <c r="M84" s="9"/>
      <c r="N84" s="9">
        <v>5395.05</v>
      </c>
      <c r="O84" s="9"/>
      <c r="P84" s="9">
        <v>5086.64</v>
      </c>
      <c r="Q84" s="9"/>
      <c r="R84" s="9">
        <v>10714.49</v>
      </c>
      <c r="S84" s="9"/>
      <c r="T84" s="9">
        <v>25304.94</v>
      </c>
      <c r="U84" s="9"/>
      <c r="V84" s="9">
        <v>25360.99</v>
      </c>
      <c r="X84" s="7">
        <f>F84+L84+R84</f>
        <v>17222.432</v>
      </c>
      <c r="Y84" s="16"/>
      <c r="Z84" s="7">
        <f>H84+N84+T84</f>
        <v>31365.554</v>
      </c>
      <c r="AA84" s="19"/>
      <c r="AB84" s="7">
        <f>J84+P84+V84</f>
        <v>31110.47</v>
      </c>
      <c r="AD84" s="77"/>
    </row>
    <row r="85" spans="5:30" ht="12.75">
      <c r="E85" s="16"/>
      <c r="I85" s="5"/>
      <c r="L85" s="19"/>
      <c r="M85" s="16"/>
      <c r="O85" s="5"/>
      <c r="Q85" s="4"/>
      <c r="R85" s="19"/>
      <c r="S85" s="16"/>
      <c r="T85" s="19"/>
      <c r="U85" s="5"/>
      <c r="V85" s="19"/>
      <c r="X85" s="5"/>
      <c r="Y85" s="53"/>
      <c r="Z85" s="5"/>
      <c r="AA85" s="39"/>
      <c r="AB85" s="5"/>
      <c r="AC85" s="77"/>
      <c r="AD85" s="77"/>
    </row>
    <row r="86" spans="2:30" ht="12.75">
      <c r="B86" s="4" t="s">
        <v>36</v>
      </c>
      <c r="D86" s="4" t="s">
        <v>17</v>
      </c>
      <c r="E86" s="16"/>
      <c r="F86" s="7">
        <f>'emiss 1'!G107</f>
        <v>22017</v>
      </c>
      <c r="H86" s="7">
        <f>'emiss 1'!I107</f>
        <v>21437</v>
      </c>
      <c r="I86" s="19"/>
      <c r="J86" s="7">
        <f>'emiss 1'!K107</f>
        <v>22344</v>
      </c>
      <c r="K86" s="16"/>
      <c r="L86" s="19">
        <f>$F86</f>
        <v>22017</v>
      </c>
      <c r="M86" s="16"/>
      <c r="N86" s="19">
        <f>$H86</f>
        <v>21437</v>
      </c>
      <c r="O86" s="19"/>
      <c r="P86" s="19">
        <f>$J86</f>
        <v>22344</v>
      </c>
      <c r="R86" s="19">
        <f>$F86</f>
        <v>22017</v>
      </c>
      <c r="S86" s="16"/>
      <c r="T86" s="19">
        <f>$H86</f>
        <v>21437</v>
      </c>
      <c r="U86" s="19"/>
      <c r="V86" s="19">
        <f>$J86</f>
        <v>22344</v>
      </c>
      <c r="X86" s="19">
        <f>$F86</f>
        <v>22017</v>
      </c>
      <c r="Y86" s="16"/>
      <c r="Z86" s="19">
        <f>$H86</f>
        <v>21437</v>
      </c>
      <c r="AA86" s="19"/>
      <c r="AB86" s="19">
        <f>$J86</f>
        <v>22344</v>
      </c>
      <c r="AD86" s="21">
        <f>AVERAGE(X86,Z86,AB86)</f>
        <v>21932.666666666668</v>
      </c>
    </row>
    <row r="87" spans="2:30" ht="12.75">
      <c r="B87" s="4" t="s">
        <v>37</v>
      </c>
      <c r="D87" s="4" t="s">
        <v>18</v>
      </c>
      <c r="E87" s="16"/>
      <c r="F87" s="7">
        <f>'emiss 1'!G108</f>
        <v>14.4</v>
      </c>
      <c r="G87" s="79"/>
      <c r="H87" s="7">
        <f>'emiss 1'!I108</f>
        <v>14.4</v>
      </c>
      <c r="I87" s="5"/>
      <c r="J87" s="7">
        <f>'emiss 1'!K108</f>
        <v>14.5</v>
      </c>
      <c r="K87" s="16"/>
      <c r="L87" s="19">
        <f>$F87</f>
        <v>14.4</v>
      </c>
      <c r="M87" s="16"/>
      <c r="N87" s="19">
        <f>$H87</f>
        <v>14.4</v>
      </c>
      <c r="O87" s="19"/>
      <c r="P87" s="19">
        <f>$J87</f>
        <v>14.5</v>
      </c>
      <c r="Q87" s="16"/>
      <c r="R87" s="19">
        <f>$F87</f>
        <v>14.4</v>
      </c>
      <c r="S87" s="16"/>
      <c r="T87" s="19">
        <f>$H87</f>
        <v>14.4</v>
      </c>
      <c r="U87" s="19"/>
      <c r="V87" s="19">
        <f>$J87</f>
        <v>14.5</v>
      </c>
      <c r="W87" s="16"/>
      <c r="X87" s="19">
        <f>$F87</f>
        <v>14.4</v>
      </c>
      <c r="Y87" s="16"/>
      <c r="Z87" s="19">
        <f>$H87</f>
        <v>14.4</v>
      </c>
      <c r="AA87" s="19"/>
      <c r="AB87" s="19">
        <f>$J87</f>
        <v>14.5</v>
      </c>
      <c r="AD87" s="18">
        <f>AVERAGE(X87,Z87,AB87)</f>
        <v>14.433333333333332</v>
      </c>
    </row>
    <row r="88" spans="5:11" ht="12.75">
      <c r="E88" s="16"/>
      <c r="I88" s="19"/>
      <c r="J88" s="16"/>
      <c r="K88" s="16"/>
    </row>
    <row r="89" spans="2:30" ht="12.75">
      <c r="B89" s="4" t="s">
        <v>244</v>
      </c>
      <c r="D89" s="4" t="s">
        <v>31</v>
      </c>
      <c r="E89" s="16"/>
      <c r="F89" s="5"/>
      <c r="H89" s="5"/>
      <c r="I89" s="19"/>
      <c r="J89" s="5"/>
      <c r="K89" s="16"/>
      <c r="L89" s="5">
        <f>L82*L83/1000000</f>
        <v>36.6067944</v>
      </c>
      <c r="N89" s="5">
        <f>N82*N83/1000000</f>
        <v>39.327456</v>
      </c>
      <c r="P89" s="5">
        <f>P82*P83/1000000</f>
        <v>33.4059534</v>
      </c>
      <c r="R89" s="5"/>
      <c r="S89" s="16"/>
      <c r="T89" s="5"/>
      <c r="U89" s="19"/>
      <c r="V89" s="5"/>
      <c r="X89" s="5">
        <f>F89+L89+R89</f>
        <v>36.6067944</v>
      </c>
      <c r="Y89" s="79"/>
      <c r="Z89" s="5">
        <f>H89+N89+T89</f>
        <v>39.327456</v>
      </c>
      <c r="AA89" s="5"/>
      <c r="AB89" s="5">
        <f>J89+P89+V89</f>
        <v>33.4059534</v>
      </c>
      <c r="AD89" s="18">
        <f>AVERAGE(X89,Z89,AB89)</f>
        <v>36.4467346</v>
      </c>
    </row>
    <row r="90" spans="2:30" ht="12.75">
      <c r="B90" s="4" t="s">
        <v>240</v>
      </c>
      <c r="D90" s="4" t="s">
        <v>31</v>
      </c>
      <c r="E90" s="16"/>
      <c r="F90" s="18"/>
      <c r="I90" s="5"/>
      <c r="J90" s="16"/>
      <c r="K90" s="16"/>
      <c r="X90" s="50">
        <f>X86/9000*60*(21-X87)/21</f>
        <v>46.13085714285714</v>
      </c>
      <c r="Y90" s="21"/>
      <c r="Z90" s="50">
        <f>Z86/9000*60*(21-Z87)/21</f>
        <v>44.915619047619046</v>
      </c>
      <c r="AA90" s="21"/>
      <c r="AB90" s="50">
        <f>AB86/9000*60*(21-AB87)/21</f>
        <v>46.10666666666667</v>
      </c>
      <c r="AD90" s="18">
        <f>AVERAGE(X90,Z90,AB90)</f>
        <v>45.71771428571429</v>
      </c>
    </row>
    <row r="91" spans="8:30" ht="12.75">
      <c r="H91" s="19"/>
      <c r="J91" s="19"/>
      <c r="X91" s="16"/>
      <c r="Z91" s="16"/>
      <c r="AB91" s="16"/>
      <c r="AD91" s="16"/>
    </row>
    <row r="92" spans="2:30" ht="12.75">
      <c r="B92" s="47" t="s">
        <v>44</v>
      </c>
      <c r="C92" s="47"/>
      <c r="F92" s="16"/>
      <c r="H92" s="16"/>
      <c r="I92" s="16"/>
      <c r="J92" s="16"/>
      <c r="K92" s="19"/>
      <c r="Q92" s="17"/>
      <c r="R92" s="16"/>
      <c r="S92" s="16"/>
      <c r="T92" s="16"/>
      <c r="U92" s="16"/>
      <c r="V92" s="16"/>
      <c r="W92" s="17"/>
      <c r="X92" s="16"/>
      <c r="Y92" s="16"/>
      <c r="Z92" s="16"/>
      <c r="AA92" s="19"/>
      <c r="AB92" s="16"/>
      <c r="AD92" s="16"/>
    </row>
    <row r="93" spans="2:30" ht="12.75">
      <c r="B93" s="4" t="s">
        <v>23</v>
      </c>
      <c r="D93" s="4" t="s">
        <v>33</v>
      </c>
      <c r="E93" s="14">
        <v>100</v>
      </c>
      <c r="F93" s="7">
        <f>F84*1/60*1000000/(F$86*0.0283)*(21-7)/(21-F$87)</f>
        <v>37429.13055520997</v>
      </c>
      <c r="G93" s="68">
        <v>100</v>
      </c>
      <c r="H93" s="7">
        <f>H84*1/60*1000000/(H$86*0.0283)*(21-7)/(21-H$87)</f>
        <v>38785.75318167147</v>
      </c>
      <c r="I93" s="51">
        <v>100</v>
      </c>
      <c r="J93" s="7">
        <f>J84*1/60*1000000/(J$86*0.0283)*(21-7)/(21-J$87)</f>
        <v>37629.182133552604</v>
      </c>
      <c r="K93" s="68"/>
      <c r="L93" s="7">
        <f>L84*1/60*1000000/(L$86*0.0283)*(21-7)/(21-L$87)</f>
        <v>331830.59755363106</v>
      </c>
      <c r="M93" s="68"/>
      <c r="N93" s="7">
        <f>N84*1/60*1000000/(N$86*0.0283)*(21-7)/(21-N$87)</f>
        <v>314396.6285778328</v>
      </c>
      <c r="O93" s="51"/>
      <c r="P93" s="7">
        <f>P84*1/60*1000000/(P$86*0.0283)*(21-7)/(21-P$87)</f>
        <v>288766.675227527</v>
      </c>
      <c r="Q93" s="80"/>
      <c r="R93" s="7">
        <f>R84*1/60*1000000/(R$86*0.0283)*(21-7)/(21-R$87)</f>
        <v>607938.6792667937</v>
      </c>
      <c r="S93" s="68"/>
      <c r="T93" s="7">
        <f>T84*1/60*1000000/(T$86*0.0283)*(21-7)/(21-T$87)</f>
        <v>1474645.7998284246</v>
      </c>
      <c r="U93" s="51"/>
      <c r="V93" s="7">
        <f>V84*1/60*1000000/(V$86*0.0283)*(21-7)/(21-V$87)</f>
        <v>1439734.0410916756</v>
      </c>
      <c r="W93" s="21">
        <f>SUM((F93*E93/100),(L93*K93/100))/X93*100</f>
        <v>3.8302488289691032</v>
      </c>
      <c r="X93" s="7">
        <f>F93+L93+R93</f>
        <v>977198.4073756346</v>
      </c>
      <c r="Y93" s="21">
        <f>SUM((H93*G93/100),(N93*M93/100))/Z93*100</f>
        <v>2.1219583751015523</v>
      </c>
      <c r="Z93" s="7">
        <f>H93+N93+T93</f>
        <v>1827828.181587929</v>
      </c>
      <c r="AA93" s="21">
        <f>SUM((J93*I93/100),(P93*O93/100))/AB93*100</f>
        <v>2.13060104845732</v>
      </c>
      <c r="AB93" s="7">
        <f>J93+P93+V93</f>
        <v>1766129.8984527553</v>
      </c>
      <c r="AC93" s="21">
        <f>SUM((AB93*AA93/100),(Z93*Y93/100),(X93*W93/100))/AD93/3*100</f>
        <v>2.4904871706717766</v>
      </c>
      <c r="AD93" s="101">
        <f>AVERAGE(X93,Z93,AB93)</f>
        <v>1523718.8291387728</v>
      </c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7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D43"/>
  <sheetViews>
    <sheetView workbookViewId="0" topLeftCell="B1">
      <selection activeCell="B2" sqref="B2"/>
    </sheetView>
  </sheetViews>
  <sheetFormatPr defaultColWidth="9.140625" defaultRowHeight="12.75"/>
  <cols>
    <col min="1" max="1" width="7.28125" style="91" hidden="1" customWidth="1"/>
    <col min="2" max="2" width="14.57421875" style="91" bestFit="1" customWidth="1"/>
    <col min="3" max="3" width="4.00390625" style="91" customWidth="1"/>
    <col min="4" max="4" width="8.57421875" style="91" customWidth="1"/>
    <col min="5" max="5" width="4.140625" style="91" customWidth="1"/>
    <col min="6" max="6" width="10.140625" style="91" customWidth="1"/>
    <col min="7" max="7" width="4.00390625" style="91" customWidth="1"/>
    <col min="8" max="8" width="8.28125" style="91" customWidth="1"/>
    <col min="9" max="9" width="3.8515625" style="91" customWidth="1"/>
    <col min="10" max="10" width="8.00390625" style="91" customWidth="1"/>
    <col min="11" max="11" width="4.00390625" style="91" customWidth="1"/>
    <col min="12" max="12" width="9.7109375" style="91" customWidth="1"/>
    <col min="13" max="13" width="4.28125" style="91" customWidth="1"/>
    <col min="14" max="14" width="9.140625" style="91" customWidth="1"/>
    <col min="15" max="15" width="4.140625" style="91" customWidth="1"/>
    <col min="16" max="16" width="9.7109375" style="91" customWidth="1"/>
    <col min="17" max="17" width="3.421875" style="91" customWidth="1"/>
    <col min="18" max="18" width="8.28125" style="91" customWidth="1"/>
    <col min="19" max="19" width="3.00390625" style="91" customWidth="1"/>
    <col min="20" max="20" width="7.57421875" style="91" customWidth="1"/>
    <col min="21" max="21" width="3.421875" style="91" customWidth="1"/>
    <col min="22" max="22" width="8.00390625" style="91" customWidth="1"/>
    <col min="23" max="23" width="3.8515625" style="91" customWidth="1"/>
    <col min="24" max="24" width="9.140625" style="91" customWidth="1"/>
    <col min="25" max="25" width="4.140625" style="91" customWidth="1"/>
    <col min="26" max="26" width="9.140625" style="91" customWidth="1"/>
    <col min="27" max="27" width="4.00390625" style="91" customWidth="1"/>
    <col min="28" max="28" width="9.140625" style="91" customWidth="1"/>
    <col min="29" max="29" width="4.00390625" style="91" customWidth="1"/>
    <col min="30" max="30" width="9.140625" style="91" customWidth="1"/>
    <col min="31" max="31" width="3.00390625" style="91" customWidth="1"/>
    <col min="32" max="16384" width="9.140625" style="91" customWidth="1"/>
  </cols>
  <sheetData>
    <row r="1" spans="2:3" ht="12.75">
      <c r="B1" s="13" t="s">
        <v>195</v>
      </c>
      <c r="C1" s="13"/>
    </row>
    <row r="4" spans="2:30" ht="12.75">
      <c r="B4" s="13" t="s">
        <v>173</v>
      </c>
      <c r="C4" s="13"/>
      <c r="F4" s="93" t="s">
        <v>170</v>
      </c>
      <c r="G4" s="93"/>
      <c r="H4" s="93" t="s">
        <v>171</v>
      </c>
      <c r="I4" s="93"/>
      <c r="J4" s="93" t="s">
        <v>172</v>
      </c>
      <c r="K4" s="93"/>
      <c r="L4" s="93" t="s">
        <v>170</v>
      </c>
      <c r="M4" s="93"/>
      <c r="N4" s="93" t="s">
        <v>171</v>
      </c>
      <c r="O4" s="93"/>
      <c r="P4" s="93" t="s">
        <v>172</v>
      </c>
      <c r="Q4" s="93"/>
      <c r="R4" s="93" t="s">
        <v>170</v>
      </c>
      <c r="S4" s="93"/>
      <c r="T4" s="93" t="s">
        <v>171</v>
      </c>
      <c r="U4" s="93"/>
      <c r="V4" s="93" t="s">
        <v>172</v>
      </c>
      <c r="W4" s="93"/>
      <c r="X4" s="93" t="s">
        <v>170</v>
      </c>
      <c r="Y4" s="93"/>
      <c r="Z4" s="93" t="s">
        <v>171</v>
      </c>
      <c r="AA4" s="93"/>
      <c r="AB4" s="93" t="s">
        <v>172</v>
      </c>
      <c r="AC4" s="93"/>
      <c r="AD4" s="93" t="s">
        <v>169</v>
      </c>
    </row>
    <row r="5" spans="2:30" ht="12.75">
      <c r="B5" s="13"/>
      <c r="C5" s="1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</row>
    <row r="6" spans="2:30" ht="12.75">
      <c r="B6" s="8" t="s">
        <v>228</v>
      </c>
      <c r="C6" s="8"/>
      <c r="F6" s="93" t="s">
        <v>229</v>
      </c>
      <c r="G6" s="93"/>
      <c r="H6" s="93" t="s">
        <v>229</v>
      </c>
      <c r="I6" s="93"/>
      <c r="J6" s="93" t="s">
        <v>229</v>
      </c>
      <c r="K6" s="93"/>
      <c r="L6" s="93" t="s">
        <v>230</v>
      </c>
      <c r="M6" s="93"/>
      <c r="N6" s="93" t="s">
        <v>230</v>
      </c>
      <c r="O6" s="93"/>
      <c r="P6" s="93" t="s">
        <v>230</v>
      </c>
      <c r="Q6" s="93"/>
      <c r="R6" s="93" t="s">
        <v>231</v>
      </c>
      <c r="S6" s="93"/>
      <c r="T6" s="93" t="s">
        <v>231</v>
      </c>
      <c r="U6" s="93"/>
      <c r="V6" s="93" t="s">
        <v>231</v>
      </c>
      <c r="W6" s="93"/>
      <c r="X6" s="93" t="s">
        <v>232</v>
      </c>
      <c r="Y6" s="93"/>
      <c r="Z6" s="93" t="s">
        <v>232</v>
      </c>
      <c r="AA6" s="93"/>
      <c r="AB6" s="93" t="s">
        <v>232</v>
      </c>
      <c r="AC6" s="93"/>
      <c r="AD6" s="93" t="s">
        <v>232</v>
      </c>
    </row>
    <row r="7" spans="2:30" ht="12.75">
      <c r="B7" s="8" t="s">
        <v>233</v>
      </c>
      <c r="C7" s="8"/>
      <c r="F7" s="91" t="s">
        <v>234</v>
      </c>
      <c r="H7" s="91" t="s">
        <v>234</v>
      </c>
      <c r="J7" s="91" t="s">
        <v>234</v>
      </c>
      <c r="L7" s="91" t="s">
        <v>235</v>
      </c>
      <c r="N7" s="91" t="s">
        <v>235</v>
      </c>
      <c r="P7" s="91" t="s">
        <v>235</v>
      </c>
      <c r="R7" s="91" t="s">
        <v>32</v>
      </c>
      <c r="T7" s="91" t="s">
        <v>32</v>
      </c>
      <c r="V7" s="91" t="s">
        <v>32</v>
      </c>
      <c r="X7" s="91" t="s">
        <v>59</v>
      </c>
      <c r="Z7" s="91" t="s">
        <v>59</v>
      </c>
      <c r="AB7" s="91" t="s">
        <v>59</v>
      </c>
      <c r="AD7" s="91" t="s">
        <v>59</v>
      </c>
    </row>
    <row r="8" spans="2:30" ht="12.75">
      <c r="B8" s="8" t="s">
        <v>238</v>
      </c>
      <c r="C8" s="8"/>
      <c r="F8" s="93" t="s">
        <v>239</v>
      </c>
      <c r="H8" s="93" t="s">
        <v>239</v>
      </c>
      <c r="J8" s="93" t="s">
        <v>239</v>
      </c>
      <c r="L8" s="93" t="s">
        <v>38</v>
      </c>
      <c r="N8" s="93" t="s">
        <v>38</v>
      </c>
      <c r="P8" s="93" t="s">
        <v>38</v>
      </c>
      <c r="R8" s="91" t="s">
        <v>32</v>
      </c>
      <c r="T8" s="91" t="s">
        <v>32</v>
      </c>
      <c r="V8" s="91" t="s">
        <v>32</v>
      </c>
      <c r="X8" s="91" t="s">
        <v>59</v>
      </c>
      <c r="Z8" s="91" t="s">
        <v>59</v>
      </c>
      <c r="AB8" s="91" t="s">
        <v>59</v>
      </c>
      <c r="AD8" s="91" t="s">
        <v>59</v>
      </c>
    </row>
    <row r="9" spans="2:30" ht="12.75">
      <c r="B9" s="8" t="s">
        <v>20</v>
      </c>
      <c r="C9" s="8"/>
      <c r="F9" s="91" t="s">
        <v>236</v>
      </c>
      <c r="H9" s="91" t="s">
        <v>236</v>
      </c>
      <c r="J9" s="91" t="s">
        <v>236</v>
      </c>
      <c r="L9" s="91" t="s">
        <v>183</v>
      </c>
      <c r="N9" s="91" t="s">
        <v>183</v>
      </c>
      <c r="P9" s="91" t="s">
        <v>183</v>
      </c>
      <c r="R9" s="91" t="s">
        <v>32</v>
      </c>
      <c r="T9" s="91" t="s">
        <v>32</v>
      </c>
      <c r="V9" s="91" t="s">
        <v>32</v>
      </c>
      <c r="X9" s="91" t="s">
        <v>59</v>
      </c>
      <c r="Z9" s="91" t="s">
        <v>59</v>
      </c>
      <c r="AB9" s="91" t="s">
        <v>59</v>
      </c>
      <c r="AD9" s="91" t="s">
        <v>59</v>
      </c>
    </row>
    <row r="10" spans="1:22" ht="12.75">
      <c r="A10" s="91" t="s">
        <v>173</v>
      </c>
      <c r="B10" s="91" t="s">
        <v>237</v>
      </c>
      <c r="D10" s="91" t="s">
        <v>27</v>
      </c>
      <c r="E10" s="88"/>
      <c r="F10" s="90">
        <v>25794</v>
      </c>
      <c r="G10" s="90"/>
      <c r="H10" s="90">
        <v>26433</v>
      </c>
      <c r="I10" s="90"/>
      <c r="J10" s="90">
        <v>24824</v>
      </c>
      <c r="K10" s="90"/>
      <c r="L10" s="90">
        <f>1292538/454</f>
        <v>2847</v>
      </c>
      <c r="M10" s="90"/>
      <c r="N10" s="90">
        <f>1372896/454</f>
        <v>3024</v>
      </c>
      <c r="O10" s="90"/>
      <c r="P10" s="90">
        <f>1307520/454</f>
        <v>2880</v>
      </c>
      <c r="Q10" s="90"/>
      <c r="R10" s="90">
        <f>10445.8/454</f>
        <v>23.00837004405286</v>
      </c>
      <c r="S10" s="90"/>
      <c r="T10" s="90">
        <f>11369.3/454</f>
        <v>25.042511013215858</v>
      </c>
      <c r="U10" s="90"/>
      <c r="V10" s="90">
        <f>12045.2/454</f>
        <v>26.53127753303965</v>
      </c>
    </row>
    <row r="11" spans="1:22" ht="12.75">
      <c r="A11" s="91" t="s">
        <v>173</v>
      </c>
      <c r="B11" s="91" t="s">
        <v>184</v>
      </c>
      <c r="D11" s="91" t="s">
        <v>22</v>
      </c>
      <c r="E11" s="88"/>
      <c r="F11" s="88"/>
      <c r="G11" s="88"/>
      <c r="H11" s="88"/>
      <c r="I11" s="88"/>
      <c r="J11" s="88"/>
      <c r="K11" s="88"/>
      <c r="L11" s="84">
        <f>L12*1000000/L10</f>
        <v>14436.248682824025</v>
      </c>
      <c r="M11"/>
      <c r="N11" s="84">
        <f>N12*1000000/N10</f>
        <v>14384.920634920634</v>
      </c>
      <c r="O11"/>
      <c r="P11" s="84">
        <f>P12*1000000/P10</f>
        <v>13784.722222222223</v>
      </c>
      <c r="Q11"/>
      <c r="R11"/>
      <c r="S11"/>
      <c r="T11"/>
      <c r="U11"/>
      <c r="V11"/>
    </row>
    <row r="12" spans="2:30" ht="12.75">
      <c r="B12" s="4" t="s">
        <v>244</v>
      </c>
      <c r="D12" s="91" t="s">
        <v>31</v>
      </c>
      <c r="E12" s="88"/>
      <c r="F12" s="88"/>
      <c r="G12" s="88"/>
      <c r="H12" s="88"/>
      <c r="I12" s="88"/>
      <c r="J12" s="88"/>
      <c r="K12" s="88"/>
      <c r="L12">
        <v>41.1</v>
      </c>
      <c r="M12"/>
      <c r="N12">
        <v>43.5</v>
      </c>
      <c r="O12"/>
      <c r="P12">
        <v>39.7</v>
      </c>
      <c r="S12"/>
      <c r="T12"/>
      <c r="U12"/>
      <c r="V12"/>
      <c r="X12" s="91">
        <f>L12</f>
        <v>41.1</v>
      </c>
      <c r="Z12" s="91">
        <f>N12</f>
        <v>43.5</v>
      </c>
      <c r="AB12" s="91">
        <f>P12</f>
        <v>39.7</v>
      </c>
      <c r="AD12" s="99">
        <f>AVERAGE(X12,Z12,AB12)</f>
        <v>41.43333333333333</v>
      </c>
    </row>
    <row r="13" spans="1:22" ht="12.75">
      <c r="A13" s="91" t="s">
        <v>173</v>
      </c>
      <c r="B13" s="91" t="s">
        <v>23</v>
      </c>
      <c r="D13" s="91" t="s">
        <v>27</v>
      </c>
      <c r="E13" s="88" t="s">
        <v>165</v>
      </c>
      <c r="F13" s="88">
        <v>9.85</v>
      </c>
      <c r="G13" s="88" t="s">
        <v>165</v>
      </c>
      <c r="H13" s="88">
        <v>10.6</v>
      </c>
      <c r="I13" s="88" t="s">
        <v>165</v>
      </c>
      <c r="J13" s="88">
        <v>9.93</v>
      </c>
      <c r="K13" s="88"/>
      <c r="L13" s="89">
        <v>73.064456372</v>
      </c>
      <c r="M13" s="89"/>
      <c r="N13" s="89">
        <v>73.851145836</v>
      </c>
      <c r="O13" s="89"/>
      <c r="P13" s="89">
        <v>74.946523392</v>
      </c>
      <c r="Q13" s="88"/>
      <c r="R13" s="88"/>
      <c r="S13" s="88"/>
      <c r="T13" s="88"/>
      <c r="U13" s="88"/>
      <c r="V13" s="88"/>
    </row>
    <row r="14" spans="1:22" ht="12.75">
      <c r="A14" s="91" t="s">
        <v>173</v>
      </c>
      <c r="B14" s="91" t="s">
        <v>96</v>
      </c>
      <c r="D14" s="91" t="s">
        <v>27</v>
      </c>
      <c r="E14" s="88" t="s">
        <v>165</v>
      </c>
      <c r="F14" s="103">
        <v>0.00961</v>
      </c>
      <c r="G14" s="103" t="s">
        <v>165</v>
      </c>
      <c r="H14" s="103">
        <v>0.00937</v>
      </c>
      <c r="I14" s="103" t="s">
        <v>165</v>
      </c>
      <c r="J14" s="103">
        <v>0.00961</v>
      </c>
      <c r="K14" s="88"/>
      <c r="L14" s="103">
        <v>0.03284854</v>
      </c>
      <c r="M14" s="103"/>
      <c r="N14" s="103">
        <v>0.2700635</v>
      </c>
      <c r="O14" s="103"/>
      <c r="P14" s="103">
        <v>0.32561942</v>
      </c>
      <c r="Q14" s="88"/>
      <c r="R14" s="88"/>
      <c r="S14" s="88"/>
      <c r="T14" s="88"/>
      <c r="U14" s="88"/>
      <c r="V14" s="88"/>
    </row>
    <row r="15" spans="1:22" ht="12.75">
      <c r="A15" s="91" t="s">
        <v>173</v>
      </c>
      <c r="B15" s="91" t="s">
        <v>95</v>
      </c>
      <c r="D15" s="91" t="s">
        <v>27</v>
      </c>
      <c r="E15" s="88"/>
      <c r="F15" s="88">
        <v>0.35</v>
      </c>
      <c r="G15" s="88"/>
      <c r="H15" s="88">
        <v>0.341</v>
      </c>
      <c r="I15" s="88"/>
      <c r="J15" s="88">
        <v>0.51</v>
      </c>
      <c r="K15" s="88"/>
      <c r="L15" s="103">
        <v>0.00617288</v>
      </c>
      <c r="M15" s="103"/>
      <c r="N15" s="103">
        <v>0.0077161</v>
      </c>
      <c r="O15" s="103"/>
      <c r="P15" s="103">
        <v>0.00727518</v>
      </c>
      <c r="Q15" s="88"/>
      <c r="R15" s="103">
        <v>0.9292389</v>
      </c>
      <c r="S15" s="103"/>
      <c r="T15" s="103">
        <v>0.90256324</v>
      </c>
      <c r="U15" s="103"/>
      <c r="V15" s="103">
        <v>0.85847124</v>
      </c>
    </row>
    <row r="16" spans="1:22" ht="12.75">
      <c r="A16" s="91" t="s">
        <v>173</v>
      </c>
      <c r="B16" s="91" t="s">
        <v>97</v>
      </c>
      <c r="D16" s="91" t="s">
        <v>27</v>
      </c>
      <c r="E16" s="88"/>
      <c r="F16" s="89">
        <v>0.498</v>
      </c>
      <c r="G16" s="89"/>
      <c r="H16" s="89">
        <v>0.552</v>
      </c>
      <c r="I16" s="89"/>
      <c r="J16" s="89">
        <v>0.49</v>
      </c>
      <c r="K16" s="88"/>
      <c r="L16" s="103">
        <v>0.00176368</v>
      </c>
      <c r="M16" s="103"/>
      <c r="N16" s="103">
        <v>0.6657892</v>
      </c>
      <c r="O16" s="103"/>
      <c r="P16" s="103">
        <v>0.60824914</v>
      </c>
      <c r="Q16" s="88"/>
      <c r="R16" s="103"/>
      <c r="S16" s="103"/>
      <c r="T16" s="103"/>
      <c r="U16" s="103"/>
      <c r="V16" s="103"/>
    </row>
    <row r="17" spans="1:22" ht="12.75">
      <c r="A17" s="91" t="s">
        <v>173</v>
      </c>
      <c r="B17" s="91" t="s">
        <v>98</v>
      </c>
      <c r="D17" s="91" t="s">
        <v>27</v>
      </c>
      <c r="E17" s="88"/>
      <c r="F17" s="89">
        <v>0.0327</v>
      </c>
      <c r="G17" s="89" t="s">
        <v>165</v>
      </c>
      <c r="H17" s="103">
        <v>0.00168</v>
      </c>
      <c r="I17" s="89" t="s">
        <v>165</v>
      </c>
      <c r="J17" s="103">
        <v>0.00172</v>
      </c>
      <c r="K17" s="88" t="s">
        <v>165</v>
      </c>
      <c r="L17" s="102">
        <v>0.00022046</v>
      </c>
      <c r="M17" s="102" t="s">
        <v>165</v>
      </c>
      <c r="N17" s="102">
        <v>0.00022046</v>
      </c>
      <c r="O17" s="102" t="s">
        <v>165</v>
      </c>
      <c r="P17" s="102">
        <v>0.00022046</v>
      </c>
      <c r="Q17" s="88"/>
      <c r="R17" s="103">
        <v>0.08355434</v>
      </c>
      <c r="S17" s="103"/>
      <c r="T17" s="103">
        <v>0.14021256</v>
      </c>
      <c r="U17" s="103"/>
      <c r="V17" s="103">
        <v>0.10008884</v>
      </c>
    </row>
    <row r="18" spans="1:22" ht="12.75">
      <c r="A18" s="91" t="s">
        <v>173</v>
      </c>
      <c r="B18" s="91" t="s">
        <v>99</v>
      </c>
      <c r="D18" s="91" t="s">
        <v>27</v>
      </c>
      <c r="E18" s="88" t="s">
        <v>165</v>
      </c>
      <c r="F18" s="89">
        <v>0.0111</v>
      </c>
      <c r="G18" s="89" t="s">
        <v>165</v>
      </c>
      <c r="H18" s="103">
        <v>0.00097</v>
      </c>
      <c r="I18" s="89" t="s">
        <v>165</v>
      </c>
      <c r="J18" s="89">
        <v>0.0111</v>
      </c>
      <c r="K18" s="88"/>
      <c r="L18" s="103">
        <v>0.0341713</v>
      </c>
      <c r="M18" s="103"/>
      <c r="N18" s="103">
        <v>0.0617288</v>
      </c>
      <c r="O18" s="103"/>
      <c r="P18" s="103">
        <v>0.06150834</v>
      </c>
      <c r="Q18" s="88"/>
      <c r="R18" s="103">
        <v>1.2665427</v>
      </c>
      <c r="S18" s="103"/>
      <c r="T18" s="103">
        <v>1.6005396</v>
      </c>
      <c r="U18" s="103"/>
      <c r="V18" s="103">
        <v>1.64926126</v>
      </c>
    </row>
    <row r="19" spans="1:22" ht="12.75">
      <c r="A19" s="91" t="s">
        <v>173</v>
      </c>
      <c r="B19" s="91" t="s">
        <v>100</v>
      </c>
      <c r="D19" s="91" t="s">
        <v>27</v>
      </c>
      <c r="E19" s="88"/>
      <c r="F19" s="88">
        <v>1.05</v>
      </c>
      <c r="G19" s="88"/>
      <c r="H19" s="88">
        <v>1.21</v>
      </c>
      <c r="I19" s="88"/>
      <c r="J19" s="88">
        <v>1.09</v>
      </c>
      <c r="K19" s="88"/>
      <c r="L19" s="103">
        <v>0.15806982</v>
      </c>
      <c r="M19" s="103"/>
      <c r="N19" s="103">
        <v>0.87169884</v>
      </c>
      <c r="O19" s="103"/>
      <c r="P19" s="103">
        <v>0.87919448</v>
      </c>
      <c r="Q19" s="88"/>
      <c r="R19" s="103">
        <v>0.51278996</v>
      </c>
      <c r="S19" s="103"/>
      <c r="T19" s="103">
        <v>0.47112302</v>
      </c>
      <c r="U19" s="103"/>
      <c r="V19" s="103">
        <v>0.52403342</v>
      </c>
    </row>
    <row r="20" spans="1:22" ht="12.75">
      <c r="A20" s="91" t="s">
        <v>173</v>
      </c>
      <c r="B20" s="91" t="s">
        <v>180</v>
      </c>
      <c r="D20" s="91" t="s">
        <v>27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103">
        <v>0.51278996</v>
      </c>
      <c r="S20" s="103"/>
      <c r="T20" s="103">
        <v>0.47112302</v>
      </c>
      <c r="U20" s="103"/>
      <c r="V20" s="103">
        <v>0.52403342</v>
      </c>
    </row>
    <row r="21" spans="1:22" ht="12.75">
      <c r="A21" s="91" t="s">
        <v>173</v>
      </c>
      <c r="B21" s="91" t="s">
        <v>102</v>
      </c>
      <c r="D21" s="91" t="s">
        <v>27</v>
      </c>
      <c r="E21" s="88"/>
      <c r="F21" s="88">
        <v>0.374</v>
      </c>
      <c r="G21" s="88"/>
      <c r="H21" s="88">
        <v>0.685</v>
      </c>
      <c r="I21" s="88"/>
      <c r="J21" s="88">
        <v>0.406</v>
      </c>
      <c r="K21" s="88"/>
      <c r="L21" s="103">
        <v>0.17041558</v>
      </c>
      <c r="M21" s="103"/>
      <c r="N21" s="103">
        <v>1.93409558</v>
      </c>
      <c r="O21" s="103"/>
      <c r="P21" s="103">
        <v>0.34590174</v>
      </c>
      <c r="Q21" s="88"/>
      <c r="R21" s="89">
        <v>20.2305119</v>
      </c>
      <c r="S21" s="89"/>
      <c r="T21" s="89">
        <v>21.95032036</v>
      </c>
      <c r="U21" s="89"/>
      <c r="V21" s="89">
        <v>23.42299316</v>
      </c>
    </row>
    <row r="22" spans="1:22" ht="12.75">
      <c r="A22" s="91" t="s">
        <v>173</v>
      </c>
      <c r="B22" s="91" t="s">
        <v>103</v>
      </c>
      <c r="D22" s="91" t="s">
        <v>27</v>
      </c>
      <c r="E22" s="88" t="s">
        <v>165</v>
      </c>
      <c r="F22" s="102">
        <v>0.000992</v>
      </c>
      <c r="G22" s="102"/>
      <c r="H22" s="102">
        <v>0.00097</v>
      </c>
      <c r="I22" s="102"/>
      <c r="J22" s="102">
        <v>0.00148</v>
      </c>
      <c r="K22" s="102"/>
      <c r="L22" s="102">
        <v>0.00044092</v>
      </c>
      <c r="M22" s="102"/>
      <c r="N22" s="102">
        <v>0.00066138</v>
      </c>
      <c r="O22" s="102"/>
      <c r="P22" s="102">
        <v>0.00066138</v>
      </c>
      <c r="Q22" s="88"/>
      <c r="R22" s="88"/>
      <c r="S22" s="88"/>
      <c r="T22" s="88"/>
      <c r="U22" s="88"/>
      <c r="V22" s="88"/>
    </row>
    <row r="23" spans="1:22" ht="12.75">
      <c r="A23" s="91" t="s">
        <v>173</v>
      </c>
      <c r="B23" s="91" t="s">
        <v>106</v>
      </c>
      <c r="D23" s="91" t="s">
        <v>27</v>
      </c>
      <c r="E23" s="88" t="s">
        <v>165</v>
      </c>
      <c r="F23" s="102">
        <v>0.0172</v>
      </c>
      <c r="G23" s="102" t="s">
        <v>165</v>
      </c>
      <c r="H23" s="102">
        <v>0.0168</v>
      </c>
      <c r="I23" s="102" t="s">
        <v>165</v>
      </c>
      <c r="J23" s="102">
        <v>0.0172</v>
      </c>
      <c r="K23" s="102" t="s">
        <v>165</v>
      </c>
      <c r="L23" s="102">
        <v>0.00198414</v>
      </c>
      <c r="M23" s="102" t="s">
        <v>165</v>
      </c>
      <c r="N23" s="102">
        <v>0.0022046</v>
      </c>
      <c r="O23" s="102" t="s">
        <v>165</v>
      </c>
      <c r="P23" s="102">
        <v>0.00198414</v>
      </c>
      <c r="Q23" s="88"/>
      <c r="R23" s="88"/>
      <c r="S23" s="88"/>
      <c r="T23" s="88"/>
      <c r="U23" s="88"/>
      <c r="V23" s="88"/>
    </row>
    <row r="24" spans="1:22" ht="12.75">
      <c r="A24" s="91" t="s">
        <v>173</v>
      </c>
      <c r="B24" s="91" t="s">
        <v>107</v>
      </c>
      <c r="D24" s="91" t="s">
        <v>27</v>
      </c>
      <c r="E24" s="88"/>
      <c r="F24" s="102">
        <v>0.0303</v>
      </c>
      <c r="G24" s="102" t="s">
        <v>165</v>
      </c>
      <c r="H24" s="102">
        <v>0.00961</v>
      </c>
      <c r="I24" s="102"/>
      <c r="J24" s="102">
        <v>0.0305</v>
      </c>
      <c r="K24" s="102" t="s">
        <v>165</v>
      </c>
      <c r="L24" s="102">
        <v>0.0011023</v>
      </c>
      <c r="M24" s="102" t="s">
        <v>165</v>
      </c>
      <c r="N24" s="102">
        <v>0.0011023</v>
      </c>
      <c r="O24" s="102" t="s">
        <v>165</v>
      </c>
      <c r="P24" s="102">
        <v>0.0011023</v>
      </c>
      <c r="Q24" s="88"/>
      <c r="R24" s="88"/>
      <c r="S24" s="88"/>
      <c r="T24" s="88"/>
      <c r="U24" s="88"/>
      <c r="V24" s="88"/>
    </row>
    <row r="26" spans="2:22" ht="12.75">
      <c r="B26" s="8" t="s">
        <v>36</v>
      </c>
      <c r="C26" s="8"/>
      <c r="D26" s="8" t="s">
        <v>17</v>
      </c>
      <c r="F26" s="91">
        <f>'emiss 2'!$G$36</f>
        <v>23400</v>
      </c>
      <c r="H26" s="91">
        <f>'emiss 2'!$I$36</f>
        <v>19900</v>
      </c>
      <c r="J26" s="91">
        <f>'emiss 2'!$K$36</f>
        <v>20100</v>
      </c>
      <c r="L26" s="91">
        <f>'emiss 2'!$G$36</f>
        <v>23400</v>
      </c>
      <c r="N26" s="91">
        <f>'emiss 2'!$I$36</f>
        <v>19900</v>
      </c>
      <c r="P26" s="91">
        <f>'emiss 2'!$K$36</f>
        <v>20100</v>
      </c>
      <c r="R26" s="91">
        <f>'emiss 2'!$G$36</f>
        <v>23400</v>
      </c>
      <c r="T26" s="91">
        <f>'emiss 2'!$I$36</f>
        <v>19900</v>
      </c>
      <c r="V26" s="91">
        <f>'emiss 2'!$K$36</f>
        <v>20100</v>
      </c>
    </row>
    <row r="27" spans="2:22" ht="12.75">
      <c r="B27" s="8" t="s">
        <v>37</v>
      </c>
      <c r="C27" s="8"/>
      <c r="D27" s="8" t="s">
        <v>18</v>
      </c>
      <c r="F27" s="91">
        <f>'emiss 2'!$G$37</f>
        <v>15.1</v>
      </c>
      <c r="H27" s="91">
        <f>'emiss 2'!$I$37</f>
        <v>14.7</v>
      </c>
      <c r="J27" s="91">
        <f>'emiss 2'!$K$37</f>
        <v>14.6</v>
      </c>
      <c r="L27" s="91">
        <f>'emiss 2'!$G$37</f>
        <v>15.1</v>
      </c>
      <c r="N27" s="91">
        <f>'emiss 2'!$I$37</f>
        <v>14.7</v>
      </c>
      <c r="P27" s="91">
        <f>'emiss 2'!$K$37</f>
        <v>14.6</v>
      </c>
      <c r="R27" s="91">
        <f>'emiss 2'!$G$37</f>
        <v>15.1</v>
      </c>
      <c r="T27" s="91">
        <f>'emiss 2'!$I$37</f>
        <v>14.7</v>
      </c>
      <c r="V27" s="91">
        <f>'emiss 2'!$K$37</f>
        <v>14.6</v>
      </c>
    </row>
    <row r="29" ht="12.75">
      <c r="B29" s="97" t="s">
        <v>44</v>
      </c>
    </row>
    <row r="30" spans="2:30" ht="12.75">
      <c r="B30" s="91" t="s">
        <v>23</v>
      </c>
      <c r="D30" s="91" t="s">
        <v>33</v>
      </c>
      <c r="E30" s="88">
        <v>100</v>
      </c>
      <c r="F30" s="90">
        <f>F13*454*1000000*14/(21-F$27)/0.0283/60/F$26/2</f>
        <v>133531.75852427215</v>
      </c>
      <c r="G30" s="88">
        <v>100</v>
      </c>
      <c r="H30" s="90">
        <f>H13*454*1000000*14/(21-H$27)/0.0283/60/H$26/2</f>
        <v>158244.4351057736</v>
      </c>
      <c r="I30" s="88">
        <v>100</v>
      </c>
      <c r="J30" s="90">
        <f>J13*454*1000000*14/(21-J$27)/0.0283/60/J$26/2</f>
        <v>144473.90916442522</v>
      </c>
      <c r="K30" s="88"/>
      <c r="L30" s="90">
        <f aca="true" t="shared" si="0" ref="L30:L41">L13*454*1000000*14/(21-L$27)/0.0283/60/L$26</f>
        <v>1981000.070045304</v>
      </c>
      <c r="M30" s="88"/>
      <c r="N30" s="90">
        <f aca="true" t="shared" si="1" ref="N30:N41">N13*454*1000000*14/(21-N$27)/0.0283/60/N$26</f>
        <v>2205006.199006023</v>
      </c>
      <c r="O30" s="88"/>
      <c r="P30" s="90">
        <f aca="true" t="shared" si="2" ref="P30:P41">P13*454*1000000*14/(21-P$27)/0.0283/60/P$26</f>
        <v>2180829.2472759876</v>
      </c>
      <c r="R30" s="90">
        <f aca="true" t="shared" si="3" ref="R30:R41">R13*454*1000000*14/(21-R$27)/0.0283/60/R$26</f>
        <v>0</v>
      </c>
      <c r="T30" s="90">
        <f aca="true" t="shared" si="4" ref="T30:T41">T13*454*1000000*14/(21-T$27)/0.0283/60/T$26</f>
        <v>0</v>
      </c>
      <c r="V30" s="90"/>
      <c r="W30" s="91">
        <f>SUM((F30*E30/100),(L30*K30/100))/X30*100</f>
        <v>6.314956186523936</v>
      </c>
      <c r="X30" s="90">
        <f>F30+L30+R30</f>
        <v>2114531.828569576</v>
      </c>
      <c r="Y30" s="91">
        <f>SUM((H30*G30/100),(N30*M30/100))/Z30*100</f>
        <v>6.696049620028903</v>
      </c>
      <c r="Z30" s="90">
        <f>H30+N30+T30</f>
        <v>2363250.6341117965</v>
      </c>
      <c r="AA30" s="91">
        <f>SUM((J30*I30/100),(P30*O30/100))/AB30*100</f>
        <v>6.213121448886119</v>
      </c>
      <c r="AB30" s="90">
        <f>J30+P30+V30</f>
        <v>2325303.1564404126</v>
      </c>
      <c r="AC30" s="90">
        <f>SUM((AB30*AA30/100),(Z30*Y30/100),(X30*W30/100))/AD30*100/3</f>
        <v>6.41253288902142</v>
      </c>
      <c r="AD30" s="90">
        <f>AVERAGE(X30,Z30,AB30)</f>
        <v>2267695.2063739286</v>
      </c>
    </row>
    <row r="31" spans="2:30" ht="12.75">
      <c r="B31" s="91" t="s">
        <v>96</v>
      </c>
      <c r="D31" s="91" t="s">
        <v>33</v>
      </c>
      <c r="E31" s="88">
        <v>100</v>
      </c>
      <c r="F31" s="90">
        <f aca="true" t="shared" si="5" ref="F31:H41">F14*454*1000000*14/(21-F$27)/0.0283/60/F$26</f>
        <v>260.5563856686813</v>
      </c>
      <c r="G31" s="88">
        <v>100</v>
      </c>
      <c r="H31" s="90">
        <f t="shared" si="5"/>
        <v>279.76421829077333</v>
      </c>
      <c r="I31" s="88">
        <v>100</v>
      </c>
      <c r="J31" s="90">
        <f aca="true" t="shared" si="6" ref="J31:J41">J14*454*1000000*14/(21-J$27)/0.0283/60/J$26</f>
        <v>279.6363075669942</v>
      </c>
      <c r="K31" s="88"/>
      <c r="L31" s="90">
        <f t="shared" si="0"/>
        <v>890.6240225695218</v>
      </c>
      <c r="M31" s="88"/>
      <c r="N31" s="90">
        <f t="shared" si="1"/>
        <v>8063.404905695866</v>
      </c>
      <c r="O31" s="88"/>
      <c r="P31" s="90">
        <f t="shared" si="2"/>
        <v>9475.02729249805</v>
      </c>
      <c r="R31" s="90">
        <f t="shared" si="3"/>
        <v>0</v>
      </c>
      <c r="T31" s="90">
        <f t="shared" si="4"/>
        <v>0</v>
      </c>
      <c r="V31" s="90"/>
      <c r="W31" s="91">
        <f>SUM((F31*E31/100),(L31*K31/100))/X31*100</f>
        <v>22.633844687075907</v>
      </c>
      <c r="X31" s="90">
        <f aca="true" t="shared" si="7" ref="X31:AB43">F31+L31+R31</f>
        <v>1151.1804082382032</v>
      </c>
      <c r="Y31" s="91">
        <f>SUM((H31*G31/100),(N31*M31/100))/Z31*100</f>
        <v>3.3532128395485867</v>
      </c>
      <c r="Z31" s="90">
        <f t="shared" si="7"/>
        <v>8343.16912398664</v>
      </c>
      <c r="AA31" s="91">
        <f>SUM((J31*I31/100),(P31*O31/100))/AB31*100</f>
        <v>2.866693502020199</v>
      </c>
      <c r="AB31" s="90">
        <f t="shared" si="7"/>
        <v>9754.663600065045</v>
      </c>
      <c r="AC31" s="90">
        <f>SUM((AB31*AA31/100),(Z31*Y31/100),(X31*W31/100))/AD31*100/3</f>
        <v>4.259734802461043</v>
      </c>
      <c r="AD31" s="90">
        <f aca="true" t="shared" si="8" ref="AD31:AD43">AVERAGE(X31,Z31,AB31)</f>
        <v>6416.337710763296</v>
      </c>
    </row>
    <row r="32" spans="2:30" ht="12.75">
      <c r="B32" s="91" t="s">
        <v>95</v>
      </c>
      <c r="D32" s="91" t="s">
        <v>33</v>
      </c>
      <c r="E32" s="88"/>
      <c r="F32" s="90">
        <f t="shared" si="5"/>
        <v>9489.566595633552</v>
      </c>
      <c r="G32" s="88"/>
      <c r="H32" s="90">
        <f t="shared" si="5"/>
        <v>10181.387239824302</v>
      </c>
      <c r="I32" s="88"/>
      <c r="J32" s="90">
        <f t="shared" si="6"/>
        <v>14840.22027670833</v>
      </c>
      <c r="K32" s="88"/>
      <c r="L32" s="90">
        <f t="shared" si="0"/>
        <v>167.36558813386984</v>
      </c>
      <c r="M32" s="88"/>
      <c r="N32" s="90">
        <f t="shared" si="1"/>
        <v>230.38299730559615</v>
      </c>
      <c r="O32" s="88"/>
      <c r="P32" s="90">
        <f t="shared" si="2"/>
        <v>211.6966152013783</v>
      </c>
      <c r="R32" s="90">
        <f t="shared" si="3"/>
        <v>25194.498356580763</v>
      </c>
      <c r="T32" s="90">
        <f t="shared" si="4"/>
        <v>26948.22831340316</v>
      </c>
      <c r="V32" s="90">
        <f aca="true" t="shared" si="9" ref="V32:V41">V15*454*1000000*14/(21-V$27)/0.0283/60/V$26</f>
        <v>24980.20059376263</v>
      </c>
      <c r="X32" s="90">
        <f t="shared" si="7"/>
        <v>34851.430540348185</v>
      </c>
      <c r="Z32" s="90">
        <f t="shared" si="7"/>
        <v>37359.998550533055</v>
      </c>
      <c r="AB32" s="90">
        <f t="shared" si="7"/>
        <v>40032.11748567234</v>
      </c>
      <c r="AC32" s="90"/>
      <c r="AD32" s="90">
        <f t="shared" si="8"/>
        <v>37414.51552551786</v>
      </c>
    </row>
    <row r="33" spans="2:30" ht="12.75">
      <c r="B33" s="91" t="s">
        <v>97</v>
      </c>
      <c r="D33" s="91" t="s">
        <v>33</v>
      </c>
      <c r="E33" s="88"/>
      <c r="F33" s="90">
        <f t="shared" si="5"/>
        <v>13502.297613215742</v>
      </c>
      <c r="G33" s="88"/>
      <c r="H33" s="90">
        <f t="shared" si="5"/>
        <v>16481.30720346925</v>
      </c>
      <c r="I33" s="88"/>
      <c r="J33" s="90">
        <f t="shared" si="6"/>
        <v>14258.250854092317</v>
      </c>
      <c r="K33" s="88"/>
      <c r="L33" s="90">
        <f t="shared" si="0"/>
        <v>47.818739466819956</v>
      </c>
      <c r="M33" s="88"/>
      <c r="N33" s="90">
        <f t="shared" si="1"/>
        <v>19878.76148179715</v>
      </c>
      <c r="O33" s="88"/>
      <c r="P33" s="90">
        <f t="shared" si="2"/>
        <v>17699.120040624326</v>
      </c>
      <c r="R33" s="90">
        <f t="shared" si="3"/>
        <v>0</v>
      </c>
      <c r="T33" s="90">
        <f t="shared" si="4"/>
        <v>0</v>
      </c>
      <c r="V33" s="90"/>
      <c r="X33" s="90">
        <f t="shared" si="7"/>
        <v>13550.116352682562</v>
      </c>
      <c r="Z33" s="90">
        <f t="shared" si="7"/>
        <v>36360.0686852664</v>
      </c>
      <c r="AB33" s="90">
        <f t="shared" si="7"/>
        <v>31957.370894716645</v>
      </c>
      <c r="AC33" s="90"/>
      <c r="AD33" s="90">
        <f t="shared" si="8"/>
        <v>27289.185310888537</v>
      </c>
    </row>
    <row r="34" spans="2:30" ht="12.75">
      <c r="B34" s="91" t="s">
        <v>98</v>
      </c>
      <c r="D34" s="91" t="s">
        <v>33</v>
      </c>
      <c r="E34" s="88"/>
      <c r="F34" s="90">
        <f t="shared" si="5"/>
        <v>886.5966505063348</v>
      </c>
      <c r="G34" s="88"/>
      <c r="H34" s="90">
        <f t="shared" si="5"/>
        <v>50.160500184471644</v>
      </c>
      <c r="I34" s="88"/>
      <c r="J34" s="90">
        <f t="shared" si="6"/>
        <v>50.04937034497712</v>
      </c>
      <c r="K34" s="88">
        <v>100</v>
      </c>
      <c r="L34" s="90">
        <f t="shared" si="0"/>
        <v>5.9773424333524945</v>
      </c>
      <c r="M34" s="88">
        <v>100</v>
      </c>
      <c r="N34" s="90">
        <f t="shared" si="1"/>
        <v>6.582371351588461</v>
      </c>
      <c r="O34" s="88">
        <v>100</v>
      </c>
      <c r="P34" s="90">
        <f t="shared" si="2"/>
        <v>6.415048945496311</v>
      </c>
      <c r="R34" s="90">
        <f t="shared" si="3"/>
        <v>2265.412782240596</v>
      </c>
      <c r="T34" s="90">
        <f t="shared" si="4"/>
        <v>4186.388179610262</v>
      </c>
      <c r="V34" s="90">
        <f t="shared" si="9"/>
        <v>2912.432221255325</v>
      </c>
      <c r="W34" s="91">
        <f>SUM((F34*E34/100),(L34*K34/100))/X34*100</f>
        <v>0.18927699382183952</v>
      </c>
      <c r="X34" s="90">
        <f t="shared" si="7"/>
        <v>3157.986775180283</v>
      </c>
      <c r="Z34" s="90">
        <f t="shared" si="7"/>
        <v>4243.1310511463225</v>
      </c>
      <c r="AA34" s="91">
        <f>SUM((J34*I34/100),(P34*O34/100))/AB34*100</f>
        <v>0.2160751862455197</v>
      </c>
      <c r="AB34" s="90">
        <f t="shared" si="7"/>
        <v>2968.8966405457986</v>
      </c>
      <c r="AC34" s="90"/>
      <c r="AD34" s="90">
        <f t="shared" si="8"/>
        <v>3456.6714889574682</v>
      </c>
    </row>
    <row r="35" spans="2:30" ht="12.75">
      <c r="B35" s="91" t="s">
        <v>99</v>
      </c>
      <c r="D35" s="91" t="s">
        <v>33</v>
      </c>
      <c r="E35" s="88">
        <v>100</v>
      </c>
      <c r="F35" s="90">
        <f t="shared" si="5"/>
        <v>300.95482631866423</v>
      </c>
      <c r="G35" s="88">
        <v>100</v>
      </c>
      <c r="H35" s="90">
        <f t="shared" si="5"/>
        <v>28.961717368415172</v>
      </c>
      <c r="I35" s="88">
        <v>100</v>
      </c>
      <c r="J35" s="90">
        <f t="shared" si="6"/>
        <v>322.9930295518873</v>
      </c>
      <c r="K35" s="88"/>
      <c r="L35" s="90">
        <f t="shared" si="0"/>
        <v>926.4880771696367</v>
      </c>
      <c r="M35" s="88"/>
      <c r="N35" s="90">
        <f t="shared" si="1"/>
        <v>1843.0639784447692</v>
      </c>
      <c r="O35" s="88"/>
      <c r="P35" s="90">
        <f t="shared" si="2"/>
        <v>1789.7986557934712</v>
      </c>
      <c r="R35" s="90">
        <f t="shared" si="3"/>
        <v>34339.83227961008</v>
      </c>
      <c r="T35" s="90">
        <f t="shared" si="4"/>
        <v>47788.01601253223</v>
      </c>
      <c r="V35" s="90">
        <f t="shared" si="9"/>
        <v>47990.9811612579</v>
      </c>
      <c r="W35" s="91">
        <f>SUM((F35*E35/100),(L35*K35/100))/X35*100</f>
        <v>0.8461565435343735</v>
      </c>
      <c r="X35" s="90">
        <f t="shared" si="7"/>
        <v>35567.275183098376</v>
      </c>
      <c r="Z35" s="90">
        <f t="shared" si="7"/>
        <v>49660.041708345416</v>
      </c>
      <c r="AA35" s="91">
        <f>SUM((J35*I35/100),(P35*O35/100))/AB35*100</f>
        <v>0.6446481196950108</v>
      </c>
      <c r="AB35" s="90">
        <f t="shared" si="7"/>
        <v>50103.77284660326</v>
      </c>
      <c r="AC35" s="90"/>
      <c r="AD35" s="90">
        <f t="shared" si="8"/>
        <v>45110.36324601568</v>
      </c>
    </row>
    <row r="36" spans="2:30" ht="12.75">
      <c r="B36" s="91" t="s">
        <v>100</v>
      </c>
      <c r="D36" s="91" t="s">
        <v>33</v>
      </c>
      <c r="E36" s="88"/>
      <c r="F36" s="90">
        <f t="shared" si="5"/>
        <v>28468.699786900663</v>
      </c>
      <c r="G36" s="88"/>
      <c r="H36" s="90">
        <f t="shared" si="5"/>
        <v>36127.50310905397</v>
      </c>
      <c r="I36" s="88"/>
      <c r="J36" s="90">
        <f t="shared" si="6"/>
        <v>31717.333532572706</v>
      </c>
      <c r="K36" s="88"/>
      <c r="L36" s="90">
        <f t="shared" si="0"/>
        <v>4285.754524713739</v>
      </c>
      <c r="M36" s="88"/>
      <c r="N36" s="90">
        <f t="shared" si="1"/>
        <v>26026.69632418077</v>
      </c>
      <c r="O36" s="88"/>
      <c r="P36" s="90">
        <f t="shared" si="2"/>
        <v>25583.215194639284</v>
      </c>
      <c r="R36" s="90">
        <f t="shared" si="3"/>
        <v>13903.298499977904</v>
      </c>
      <c r="T36" s="90">
        <f t="shared" si="4"/>
        <v>14066.527578344543</v>
      </c>
      <c r="V36" s="90">
        <f t="shared" si="9"/>
        <v>15248.571343444728</v>
      </c>
      <c r="X36" s="90">
        <f t="shared" si="7"/>
        <v>46657.752811592305</v>
      </c>
      <c r="Z36" s="90">
        <f t="shared" si="7"/>
        <v>76220.72701157928</v>
      </c>
      <c r="AB36" s="90">
        <f t="shared" si="7"/>
        <v>72549.12007065672</v>
      </c>
      <c r="AC36" s="90"/>
      <c r="AD36" s="90">
        <f t="shared" si="8"/>
        <v>65142.53329794277</v>
      </c>
    </row>
    <row r="37" spans="2:30" ht="12.75">
      <c r="B37" s="91" t="s">
        <v>180</v>
      </c>
      <c r="D37" s="91" t="s">
        <v>33</v>
      </c>
      <c r="E37" s="88"/>
      <c r="F37" s="90">
        <f t="shared" si="5"/>
        <v>0</v>
      </c>
      <c r="G37" s="88"/>
      <c r="H37" s="90">
        <f t="shared" si="5"/>
        <v>0</v>
      </c>
      <c r="I37" s="88"/>
      <c r="J37" s="90">
        <f t="shared" si="6"/>
        <v>0</v>
      </c>
      <c r="K37" s="88"/>
      <c r="L37" s="90">
        <f t="shared" si="0"/>
        <v>0</v>
      </c>
      <c r="M37" s="88"/>
      <c r="N37" s="90">
        <f t="shared" si="1"/>
        <v>0</v>
      </c>
      <c r="O37" s="88"/>
      <c r="P37" s="90">
        <f t="shared" si="2"/>
        <v>0</v>
      </c>
      <c r="R37" s="90">
        <f t="shared" si="3"/>
        <v>13903.298499977904</v>
      </c>
      <c r="T37" s="90">
        <f t="shared" si="4"/>
        <v>14066.527578344543</v>
      </c>
      <c r="V37" s="90">
        <f t="shared" si="9"/>
        <v>15248.571343444728</v>
      </c>
      <c r="X37" s="90">
        <f t="shared" si="7"/>
        <v>13903.298499977904</v>
      </c>
      <c r="Z37" s="90">
        <f t="shared" si="7"/>
        <v>14066.527578344543</v>
      </c>
      <c r="AB37" s="90">
        <f t="shared" si="7"/>
        <v>15248.571343444728</v>
      </c>
      <c r="AC37" s="90"/>
      <c r="AD37" s="90">
        <f t="shared" si="8"/>
        <v>14406.132473922393</v>
      </c>
    </row>
    <row r="38" spans="2:30" ht="12.75">
      <c r="B38" s="91" t="s">
        <v>102</v>
      </c>
      <c r="D38" s="91" t="s">
        <v>33</v>
      </c>
      <c r="E38" s="88"/>
      <c r="F38" s="90">
        <f t="shared" si="5"/>
        <v>10140.279733619856</v>
      </c>
      <c r="G38" s="88"/>
      <c r="H38" s="90">
        <f t="shared" si="5"/>
        <v>20452.346801406587</v>
      </c>
      <c r="I38" s="88"/>
      <c r="J38" s="90">
        <f t="shared" si="6"/>
        <v>11813.979279105064</v>
      </c>
      <c r="K38" s="88"/>
      <c r="L38" s="90">
        <f t="shared" si="0"/>
        <v>4620.485700981478</v>
      </c>
      <c r="M38" s="88"/>
      <c r="N38" s="90">
        <f t="shared" si="1"/>
        <v>57747.14386748558</v>
      </c>
      <c r="O38" s="88"/>
      <c r="P38" s="90">
        <f t="shared" si="2"/>
        <v>10065.21179548371</v>
      </c>
      <c r="R38" s="90">
        <f t="shared" si="3"/>
        <v>548510.8283965918</v>
      </c>
      <c r="T38" s="90">
        <f t="shared" si="4"/>
        <v>655380.3859922567</v>
      </c>
      <c r="V38" s="90">
        <f t="shared" si="9"/>
        <v>681573.290263201</v>
      </c>
      <c r="X38" s="90">
        <f t="shared" si="7"/>
        <v>563271.5938311932</v>
      </c>
      <c r="Z38" s="90">
        <f t="shared" si="7"/>
        <v>733579.8766611489</v>
      </c>
      <c r="AB38" s="90">
        <f t="shared" si="7"/>
        <v>703452.4813377898</v>
      </c>
      <c r="AC38" s="90"/>
      <c r="AD38" s="90">
        <f t="shared" si="8"/>
        <v>666767.9839433773</v>
      </c>
    </row>
    <row r="39" spans="2:30" ht="12.75">
      <c r="B39" s="91" t="s">
        <v>103</v>
      </c>
      <c r="D39" s="91" t="s">
        <v>33</v>
      </c>
      <c r="E39" s="88">
        <v>100</v>
      </c>
      <c r="F39" s="90">
        <f>F22*454*1000000*14/(21-F$27)/0.0283/60/F$26/2</f>
        <v>13.448071518383555</v>
      </c>
      <c r="G39" s="88">
        <v>100</v>
      </c>
      <c r="H39" s="90">
        <f t="shared" si="5"/>
        <v>28.961717368415172</v>
      </c>
      <c r="I39" s="88">
        <v>100</v>
      </c>
      <c r="J39" s="90">
        <f t="shared" si="6"/>
        <v>43.065737273584965</v>
      </c>
      <c r="K39" s="88"/>
      <c r="L39" s="90">
        <f t="shared" si="0"/>
        <v>11.954684866704989</v>
      </c>
      <c r="M39" s="88"/>
      <c r="N39" s="90">
        <f t="shared" si="1"/>
        <v>19.747114054765387</v>
      </c>
      <c r="O39" s="88"/>
      <c r="P39" s="90">
        <f t="shared" si="2"/>
        <v>19.24514683648893</v>
      </c>
      <c r="R39" s="90">
        <f t="shared" si="3"/>
        <v>0</v>
      </c>
      <c r="T39" s="90">
        <f t="shared" si="4"/>
        <v>0</v>
      </c>
      <c r="V39" s="90">
        <f t="shared" si="9"/>
        <v>0</v>
      </c>
      <c r="W39" s="91">
        <f>SUM((F39*E39/100),(L39*K39/100))/X39*100</f>
        <v>52.939418520257874</v>
      </c>
      <c r="X39" s="90">
        <f t="shared" si="7"/>
        <v>25.402756385088544</v>
      </c>
      <c r="Y39" s="91">
        <f>SUM((H39*G39/100),(N39*M39/100))/Z39*100</f>
        <v>59.45886304846204</v>
      </c>
      <c r="Z39" s="90">
        <f t="shared" si="7"/>
        <v>48.708831423180555</v>
      </c>
      <c r="AA39" s="91">
        <f>SUM((J39*I39/100),(P39*O39/100))/AB39*100</f>
        <v>69.11430946399051</v>
      </c>
      <c r="AB39" s="90">
        <f t="shared" si="7"/>
        <v>62.3108841100739</v>
      </c>
      <c r="AC39" s="90">
        <f>SUM((AB39*AA39/100),(Z39*Y39/100),(X39*W39/100))/AD39*100/3</f>
        <v>62.655019336950524</v>
      </c>
      <c r="AD39" s="90">
        <f t="shared" si="8"/>
        <v>45.47415730611433</v>
      </c>
    </row>
    <row r="40" spans="2:30" ht="12.75">
      <c r="B40" s="91" t="s">
        <v>106</v>
      </c>
      <c r="D40" s="91" t="s">
        <v>33</v>
      </c>
      <c r="E40" s="88">
        <v>100</v>
      </c>
      <c r="F40" s="90">
        <f t="shared" si="5"/>
        <v>466.344415556849</v>
      </c>
      <c r="G40" s="88">
        <v>100</v>
      </c>
      <c r="H40" s="90">
        <f t="shared" si="5"/>
        <v>501.6050018447162</v>
      </c>
      <c r="I40" s="88">
        <v>100</v>
      </c>
      <c r="J40" s="90">
        <f t="shared" si="6"/>
        <v>500.4937034497712</v>
      </c>
      <c r="K40" s="88">
        <v>100</v>
      </c>
      <c r="L40" s="90">
        <f t="shared" si="0"/>
        <v>53.79608190017246</v>
      </c>
      <c r="M40" s="88">
        <v>100</v>
      </c>
      <c r="N40" s="90">
        <f t="shared" si="1"/>
        <v>65.8237135158846</v>
      </c>
      <c r="O40" s="88">
        <v>100</v>
      </c>
      <c r="P40" s="90">
        <f t="shared" si="2"/>
        <v>57.7354405094668</v>
      </c>
      <c r="R40" s="90">
        <f t="shared" si="3"/>
        <v>0</v>
      </c>
      <c r="T40" s="90">
        <f t="shared" si="4"/>
        <v>0</v>
      </c>
      <c r="V40" s="90">
        <f t="shared" si="9"/>
        <v>0</v>
      </c>
      <c r="W40" s="91">
        <f>SUM((F40*E40/100),(L40*K40/100))/X40*100</f>
        <v>99.99999999999997</v>
      </c>
      <c r="X40" s="90">
        <f t="shared" si="7"/>
        <v>520.1404974570215</v>
      </c>
      <c r="Y40" s="91">
        <f>SUM((H40*G40/100),(N40*M40/100))/Z40*100</f>
        <v>100</v>
      </c>
      <c r="Z40" s="90">
        <f t="shared" si="7"/>
        <v>567.4287153606008</v>
      </c>
      <c r="AA40" s="91">
        <f>SUM((J40*I40/100),(P40*O40/100))/AB40*100</f>
        <v>100</v>
      </c>
      <c r="AB40" s="90">
        <f t="shared" si="7"/>
        <v>558.229143959238</v>
      </c>
      <c r="AC40" s="90">
        <f>SUM((AB40*AA40/100),(Z40*Y40/100),(X40*W40/100))/AD40*100/3</f>
        <v>100</v>
      </c>
      <c r="AD40" s="90">
        <f t="shared" si="8"/>
        <v>548.5994522589534</v>
      </c>
    </row>
    <row r="41" spans="2:30" ht="12.75">
      <c r="B41" s="91" t="s">
        <v>107</v>
      </c>
      <c r="D41" s="91" t="s">
        <v>33</v>
      </c>
      <c r="E41" s="88"/>
      <c r="F41" s="90">
        <f t="shared" si="5"/>
        <v>821.5253367077048</v>
      </c>
      <c r="G41" s="88"/>
      <c r="H41" s="90">
        <f t="shared" si="5"/>
        <v>286.9300040314121</v>
      </c>
      <c r="I41" s="88"/>
      <c r="J41" s="90">
        <f t="shared" si="6"/>
        <v>887.5033694894198</v>
      </c>
      <c r="K41" s="88">
        <v>100</v>
      </c>
      <c r="L41" s="90">
        <f t="shared" si="0"/>
        <v>29.886712166762475</v>
      </c>
      <c r="M41" s="88">
        <v>100</v>
      </c>
      <c r="N41" s="90">
        <f t="shared" si="1"/>
        <v>32.9118567579423</v>
      </c>
      <c r="O41" s="88">
        <v>100</v>
      </c>
      <c r="P41" s="90">
        <f t="shared" si="2"/>
        <v>32.07524472748156</v>
      </c>
      <c r="R41" s="90">
        <f t="shared" si="3"/>
        <v>0</v>
      </c>
      <c r="T41" s="90">
        <f t="shared" si="4"/>
        <v>0</v>
      </c>
      <c r="V41" s="90">
        <f t="shared" si="9"/>
        <v>0</v>
      </c>
      <c r="W41" s="91">
        <f>SUM((F41*E41/100),(L41*K41/100))/X41*100</f>
        <v>3.5102524337389305</v>
      </c>
      <c r="X41" s="90">
        <f t="shared" si="7"/>
        <v>851.4120488744672</v>
      </c>
      <c r="Y41" s="91">
        <f>SUM((H41*G41/100),(N41*M41/100))/Z41*100</f>
        <v>10.290040420824658</v>
      </c>
      <c r="Z41" s="90">
        <f t="shared" si="7"/>
        <v>319.8418607893544</v>
      </c>
      <c r="AA41" s="91">
        <f>SUM((J41*I41/100),(P41*O41/100))/AB41*100</f>
        <v>3.488037263110597</v>
      </c>
      <c r="AB41" s="90">
        <f t="shared" si="7"/>
        <v>919.5786142169013</v>
      </c>
      <c r="AC41" s="90">
        <f>SUM((AB41*AA41/100),(Z41*Y41/100),(X41*W41/100))/AD41*100/3</f>
        <v>4.537609424407378</v>
      </c>
      <c r="AD41" s="90">
        <f t="shared" si="8"/>
        <v>696.9441746269076</v>
      </c>
    </row>
    <row r="42" spans="2:30" ht="12.75">
      <c r="B42" s="91" t="s">
        <v>34</v>
      </c>
      <c r="D42" s="91" t="s">
        <v>33</v>
      </c>
      <c r="E42" s="91">
        <f>F35/F42*100</f>
        <v>2.88236821604778</v>
      </c>
      <c r="F42" s="90">
        <f>F35+F38</f>
        <v>10441.23455993852</v>
      </c>
      <c r="G42" s="91">
        <f>H35/H42*100</f>
        <v>0.14150564928481296</v>
      </c>
      <c r="H42" s="90">
        <f>H35/2+H38</f>
        <v>20466.827660090796</v>
      </c>
      <c r="I42" s="91">
        <f>J35/J42*100</f>
        <v>2.6971206414773423</v>
      </c>
      <c r="J42" s="90">
        <f>J35/2+J38</f>
        <v>11975.475793881007</v>
      </c>
      <c r="L42" s="90">
        <f>L35+L38</f>
        <v>5546.973778151114</v>
      </c>
      <c r="N42" s="90">
        <f>N35+N38</f>
        <v>59590.20784593035</v>
      </c>
      <c r="P42" s="90">
        <f>P35+P38</f>
        <v>11855.010451277181</v>
      </c>
      <c r="R42" s="90">
        <f>R35+R38</f>
        <v>582850.6606762019</v>
      </c>
      <c r="T42" s="90">
        <f>T35+T38</f>
        <v>703168.4020047889</v>
      </c>
      <c r="V42" s="90">
        <f>V35+V38</f>
        <v>729564.271424459</v>
      </c>
      <c r="X42" s="90">
        <f t="shared" si="7"/>
        <v>598838.8690142916</v>
      </c>
      <c r="Z42" s="90">
        <f t="shared" si="7"/>
        <v>783225.43751081</v>
      </c>
      <c r="AB42" s="90">
        <f t="shared" si="7"/>
        <v>753394.7576696172</v>
      </c>
      <c r="AC42" s="90"/>
      <c r="AD42" s="90">
        <f t="shared" si="8"/>
        <v>711819.6880649062</v>
      </c>
    </row>
    <row r="43" spans="2:30" ht="12.75">
      <c r="B43" s="91" t="s">
        <v>35</v>
      </c>
      <c r="D43" s="91" t="s">
        <v>33</v>
      </c>
      <c r="F43" s="90">
        <f>F32+F34+F36</f>
        <v>38844.86303304055</v>
      </c>
      <c r="H43" s="90">
        <f>H32+H34/2+H36</f>
        <v>46333.97059897051</v>
      </c>
      <c r="J43" s="90">
        <f>J32+J34/2+J36</f>
        <v>46582.578494453526</v>
      </c>
      <c r="L43" s="90">
        <f>L32+L34/2+L36</f>
        <v>4456.108784064285</v>
      </c>
      <c r="N43" s="90">
        <f>N32+N34/2+N36</f>
        <v>26260.370507162163</v>
      </c>
      <c r="P43" s="90">
        <f>P32+P34/2+P36</f>
        <v>25798.11933431341</v>
      </c>
      <c r="R43" s="90">
        <f>R32+R34+R36</f>
        <v>41363.209638799264</v>
      </c>
      <c r="T43" s="90">
        <f>T32+T34+T36</f>
        <v>45201.144071357965</v>
      </c>
      <c r="V43" s="90">
        <f>V32+V34+V36</f>
        <v>43141.204158462686</v>
      </c>
      <c r="X43" s="90">
        <f t="shared" si="7"/>
        <v>84664.1814559041</v>
      </c>
      <c r="Z43" s="90">
        <f t="shared" si="7"/>
        <v>117795.48517749064</v>
      </c>
      <c r="AB43" s="90">
        <f t="shared" si="7"/>
        <v>115521.90198722962</v>
      </c>
      <c r="AC43" s="90"/>
      <c r="AD43" s="90">
        <f t="shared" si="8"/>
        <v>105993.85620687479</v>
      </c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7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B1">
      <selection activeCell="B2" sqref="B2"/>
    </sheetView>
  </sheetViews>
  <sheetFormatPr defaultColWidth="9.140625" defaultRowHeight="12.75"/>
  <cols>
    <col min="1" max="1" width="3.7109375" style="0" hidden="1" customWidth="1"/>
    <col min="2" max="2" width="38.8515625" style="0" customWidth="1"/>
    <col min="3" max="3" width="6.421875" style="0" customWidth="1"/>
    <col min="4" max="4" width="3.140625" style="0" customWidth="1"/>
    <col min="6" max="6" width="8.57421875" style="0" customWidth="1"/>
  </cols>
  <sheetData>
    <row r="1" spans="2:6" ht="12.75">
      <c r="B1" s="2" t="s">
        <v>205</v>
      </c>
      <c r="C1" s="9"/>
      <c r="D1" s="9"/>
      <c r="E1" s="9"/>
      <c r="F1" s="9"/>
    </row>
    <row r="2" spans="2:8" ht="12.75">
      <c r="B2" s="9"/>
      <c r="C2" s="9" t="s">
        <v>12</v>
      </c>
      <c r="D2" s="9"/>
      <c r="E2" s="30" t="s">
        <v>170</v>
      </c>
      <c r="F2" s="30" t="s">
        <v>171</v>
      </c>
      <c r="G2" s="92" t="s">
        <v>172</v>
      </c>
      <c r="H2" s="92" t="s">
        <v>169</v>
      </c>
    </row>
    <row r="3" spans="2:6" ht="12.75">
      <c r="B3" s="9"/>
      <c r="C3" s="9"/>
      <c r="D3" s="9"/>
      <c r="E3" s="9"/>
      <c r="F3" s="9"/>
    </row>
    <row r="4" spans="1:6" ht="12.75">
      <c r="A4" t="s">
        <v>56</v>
      </c>
      <c r="B4" s="2" t="s">
        <v>150</v>
      </c>
      <c r="C4" s="9" t="s">
        <v>55</v>
      </c>
      <c r="D4" s="9"/>
      <c r="E4" s="9"/>
      <c r="F4" s="9"/>
    </row>
    <row r="5" spans="2:6" ht="12.75">
      <c r="B5" s="2"/>
      <c r="D5" s="9"/>
      <c r="E5" s="9"/>
      <c r="F5" s="9"/>
    </row>
    <row r="6" spans="2:8" ht="12.75">
      <c r="B6" s="9" t="s">
        <v>158</v>
      </c>
      <c r="C6" s="9" t="s">
        <v>19</v>
      </c>
      <c r="D6" s="9"/>
      <c r="E6">
        <v>1046</v>
      </c>
      <c r="F6">
        <v>1019</v>
      </c>
      <c r="G6">
        <v>1016</v>
      </c>
      <c r="H6">
        <f>AVERAGE(E6:G6)</f>
        <v>1027</v>
      </c>
    </row>
    <row r="7" spans="2:8" ht="12.75">
      <c r="B7" s="9" t="s">
        <v>122</v>
      </c>
      <c r="C7" s="9" t="s">
        <v>19</v>
      </c>
      <c r="D7" s="9"/>
      <c r="E7">
        <v>445</v>
      </c>
      <c r="F7">
        <v>440</v>
      </c>
      <c r="G7">
        <v>441</v>
      </c>
      <c r="H7">
        <f>AVERAGE(E7,F7,G7)</f>
        <v>442</v>
      </c>
    </row>
    <row r="8" spans="2:8" ht="12.75">
      <c r="B8" s="9" t="s">
        <v>157</v>
      </c>
      <c r="C8" s="9" t="s">
        <v>19</v>
      </c>
      <c r="D8" s="9"/>
      <c r="E8">
        <v>510</v>
      </c>
      <c r="F8">
        <v>511</v>
      </c>
      <c r="G8">
        <v>514</v>
      </c>
      <c r="H8" s="84">
        <f>AVERAGE(E8:G8)</f>
        <v>511.6666666666667</v>
      </c>
    </row>
    <row r="9" spans="2:4" ht="12.75">
      <c r="B9" s="9"/>
      <c r="C9" s="9"/>
      <c r="D9" s="9"/>
    </row>
    <row r="10" spans="1:4" ht="12.75">
      <c r="A10" t="s">
        <v>56</v>
      </c>
      <c r="B10" s="2" t="s">
        <v>151</v>
      </c>
      <c r="C10" s="9" t="s">
        <v>143</v>
      </c>
      <c r="D10" s="9"/>
    </row>
    <row r="11" spans="2:4" ht="12.75">
      <c r="B11" s="2"/>
      <c r="C11" s="52"/>
      <c r="D11" s="9"/>
    </row>
    <row r="12" spans="2:8" ht="12.75">
      <c r="B12" s="9" t="s">
        <v>147</v>
      </c>
      <c r="C12" s="9" t="s">
        <v>19</v>
      </c>
      <c r="D12" s="9"/>
      <c r="E12">
        <v>2468</v>
      </c>
      <c r="F12">
        <v>2524</v>
      </c>
      <c r="G12">
        <v>2500</v>
      </c>
      <c r="H12" s="84">
        <f>AVERAGE(E12:G12)</f>
        <v>2497.3333333333335</v>
      </c>
    </row>
    <row r="13" spans="2:8" ht="12.75">
      <c r="B13" s="9" t="s">
        <v>122</v>
      </c>
      <c r="C13" s="9" t="s">
        <v>19</v>
      </c>
      <c r="D13" s="9"/>
      <c r="E13">
        <v>442.8</v>
      </c>
      <c r="F13">
        <v>441.4</v>
      </c>
      <c r="G13">
        <v>441.4</v>
      </c>
      <c r="H13" s="84">
        <f>AVERAGE(E13,F13,G13)</f>
        <v>441.8666666666666</v>
      </c>
    </row>
    <row r="14" spans="2:8" ht="12.75">
      <c r="B14" s="9" t="s">
        <v>152</v>
      </c>
      <c r="C14" s="9" t="s">
        <v>113</v>
      </c>
      <c r="D14" s="9"/>
      <c r="E14">
        <v>3.6</v>
      </c>
      <c r="F14">
        <v>3.67</v>
      </c>
      <c r="G14">
        <v>3.69</v>
      </c>
      <c r="H14" s="69">
        <f>AVERAGE(E14:G14)</f>
        <v>3.653333333333333</v>
      </c>
    </row>
    <row r="15" spans="2:6" ht="12.75">
      <c r="B15" s="9"/>
      <c r="C15" s="9"/>
      <c r="D15" s="9"/>
      <c r="E15" s="9"/>
      <c r="F15" s="9"/>
    </row>
    <row r="16" spans="1:4" ht="12.75">
      <c r="A16" t="s">
        <v>56</v>
      </c>
      <c r="B16" s="2" t="s">
        <v>166</v>
      </c>
      <c r="C16" s="9" t="s">
        <v>143</v>
      </c>
      <c r="D16" s="9"/>
    </row>
    <row r="17" spans="2:4" ht="12.75">
      <c r="B17" s="2"/>
      <c r="C17" s="52"/>
      <c r="D17" s="9"/>
    </row>
    <row r="18" spans="2:8" ht="12.75">
      <c r="B18" s="9" t="s">
        <v>147</v>
      </c>
      <c r="C18" s="9" t="s">
        <v>19</v>
      </c>
      <c r="D18" s="9"/>
      <c r="E18">
        <v>2413</v>
      </c>
      <c r="G18">
        <v>2427</v>
      </c>
      <c r="H18">
        <f>AVERAGE(E18:G18)</f>
        <v>2420</v>
      </c>
    </row>
    <row r="19" spans="2:8" ht="12.75">
      <c r="B19" s="9" t="s">
        <v>122</v>
      </c>
      <c r="C19" s="9" t="s">
        <v>19</v>
      </c>
      <c r="D19" s="9"/>
      <c r="E19">
        <v>437.1</v>
      </c>
      <c r="G19">
        <v>440.7</v>
      </c>
      <c r="H19">
        <f>AVERAGE(E19,F19,G19)</f>
        <v>438.9</v>
      </c>
    </row>
    <row r="20" spans="2:8" ht="12.75">
      <c r="B20" s="9" t="s">
        <v>152</v>
      </c>
      <c r="C20" s="9" t="s">
        <v>113</v>
      </c>
      <c r="D20" s="9"/>
      <c r="E20">
        <v>4.63</v>
      </c>
      <c r="G20">
        <v>3.98</v>
      </c>
      <c r="H20" s="69">
        <f>AVERAGE(E20:G20)</f>
        <v>4.305</v>
      </c>
    </row>
    <row r="21" spans="2:5" ht="12.75">
      <c r="B21" s="9"/>
      <c r="C21" s="9"/>
      <c r="D21" s="9"/>
      <c r="E21" s="9"/>
    </row>
    <row r="22" spans="2:5" ht="14.25">
      <c r="B22" s="9"/>
      <c r="C22" s="9"/>
      <c r="D22" s="3"/>
      <c r="E22" s="9"/>
    </row>
    <row r="23" spans="2:5" ht="14.25">
      <c r="B23" s="9"/>
      <c r="C23" s="9"/>
      <c r="D23" s="3"/>
      <c r="E23" s="9"/>
    </row>
    <row r="25" spans="2:5" ht="12.75">
      <c r="B25" s="2"/>
      <c r="C25" s="9"/>
      <c r="D25" s="9"/>
      <c r="E25" s="9"/>
    </row>
    <row r="26" spans="2:5" ht="12.75">
      <c r="B26" s="2"/>
      <c r="C26" s="52"/>
      <c r="D26" s="9"/>
      <c r="E26" s="9"/>
    </row>
    <row r="27" spans="2:5" ht="12.75">
      <c r="B27" s="9"/>
      <c r="C27" s="9"/>
      <c r="D27" s="9"/>
      <c r="E27" s="9"/>
    </row>
    <row r="28" spans="2:5" ht="12.75">
      <c r="B28" s="9"/>
      <c r="C28" s="9"/>
      <c r="D28" s="9"/>
      <c r="E28" s="9"/>
    </row>
    <row r="29" spans="2:5" ht="12.75">
      <c r="B29" s="9"/>
      <c r="C29" s="9"/>
      <c r="D29" s="9"/>
      <c r="E29" s="9"/>
    </row>
    <row r="30" spans="2:5" ht="12.75">
      <c r="B30" s="9"/>
      <c r="C30" s="9"/>
      <c r="D30" s="9"/>
      <c r="E30" s="9"/>
    </row>
    <row r="31" spans="2:5" ht="14.25">
      <c r="B31" s="9"/>
      <c r="C31" s="9"/>
      <c r="D31" s="3"/>
      <c r="E31" s="9"/>
    </row>
    <row r="34" spans="2:5" ht="12.75">
      <c r="B34" s="2"/>
      <c r="C34" s="9"/>
      <c r="D34" s="9"/>
      <c r="E34" s="9"/>
    </row>
    <row r="35" spans="2:5" ht="12.75">
      <c r="B35" s="2"/>
      <c r="C35" s="52"/>
      <c r="D35" s="9"/>
      <c r="E35" s="9"/>
    </row>
    <row r="36" spans="2:5" ht="12.75">
      <c r="B36" s="9"/>
      <c r="C36" s="9"/>
      <c r="D36" s="9"/>
      <c r="E36" s="9"/>
    </row>
    <row r="37" spans="2:5" ht="12.75">
      <c r="B37" s="9"/>
      <c r="C37" s="9"/>
      <c r="D37" s="9"/>
      <c r="E37" s="9"/>
    </row>
    <row r="38" spans="2:5" ht="12.75">
      <c r="B38" s="9"/>
      <c r="C38" s="9"/>
      <c r="D38" s="9"/>
      <c r="E38" s="9"/>
    </row>
    <row r="39" spans="2:5" ht="12.75">
      <c r="B39" s="9"/>
      <c r="C39" s="9"/>
      <c r="D39" s="9"/>
      <c r="E39" s="9"/>
    </row>
    <row r="40" spans="2:5" ht="14.25">
      <c r="B40" s="9"/>
      <c r="C40" s="9"/>
      <c r="D40" s="3"/>
      <c r="E40" s="9"/>
    </row>
    <row r="43" spans="2:5" ht="12.75">
      <c r="B43" s="2"/>
      <c r="C43" s="9"/>
      <c r="D43" s="9"/>
      <c r="E43" s="9"/>
    </row>
    <row r="44" spans="2:5" ht="12.75">
      <c r="B44" s="2"/>
      <c r="C44" s="52"/>
      <c r="D44" s="9"/>
      <c r="E44" s="9"/>
    </row>
    <row r="45" spans="2:5" ht="12.75">
      <c r="B45" s="9"/>
      <c r="C45" s="9"/>
      <c r="D45" s="9"/>
      <c r="E45" s="9"/>
    </row>
    <row r="46" spans="2:5" ht="12.75">
      <c r="B46" s="9"/>
      <c r="C46" s="9"/>
      <c r="D46" s="9"/>
      <c r="E46" s="9"/>
    </row>
    <row r="47" spans="2:5" ht="12.75">
      <c r="B47" s="9"/>
      <c r="C47" s="9"/>
      <c r="D47" s="9"/>
      <c r="E47" s="9"/>
    </row>
    <row r="48" spans="2:5" ht="12.75">
      <c r="B48" s="9"/>
      <c r="C48" s="9"/>
      <c r="D48" s="9"/>
      <c r="E48" s="9"/>
    </row>
    <row r="49" spans="2:5" ht="14.25">
      <c r="B49" s="9"/>
      <c r="C49" s="9"/>
      <c r="D49" s="3"/>
      <c r="E49" s="9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7"/>
  <sheetViews>
    <sheetView workbookViewId="0" topLeftCell="C1">
      <selection activeCell="B2" sqref="B2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24.8515625" style="0" customWidth="1"/>
  </cols>
  <sheetData>
    <row r="1" ht="12.75">
      <c r="C1" s="2" t="s">
        <v>204</v>
      </c>
    </row>
    <row r="2" spans="5:7" ht="12.75">
      <c r="E2" s="92">
        <v>1</v>
      </c>
      <c r="F2" s="92">
        <v>2</v>
      </c>
      <c r="G2" s="92">
        <v>3</v>
      </c>
    </row>
    <row r="3" ht="12.75">
      <c r="C3" s="13" t="s">
        <v>173</v>
      </c>
    </row>
    <row r="5" spans="1:31" s="91" customFormat="1" ht="12.75">
      <c r="A5" s="91" t="s">
        <v>173</v>
      </c>
      <c r="B5" s="91" t="s">
        <v>197</v>
      </c>
      <c r="C5" s="91" t="s">
        <v>198</v>
      </c>
      <c r="D5" s="91" t="s">
        <v>199</v>
      </c>
      <c r="E5" s="88">
        <v>2438</v>
      </c>
      <c r="F5" s="88">
        <v>2403</v>
      </c>
      <c r="G5" s="88">
        <v>2325</v>
      </c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</row>
    <row r="6" spans="1:22" s="91" customFormat="1" ht="12.75">
      <c r="A6" s="91" t="s">
        <v>173</v>
      </c>
      <c r="B6" s="91" t="s">
        <v>197</v>
      </c>
      <c r="C6" s="91" t="s">
        <v>201</v>
      </c>
      <c r="D6" s="91" t="s">
        <v>199</v>
      </c>
      <c r="E6" s="88">
        <v>419</v>
      </c>
      <c r="F6" s="88">
        <v>419</v>
      </c>
      <c r="G6" s="88">
        <v>420</v>
      </c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</row>
    <row r="7" spans="1:23" s="91" customFormat="1" ht="12.75">
      <c r="A7" s="91" t="s">
        <v>173</v>
      </c>
      <c r="B7" s="91" t="s">
        <v>197</v>
      </c>
      <c r="C7" s="91" t="s">
        <v>202</v>
      </c>
      <c r="D7" s="91" t="s">
        <v>200</v>
      </c>
      <c r="E7" s="88">
        <v>4.5</v>
      </c>
      <c r="F7" s="88">
        <v>3</v>
      </c>
      <c r="G7" s="88">
        <v>4.5</v>
      </c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2004-02-25T00:06:36Z</cp:lastPrinted>
  <dcterms:created xsi:type="dcterms:W3CDTF">2000-01-10T00:44:42Z</dcterms:created>
  <dcterms:modified xsi:type="dcterms:W3CDTF">2004-02-25T00:12:52Z</dcterms:modified>
  <cp:category/>
  <cp:version/>
  <cp:contentType/>
  <cp:contentStatus/>
</cp:coreProperties>
</file>