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94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1" sheetId="11" r:id="rId11"/>
    <sheet name="df c12" sheetId="12" r:id="rId12"/>
    <sheet name="df c13" sheetId="13" r:id="rId13"/>
    <sheet name="df c14" sheetId="14" r:id="rId14"/>
    <sheet name="df c15" sheetId="15" r:id="rId15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<sst xmlns="http://schemas.openxmlformats.org/spreadsheetml/2006/main" count="4544" uniqueCount="284">
  <si>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</si>
  <si>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</si>
  <si>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</si>
  <si>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</si>
  <si>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</si>
  <si>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</si>
  <si>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</si>
  <si>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</si>
  <si>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</si>
  <si>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</si>
  <si>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</si>
  <si>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</si>
  <si>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</si>
  <si>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</si>
  <si>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</si>
  <si>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</si>
  <si>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</si>
  <si>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</si>
  <si>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</si>
  <si>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</si>
  <si>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</si>
  <si>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</si>
  <si>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</si>
  <si>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</si>
  <si>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</si>
  <si>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</si>
  <si>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</si>
  <si>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</si>
  <si>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lb/hr</t>
  </si>
  <si>
    <t>Run 1</t>
  </si>
  <si>
    <t>Run 2</t>
  </si>
  <si>
    <t>Run 3</t>
  </si>
  <si>
    <t>MMBtu/hr</t>
  </si>
  <si>
    <t>Spike</t>
  </si>
  <si>
    <t>ug/dscm</t>
  </si>
  <si>
    <t>SVM</t>
  </si>
  <si>
    <t>LVM</t>
  </si>
  <si>
    <t>Stack Gas Flowrate</t>
  </si>
  <si>
    <t>Oxygen</t>
  </si>
  <si>
    <t>mg/dscm</t>
  </si>
  <si>
    <t>HW</t>
  </si>
  <si>
    <t>Combustor Characteristics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</si>
  <si>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</si>
  <si>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</si>
  <si>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</si>
  <si>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</si>
  <si>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</si>
  <si>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</si>
  <si>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</si>
  <si>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</si>
  <si>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</si>
  <si>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</si>
  <si>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</si>
  <si>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PM, HCl/Cl2</t>
  </si>
  <si>
    <t>POHC Feedrate</t>
  </si>
  <si>
    <t>Emission Rate</t>
  </si>
  <si>
    <t xml:space="preserve">   O2</t>
  </si>
  <si>
    <t xml:space="preserve">   Moisture</t>
  </si>
  <si>
    <t>Total Chlorine</t>
  </si>
  <si>
    <t>Sampling Train</t>
  </si>
  <si>
    <t>Trial burn</t>
  </si>
  <si>
    <t>*</t>
  </si>
  <si>
    <t>HWC Burn Status (Date if Terminated)</t>
  </si>
  <si>
    <t>CO (RA)</t>
  </si>
  <si>
    <t>NY</t>
  </si>
  <si>
    <t>Feed Rate</t>
  </si>
  <si>
    <t>Total</t>
  </si>
  <si>
    <t>Hazardous Wastes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</si>
  <si>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</si>
  <si>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</si>
  <si>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</si>
  <si>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</si>
  <si>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</si>
  <si>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</si>
  <si>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</si>
  <si>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</si>
  <si>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</si>
  <si>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</si>
  <si>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</si>
  <si>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</si>
  <si>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</si>
  <si>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</si>
  <si>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</si>
  <si>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</si>
  <si>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</si>
  <si>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</si>
  <si>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</si>
  <si>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</si>
  <si>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</si>
  <si>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</si>
  <si>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</si>
  <si>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</si>
  <si>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</si>
  <si>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</si>
  <si>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</si>
  <si>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</si>
  <si>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</si>
  <si>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</si>
  <si>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</si>
  <si>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</si>
  <si>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</si>
  <si>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 xml:space="preserve"> </t>
  </si>
  <si>
    <t>Total HpCDF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</si>
  <si>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</si>
  <si>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</si>
  <si>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</si>
  <si>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</si>
  <si>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</si>
  <si>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</si>
  <si>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Detected in sample volume (ng)</t>
  </si>
  <si>
    <t>D/F</t>
  </si>
  <si>
    <t>Tetrachloroethane</t>
  </si>
  <si>
    <t>Cohoes</t>
  </si>
  <si>
    <t>Kiln # 1</t>
  </si>
  <si>
    <t>ENSR</t>
  </si>
  <si>
    <t>ENSR/Blue Ridge</t>
  </si>
  <si>
    <t>Trial Burn, Minimum operating temperature</t>
  </si>
  <si>
    <t>April 29-30, 1999</t>
  </si>
  <si>
    <t>Trial Burn, elevated operating temperature, metals spiking</t>
  </si>
  <si>
    <t>HC (RA)</t>
  </si>
  <si>
    <t>Carbon tetrachloride</t>
  </si>
  <si>
    <t>Chlorobenzene</t>
  </si>
  <si>
    <t>nd</t>
  </si>
  <si>
    <t>Arsenic</t>
  </si>
  <si>
    <t>Antimony</t>
  </si>
  <si>
    <t>Barium</t>
  </si>
  <si>
    <t>Beryllium</t>
  </si>
  <si>
    <t>Cadmium</t>
  </si>
  <si>
    <t>Chromium</t>
  </si>
  <si>
    <t>Copper</t>
  </si>
  <si>
    <t>Lead</t>
  </si>
  <si>
    <t>Mercury</t>
  </si>
  <si>
    <t>Nickel</t>
  </si>
  <si>
    <t>Selenium</t>
  </si>
  <si>
    <t>Silver</t>
  </si>
  <si>
    <t>Thallium</t>
  </si>
  <si>
    <t>Zinc</t>
  </si>
  <si>
    <t>Trial Burn</t>
  </si>
  <si>
    <t>Metals</t>
  </si>
  <si>
    <t>gph</t>
  </si>
  <si>
    <t>LLGF</t>
  </si>
  <si>
    <t>SLGF</t>
  </si>
  <si>
    <t>Shale</t>
  </si>
  <si>
    <t>Density</t>
  </si>
  <si>
    <t>g/cc</t>
  </si>
  <si>
    <t>Back end temperature</t>
  </si>
  <si>
    <t>Kiln pressure</t>
  </si>
  <si>
    <t>in. w.c.</t>
  </si>
  <si>
    <t>Baghouse inlet temperature</t>
  </si>
  <si>
    <t>Baghouse pressure drop</t>
  </si>
  <si>
    <t>Scrubber recirculation flow</t>
  </si>
  <si>
    <t>gpm</t>
  </si>
  <si>
    <t>Recirculation tank pH</t>
  </si>
  <si>
    <t>Risk Burn Final Report for Light-Weight Aggregate Kilns 1 and 2, Aug 2000</t>
  </si>
  <si>
    <t>RCRA Trial Burn Report for Light-Weight Aggregate Kilns 1 and 2, Aug 1999</t>
  </si>
  <si>
    <t>May 22-26, 2000</t>
  </si>
  <si>
    <t>Risk Burn, elevated waste feed rates, maximum temperature, minimum scrubber pH</t>
  </si>
  <si>
    <t>Risk Burn</t>
  </si>
  <si>
    <t>Mercury-Particle bound (O/H)</t>
  </si>
  <si>
    <t>Mercury-Oxidized (O/H)</t>
  </si>
  <si>
    <t>Mercury-Elemental (O/H)</t>
  </si>
  <si>
    <t>Mercury-Total (O/H)</t>
  </si>
  <si>
    <t>May 23-24, 2000</t>
  </si>
  <si>
    <t>Risk Burn-Phase 2 Final Report for Light-Weight Aggregate Kilns 1 and 2, Sept 2001</t>
  </si>
  <si>
    <t>July 24-25, 2001</t>
  </si>
  <si>
    <t>CO, HC, D/F, Metals</t>
  </si>
  <si>
    <t>D/F, Metals</t>
  </si>
  <si>
    <t>July 23-24, 2001</t>
  </si>
  <si>
    <t>Liquid low grade fuels (LLGF), Solid low grade fuel (SLGF). SLGF was not fed for Risk burn phase II. The raw material was shale</t>
  </si>
  <si>
    <t>307C10</t>
  </si>
  <si>
    <t>307C11</t>
  </si>
  <si>
    <t>307C12</t>
  </si>
  <si>
    <t>307C13</t>
  </si>
  <si>
    <t>307C14</t>
  </si>
  <si>
    <t>307C15</t>
  </si>
  <si>
    <t>Norlite Corp.</t>
  </si>
  <si>
    <t>Risk Burn, metal feeds equiv. to Jan '97 permit</t>
  </si>
  <si>
    <t>Risk Burn, metal feeds equiv. to June '01 permit</t>
  </si>
  <si>
    <t>Risk Burn, lower FF temp</t>
  </si>
  <si>
    <t>Norlite Corp, Lightweight Aggregate Kiln #1</t>
  </si>
  <si>
    <t>Cond Avg</t>
  </si>
  <si>
    <t>R1</t>
  </si>
  <si>
    <t>R2</t>
  </si>
  <si>
    <t>R3</t>
  </si>
  <si>
    <t>Kiln #1 manufactured by Traylor is 175 ft long, Kiln #2 manufactured by Allis Chalmers is 180 ft long. Both kilns have an OD of 11 ft, and consist of steel shell lined with a 6" refractory brick giving an ID of 10 ft. The flame zone extends 30 ft from burner end of the kiln. The flame zone gas temperatures are maintained at 2000-3500°F.</t>
  </si>
  <si>
    <t>Kiln # 2 (ID No. 479)</t>
  </si>
  <si>
    <t>NYD080469935</t>
  </si>
  <si>
    <t>PM, HCl/Cl2, CO, HC, SVOC, VOC, D/F, Metals</t>
  </si>
  <si>
    <t>PM, HCl/Cl2, CO, HC, SVOC, VOC, D/F</t>
  </si>
  <si>
    <t>Report Name/Date</t>
  </si>
  <si>
    <t>Report Preparation</t>
  </si>
  <si>
    <t>Testing Firm</t>
  </si>
  <si>
    <t>Testing Dates</t>
  </si>
  <si>
    <t>Condition Descr</t>
  </si>
  <si>
    <t>Content</t>
  </si>
  <si>
    <t>307C1</t>
  </si>
  <si>
    <t>Report Prepare</t>
  </si>
  <si>
    <t>Cond Descr</t>
  </si>
  <si>
    <t>307C2</t>
  </si>
  <si>
    <t>307C3</t>
  </si>
  <si>
    <t>307C4</t>
  </si>
  <si>
    <t>R4</t>
  </si>
  <si>
    <t/>
  </si>
  <si>
    <t>Chromium (Hex)</t>
  </si>
  <si>
    <t>Cr Hex</t>
  </si>
  <si>
    <t>Halogens</t>
  </si>
  <si>
    <t>Liquid waste</t>
  </si>
  <si>
    <t>Solid waste</t>
  </si>
  <si>
    <t>Raw material</t>
  </si>
  <si>
    <t>Spike metals</t>
  </si>
  <si>
    <t>Spike organic</t>
  </si>
  <si>
    <t>1,1,1-Trichloroethane</t>
  </si>
  <si>
    <t>Carbontetrachloride</t>
  </si>
  <si>
    <t>Tetrachloroethene</t>
  </si>
  <si>
    <t>CoC, HIGH COMB TEMP, HIGH HALOGEN FEED, HIGH SHW FEED</t>
  </si>
  <si>
    <t>Stack Gas Emissions 1</t>
  </si>
  <si>
    <t>Stack Gas Emissions 2</t>
  </si>
  <si>
    <t>R2 outlier</t>
  </si>
  <si>
    <t>Feedrates 2</t>
  </si>
  <si>
    <t>Combustor Type</t>
  </si>
  <si>
    <t>Combustor Class</t>
  </si>
  <si>
    <t>30710</t>
  </si>
  <si>
    <t>Combustion Temperature</t>
  </si>
  <si>
    <t>F</t>
  </si>
  <si>
    <t>30711</t>
  </si>
  <si>
    <t>in H2O</t>
  </si>
  <si>
    <t>WS pH</t>
  </si>
  <si>
    <t>WS Pressure Drop</t>
  </si>
  <si>
    <t>FF Pressure Drop</t>
  </si>
  <si>
    <t>FF Temperature</t>
  </si>
  <si>
    <t>Phase I ID No.</t>
  </si>
  <si>
    <t>run 3 outlier</t>
  </si>
  <si>
    <t>Feedrate 1</t>
  </si>
  <si>
    <t>Process Information 2</t>
  </si>
  <si>
    <t>Process Information 1</t>
  </si>
  <si>
    <t>Final Trial Burn Report for Light Weight Aggregate Kiln Process Utilizing Low Grade Fuels, Norlite Corporation, Cohoes, New York, Prepared by ENSR, Document Number 9514-016-500, December 1992</t>
  </si>
  <si>
    <t>Condition Description</t>
  </si>
  <si>
    <t>E1</t>
  </si>
  <si>
    <t>E2</t>
  </si>
  <si>
    <t>E3</t>
  </si>
  <si>
    <t>Feedstream Number</t>
  </si>
  <si>
    <t>Feed Class</t>
  </si>
  <si>
    <t>CoC, LOW COMB TEMP, HIGH HALOGEN FEED, HIGH SHW FEED</t>
  </si>
  <si>
    <t>CoC, HIGH COMB TEMP, HIGH HALOGEN FEED</t>
  </si>
  <si>
    <t>CoC, LOW COMB TEMP, LOW HALOGEN FEED</t>
  </si>
  <si>
    <t>Cond Dates</t>
  </si>
  <si>
    <t>Number of Sister Facilities</t>
  </si>
  <si>
    <t>APCS Detailed Acronym</t>
  </si>
  <si>
    <t>APCS General Class</t>
  </si>
  <si>
    <t>Oil, natural gas</t>
  </si>
  <si>
    <t xml:space="preserve">Liq, solid 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</si>
  <si>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</si>
  <si>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</si>
  <si>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</si>
  <si>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</si>
  <si>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</si>
  <si>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</si>
  <si>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</si>
  <si>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</si>
  <si>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</si>
  <si>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c11</t>
  </si>
  <si>
    <t>df c12</t>
  </si>
  <si>
    <t>df c13</t>
  </si>
  <si>
    <t>df c14</t>
  </si>
  <si>
    <t>df c15</t>
  </si>
  <si>
    <t>HE/MC/FF/VS/ME</t>
  </si>
  <si>
    <t>Heat exchanger, Multiclone, fabric filter, venturi scrubber (fixed throat), mist eliminator</t>
  </si>
  <si>
    <t>HE, C, FF, HEWS</t>
  </si>
  <si>
    <t>Lightweight Aggregate Kiln (LWAK)</t>
  </si>
  <si>
    <t>Liq HW</t>
  </si>
  <si>
    <t>F1</t>
  </si>
  <si>
    <t>Solid HW</t>
  </si>
  <si>
    <t>F2</t>
  </si>
  <si>
    <t>Raw Material</t>
  </si>
  <si>
    <t>F3</t>
  </si>
  <si>
    <t>F4</t>
  </si>
  <si>
    <t>F5</t>
  </si>
  <si>
    <t>F6</t>
  </si>
  <si>
    <t>Feed Class 2</t>
  </si>
  <si>
    <t>RM</t>
  </si>
  <si>
    <t>Estimated Firing Rate</t>
  </si>
  <si>
    <t>Full ND</t>
  </si>
  <si>
    <t>N</t>
  </si>
  <si>
    <t>Thermal Feedrate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</si>
</sst>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E+00"/>
    <numFmt numFmtId="180" formatCode="0.000000E+00"/>
    <numFmt numFmtId="181" formatCode="0.0000000E+00"/>
    <numFmt numFmtId="182" formatCode="0.00000000E+00"/>
    <numFmt numFmtId="183" formatCode="0.E+00"/>
    <numFmt numFmtId="184" formatCode="0.0.E+00"/>
    <numFmt numFmtId="185" formatCode="0.00.E+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_);_(* \(#,##0.0\);_(* &quot;-&quot;_);_(@_)"/>
    <numFmt numFmtId="190" formatCode="_(* #,##0.00_);_(* \(#,##0.00\);_(* &quot;-&quot;_);_(@_)"/>
    <numFmt numFmtId="191" formatCode="0.0E+00"/>
    <numFmt numFmtId="192" formatCode="0E+00"/>
    <numFmt numFmtId="193" formatCode="dd\-mmm\-yy"/>
    <numFmt numFmtId="194" formatCode="0.00000%"/>
    <numFmt numFmtId="195" formatCode="0.000%"/>
    <numFmt numFmtId="196" formatCode="0.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m/d"/>
    <numFmt numFmtId="204" formatCode="mm/dd/yy"/>
  </numFmts>
  <fonts count="1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5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8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67" fontId="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193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11" fontId="6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204" fontId="0" fillId="0" borderId="0" xfId="0" applyNumberFormat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left" vertical="top" wrapText="1"/>
    </xf>
    <xf numFmtId="17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/>
    </xf>
    <xf numFmtId="167" fontId="0" fillId="0" borderId="0" xfId="0" applyNumberFormat="1" applyFill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Continuous"/>
    </xf>
    <xf numFmtId="166" fontId="0" fillId="0" borderId="0" xfId="0" applyNumberFormat="1" applyAlignment="1">
      <alignment/>
    </xf>
    <xf numFmtId="166" fontId="1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 topLeftCell="A1">
      <selection activeCell="B1" sqref="B1"/>
    </sheetView>
  </sheetViews>
  <sheetFormatPr defaultColWidth="9.140625" defaultRowHeight="12.75"/>
  <sheetData>
    <row r="1" ht="12.75">
      <c r="A1" t="s">
        <v>251</v>
      </c>
    </row>
    <row r="2" ht="12.75">
      <c r="A2" t="s">
        <v>252</v>
      </c>
    </row>
    <row r="3" ht="12.75">
      <c r="A3" t="s">
        <v>253</v>
      </c>
    </row>
    <row r="4" ht="12.75">
      <c r="A4" t="s">
        <v>254</v>
      </c>
    </row>
    <row r="5" ht="12.75">
      <c r="A5" t="s">
        <v>255</v>
      </c>
    </row>
    <row r="6" ht="12.75">
      <c r="A6" t="s">
        <v>256</v>
      </c>
    </row>
    <row r="7" ht="12.75">
      <c r="A7" t="s">
        <v>257</v>
      </c>
    </row>
    <row r="8" ht="12.75">
      <c r="A8" t="s">
        <v>258</v>
      </c>
    </row>
    <row r="9" ht="12.75">
      <c r="A9" t="s">
        <v>259</v>
      </c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C1" sqref="C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4.421875" style="0" customWidth="1"/>
    <col min="5" max="6" width="9.421875" style="0" customWidth="1"/>
    <col min="8" max="8" width="9.8515625" style="0" customWidth="1"/>
    <col min="9" max="9" width="3.57421875" style="0" bestFit="1" customWidth="1"/>
    <col min="11" max="11" width="9.421875" style="0" customWidth="1"/>
    <col min="13" max="13" width="9.28125" style="0" customWidth="1"/>
    <col min="14" max="14" width="5.140625" style="0" bestFit="1" customWidth="1"/>
    <col min="16" max="16" width="9.421875" style="0" customWidth="1"/>
    <col min="18" max="18" width="9.00390625" style="0" customWidth="1"/>
  </cols>
  <sheetData>
    <row r="1" spans="1:18" ht="12.75">
      <c r="A1" s="42" t="s">
        <v>68</v>
      </c>
      <c r="B1" s="22"/>
      <c r="C1" s="22"/>
      <c r="D1" s="22"/>
      <c r="E1" s="43"/>
      <c r="F1" s="43"/>
      <c r="G1" s="43"/>
      <c r="H1" s="44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>
      <c r="A2" s="22" t="s">
        <v>282</v>
      </c>
      <c r="B2" s="22"/>
      <c r="C2" s="22"/>
      <c r="D2" s="22"/>
      <c r="E2" s="43"/>
      <c r="F2" s="43"/>
      <c r="G2" s="43"/>
      <c r="H2" s="44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.75">
      <c r="A3" s="22" t="s">
        <v>69</v>
      </c>
      <c r="B3" s="22"/>
      <c r="C3" s="8" t="s">
        <v>179</v>
      </c>
      <c r="D3" s="8"/>
      <c r="E3" s="43"/>
      <c r="F3" s="43"/>
      <c r="G3" s="43"/>
      <c r="H3" s="44"/>
      <c r="I3" s="43"/>
      <c r="J3" s="45"/>
      <c r="K3" s="43"/>
      <c r="L3" s="43"/>
      <c r="M3" s="43"/>
      <c r="N3" s="43"/>
      <c r="O3" s="43"/>
      <c r="P3" s="43"/>
      <c r="Q3" s="43"/>
      <c r="R3" s="43"/>
    </row>
    <row r="4" spans="1:18" ht="12.75">
      <c r="A4" s="22" t="s">
        <v>70</v>
      </c>
      <c r="B4" s="22"/>
      <c r="C4" s="64" t="s">
        <v>169</v>
      </c>
      <c r="D4" s="64" t="s">
        <v>137</v>
      </c>
      <c r="E4" s="46"/>
      <c r="F4" s="46"/>
      <c r="G4" s="46"/>
      <c r="H4" s="47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2.75">
      <c r="A5" s="22" t="s">
        <v>71</v>
      </c>
      <c r="B5" s="22"/>
      <c r="C5" s="52">
        <v>36278</v>
      </c>
      <c r="D5" s="9"/>
      <c r="E5" s="9"/>
      <c r="F5" s="9"/>
      <c r="G5" s="9"/>
      <c r="H5" s="9"/>
      <c r="I5" s="9"/>
      <c r="J5" s="9"/>
      <c r="K5" s="9"/>
      <c r="L5" s="9"/>
      <c r="M5" s="43"/>
      <c r="N5" s="43"/>
      <c r="O5" s="43"/>
      <c r="P5" s="9"/>
      <c r="Q5" s="43"/>
      <c r="R5" s="43"/>
    </row>
    <row r="6" spans="1:18" ht="12.75">
      <c r="A6" s="22"/>
      <c r="B6" s="22"/>
      <c r="C6" s="23"/>
      <c r="D6" s="23"/>
      <c r="E6" s="26"/>
      <c r="F6" s="26"/>
      <c r="G6" s="26"/>
      <c r="H6" s="44"/>
      <c r="I6" s="43"/>
      <c r="J6" s="26"/>
      <c r="K6" s="26"/>
      <c r="L6" s="26"/>
      <c r="M6" s="43"/>
      <c r="N6" s="43"/>
      <c r="O6" s="26"/>
      <c r="P6" s="26"/>
      <c r="Q6" s="26"/>
      <c r="R6" s="43"/>
    </row>
    <row r="7" spans="1:18" ht="12.75">
      <c r="A7" s="22"/>
      <c r="B7" s="22"/>
      <c r="C7" s="23" t="s">
        <v>72</v>
      </c>
      <c r="D7" s="23"/>
      <c r="E7" s="111" t="s">
        <v>29</v>
      </c>
      <c r="F7" s="111"/>
      <c r="G7" s="111"/>
      <c r="H7" s="111"/>
      <c r="I7" s="112"/>
      <c r="J7" s="111" t="s">
        <v>30</v>
      </c>
      <c r="K7" s="111"/>
      <c r="L7" s="111"/>
      <c r="M7" s="111"/>
      <c r="N7" s="112"/>
      <c r="O7" s="111" t="s">
        <v>31</v>
      </c>
      <c r="P7" s="111"/>
      <c r="Q7" s="111"/>
      <c r="R7" s="111"/>
    </row>
    <row r="8" spans="1:18" ht="12.75">
      <c r="A8" s="22"/>
      <c r="B8" s="22"/>
      <c r="C8" s="23" t="s">
        <v>73</v>
      </c>
      <c r="D8" s="22"/>
      <c r="E8" s="26" t="s">
        <v>66</v>
      </c>
      <c r="F8" s="26" t="s">
        <v>75</v>
      </c>
      <c r="G8" s="26" t="s">
        <v>66</v>
      </c>
      <c r="H8" s="47" t="s">
        <v>74</v>
      </c>
      <c r="I8" s="43"/>
      <c r="J8" s="26" t="s">
        <v>66</v>
      </c>
      <c r="K8" s="26" t="s">
        <v>75</v>
      </c>
      <c r="L8" s="26" t="s">
        <v>66</v>
      </c>
      <c r="M8" s="26" t="s">
        <v>75</v>
      </c>
      <c r="N8" s="43"/>
      <c r="O8" s="26" t="s">
        <v>66</v>
      </c>
      <c r="P8" s="26" t="s">
        <v>75</v>
      </c>
      <c r="Q8" s="26" t="s">
        <v>66</v>
      </c>
      <c r="R8" s="26" t="s">
        <v>75</v>
      </c>
    </row>
    <row r="9" spans="1:18" ht="12.75">
      <c r="A9" s="22"/>
      <c r="B9" s="22"/>
      <c r="C9" s="23"/>
      <c r="D9" s="22"/>
      <c r="E9" s="26" t="s">
        <v>281</v>
      </c>
      <c r="F9" s="26" t="s">
        <v>281</v>
      </c>
      <c r="G9" s="26" t="s">
        <v>76</v>
      </c>
      <c r="H9" s="47" t="s">
        <v>76</v>
      </c>
      <c r="I9" s="43"/>
      <c r="J9" s="26" t="s">
        <v>281</v>
      </c>
      <c r="K9" s="26" t="s">
        <v>281</v>
      </c>
      <c r="L9" s="26" t="s">
        <v>76</v>
      </c>
      <c r="M9" s="47" t="s">
        <v>76</v>
      </c>
      <c r="N9" s="43"/>
      <c r="O9" s="26" t="s">
        <v>281</v>
      </c>
      <c r="P9" s="26" t="s">
        <v>281</v>
      </c>
      <c r="Q9" s="26" t="s">
        <v>76</v>
      </c>
      <c r="R9" s="47" t="s">
        <v>76</v>
      </c>
    </row>
    <row r="10" spans="1:18" ht="12.75">
      <c r="A10" s="22" t="s">
        <v>109</v>
      </c>
      <c r="B10" s="22"/>
      <c r="C10" s="22"/>
      <c r="D10" s="22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24"/>
      <c r="P10" s="43"/>
      <c r="Q10" s="43"/>
      <c r="R10" s="43"/>
    </row>
    <row r="11" spans="1:18" ht="12.75">
      <c r="A11" s="22"/>
      <c r="B11" s="22" t="s">
        <v>77</v>
      </c>
      <c r="C11" s="23">
        <v>1</v>
      </c>
      <c r="D11" s="23"/>
      <c r="E11" s="44">
        <f>22/1000</f>
        <v>0.022</v>
      </c>
      <c r="F11" s="44">
        <f aca="true" t="shared" si="0" ref="F11:F35">IF(E11="","",E11*$C11)</f>
        <v>0.022</v>
      </c>
      <c r="G11" s="44">
        <f aca="true" t="shared" si="1" ref="G11:G35">IF(E11=0,"",IF(D11="nd",E11/2,E11))</f>
        <v>0.022</v>
      </c>
      <c r="H11" s="44">
        <f aca="true" t="shared" si="2" ref="H11:H35">IF(G11="","",G11*$C11)</f>
        <v>0.022</v>
      </c>
      <c r="I11" s="50"/>
      <c r="J11" s="44">
        <f>51/1000</f>
        <v>0.051</v>
      </c>
      <c r="K11" s="44">
        <f aca="true" t="shared" si="3" ref="K11:K35">IF(J11="","",J11*$C11)</f>
        <v>0.051</v>
      </c>
      <c r="L11" s="44">
        <f aca="true" t="shared" si="4" ref="L11:L35">IF(J11=0,"",IF(I11="nd",J11/2,J11))</f>
        <v>0.051</v>
      </c>
      <c r="M11" s="44">
        <f aca="true" t="shared" si="5" ref="M11:M35">IF(L11="","",L11*$C11)</f>
        <v>0.051</v>
      </c>
      <c r="N11" s="50"/>
      <c r="O11" s="44">
        <f>56/1000</f>
        <v>0.056</v>
      </c>
      <c r="P11" s="44">
        <f aca="true" t="shared" si="6" ref="P11:P35">IF(O11="","",O11*$C11)</f>
        <v>0.056</v>
      </c>
      <c r="Q11" s="44">
        <f aca="true" t="shared" si="7" ref="Q11:Q35">IF(O11=0,"",IF(N11="nd",O11/2,O11))</f>
        <v>0.056</v>
      </c>
      <c r="R11" s="44">
        <f aca="true" t="shared" si="8" ref="R11:R35">IF(Q11="","",Q11*$C11)</f>
        <v>0.056</v>
      </c>
    </row>
    <row r="12" spans="1:18" ht="12.75">
      <c r="A12" s="22"/>
      <c r="B12" s="22" t="s">
        <v>78</v>
      </c>
      <c r="C12" s="23">
        <v>0.5</v>
      </c>
      <c r="D12" s="23" t="s">
        <v>122</v>
      </c>
      <c r="E12" s="44">
        <f>13/1000</f>
        <v>0.013</v>
      </c>
      <c r="F12" s="44">
        <f t="shared" si="0"/>
        <v>0.0065</v>
      </c>
      <c r="G12" s="44">
        <f t="shared" si="1"/>
        <v>0.0065</v>
      </c>
      <c r="H12" s="44">
        <f t="shared" si="2"/>
        <v>0.00325</v>
      </c>
      <c r="I12" s="50"/>
      <c r="J12" s="44">
        <f>39/1000</f>
        <v>0.039</v>
      </c>
      <c r="K12" s="44">
        <f t="shared" si="3"/>
        <v>0.0195</v>
      </c>
      <c r="L12" s="44">
        <f t="shared" si="4"/>
        <v>0.039</v>
      </c>
      <c r="M12" s="44">
        <f t="shared" si="5"/>
        <v>0.0195</v>
      </c>
      <c r="N12" s="50"/>
      <c r="O12" s="44">
        <f>44/1000</f>
        <v>0.044</v>
      </c>
      <c r="P12" s="44">
        <f t="shared" si="6"/>
        <v>0.022</v>
      </c>
      <c r="Q12" s="44">
        <f t="shared" si="7"/>
        <v>0.044</v>
      </c>
      <c r="R12" s="44">
        <f t="shared" si="8"/>
        <v>0.022</v>
      </c>
    </row>
    <row r="13" spans="1:18" ht="12.75">
      <c r="A13" s="22"/>
      <c r="B13" s="22" t="s">
        <v>79</v>
      </c>
      <c r="C13" s="23">
        <v>0.1</v>
      </c>
      <c r="D13" s="23" t="s">
        <v>122</v>
      </c>
      <c r="E13" s="44">
        <f>10/1000</f>
        <v>0.01</v>
      </c>
      <c r="F13" s="44">
        <f t="shared" si="0"/>
        <v>0.001</v>
      </c>
      <c r="G13" s="44">
        <f t="shared" si="1"/>
        <v>0.005</v>
      </c>
      <c r="H13" s="44">
        <f t="shared" si="2"/>
        <v>0.0005</v>
      </c>
      <c r="I13" s="50" t="s">
        <v>122</v>
      </c>
      <c r="J13" s="44">
        <f>14/1000</f>
        <v>0.014</v>
      </c>
      <c r="K13" s="44">
        <f t="shared" si="3"/>
        <v>0.0014000000000000002</v>
      </c>
      <c r="L13" s="44">
        <f t="shared" si="4"/>
        <v>0.007</v>
      </c>
      <c r="M13" s="44">
        <f>IF(L13="","",L13*$C13)</f>
        <v>0.0007000000000000001</v>
      </c>
      <c r="N13" s="50" t="s">
        <v>122</v>
      </c>
      <c r="O13" s="44">
        <f>19/1000</f>
        <v>0.019</v>
      </c>
      <c r="P13" s="44">
        <f t="shared" si="6"/>
        <v>0.0019</v>
      </c>
      <c r="Q13" s="44">
        <f t="shared" si="7"/>
        <v>0.0095</v>
      </c>
      <c r="R13" s="44">
        <f t="shared" si="8"/>
        <v>0.00095</v>
      </c>
    </row>
    <row r="14" spans="1:18" ht="12.75">
      <c r="A14" s="22"/>
      <c r="B14" s="22" t="s">
        <v>80</v>
      </c>
      <c r="C14" s="23">
        <v>0.1</v>
      </c>
      <c r="D14" s="23" t="s">
        <v>122</v>
      </c>
      <c r="E14" s="44">
        <f>9.6/1000</f>
        <v>0.0096</v>
      </c>
      <c r="F14" s="44">
        <f t="shared" si="0"/>
        <v>0.0009599999999999999</v>
      </c>
      <c r="G14" s="44">
        <f t="shared" si="1"/>
        <v>0.0048</v>
      </c>
      <c r="H14" s="44">
        <f t="shared" si="2"/>
        <v>0.00047999999999999996</v>
      </c>
      <c r="I14" s="50" t="s">
        <v>122</v>
      </c>
      <c r="J14" s="44">
        <f>13/1000</f>
        <v>0.013</v>
      </c>
      <c r="K14" s="44">
        <f t="shared" si="3"/>
        <v>0.0013</v>
      </c>
      <c r="L14" s="44">
        <f t="shared" si="4"/>
        <v>0.0065</v>
      </c>
      <c r="M14" s="44">
        <f t="shared" si="5"/>
        <v>0.00065</v>
      </c>
      <c r="N14" s="50" t="s">
        <v>122</v>
      </c>
      <c r="O14" s="44">
        <f>18/1000</f>
        <v>0.018</v>
      </c>
      <c r="P14" s="44">
        <f t="shared" si="6"/>
        <v>0.0018</v>
      </c>
      <c r="Q14" s="44">
        <f t="shared" si="7"/>
        <v>0.009</v>
      </c>
      <c r="R14" s="44">
        <f t="shared" si="8"/>
        <v>0.0009</v>
      </c>
    </row>
    <row r="15" spans="1:18" ht="12.75">
      <c r="A15" s="22"/>
      <c r="B15" s="22" t="s">
        <v>81</v>
      </c>
      <c r="C15" s="23">
        <v>0.1</v>
      </c>
      <c r="D15" s="23" t="s">
        <v>122</v>
      </c>
      <c r="E15" s="44">
        <f>9.5/1000</f>
        <v>0.0095</v>
      </c>
      <c r="F15" s="44">
        <f t="shared" si="0"/>
        <v>0.00095</v>
      </c>
      <c r="G15" s="44">
        <f t="shared" si="1"/>
        <v>0.00475</v>
      </c>
      <c r="H15" s="44">
        <f t="shared" si="2"/>
        <v>0.000475</v>
      </c>
      <c r="I15" s="50" t="s">
        <v>122</v>
      </c>
      <c r="J15" s="44">
        <f>13/1000</f>
        <v>0.013</v>
      </c>
      <c r="K15" s="44">
        <f t="shared" si="3"/>
        <v>0.0013</v>
      </c>
      <c r="L15" s="44">
        <f t="shared" si="4"/>
        <v>0.0065</v>
      </c>
      <c r="M15" s="44">
        <f t="shared" si="5"/>
        <v>0.00065</v>
      </c>
      <c r="N15" s="50" t="s">
        <v>122</v>
      </c>
      <c r="O15" s="44">
        <f>17/1000</f>
        <v>0.017</v>
      </c>
      <c r="P15" s="44">
        <f t="shared" si="6"/>
        <v>0.0017000000000000001</v>
      </c>
      <c r="Q15" s="44">
        <f t="shared" si="7"/>
        <v>0.0085</v>
      </c>
      <c r="R15" s="44">
        <f t="shared" si="8"/>
        <v>0.0008500000000000001</v>
      </c>
    </row>
    <row r="16" spans="1:18" ht="12.75">
      <c r="A16" s="22"/>
      <c r="B16" s="22" t="s">
        <v>82</v>
      </c>
      <c r="C16" s="23">
        <v>0.01</v>
      </c>
      <c r="D16" s="23"/>
      <c r="E16" s="44">
        <f>26/1000</f>
        <v>0.026</v>
      </c>
      <c r="F16" s="44">
        <f t="shared" si="0"/>
        <v>0.00026</v>
      </c>
      <c r="G16" s="44">
        <f t="shared" si="1"/>
        <v>0.026</v>
      </c>
      <c r="H16" s="44">
        <f t="shared" si="2"/>
        <v>0.00026</v>
      </c>
      <c r="I16" s="50"/>
      <c r="J16" s="44">
        <f>38/1000</f>
        <v>0.038</v>
      </c>
      <c r="K16" s="44">
        <f t="shared" si="3"/>
        <v>0.00038</v>
      </c>
      <c r="L16" s="44">
        <f t="shared" si="4"/>
        <v>0.038</v>
      </c>
      <c r="M16" s="44">
        <f t="shared" si="5"/>
        <v>0.00038</v>
      </c>
      <c r="N16" s="50"/>
      <c r="O16" s="44">
        <f>40/1000</f>
        <v>0.04</v>
      </c>
      <c r="P16" s="44">
        <f t="shared" si="6"/>
        <v>0.0004</v>
      </c>
      <c r="Q16" s="44">
        <f t="shared" si="7"/>
        <v>0.04</v>
      </c>
      <c r="R16" s="44">
        <f t="shared" si="8"/>
        <v>0.0004</v>
      </c>
    </row>
    <row r="17" spans="1:18" ht="12.75">
      <c r="A17" s="22"/>
      <c r="B17" s="22" t="s">
        <v>83</v>
      </c>
      <c r="C17" s="23">
        <v>0.001</v>
      </c>
      <c r="D17" s="23"/>
      <c r="E17" s="44">
        <f>70/1000</f>
        <v>0.07</v>
      </c>
      <c r="F17" s="44">
        <f t="shared" si="0"/>
        <v>7.000000000000001E-05</v>
      </c>
      <c r="G17" s="44">
        <f t="shared" si="1"/>
        <v>0.07</v>
      </c>
      <c r="H17" s="44">
        <f t="shared" si="2"/>
        <v>7.000000000000001E-05</v>
      </c>
      <c r="I17" s="50"/>
      <c r="J17" s="44">
        <f>86/1000</f>
        <v>0.086</v>
      </c>
      <c r="K17" s="44">
        <f t="shared" si="3"/>
        <v>8.599999999999999E-05</v>
      </c>
      <c r="L17" s="44">
        <f t="shared" si="4"/>
        <v>0.086</v>
      </c>
      <c r="M17" s="44">
        <f t="shared" si="5"/>
        <v>8.599999999999999E-05</v>
      </c>
      <c r="N17" s="50"/>
      <c r="O17" s="44">
        <f>64/1000</f>
        <v>0.064</v>
      </c>
      <c r="P17" s="44">
        <f t="shared" si="6"/>
        <v>6.4E-05</v>
      </c>
      <c r="Q17" s="44">
        <f t="shared" si="7"/>
        <v>0.064</v>
      </c>
      <c r="R17" s="44">
        <f t="shared" si="8"/>
        <v>6.4E-05</v>
      </c>
    </row>
    <row r="18" spans="1:18" ht="12.75">
      <c r="A18" s="22"/>
      <c r="B18" s="22" t="s">
        <v>84</v>
      </c>
      <c r="C18" s="23">
        <v>0.1</v>
      </c>
      <c r="D18" s="23"/>
      <c r="E18" s="44">
        <f>320/1000</f>
        <v>0.32</v>
      </c>
      <c r="F18" s="44">
        <f t="shared" si="0"/>
        <v>0.032</v>
      </c>
      <c r="G18" s="44">
        <f t="shared" si="1"/>
        <v>0.32</v>
      </c>
      <c r="H18" s="44">
        <f t="shared" si="2"/>
        <v>0.032</v>
      </c>
      <c r="I18" s="50"/>
      <c r="J18" s="44">
        <f>980/1000</f>
        <v>0.98</v>
      </c>
      <c r="K18" s="44">
        <f t="shared" si="3"/>
        <v>0.098</v>
      </c>
      <c r="L18" s="44">
        <f t="shared" si="4"/>
        <v>0.98</v>
      </c>
      <c r="M18" s="44">
        <f t="shared" si="5"/>
        <v>0.098</v>
      </c>
      <c r="N18" s="50"/>
      <c r="O18" s="44">
        <f>1200/1000</f>
        <v>1.2</v>
      </c>
      <c r="P18" s="44">
        <f t="shared" si="6"/>
        <v>0.12</v>
      </c>
      <c r="Q18" s="44">
        <f t="shared" si="7"/>
        <v>1.2</v>
      </c>
      <c r="R18" s="44">
        <f t="shared" si="8"/>
        <v>0.12</v>
      </c>
    </row>
    <row r="19" spans="1:18" ht="12.75">
      <c r="A19" s="22"/>
      <c r="B19" s="22" t="s">
        <v>85</v>
      </c>
      <c r="C19" s="23">
        <v>0.05</v>
      </c>
      <c r="D19" s="23"/>
      <c r="E19" s="44">
        <f>130/1000</f>
        <v>0.13</v>
      </c>
      <c r="F19" s="44">
        <f t="shared" si="0"/>
        <v>0.006500000000000001</v>
      </c>
      <c r="G19" s="44">
        <f t="shared" si="1"/>
        <v>0.13</v>
      </c>
      <c r="H19" s="44">
        <f t="shared" si="2"/>
        <v>0.006500000000000001</v>
      </c>
      <c r="I19" s="50"/>
      <c r="J19" s="44">
        <f>440/1000</f>
        <v>0.44</v>
      </c>
      <c r="K19" s="44">
        <f t="shared" si="3"/>
        <v>0.022000000000000002</v>
      </c>
      <c r="L19" s="44">
        <f t="shared" si="4"/>
        <v>0.44</v>
      </c>
      <c r="M19" s="44">
        <f t="shared" si="5"/>
        <v>0.022000000000000002</v>
      </c>
      <c r="N19" s="50"/>
      <c r="O19" s="44">
        <f>560/1000</f>
        <v>0.56</v>
      </c>
      <c r="P19" s="44">
        <f t="shared" si="6"/>
        <v>0.028000000000000004</v>
      </c>
      <c r="Q19" s="44">
        <f t="shared" si="7"/>
        <v>0.56</v>
      </c>
      <c r="R19" s="44">
        <f t="shared" si="8"/>
        <v>0.028000000000000004</v>
      </c>
    </row>
    <row r="20" spans="1:18" ht="12.75">
      <c r="A20" s="22"/>
      <c r="B20" s="22" t="s">
        <v>86</v>
      </c>
      <c r="C20" s="23">
        <v>0.5</v>
      </c>
      <c r="D20" s="23"/>
      <c r="E20" s="44">
        <f>200/1000</f>
        <v>0.2</v>
      </c>
      <c r="F20" s="44">
        <f t="shared" si="0"/>
        <v>0.1</v>
      </c>
      <c r="G20" s="44">
        <f t="shared" si="1"/>
        <v>0.2</v>
      </c>
      <c r="H20" s="44">
        <f t="shared" si="2"/>
        <v>0.1</v>
      </c>
      <c r="I20" s="50"/>
      <c r="J20" s="44">
        <f>780/1000</f>
        <v>0.78</v>
      </c>
      <c r="K20" s="44">
        <f t="shared" si="3"/>
        <v>0.39</v>
      </c>
      <c r="L20" s="44">
        <f t="shared" si="4"/>
        <v>0.78</v>
      </c>
      <c r="M20" s="44">
        <f t="shared" si="5"/>
        <v>0.39</v>
      </c>
      <c r="N20" s="50"/>
      <c r="O20" s="44">
        <f>1100/1000</f>
        <v>1.1</v>
      </c>
      <c r="P20" s="44">
        <f t="shared" si="6"/>
        <v>0.55</v>
      </c>
      <c r="Q20" s="44">
        <f t="shared" si="7"/>
        <v>1.1</v>
      </c>
      <c r="R20" s="44">
        <f t="shared" si="8"/>
        <v>0.55</v>
      </c>
    </row>
    <row r="21" spans="1:18" ht="12.75">
      <c r="A21" s="22"/>
      <c r="B21" s="22" t="s">
        <v>87</v>
      </c>
      <c r="C21" s="23">
        <v>0.1</v>
      </c>
      <c r="D21" s="23"/>
      <c r="E21" s="44">
        <f>51/1000</f>
        <v>0.051</v>
      </c>
      <c r="F21" s="44">
        <f t="shared" si="0"/>
        <v>0.0051</v>
      </c>
      <c r="G21" s="44">
        <f t="shared" si="1"/>
        <v>0.051</v>
      </c>
      <c r="H21" s="44">
        <f t="shared" si="2"/>
        <v>0.0051</v>
      </c>
      <c r="I21" s="50"/>
      <c r="J21" s="44">
        <f>220/1000</f>
        <v>0.22</v>
      </c>
      <c r="K21" s="44">
        <f t="shared" si="3"/>
        <v>0.022000000000000002</v>
      </c>
      <c r="L21" s="44">
        <f t="shared" si="4"/>
        <v>0.22</v>
      </c>
      <c r="M21" s="44">
        <f t="shared" si="5"/>
        <v>0.022000000000000002</v>
      </c>
      <c r="N21" s="50"/>
      <c r="O21" s="44">
        <f>330/1000</f>
        <v>0.33</v>
      </c>
      <c r="P21" s="44">
        <f t="shared" si="6"/>
        <v>0.033</v>
      </c>
      <c r="Q21" s="44">
        <f t="shared" si="7"/>
        <v>0.33</v>
      </c>
      <c r="R21" s="44">
        <f t="shared" si="8"/>
        <v>0.033</v>
      </c>
    </row>
    <row r="22" spans="1:18" ht="12.75">
      <c r="A22" s="22"/>
      <c r="B22" s="22" t="s">
        <v>88</v>
      </c>
      <c r="C22" s="23">
        <v>0.1</v>
      </c>
      <c r="D22" s="23"/>
      <c r="E22" s="44">
        <f>47/1000</f>
        <v>0.047</v>
      </c>
      <c r="F22" s="44">
        <f t="shared" si="0"/>
        <v>0.0047</v>
      </c>
      <c r="G22" s="44">
        <f t="shared" si="1"/>
        <v>0.047</v>
      </c>
      <c r="H22" s="44">
        <f t="shared" si="2"/>
        <v>0.0047</v>
      </c>
      <c r="I22" s="50"/>
      <c r="J22" s="44">
        <f>200/1000</f>
        <v>0.2</v>
      </c>
      <c r="K22" s="44">
        <f t="shared" si="3"/>
        <v>0.020000000000000004</v>
      </c>
      <c r="L22" s="44">
        <f t="shared" si="4"/>
        <v>0.2</v>
      </c>
      <c r="M22" s="44">
        <f t="shared" si="5"/>
        <v>0.020000000000000004</v>
      </c>
      <c r="N22" s="50"/>
      <c r="O22" s="44">
        <f>300/1000</f>
        <v>0.3</v>
      </c>
      <c r="P22" s="44">
        <f t="shared" si="6"/>
        <v>0.03</v>
      </c>
      <c r="Q22" s="44">
        <f t="shared" si="7"/>
        <v>0.3</v>
      </c>
      <c r="R22" s="44">
        <f t="shared" si="8"/>
        <v>0.03</v>
      </c>
    </row>
    <row r="23" spans="1:18" ht="12.75">
      <c r="A23" s="22"/>
      <c r="B23" s="22" t="s">
        <v>89</v>
      </c>
      <c r="C23" s="23">
        <v>0.1</v>
      </c>
      <c r="D23" s="23"/>
      <c r="E23" s="44">
        <f>36/1000</f>
        <v>0.036</v>
      </c>
      <c r="F23" s="44">
        <f t="shared" si="0"/>
        <v>0.0036</v>
      </c>
      <c r="G23" s="44">
        <f t="shared" si="1"/>
        <v>0.036</v>
      </c>
      <c r="H23" s="44">
        <f t="shared" si="2"/>
        <v>0.0036</v>
      </c>
      <c r="I23" s="50"/>
      <c r="J23" s="44">
        <f>160/1000</f>
        <v>0.16</v>
      </c>
      <c r="K23" s="44">
        <f t="shared" si="3"/>
        <v>0.016</v>
      </c>
      <c r="L23" s="44">
        <f t="shared" si="4"/>
        <v>0.16</v>
      </c>
      <c r="M23" s="44">
        <f t="shared" si="5"/>
        <v>0.016</v>
      </c>
      <c r="N23" s="50"/>
      <c r="O23" s="44">
        <f>250/1000</f>
        <v>0.25</v>
      </c>
      <c r="P23" s="44">
        <f t="shared" si="6"/>
        <v>0.025</v>
      </c>
      <c r="Q23" s="44">
        <f t="shared" si="7"/>
        <v>0.25</v>
      </c>
      <c r="R23" s="44">
        <f t="shared" si="8"/>
        <v>0.025</v>
      </c>
    </row>
    <row r="24" spans="1:18" ht="12.75">
      <c r="A24" s="22"/>
      <c r="B24" s="22" t="s">
        <v>90</v>
      </c>
      <c r="C24" s="23">
        <v>0.1</v>
      </c>
      <c r="D24" s="23"/>
      <c r="E24" s="44">
        <f>16/1000</f>
        <v>0.016</v>
      </c>
      <c r="F24" s="44">
        <f t="shared" si="0"/>
        <v>0.0016</v>
      </c>
      <c r="G24" s="44">
        <f t="shared" si="1"/>
        <v>0.016</v>
      </c>
      <c r="H24" s="44">
        <f t="shared" si="2"/>
        <v>0.0016</v>
      </c>
      <c r="I24" s="50"/>
      <c r="J24" s="44">
        <f>54/1000</f>
        <v>0.054</v>
      </c>
      <c r="K24" s="44">
        <f t="shared" si="3"/>
        <v>0.0054</v>
      </c>
      <c r="L24" s="44">
        <f t="shared" si="4"/>
        <v>0.054</v>
      </c>
      <c r="M24" s="44">
        <f t="shared" si="5"/>
        <v>0.0054</v>
      </c>
      <c r="N24" s="50"/>
      <c r="O24" s="44">
        <f>93/1000</f>
        <v>0.093</v>
      </c>
      <c r="P24" s="44">
        <f t="shared" si="6"/>
        <v>0.009300000000000001</v>
      </c>
      <c r="Q24" s="44">
        <f t="shared" si="7"/>
        <v>0.093</v>
      </c>
      <c r="R24" s="44">
        <f t="shared" si="8"/>
        <v>0.009300000000000001</v>
      </c>
    </row>
    <row r="25" spans="1:18" ht="12.75">
      <c r="A25" s="22"/>
      <c r="B25" s="22" t="s">
        <v>91</v>
      </c>
      <c r="C25" s="23">
        <v>0.01</v>
      </c>
      <c r="D25" s="23"/>
      <c r="E25" s="44">
        <f>83/1000</f>
        <v>0.083</v>
      </c>
      <c r="F25" s="44">
        <f t="shared" si="0"/>
        <v>0.00083</v>
      </c>
      <c r="G25" s="44">
        <f t="shared" si="1"/>
        <v>0.083</v>
      </c>
      <c r="H25" s="44">
        <f t="shared" si="2"/>
        <v>0.00083</v>
      </c>
      <c r="I25" s="50"/>
      <c r="J25" s="44">
        <f>210/1000</f>
        <v>0.21</v>
      </c>
      <c r="K25" s="44">
        <f t="shared" si="3"/>
        <v>0.0021</v>
      </c>
      <c r="L25" s="44">
        <f t="shared" si="4"/>
        <v>0.21</v>
      </c>
      <c r="M25" s="44">
        <f t="shared" si="5"/>
        <v>0.0021</v>
      </c>
      <c r="N25" s="50"/>
      <c r="O25" s="44">
        <f>250/1000</f>
        <v>0.25</v>
      </c>
      <c r="P25" s="44">
        <f t="shared" si="6"/>
        <v>0.0025</v>
      </c>
      <c r="Q25" s="44">
        <f t="shared" si="7"/>
        <v>0.25</v>
      </c>
      <c r="R25" s="44">
        <f t="shared" si="8"/>
        <v>0.0025</v>
      </c>
    </row>
    <row r="26" spans="1:18" ht="12.75">
      <c r="A26" s="22"/>
      <c r="B26" s="22" t="s">
        <v>92</v>
      </c>
      <c r="C26" s="23">
        <v>0.01</v>
      </c>
      <c r="D26" s="23" t="s">
        <v>122</v>
      </c>
      <c r="E26" s="44">
        <f>16/1000</f>
        <v>0.016</v>
      </c>
      <c r="F26" s="44">
        <f t="shared" si="0"/>
        <v>0.00016</v>
      </c>
      <c r="G26" s="44">
        <f t="shared" si="1"/>
        <v>0.008</v>
      </c>
      <c r="H26" s="44">
        <f t="shared" si="2"/>
        <v>8E-05</v>
      </c>
      <c r="I26" s="50" t="s">
        <v>122</v>
      </c>
      <c r="J26" s="44">
        <f>22/1000</f>
        <v>0.022</v>
      </c>
      <c r="K26" s="44">
        <f t="shared" si="3"/>
        <v>0.00021999999999999998</v>
      </c>
      <c r="L26" s="44">
        <f t="shared" si="4"/>
        <v>0.011</v>
      </c>
      <c r="M26" s="44">
        <f t="shared" si="5"/>
        <v>0.00010999999999999999</v>
      </c>
      <c r="N26" s="50" t="s">
        <v>122</v>
      </c>
      <c r="O26" s="44">
        <f>39/1000</f>
        <v>0.039</v>
      </c>
      <c r="P26" s="44">
        <f t="shared" si="6"/>
        <v>0.00039</v>
      </c>
      <c r="Q26" s="44">
        <f t="shared" si="7"/>
        <v>0.0195</v>
      </c>
      <c r="R26" s="44">
        <f t="shared" si="8"/>
        <v>0.000195</v>
      </c>
    </row>
    <row r="27" spans="1:18" ht="12.75">
      <c r="A27" s="22"/>
      <c r="B27" s="22" t="s">
        <v>93</v>
      </c>
      <c r="C27" s="23">
        <v>0.001</v>
      </c>
      <c r="D27" s="23"/>
      <c r="E27" s="44">
        <f>30/1000</f>
        <v>0.03</v>
      </c>
      <c r="F27" s="44">
        <f t="shared" si="0"/>
        <v>3E-05</v>
      </c>
      <c r="G27" s="44">
        <f t="shared" si="1"/>
        <v>0.03</v>
      </c>
      <c r="H27" s="44">
        <f t="shared" si="2"/>
        <v>3E-05</v>
      </c>
      <c r="I27" s="50"/>
      <c r="J27" s="44">
        <f>40/1000</f>
        <v>0.04</v>
      </c>
      <c r="K27" s="44">
        <f t="shared" si="3"/>
        <v>4E-05</v>
      </c>
      <c r="L27" s="44">
        <f t="shared" si="4"/>
        <v>0.04</v>
      </c>
      <c r="M27" s="44">
        <f t="shared" si="5"/>
        <v>4E-05</v>
      </c>
      <c r="N27" s="50"/>
      <c r="O27" s="44">
        <f>38/1000</f>
        <v>0.038</v>
      </c>
      <c r="P27" s="44">
        <f t="shared" si="6"/>
        <v>3.8E-05</v>
      </c>
      <c r="Q27" s="44">
        <f t="shared" si="7"/>
        <v>0.038</v>
      </c>
      <c r="R27" s="44">
        <f t="shared" si="8"/>
        <v>3.8E-05</v>
      </c>
    </row>
    <row r="28" spans="1:18" ht="12.75">
      <c r="A28" s="22"/>
      <c r="B28" s="22" t="s">
        <v>94</v>
      </c>
      <c r="C28" s="23">
        <v>0</v>
      </c>
      <c r="D28" s="23"/>
      <c r="E28" s="44">
        <f>610/1000</f>
        <v>0.61</v>
      </c>
      <c r="F28" s="44">
        <f t="shared" si="0"/>
        <v>0</v>
      </c>
      <c r="G28" s="44">
        <f t="shared" si="1"/>
        <v>0.61</v>
      </c>
      <c r="H28" s="44">
        <f t="shared" si="2"/>
        <v>0</v>
      </c>
      <c r="I28" s="50"/>
      <c r="J28" s="75">
        <f>1400/1000</f>
        <v>1.4</v>
      </c>
      <c r="K28" s="44">
        <f t="shared" si="3"/>
        <v>0</v>
      </c>
      <c r="L28" s="44">
        <f t="shared" si="4"/>
        <v>1.4</v>
      </c>
      <c r="M28" s="44">
        <f t="shared" si="5"/>
        <v>0</v>
      </c>
      <c r="N28" s="50"/>
      <c r="O28" s="44">
        <f>1700/1000</f>
        <v>1.7</v>
      </c>
      <c r="P28" s="44">
        <f t="shared" si="6"/>
        <v>0</v>
      </c>
      <c r="Q28" s="44">
        <f t="shared" si="7"/>
        <v>1.7</v>
      </c>
      <c r="R28" s="44">
        <f t="shared" si="8"/>
        <v>0</v>
      </c>
    </row>
    <row r="29" spans="1:18" ht="12.75">
      <c r="A29" s="22"/>
      <c r="B29" s="22" t="s">
        <v>95</v>
      </c>
      <c r="C29" s="23">
        <v>0</v>
      </c>
      <c r="D29" s="23"/>
      <c r="E29" s="44">
        <f>130/1000</f>
        <v>0.13</v>
      </c>
      <c r="F29" s="44">
        <f t="shared" si="0"/>
        <v>0</v>
      </c>
      <c r="G29" s="44">
        <f t="shared" si="1"/>
        <v>0.13</v>
      </c>
      <c r="H29" s="44">
        <f t="shared" si="2"/>
        <v>0</v>
      </c>
      <c r="I29" s="50"/>
      <c r="J29" s="44">
        <f>470/1000</f>
        <v>0.47</v>
      </c>
      <c r="K29" s="44">
        <f t="shared" si="3"/>
        <v>0</v>
      </c>
      <c r="L29" s="44">
        <f t="shared" si="4"/>
        <v>0.47</v>
      </c>
      <c r="M29" s="44">
        <f t="shared" si="5"/>
        <v>0</v>
      </c>
      <c r="N29" s="50"/>
      <c r="O29" s="44">
        <f>570/1000</f>
        <v>0.57</v>
      </c>
      <c r="P29" s="44">
        <f t="shared" si="6"/>
        <v>0</v>
      </c>
      <c r="Q29" s="44">
        <f t="shared" si="7"/>
        <v>0.57</v>
      </c>
      <c r="R29" s="44">
        <f t="shared" si="8"/>
        <v>0</v>
      </c>
    </row>
    <row r="30" spans="1:18" ht="12.75">
      <c r="A30" s="22"/>
      <c r="B30" s="22" t="s">
        <v>96</v>
      </c>
      <c r="C30" s="23">
        <v>0</v>
      </c>
      <c r="D30" s="23"/>
      <c r="E30" s="44">
        <f>89/1000</f>
        <v>0.089</v>
      </c>
      <c r="F30" s="44">
        <f t="shared" si="0"/>
        <v>0</v>
      </c>
      <c r="G30" s="44">
        <f t="shared" si="1"/>
        <v>0.089</v>
      </c>
      <c r="H30" s="44">
        <f t="shared" si="2"/>
        <v>0</v>
      </c>
      <c r="I30" s="50"/>
      <c r="J30" s="44">
        <f>130/1000</f>
        <v>0.13</v>
      </c>
      <c r="K30" s="44">
        <f t="shared" si="3"/>
        <v>0</v>
      </c>
      <c r="L30" s="44">
        <f t="shared" si="4"/>
        <v>0.13</v>
      </c>
      <c r="M30" s="44">
        <f t="shared" si="5"/>
        <v>0</v>
      </c>
      <c r="N30" s="50"/>
      <c r="O30" s="44">
        <f>140/1000</f>
        <v>0.14</v>
      </c>
      <c r="P30" s="44">
        <f t="shared" si="6"/>
        <v>0</v>
      </c>
      <c r="Q30" s="44">
        <f t="shared" si="7"/>
        <v>0.14</v>
      </c>
      <c r="R30" s="44">
        <f t="shared" si="8"/>
        <v>0</v>
      </c>
    </row>
    <row r="31" spans="1:18" ht="12.75">
      <c r="A31" s="22"/>
      <c r="B31" s="22" t="s">
        <v>97</v>
      </c>
      <c r="C31" s="23">
        <v>0</v>
      </c>
      <c r="D31" s="23"/>
      <c r="E31" s="44">
        <f>53/1000</f>
        <v>0.053</v>
      </c>
      <c r="F31" s="44">
        <f t="shared" si="0"/>
        <v>0</v>
      </c>
      <c r="G31" s="44">
        <f t="shared" si="1"/>
        <v>0.053</v>
      </c>
      <c r="H31" s="44">
        <f t="shared" si="2"/>
        <v>0</v>
      </c>
      <c r="I31" s="50"/>
      <c r="J31" s="44">
        <f>70/1000</f>
        <v>0.07</v>
      </c>
      <c r="K31" s="44">
        <f t="shared" si="3"/>
        <v>0</v>
      </c>
      <c r="L31" s="44">
        <f t="shared" si="4"/>
        <v>0.07</v>
      </c>
      <c r="M31" s="44">
        <f t="shared" si="5"/>
        <v>0</v>
      </c>
      <c r="N31" s="50"/>
      <c r="O31" s="44">
        <f>76/1000</f>
        <v>0.076</v>
      </c>
      <c r="P31" s="44">
        <f t="shared" si="6"/>
        <v>0</v>
      </c>
      <c r="Q31" s="44">
        <f t="shared" si="7"/>
        <v>0.076</v>
      </c>
      <c r="R31" s="44">
        <f t="shared" si="8"/>
        <v>0</v>
      </c>
    </row>
    <row r="32" spans="1:18" ht="12.75">
      <c r="A32" s="22"/>
      <c r="B32" s="22" t="s">
        <v>98</v>
      </c>
      <c r="C32" s="23">
        <v>0</v>
      </c>
      <c r="D32" s="23"/>
      <c r="E32" s="44">
        <f>18000/1000</f>
        <v>18</v>
      </c>
      <c r="F32" s="44">
        <f t="shared" si="0"/>
        <v>0</v>
      </c>
      <c r="G32" s="44">
        <f t="shared" si="1"/>
        <v>18</v>
      </c>
      <c r="H32" s="44">
        <f t="shared" si="2"/>
        <v>0</v>
      </c>
      <c r="I32" s="50"/>
      <c r="J32" s="44">
        <f>49000/1000</f>
        <v>49</v>
      </c>
      <c r="K32" s="44">
        <f t="shared" si="3"/>
        <v>0</v>
      </c>
      <c r="L32" s="44">
        <f t="shared" si="4"/>
        <v>49</v>
      </c>
      <c r="M32" s="44">
        <f t="shared" si="5"/>
        <v>0</v>
      </c>
      <c r="N32" s="50"/>
      <c r="O32" s="44">
        <f>59000/1000</f>
        <v>59</v>
      </c>
      <c r="P32" s="44">
        <f t="shared" si="6"/>
        <v>0</v>
      </c>
      <c r="Q32" s="44">
        <f t="shared" si="7"/>
        <v>59</v>
      </c>
      <c r="R32" s="44">
        <f t="shared" si="8"/>
        <v>0</v>
      </c>
    </row>
    <row r="33" spans="1:18" ht="12.75">
      <c r="A33" s="22"/>
      <c r="B33" s="22" t="s">
        <v>99</v>
      </c>
      <c r="C33" s="23">
        <v>0</v>
      </c>
      <c r="D33" s="23"/>
      <c r="E33" s="44">
        <f>2600/1000</f>
        <v>2.6</v>
      </c>
      <c r="F33" s="44">
        <f t="shared" si="0"/>
        <v>0</v>
      </c>
      <c r="G33" s="44">
        <f t="shared" si="1"/>
        <v>2.6</v>
      </c>
      <c r="H33" s="44">
        <f t="shared" si="2"/>
        <v>0</v>
      </c>
      <c r="I33" s="50"/>
      <c r="J33" s="44">
        <f>12000/1000</f>
        <v>12</v>
      </c>
      <c r="K33" s="44">
        <f t="shared" si="3"/>
        <v>0</v>
      </c>
      <c r="L33" s="44">
        <f t="shared" si="4"/>
        <v>12</v>
      </c>
      <c r="M33" s="44">
        <f t="shared" si="5"/>
        <v>0</v>
      </c>
      <c r="N33" s="50"/>
      <c r="O33" s="44">
        <f>17000/1000</f>
        <v>17</v>
      </c>
      <c r="P33" s="44">
        <f t="shared" si="6"/>
        <v>0</v>
      </c>
      <c r="Q33" s="44">
        <f t="shared" si="7"/>
        <v>17</v>
      </c>
      <c r="R33" s="44">
        <f t="shared" si="8"/>
        <v>0</v>
      </c>
    </row>
    <row r="34" spans="1:18" ht="12.75">
      <c r="A34" s="22"/>
      <c r="B34" s="22" t="s">
        <v>100</v>
      </c>
      <c r="C34" s="23">
        <v>0</v>
      </c>
      <c r="D34" s="23"/>
      <c r="E34" s="44">
        <f>380/1000</f>
        <v>0.38</v>
      </c>
      <c r="F34" s="44">
        <f t="shared" si="0"/>
        <v>0</v>
      </c>
      <c r="G34" s="44">
        <f t="shared" si="1"/>
        <v>0.38</v>
      </c>
      <c r="H34" s="44">
        <f t="shared" si="2"/>
        <v>0</v>
      </c>
      <c r="I34" s="50"/>
      <c r="J34" s="44">
        <f>1900/1000</f>
        <v>1.9</v>
      </c>
      <c r="K34" s="44">
        <f t="shared" si="3"/>
        <v>0</v>
      </c>
      <c r="L34" s="44">
        <f t="shared" si="4"/>
        <v>1.9</v>
      </c>
      <c r="M34" s="44">
        <f t="shared" si="5"/>
        <v>0</v>
      </c>
      <c r="N34" s="50"/>
      <c r="O34" s="44">
        <f>2800/1000</f>
        <v>2.8</v>
      </c>
      <c r="P34" s="44">
        <f t="shared" si="6"/>
        <v>0</v>
      </c>
      <c r="Q34" s="44">
        <f t="shared" si="7"/>
        <v>2.8</v>
      </c>
      <c r="R34" s="44">
        <f t="shared" si="8"/>
        <v>0</v>
      </c>
    </row>
    <row r="35" spans="1:18" ht="12.75">
      <c r="A35" s="22" t="s">
        <v>101</v>
      </c>
      <c r="B35" s="22" t="s">
        <v>102</v>
      </c>
      <c r="C35" s="23">
        <v>0</v>
      </c>
      <c r="D35" s="23"/>
      <c r="E35" s="44">
        <f>83/1000</f>
        <v>0.083</v>
      </c>
      <c r="F35" s="44">
        <f t="shared" si="0"/>
        <v>0</v>
      </c>
      <c r="G35" s="44">
        <f t="shared" si="1"/>
        <v>0.083</v>
      </c>
      <c r="H35" s="44">
        <f t="shared" si="2"/>
        <v>0</v>
      </c>
      <c r="I35" s="50"/>
      <c r="J35" s="44">
        <f>320/1000</f>
        <v>0.32</v>
      </c>
      <c r="K35" s="44">
        <f t="shared" si="3"/>
        <v>0</v>
      </c>
      <c r="L35" s="44">
        <f t="shared" si="4"/>
        <v>0.32</v>
      </c>
      <c r="M35" s="44">
        <f t="shared" si="5"/>
        <v>0</v>
      </c>
      <c r="N35" s="50"/>
      <c r="O35" s="44">
        <f>400/1000</f>
        <v>0.4</v>
      </c>
      <c r="P35" s="44">
        <f t="shared" si="6"/>
        <v>0</v>
      </c>
      <c r="Q35" s="44">
        <f t="shared" si="7"/>
        <v>0.4</v>
      </c>
      <c r="R35" s="44">
        <f t="shared" si="8"/>
        <v>0</v>
      </c>
    </row>
    <row r="36" spans="1:18" s="110" customFormat="1" ht="12.75">
      <c r="A36" s="22"/>
      <c r="B36" s="22"/>
      <c r="C36" s="22"/>
      <c r="D36" s="22"/>
      <c r="E36" s="48"/>
      <c r="F36" s="48"/>
      <c r="G36" s="48"/>
      <c r="H36" s="44"/>
      <c r="I36" s="48"/>
      <c r="J36" s="22"/>
      <c r="K36" s="48"/>
      <c r="L36" s="24"/>
      <c r="M36" s="24"/>
      <c r="N36" s="48"/>
      <c r="O36" s="22"/>
      <c r="P36" s="48"/>
      <c r="Q36" s="48"/>
      <c r="R36" s="43"/>
    </row>
    <row r="37" spans="1:18" s="110" customFormat="1" ht="12.75">
      <c r="A37" s="22"/>
      <c r="B37" s="22" t="s">
        <v>103</v>
      </c>
      <c r="C37" s="22"/>
      <c r="D37" s="22"/>
      <c r="E37" s="48"/>
      <c r="F37" s="48">
        <v>148.27</v>
      </c>
      <c r="G37" s="48">
        <v>148.27</v>
      </c>
      <c r="H37" s="48">
        <v>148.27</v>
      </c>
      <c r="I37" s="48"/>
      <c r="J37" s="48"/>
      <c r="K37" s="48">
        <v>148.2</v>
      </c>
      <c r="L37" s="48">
        <v>148.2</v>
      </c>
      <c r="M37" s="48">
        <v>148.2</v>
      </c>
      <c r="N37" s="48"/>
      <c r="O37" s="48"/>
      <c r="P37" s="48">
        <f>143.44</f>
        <v>143.44</v>
      </c>
      <c r="Q37" s="48">
        <f>143.44</f>
        <v>143.44</v>
      </c>
      <c r="R37" s="48">
        <f>143.44</f>
        <v>143.44</v>
      </c>
    </row>
    <row r="38" spans="1:18" s="110" customFormat="1" ht="12.75">
      <c r="A38" s="22"/>
      <c r="B38" s="22" t="s">
        <v>104</v>
      </c>
      <c r="C38" s="22"/>
      <c r="D38" s="22"/>
      <c r="E38" s="48"/>
      <c r="F38" s="48">
        <v>14.23</v>
      </c>
      <c r="G38" s="48">
        <v>14.23</v>
      </c>
      <c r="H38" s="48">
        <v>14.23</v>
      </c>
      <c r="I38" s="48"/>
      <c r="J38" s="48"/>
      <c r="K38" s="24">
        <v>14.27</v>
      </c>
      <c r="L38" s="24">
        <v>14.27</v>
      </c>
      <c r="M38" s="24">
        <v>14.27</v>
      </c>
      <c r="N38" s="48"/>
      <c r="O38" s="48"/>
      <c r="P38" s="48">
        <v>14.38</v>
      </c>
      <c r="Q38" s="48">
        <v>14.38</v>
      </c>
      <c r="R38" s="48">
        <v>14.38</v>
      </c>
    </row>
    <row r="39" spans="1:18" s="110" customFormat="1" ht="12.75">
      <c r="A39" s="22"/>
      <c r="B39" s="22"/>
      <c r="C39" s="22"/>
      <c r="D39" s="22"/>
      <c r="E39" s="48"/>
      <c r="F39" s="22"/>
      <c r="G39" s="48"/>
      <c r="H39" s="22"/>
      <c r="I39" s="22"/>
      <c r="J39" s="48"/>
      <c r="K39" s="22"/>
      <c r="L39" s="24"/>
      <c r="M39" s="24"/>
      <c r="N39" s="48"/>
      <c r="O39" s="48"/>
      <c r="P39" s="22"/>
      <c r="Q39" s="48"/>
      <c r="R39" s="48"/>
    </row>
    <row r="40" spans="1:18" s="110" customFormat="1" ht="12.75">
      <c r="A40" s="22"/>
      <c r="B40" s="22" t="s">
        <v>105</v>
      </c>
      <c r="C40" s="44"/>
      <c r="D40" s="44"/>
      <c r="E40" s="24"/>
      <c r="F40" s="50">
        <f>SUM(F11:F27)</f>
        <v>0.18625999999999998</v>
      </c>
      <c r="G40" s="24">
        <f>SUM(G27,G35,G34,G33,G32,G17,G31,G30,G29,G28)</f>
        <v>22.044999999999998</v>
      </c>
      <c r="H40" s="50">
        <f>SUM(H11:H27)</f>
        <v>0.181475</v>
      </c>
      <c r="I40" s="44"/>
      <c r="J40" s="24"/>
      <c r="K40" s="50">
        <f>SUM(K11:K27)</f>
        <v>0.650726</v>
      </c>
      <c r="L40" s="24">
        <f>SUM(L27,L35,L34,L33,L32,L17,L31,L30,L29,L28)</f>
        <v>65.41600000000001</v>
      </c>
      <c r="M40" s="50">
        <f>SUM(M11:M27)</f>
        <v>0.6486160000000001</v>
      </c>
      <c r="N40" s="44"/>
      <c r="O40" s="48"/>
      <c r="P40" s="50">
        <f>SUM(P11:P27)</f>
        <v>0.882092</v>
      </c>
      <c r="Q40" s="24">
        <f>SUM(Q27,Q35,Q34,Q33,Q32,Q17,Q31,Q30,Q29,Q28)</f>
        <v>81.78799999999998</v>
      </c>
      <c r="R40" s="50">
        <f>SUM(R11:R27)</f>
        <v>0.879197</v>
      </c>
    </row>
    <row r="41" spans="1:19" ht="12.75">
      <c r="A41" s="22"/>
      <c r="B41" s="22" t="s">
        <v>106</v>
      </c>
      <c r="C41" s="44"/>
      <c r="D41" s="24">
        <f>(F41-H41)*2/F41*100</f>
        <v>5.137979168903631</v>
      </c>
      <c r="E41" s="48"/>
      <c r="F41" s="50">
        <f>(F40/F37/0.0283*(21-7)/(21-F38))</f>
        <v>0.09179504573002481</v>
      </c>
      <c r="G41" s="48">
        <f>(G40/G37/0.0283*(21-7)/(21-G38))</f>
        <v>10.864500070430566</v>
      </c>
      <c r="H41" s="50">
        <f>(H40/H37/0.0283*(21-7)/(21-H38))</f>
        <v>0.08943684056617769</v>
      </c>
      <c r="I41" s="24">
        <f>(K41-M41)*2/K41*100</f>
        <v>0.648506437425246</v>
      </c>
      <c r="J41" s="48"/>
      <c r="K41" s="50">
        <f>(K40/K37/0.0283*(21-7)/(21-K38))</f>
        <v>0.3227576106557382</v>
      </c>
      <c r="L41" s="48">
        <f>(L40/L37/0.0283*(21-7)/(21-L38))</f>
        <v>32.44608615401225</v>
      </c>
      <c r="M41" s="50">
        <f>M40/M37/0.0283*(21-7)/(21-M38)</f>
        <v>0.321711058714547</v>
      </c>
      <c r="N41" s="24">
        <f>(P41-R41)*2/P41*100</f>
        <v>0.6563941176204098</v>
      </c>
      <c r="O41" s="48"/>
      <c r="P41" s="50">
        <f>(P40/P37/0.0283*(21-7)/(21-P38))</f>
        <v>0.4595441241647969</v>
      </c>
      <c r="Q41" s="48">
        <f>(Q40/Q37/0.0283*(21-7)/(21-Q38))</f>
        <v>42.60915508494624</v>
      </c>
      <c r="R41" s="50">
        <f>R40/R37/0.0283*(21-7)/(21-R38)</f>
        <v>0.4580359138653529</v>
      </c>
      <c r="S41" s="49"/>
    </row>
    <row r="42" spans="1:18" ht="12.75">
      <c r="A42" s="22"/>
      <c r="B42" s="22"/>
      <c r="C42" s="22"/>
      <c r="D42" s="22"/>
      <c r="E42" s="50"/>
      <c r="F42" s="50"/>
      <c r="G42" s="50"/>
      <c r="H42" s="44"/>
      <c r="I42" s="50"/>
      <c r="J42" s="50"/>
      <c r="K42" s="50"/>
      <c r="L42" s="50"/>
      <c r="M42" s="50"/>
      <c r="N42" s="50"/>
      <c r="O42" s="50"/>
      <c r="P42" s="50"/>
      <c r="Q42" s="50"/>
      <c r="R42" s="43"/>
    </row>
    <row r="43" spans="1:18" ht="12.75">
      <c r="A43" s="48"/>
      <c r="B43" s="22" t="s">
        <v>107</v>
      </c>
      <c r="C43" s="50">
        <f>AVERAGE(H41,M41,R41)</f>
        <v>0.2897279377153592</v>
      </c>
      <c r="D43" s="48"/>
      <c r="E43" s="51"/>
      <c r="F43" s="51"/>
      <c r="G43" s="48"/>
      <c r="H43" s="44"/>
      <c r="I43" s="48"/>
      <c r="J43" s="48"/>
      <c r="K43" s="51"/>
      <c r="L43" s="48"/>
      <c r="M43" s="48"/>
      <c r="N43" s="48"/>
      <c r="O43" s="48"/>
      <c r="P43" s="51"/>
      <c r="Q43" s="48"/>
      <c r="R43" s="43"/>
    </row>
    <row r="44" spans="1:18" ht="12.75">
      <c r="A44" s="22"/>
      <c r="B44" s="22" t="s">
        <v>108</v>
      </c>
      <c r="C44" s="48">
        <f>AVERAGE(G41,L41,Q41)</f>
        <v>28.63991376979635</v>
      </c>
      <c r="D44" s="22"/>
      <c r="E44" s="43"/>
      <c r="F44" s="43"/>
      <c r="G44" s="43"/>
      <c r="H44" s="44"/>
      <c r="I44" s="43"/>
      <c r="J44" s="43"/>
      <c r="K44" s="43"/>
      <c r="L44" s="43"/>
      <c r="M44" s="43"/>
      <c r="N44" s="43"/>
      <c r="O44" s="43"/>
      <c r="P44" s="43"/>
      <c r="Q44" s="43"/>
      <c r="R44" s="4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C1" sqref="C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4.140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5.421875" style="0" customWidth="1"/>
    <col min="16" max="16" width="9.00390625" style="0" customWidth="1"/>
    <col min="18" max="18" width="9.00390625" style="0" customWidth="1"/>
  </cols>
  <sheetData>
    <row r="1" spans="1:18" ht="12.75">
      <c r="A1" s="42" t="s">
        <v>68</v>
      </c>
      <c r="B1" s="22"/>
      <c r="C1" s="22"/>
      <c r="D1" s="22"/>
      <c r="E1" s="43"/>
      <c r="F1" s="44"/>
      <c r="G1" s="43"/>
      <c r="H1" s="44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>
      <c r="A2" s="22" t="s">
        <v>282</v>
      </c>
      <c r="B2" s="22"/>
      <c r="C2" s="22"/>
      <c r="D2" s="22"/>
      <c r="E2" s="43"/>
      <c r="F2" s="44"/>
      <c r="G2" s="43"/>
      <c r="H2" s="44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.75">
      <c r="A3" s="22" t="s">
        <v>69</v>
      </c>
      <c r="B3" s="22"/>
      <c r="C3" s="8" t="s">
        <v>179</v>
      </c>
      <c r="D3" s="8"/>
      <c r="E3" s="43"/>
      <c r="F3" s="44"/>
      <c r="G3" s="43"/>
      <c r="H3" s="44"/>
      <c r="I3" s="43"/>
      <c r="J3" s="45"/>
      <c r="K3" s="43"/>
      <c r="L3" s="43"/>
      <c r="M3" s="43"/>
      <c r="N3" s="43"/>
      <c r="O3" s="43"/>
      <c r="P3" s="43"/>
      <c r="Q3" s="43"/>
      <c r="R3" s="43"/>
    </row>
    <row r="4" spans="1:18" ht="12.75">
      <c r="A4" s="22" t="s">
        <v>70</v>
      </c>
      <c r="B4" s="22"/>
      <c r="C4" s="64" t="s">
        <v>170</v>
      </c>
      <c r="D4" s="8" t="s">
        <v>137</v>
      </c>
      <c r="E4" s="46"/>
      <c r="F4" s="47"/>
      <c r="G4" s="46"/>
      <c r="H4" s="47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2.75">
      <c r="A5" s="22" t="s">
        <v>71</v>
      </c>
      <c r="B5" s="22"/>
      <c r="C5" s="65" t="s">
        <v>117</v>
      </c>
      <c r="D5" s="9"/>
      <c r="E5" s="9"/>
      <c r="F5" s="9"/>
      <c r="G5" s="9"/>
      <c r="H5" s="9"/>
      <c r="I5" s="9"/>
      <c r="J5" s="9"/>
      <c r="K5" s="43"/>
      <c r="L5" s="9"/>
      <c r="M5" s="43"/>
      <c r="N5" s="43"/>
      <c r="O5" s="43"/>
      <c r="P5" s="43"/>
      <c r="Q5" s="43"/>
      <c r="R5" s="43"/>
    </row>
    <row r="6" spans="1:18" ht="12.75">
      <c r="A6" s="22"/>
      <c r="B6" s="22"/>
      <c r="C6" s="23"/>
      <c r="D6" s="23"/>
      <c r="E6" s="26"/>
      <c r="F6" s="44"/>
      <c r="G6" s="26"/>
      <c r="H6" s="44"/>
      <c r="I6" s="43"/>
      <c r="J6" s="26"/>
      <c r="K6" s="43"/>
      <c r="L6" s="26"/>
      <c r="M6" s="43"/>
      <c r="N6" s="43"/>
      <c r="O6" s="26"/>
      <c r="P6" s="43"/>
      <c r="Q6" s="26"/>
      <c r="R6" s="43"/>
    </row>
    <row r="7" spans="1:18" ht="12.75">
      <c r="A7" s="22"/>
      <c r="B7" s="22"/>
      <c r="C7" s="23" t="s">
        <v>72</v>
      </c>
      <c r="D7" s="23"/>
      <c r="E7" s="111" t="s">
        <v>29</v>
      </c>
      <c r="F7" s="111"/>
      <c r="G7" s="111"/>
      <c r="H7" s="111"/>
      <c r="I7" s="112"/>
      <c r="J7" s="111" t="s">
        <v>30</v>
      </c>
      <c r="K7" s="111"/>
      <c r="L7" s="111"/>
      <c r="M7" s="111"/>
      <c r="N7" s="112"/>
      <c r="O7" s="111" t="s">
        <v>31</v>
      </c>
      <c r="P7" s="111"/>
      <c r="Q7" s="111"/>
      <c r="R7" s="111"/>
    </row>
    <row r="8" spans="1:18" ht="12.75">
      <c r="A8" s="22"/>
      <c r="B8" s="22"/>
      <c r="C8" s="23" t="s">
        <v>73</v>
      </c>
      <c r="D8" s="22"/>
      <c r="E8" s="26" t="s">
        <v>66</v>
      </c>
      <c r="F8" s="47" t="s">
        <v>74</v>
      </c>
      <c r="G8" s="26" t="s">
        <v>66</v>
      </c>
      <c r="H8" s="47" t="s">
        <v>74</v>
      </c>
      <c r="I8" s="43"/>
      <c r="J8" s="26" t="s">
        <v>66</v>
      </c>
      <c r="K8" s="26" t="s">
        <v>75</v>
      </c>
      <c r="L8" s="26" t="s">
        <v>66</v>
      </c>
      <c r="M8" s="26" t="s">
        <v>75</v>
      </c>
      <c r="N8" s="43"/>
      <c r="O8" s="26" t="s">
        <v>66</v>
      </c>
      <c r="P8" s="26" t="s">
        <v>75</v>
      </c>
      <c r="Q8" s="26" t="s">
        <v>66</v>
      </c>
      <c r="R8" s="26" t="s">
        <v>75</v>
      </c>
    </row>
    <row r="9" spans="1:18" ht="12.75">
      <c r="A9" s="22"/>
      <c r="B9" s="22"/>
      <c r="C9" s="23"/>
      <c r="D9" s="22"/>
      <c r="E9" s="26" t="s">
        <v>281</v>
      </c>
      <c r="F9" s="26" t="s">
        <v>281</v>
      </c>
      <c r="G9" s="26" t="s">
        <v>76</v>
      </c>
      <c r="H9" s="47" t="s">
        <v>76</v>
      </c>
      <c r="I9" s="43"/>
      <c r="J9" s="26" t="s">
        <v>281</v>
      </c>
      <c r="K9" s="26" t="s">
        <v>281</v>
      </c>
      <c r="L9" s="26" t="s">
        <v>76</v>
      </c>
      <c r="M9" s="47" t="s">
        <v>76</v>
      </c>
      <c r="N9" s="43"/>
      <c r="O9" s="26" t="s">
        <v>281</v>
      </c>
      <c r="P9" s="26" t="s">
        <v>281</v>
      </c>
      <c r="Q9" s="26" t="s">
        <v>76</v>
      </c>
      <c r="R9" s="47" t="s">
        <v>76</v>
      </c>
    </row>
    <row r="10" spans="1:18" ht="12.75">
      <c r="A10" s="22" t="s">
        <v>109</v>
      </c>
      <c r="B10" s="22"/>
      <c r="C10" s="22"/>
      <c r="D10" s="22"/>
      <c r="E10" s="43"/>
      <c r="F10" s="44"/>
      <c r="G10" s="43"/>
      <c r="H10" s="44"/>
      <c r="I10" s="43"/>
      <c r="J10" s="43"/>
      <c r="K10" s="43"/>
      <c r="L10" s="43"/>
      <c r="M10" s="43"/>
      <c r="N10" s="43"/>
      <c r="O10" s="24"/>
      <c r="P10" s="43"/>
      <c r="Q10" s="43"/>
      <c r="R10" s="43"/>
    </row>
    <row r="11" spans="1:18" ht="12.75">
      <c r="A11" s="22"/>
      <c r="B11" s="22" t="s">
        <v>77</v>
      </c>
      <c r="C11" s="23">
        <v>1</v>
      </c>
      <c r="D11" s="23"/>
      <c r="E11" s="48">
        <f>2600/1000</f>
        <v>2.6</v>
      </c>
      <c r="F11" s="48">
        <f aca="true" t="shared" si="0" ref="F11:H35">IF(E11="","",E11*$C11)</f>
        <v>2.6</v>
      </c>
      <c r="G11" s="48">
        <f aca="true" t="shared" si="1" ref="G11:G35">IF(E11=0,"",IF(D11="nd",E11/2,E11))</f>
        <v>2.6</v>
      </c>
      <c r="H11" s="48">
        <f t="shared" si="0"/>
        <v>2.6</v>
      </c>
      <c r="I11" s="50"/>
      <c r="J11" s="48">
        <f>3300/1000</f>
        <v>3.3</v>
      </c>
      <c r="K11" s="48">
        <f aca="true" t="shared" si="2" ref="K11:M35">IF(J11="","",J11*$C11)</f>
        <v>3.3</v>
      </c>
      <c r="L11" s="48">
        <f aca="true" t="shared" si="3" ref="L11:L35">IF(J11=0,"",IF(I11="nd",J11/2,J11))</f>
        <v>3.3</v>
      </c>
      <c r="M11" s="48">
        <f t="shared" si="2"/>
        <v>3.3</v>
      </c>
      <c r="N11" s="48"/>
      <c r="O11" s="48">
        <f>3200/1000</f>
        <v>3.2</v>
      </c>
      <c r="P11" s="48">
        <f aca="true" t="shared" si="4" ref="P11:R35">IF(O11="","",O11*$C11)</f>
        <v>3.2</v>
      </c>
      <c r="Q11" s="48">
        <f aca="true" t="shared" si="5" ref="Q11:Q35">IF(O11=0,"",IF(N11="nd",O11/2,O11))</f>
        <v>3.2</v>
      </c>
      <c r="R11" s="48">
        <f t="shared" si="4"/>
        <v>3.2</v>
      </c>
    </row>
    <row r="12" spans="1:18" ht="12.75">
      <c r="A12" s="22"/>
      <c r="B12" s="22" t="s">
        <v>78</v>
      </c>
      <c r="C12" s="23">
        <v>0.5</v>
      </c>
      <c r="D12" s="23"/>
      <c r="E12" s="48">
        <f>6000/1000</f>
        <v>6</v>
      </c>
      <c r="F12" s="48">
        <f t="shared" si="0"/>
        <v>3</v>
      </c>
      <c r="G12" s="48">
        <f t="shared" si="1"/>
        <v>6</v>
      </c>
      <c r="H12" s="48">
        <f t="shared" si="0"/>
        <v>3</v>
      </c>
      <c r="I12" s="50"/>
      <c r="J12" s="48">
        <f>8200/1000</f>
        <v>8.2</v>
      </c>
      <c r="K12" s="48">
        <f t="shared" si="2"/>
        <v>4.1</v>
      </c>
      <c r="L12" s="48">
        <f t="shared" si="3"/>
        <v>8.2</v>
      </c>
      <c r="M12" s="48">
        <f t="shared" si="2"/>
        <v>4.1</v>
      </c>
      <c r="N12" s="48"/>
      <c r="O12" s="48">
        <f>7600/1000</f>
        <v>7.6</v>
      </c>
      <c r="P12" s="48">
        <f t="shared" si="4"/>
        <v>3.8</v>
      </c>
      <c r="Q12" s="48">
        <f t="shared" si="5"/>
        <v>7.6</v>
      </c>
      <c r="R12" s="48">
        <f t="shared" si="4"/>
        <v>3.8</v>
      </c>
    </row>
    <row r="13" spans="1:18" ht="12.75">
      <c r="A13" s="22"/>
      <c r="B13" s="22" t="s">
        <v>79</v>
      </c>
      <c r="C13" s="23">
        <v>0.1</v>
      </c>
      <c r="D13" s="23"/>
      <c r="E13" s="48">
        <f>3600/1000</f>
        <v>3.6</v>
      </c>
      <c r="F13" s="48">
        <f t="shared" si="0"/>
        <v>0.36000000000000004</v>
      </c>
      <c r="G13" s="48">
        <f t="shared" si="1"/>
        <v>3.6</v>
      </c>
      <c r="H13" s="48">
        <f t="shared" si="0"/>
        <v>0.36000000000000004</v>
      </c>
      <c r="I13" s="50"/>
      <c r="J13" s="48">
        <f>5900/1000</f>
        <v>5.9</v>
      </c>
      <c r="K13" s="48">
        <f t="shared" si="2"/>
        <v>0.5900000000000001</v>
      </c>
      <c r="L13" s="48">
        <f t="shared" si="3"/>
        <v>5.9</v>
      </c>
      <c r="M13" s="48">
        <f t="shared" si="2"/>
        <v>0.5900000000000001</v>
      </c>
      <c r="N13" s="48"/>
      <c r="O13" s="48">
        <f>5400/1000</f>
        <v>5.4</v>
      </c>
      <c r="P13" s="48">
        <f t="shared" si="4"/>
        <v>0.54</v>
      </c>
      <c r="Q13" s="48">
        <f t="shared" si="5"/>
        <v>5.4</v>
      </c>
      <c r="R13" s="48">
        <f t="shared" si="4"/>
        <v>0.54</v>
      </c>
    </row>
    <row r="14" spans="1:18" ht="12.75">
      <c r="A14" s="22"/>
      <c r="B14" s="22" t="s">
        <v>80</v>
      </c>
      <c r="C14" s="23">
        <v>0.1</v>
      </c>
      <c r="D14" s="23"/>
      <c r="E14" s="48">
        <f>3800/1000</f>
        <v>3.8</v>
      </c>
      <c r="F14" s="48">
        <f t="shared" si="0"/>
        <v>0.38</v>
      </c>
      <c r="G14" s="48">
        <f t="shared" si="1"/>
        <v>3.8</v>
      </c>
      <c r="H14" s="48">
        <f t="shared" si="0"/>
        <v>0.38</v>
      </c>
      <c r="I14" s="50"/>
      <c r="J14" s="48">
        <f>6300/1000</f>
        <v>6.3</v>
      </c>
      <c r="K14" s="48">
        <f t="shared" si="2"/>
        <v>0.63</v>
      </c>
      <c r="L14" s="48">
        <f t="shared" si="3"/>
        <v>6.3</v>
      </c>
      <c r="M14" s="48">
        <f t="shared" si="2"/>
        <v>0.63</v>
      </c>
      <c r="N14" s="48"/>
      <c r="O14" s="48">
        <f>5300/1000</f>
        <v>5.3</v>
      </c>
      <c r="P14" s="48">
        <f t="shared" si="4"/>
        <v>0.53</v>
      </c>
      <c r="Q14" s="48">
        <f t="shared" si="5"/>
        <v>5.3</v>
      </c>
      <c r="R14" s="48">
        <f t="shared" si="4"/>
        <v>0.53</v>
      </c>
    </row>
    <row r="15" spans="1:18" ht="12.75">
      <c r="A15" s="22"/>
      <c r="B15" s="22" t="s">
        <v>81</v>
      </c>
      <c r="C15" s="23">
        <v>0.1</v>
      </c>
      <c r="D15" s="23"/>
      <c r="E15" s="48">
        <f>2800/1000</f>
        <v>2.8</v>
      </c>
      <c r="F15" s="48">
        <f t="shared" si="0"/>
        <v>0.27999999999999997</v>
      </c>
      <c r="G15" s="48">
        <f t="shared" si="1"/>
        <v>2.8</v>
      </c>
      <c r="H15" s="48">
        <f t="shared" si="0"/>
        <v>0.27999999999999997</v>
      </c>
      <c r="I15" s="50"/>
      <c r="J15" s="48">
        <f>4100/1000</f>
        <v>4.1</v>
      </c>
      <c r="K15" s="48">
        <f t="shared" si="2"/>
        <v>0.41</v>
      </c>
      <c r="L15" s="48">
        <f t="shared" si="3"/>
        <v>4.1</v>
      </c>
      <c r="M15" s="48">
        <f t="shared" si="2"/>
        <v>0.41</v>
      </c>
      <c r="N15" s="48"/>
      <c r="O15" s="48">
        <f>4100/1000</f>
        <v>4.1</v>
      </c>
      <c r="P15" s="48">
        <f t="shared" si="4"/>
        <v>0.41</v>
      </c>
      <c r="Q15" s="48">
        <f t="shared" si="5"/>
        <v>4.1</v>
      </c>
      <c r="R15" s="48">
        <f t="shared" si="4"/>
        <v>0.41</v>
      </c>
    </row>
    <row r="16" spans="1:18" ht="12.75">
      <c r="A16" s="22"/>
      <c r="B16" s="22" t="s">
        <v>82</v>
      </c>
      <c r="C16" s="23">
        <v>0.01</v>
      </c>
      <c r="D16" s="23"/>
      <c r="E16" s="48">
        <f>9600/1000</f>
        <v>9.6</v>
      </c>
      <c r="F16" s="48">
        <f t="shared" si="0"/>
        <v>0.096</v>
      </c>
      <c r="G16" s="48">
        <f t="shared" si="1"/>
        <v>9.6</v>
      </c>
      <c r="H16" s="48">
        <f t="shared" si="0"/>
        <v>0.096</v>
      </c>
      <c r="I16" s="50"/>
      <c r="J16" s="48">
        <f>21000/1000</f>
        <v>21</v>
      </c>
      <c r="K16" s="48">
        <f t="shared" si="2"/>
        <v>0.21</v>
      </c>
      <c r="L16" s="48">
        <f t="shared" si="3"/>
        <v>21</v>
      </c>
      <c r="M16" s="48">
        <f t="shared" si="2"/>
        <v>0.21</v>
      </c>
      <c r="N16" s="48"/>
      <c r="O16" s="48">
        <f>17000/1000</f>
        <v>17</v>
      </c>
      <c r="P16" s="48">
        <f t="shared" si="4"/>
        <v>0.17</v>
      </c>
      <c r="Q16" s="48">
        <f t="shared" si="5"/>
        <v>17</v>
      </c>
      <c r="R16" s="48">
        <f t="shared" si="4"/>
        <v>0.17</v>
      </c>
    </row>
    <row r="17" spans="1:18" ht="12.75">
      <c r="A17" s="22"/>
      <c r="B17" s="22" t="s">
        <v>83</v>
      </c>
      <c r="C17" s="23">
        <v>0.001</v>
      </c>
      <c r="D17" s="23"/>
      <c r="E17" s="48">
        <f>4800/1000</f>
        <v>4.8</v>
      </c>
      <c r="F17" s="48">
        <f t="shared" si="0"/>
        <v>0.0048</v>
      </c>
      <c r="G17" s="48">
        <f t="shared" si="1"/>
        <v>4.8</v>
      </c>
      <c r="H17" s="48">
        <f t="shared" si="0"/>
        <v>0.0048</v>
      </c>
      <c r="I17" s="50"/>
      <c r="J17" s="48">
        <f>17000/1000</f>
        <v>17</v>
      </c>
      <c r="K17" s="48">
        <f t="shared" si="2"/>
        <v>0.017</v>
      </c>
      <c r="L17" s="48">
        <f t="shared" si="3"/>
        <v>17</v>
      </c>
      <c r="M17" s="48">
        <f t="shared" si="2"/>
        <v>0.017</v>
      </c>
      <c r="N17" s="48"/>
      <c r="O17" s="48">
        <f>11000/1000</f>
        <v>11</v>
      </c>
      <c r="P17" s="48">
        <f t="shared" si="4"/>
        <v>0.011</v>
      </c>
      <c r="Q17" s="48">
        <f t="shared" si="5"/>
        <v>11</v>
      </c>
      <c r="R17" s="48">
        <f t="shared" si="4"/>
        <v>0.011</v>
      </c>
    </row>
    <row r="18" spans="1:18" ht="12.75">
      <c r="A18" s="22"/>
      <c r="B18" s="22" t="s">
        <v>84</v>
      </c>
      <c r="C18" s="23">
        <v>0.1</v>
      </c>
      <c r="D18" s="23"/>
      <c r="E18" s="48">
        <f>33000/1000</f>
        <v>33</v>
      </c>
      <c r="F18" s="48">
        <f t="shared" si="0"/>
        <v>3.3000000000000003</v>
      </c>
      <c r="G18" s="48">
        <f t="shared" si="1"/>
        <v>33</v>
      </c>
      <c r="H18" s="48">
        <f t="shared" si="0"/>
        <v>3.3000000000000003</v>
      </c>
      <c r="I18" s="50"/>
      <c r="J18" s="48">
        <f>41000/1000</f>
        <v>41</v>
      </c>
      <c r="K18" s="48">
        <f t="shared" si="2"/>
        <v>4.1000000000000005</v>
      </c>
      <c r="L18" s="48">
        <f t="shared" si="3"/>
        <v>41</v>
      </c>
      <c r="M18" s="48">
        <f t="shared" si="2"/>
        <v>4.1000000000000005</v>
      </c>
      <c r="N18" s="48"/>
      <c r="O18" s="48">
        <f>40000/1000</f>
        <v>40</v>
      </c>
      <c r="P18" s="48">
        <f t="shared" si="4"/>
        <v>4</v>
      </c>
      <c r="Q18" s="48">
        <f t="shared" si="5"/>
        <v>40</v>
      </c>
      <c r="R18" s="48">
        <f t="shared" si="4"/>
        <v>4</v>
      </c>
    </row>
    <row r="19" spans="1:18" ht="12.75">
      <c r="A19" s="22"/>
      <c r="B19" s="22" t="s">
        <v>85</v>
      </c>
      <c r="C19" s="23">
        <v>0.05</v>
      </c>
      <c r="D19" s="23"/>
      <c r="E19" s="48">
        <f>46000/1000</f>
        <v>46</v>
      </c>
      <c r="F19" s="48">
        <f t="shared" si="0"/>
        <v>2.3000000000000003</v>
      </c>
      <c r="G19" s="48">
        <f t="shared" si="1"/>
        <v>46</v>
      </c>
      <c r="H19" s="48">
        <f t="shared" si="0"/>
        <v>2.3000000000000003</v>
      </c>
      <c r="I19" s="50"/>
      <c r="J19" s="48">
        <f>67000/1000</f>
        <v>67</v>
      </c>
      <c r="K19" s="48">
        <f t="shared" si="2"/>
        <v>3.35</v>
      </c>
      <c r="L19" s="48">
        <f t="shared" si="3"/>
        <v>67</v>
      </c>
      <c r="M19" s="48">
        <f t="shared" si="2"/>
        <v>3.35</v>
      </c>
      <c r="N19" s="48"/>
      <c r="O19" s="48">
        <f>61000/1000</f>
        <v>61</v>
      </c>
      <c r="P19" s="48">
        <f t="shared" si="4"/>
        <v>3.0500000000000003</v>
      </c>
      <c r="Q19" s="48">
        <f t="shared" si="5"/>
        <v>61</v>
      </c>
      <c r="R19" s="48">
        <f t="shared" si="4"/>
        <v>3.0500000000000003</v>
      </c>
    </row>
    <row r="20" spans="1:18" ht="12.75">
      <c r="A20" s="22"/>
      <c r="B20" s="22" t="s">
        <v>86</v>
      </c>
      <c r="C20" s="23">
        <v>0.5</v>
      </c>
      <c r="D20" s="23"/>
      <c r="E20" s="48">
        <f>88000/1000</f>
        <v>88</v>
      </c>
      <c r="F20" s="48">
        <f t="shared" si="0"/>
        <v>44</v>
      </c>
      <c r="G20" s="48">
        <f t="shared" si="1"/>
        <v>88</v>
      </c>
      <c r="H20" s="48">
        <f t="shared" si="0"/>
        <v>44</v>
      </c>
      <c r="I20" s="50"/>
      <c r="J20" s="48">
        <f>130000/1000</f>
        <v>130</v>
      </c>
      <c r="K20" s="48">
        <f t="shared" si="2"/>
        <v>65</v>
      </c>
      <c r="L20" s="48">
        <f t="shared" si="3"/>
        <v>130</v>
      </c>
      <c r="M20" s="48">
        <f t="shared" si="2"/>
        <v>65</v>
      </c>
      <c r="N20" s="48"/>
      <c r="O20" s="48">
        <f>120000/1000</f>
        <v>120</v>
      </c>
      <c r="P20" s="48">
        <f t="shared" si="4"/>
        <v>60</v>
      </c>
      <c r="Q20" s="48">
        <f t="shared" si="5"/>
        <v>120</v>
      </c>
      <c r="R20" s="48">
        <f t="shared" si="4"/>
        <v>60</v>
      </c>
    </row>
    <row r="21" spans="1:18" ht="12.75">
      <c r="A21" s="22"/>
      <c r="B21" s="22" t="s">
        <v>87</v>
      </c>
      <c r="C21" s="23">
        <v>0.1</v>
      </c>
      <c r="D21" s="23"/>
      <c r="E21" s="48">
        <f>79000/1000</f>
        <v>79</v>
      </c>
      <c r="F21" s="48">
        <f t="shared" si="0"/>
        <v>7.9</v>
      </c>
      <c r="G21" s="48">
        <f t="shared" si="1"/>
        <v>79</v>
      </c>
      <c r="H21" s="48">
        <f t="shared" si="0"/>
        <v>7.9</v>
      </c>
      <c r="I21" s="50"/>
      <c r="J21" s="48">
        <f>140000/1000</f>
        <v>140</v>
      </c>
      <c r="K21" s="48">
        <f t="shared" si="2"/>
        <v>14</v>
      </c>
      <c r="L21" s="48">
        <f t="shared" si="3"/>
        <v>140</v>
      </c>
      <c r="M21" s="48">
        <f t="shared" si="2"/>
        <v>14</v>
      </c>
      <c r="N21" s="48"/>
      <c r="O21" s="48">
        <f>120000/1000</f>
        <v>120</v>
      </c>
      <c r="P21" s="48">
        <f t="shared" si="4"/>
        <v>12</v>
      </c>
      <c r="Q21" s="48">
        <f t="shared" si="5"/>
        <v>120</v>
      </c>
      <c r="R21" s="48">
        <f t="shared" si="4"/>
        <v>12</v>
      </c>
    </row>
    <row r="22" spans="1:18" ht="12.75">
      <c r="A22" s="22"/>
      <c r="B22" s="22" t="s">
        <v>88</v>
      </c>
      <c r="C22" s="23">
        <v>0.1</v>
      </c>
      <c r="D22" s="23"/>
      <c r="E22" s="48">
        <f>69000/1000</f>
        <v>69</v>
      </c>
      <c r="F22" s="48">
        <f t="shared" si="0"/>
        <v>6.9</v>
      </c>
      <c r="G22" s="48">
        <f t="shared" si="1"/>
        <v>69</v>
      </c>
      <c r="H22" s="48">
        <f t="shared" si="0"/>
        <v>6.9</v>
      </c>
      <c r="I22" s="50"/>
      <c r="J22" s="48">
        <f>120000/1000</f>
        <v>120</v>
      </c>
      <c r="K22" s="48">
        <f t="shared" si="2"/>
        <v>12</v>
      </c>
      <c r="L22" s="48">
        <f t="shared" si="3"/>
        <v>120</v>
      </c>
      <c r="M22" s="48">
        <f t="shared" si="2"/>
        <v>12</v>
      </c>
      <c r="N22" s="48"/>
      <c r="O22" s="48">
        <f>98000/1000</f>
        <v>98</v>
      </c>
      <c r="P22" s="48">
        <f t="shared" si="4"/>
        <v>9.8</v>
      </c>
      <c r="Q22" s="48">
        <f t="shared" si="5"/>
        <v>98</v>
      </c>
      <c r="R22" s="48">
        <f t="shared" si="4"/>
        <v>9.8</v>
      </c>
    </row>
    <row r="23" spans="1:18" ht="12.75">
      <c r="A23" s="22"/>
      <c r="B23" s="22" t="s">
        <v>89</v>
      </c>
      <c r="C23" s="23">
        <v>0.1</v>
      </c>
      <c r="D23" s="23"/>
      <c r="E23" s="48">
        <f>85000/1000</f>
        <v>85</v>
      </c>
      <c r="F23" s="48">
        <f t="shared" si="0"/>
        <v>8.5</v>
      </c>
      <c r="G23" s="48">
        <f t="shared" si="1"/>
        <v>85</v>
      </c>
      <c r="H23" s="48">
        <f t="shared" si="0"/>
        <v>8.5</v>
      </c>
      <c r="I23" s="50"/>
      <c r="J23" s="48">
        <f>160000/1000</f>
        <v>160</v>
      </c>
      <c r="K23" s="48">
        <f t="shared" si="2"/>
        <v>16</v>
      </c>
      <c r="L23" s="48">
        <f t="shared" si="3"/>
        <v>160</v>
      </c>
      <c r="M23" s="48">
        <f t="shared" si="2"/>
        <v>16</v>
      </c>
      <c r="N23" s="48"/>
      <c r="O23" s="48">
        <f>130000/1000</f>
        <v>130</v>
      </c>
      <c r="P23" s="48">
        <f t="shared" si="4"/>
        <v>13</v>
      </c>
      <c r="Q23" s="48">
        <f t="shared" si="5"/>
        <v>130</v>
      </c>
      <c r="R23" s="48">
        <f t="shared" si="4"/>
        <v>13</v>
      </c>
    </row>
    <row r="24" spans="1:18" ht="12.75">
      <c r="A24" s="22"/>
      <c r="B24" s="22" t="s">
        <v>90</v>
      </c>
      <c r="C24" s="23">
        <v>0.1</v>
      </c>
      <c r="D24" s="23"/>
      <c r="E24" s="48">
        <f>16000/1000</f>
        <v>16</v>
      </c>
      <c r="F24" s="48">
        <f t="shared" si="0"/>
        <v>1.6</v>
      </c>
      <c r="G24" s="48">
        <f t="shared" si="1"/>
        <v>16</v>
      </c>
      <c r="H24" s="48">
        <f t="shared" si="0"/>
        <v>1.6</v>
      </c>
      <c r="I24" s="50"/>
      <c r="J24" s="48">
        <f>31000/1000</f>
        <v>31</v>
      </c>
      <c r="K24" s="48">
        <f t="shared" si="2"/>
        <v>3.1</v>
      </c>
      <c r="L24" s="48">
        <f t="shared" si="3"/>
        <v>31</v>
      </c>
      <c r="M24" s="48">
        <f t="shared" si="2"/>
        <v>3.1</v>
      </c>
      <c r="N24" s="48"/>
      <c r="O24" s="48">
        <f>26000/1000</f>
        <v>26</v>
      </c>
      <c r="P24" s="48">
        <f t="shared" si="4"/>
        <v>2.6</v>
      </c>
      <c r="Q24" s="48">
        <f t="shared" si="5"/>
        <v>26</v>
      </c>
      <c r="R24" s="48">
        <f t="shared" si="4"/>
        <v>2.6</v>
      </c>
    </row>
    <row r="25" spans="1:18" ht="12.75">
      <c r="A25" s="22"/>
      <c r="B25" s="22" t="s">
        <v>91</v>
      </c>
      <c r="C25" s="23">
        <v>0.01</v>
      </c>
      <c r="D25" s="23"/>
      <c r="E25" s="48">
        <f>200000/1000</f>
        <v>200</v>
      </c>
      <c r="F25" s="48">
        <f t="shared" si="0"/>
        <v>2</v>
      </c>
      <c r="G25" s="48">
        <f t="shared" si="1"/>
        <v>200</v>
      </c>
      <c r="H25" s="48">
        <f t="shared" si="0"/>
        <v>2</v>
      </c>
      <c r="I25" s="50"/>
      <c r="J25" s="48">
        <f>510000/1000</f>
        <v>510</v>
      </c>
      <c r="K25" s="48">
        <f t="shared" si="2"/>
        <v>5.1000000000000005</v>
      </c>
      <c r="L25" s="48">
        <f t="shared" si="3"/>
        <v>510</v>
      </c>
      <c r="M25" s="48">
        <f t="shared" si="2"/>
        <v>5.1000000000000005</v>
      </c>
      <c r="N25" s="48"/>
      <c r="O25" s="48">
        <f>370000/1000</f>
        <v>370</v>
      </c>
      <c r="P25" s="48">
        <f t="shared" si="4"/>
        <v>3.7</v>
      </c>
      <c r="Q25" s="48">
        <f t="shared" si="5"/>
        <v>370</v>
      </c>
      <c r="R25" s="48">
        <f t="shared" si="4"/>
        <v>3.7</v>
      </c>
    </row>
    <row r="26" spans="1:18" ht="12.75">
      <c r="A26" s="22"/>
      <c r="B26" s="22" t="s">
        <v>92</v>
      </c>
      <c r="C26" s="23">
        <v>0.01</v>
      </c>
      <c r="D26" s="23"/>
      <c r="E26" s="48">
        <f>18000/1000</f>
        <v>18</v>
      </c>
      <c r="F26" s="48">
        <f t="shared" si="0"/>
        <v>0.18</v>
      </c>
      <c r="G26" s="48">
        <f t="shared" si="1"/>
        <v>18</v>
      </c>
      <c r="H26" s="48">
        <f t="shared" si="0"/>
        <v>0.18</v>
      </c>
      <c r="I26" s="50"/>
      <c r="J26" s="48">
        <f>42000/1000</f>
        <v>42</v>
      </c>
      <c r="K26" s="48">
        <f t="shared" si="2"/>
        <v>0.42</v>
      </c>
      <c r="L26" s="48">
        <f t="shared" si="3"/>
        <v>42</v>
      </c>
      <c r="M26" s="48">
        <f t="shared" si="2"/>
        <v>0.42</v>
      </c>
      <c r="N26" s="48"/>
      <c r="O26" s="48">
        <f>34000/1000</f>
        <v>34</v>
      </c>
      <c r="P26" s="48">
        <f t="shared" si="4"/>
        <v>0.34</v>
      </c>
      <c r="Q26" s="48">
        <f t="shared" si="5"/>
        <v>34</v>
      </c>
      <c r="R26" s="48">
        <f t="shared" si="4"/>
        <v>0.34</v>
      </c>
    </row>
    <row r="27" spans="1:18" ht="12.75">
      <c r="A27" s="22"/>
      <c r="B27" s="22" t="s">
        <v>93</v>
      </c>
      <c r="C27" s="23">
        <v>0.001</v>
      </c>
      <c r="D27" s="23"/>
      <c r="E27" s="48">
        <f>77000/1000</f>
        <v>77</v>
      </c>
      <c r="F27" s="48">
        <f t="shared" si="0"/>
        <v>0.077</v>
      </c>
      <c r="G27" s="48">
        <f t="shared" si="1"/>
        <v>77</v>
      </c>
      <c r="H27" s="48">
        <f t="shared" si="0"/>
        <v>0.077</v>
      </c>
      <c r="I27" s="50"/>
      <c r="J27" s="48">
        <f>30000/1000</f>
        <v>30</v>
      </c>
      <c r="K27" s="48">
        <f t="shared" si="2"/>
        <v>0.03</v>
      </c>
      <c r="L27" s="48">
        <f t="shared" si="3"/>
        <v>30</v>
      </c>
      <c r="M27" s="48">
        <f t="shared" si="2"/>
        <v>0.03</v>
      </c>
      <c r="N27" s="48"/>
      <c r="O27" s="48">
        <f>18000/1000</f>
        <v>18</v>
      </c>
      <c r="P27" s="48">
        <f t="shared" si="4"/>
        <v>0.018000000000000002</v>
      </c>
      <c r="Q27" s="48">
        <f t="shared" si="5"/>
        <v>18</v>
      </c>
      <c r="R27" s="48">
        <f t="shared" si="4"/>
        <v>0.018000000000000002</v>
      </c>
    </row>
    <row r="28" spans="1:18" ht="12.75">
      <c r="A28" s="22"/>
      <c r="B28" s="22" t="s">
        <v>94</v>
      </c>
      <c r="C28" s="23">
        <v>0</v>
      </c>
      <c r="D28" s="23"/>
      <c r="E28" s="48">
        <f>46000/1000</f>
        <v>46</v>
      </c>
      <c r="F28" s="48">
        <f t="shared" si="0"/>
        <v>0</v>
      </c>
      <c r="G28" s="48">
        <f t="shared" si="1"/>
        <v>46</v>
      </c>
      <c r="H28" s="48">
        <f t="shared" si="0"/>
        <v>0</v>
      </c>
      <c r="I28" s="50"/>
      <c r="J28" s="60">
        <f>55000/1000</f>
        <v>55</v>
      </c>
      <c r="K28" s="48">
        <f t="shared" si="2"/>
        <v>0</v>
      </c>
      <c r="L28" s="48">
        <f t="shared" si="3"/>
        <v>55</v>
      </c>
      <c r="M28" s="48">
        <f t="shared" si="2"/>
        <v>0</v>
      </c>
      <c r="N28" s="48"/>
      <c r="O28" s="48">
        <f>53000/1000</f>
        <v>53</v>
      </c>
      <c r="P28" s="48">
        <f t="shared" si="4"/>
        <v>0</v>
      </c>
      <c r="Q28" s="48">
        <f t="shared" si="5"/>
        <v>53</v>
      </c>
      <c r="R28" s="48">
        <f t="shared" si="4"/>
        <v>0</v>
      </c>
    </row>
    <row r="29" spans="1:18" ht="12.75">
      <c r="A29" s="22"/>
      <c r="B29" s="22" t="s">
        <v>95</v>
      </c>
      <c r="C29" s="23">
        <v>0</v>
      </c>
      <c r="D29" s="23"/>
      <c r="E29" s="48">
        <f>46000/1000</f>
        <v>46</v>
      </c>
      <c r="F29" s="48">
        <f t="shared" si="0"/>
        <v>0</v>
      </c>
      <c r="G29" s="48">
        <f t="shared" si="1"/>
        <v>46</v>
      </c>
      <c r="H29" s="48">
        <f t="shared" si="0"/>
        <v>0</v>
      </c>
      <c r="I29" s="50"/>
      <c r="J29" s="48">
        <f>64000/1000</f>
        <v>64</v>
      </c>
      <c r="K29" s="48">
        <f t="shared" si="2"/>
        <v>0</v>
      </c>
      <c r="L29" s="48">
        <f t="shared" si="3"/>
        <v>64</v>
      </c>
      <c r="M29" s="48">
        <f t="shared" si="2"/>
        <v>0</v>
      </c>
      <c r="N29" s="48"/>
      <c r="O29" s="48">
        <f>60000/1000</f>
        <v>60</v>
      </c>
      <c r="P29" s="48">
        <f t="shared" si="4"/>
        <v>0</v>
      </c>
      <c r="Q29" s="48">
        <f t="shared" si="5"/>
        <v>60</v>
      </c>
      <c r="R29" s="48">
        <f t="shared" si="4"/>
        <v>0</v>
      </c>
    </row>
    <row r="30" spans="1:18" ht="12.75">
      <c r="A30" s="22"/>
      <c r="B30" s="22" t="s">
        <v>96</v>
      </c>
      <c r="C30" s="23">
        <v>0</v>
      </c>
      <c r="D30" s="23"/>
      <c r="E30" s="48">
        <f>40000/1000</f>
        <v>40</v>
      </c>
      <c r="F30" s="48">
        <f t="shared" si="0"/>
        <v>0</v>
      </c>
      <c r="G30" s="48">
        <f t="shared" si="1"/>
        <v>40</v>
      </c>
      <c r="H30" s="48">
        <f t="shared" si="0"/>
        <v>0</v>
      </c>
      <c r="I30" s="50"/>
      <c r="J30" s="48">
        <f>58000/1000</f>
        <v>58</v>
      </c>
      <c r="K30" s="48">
        <f t="shared" si="2"/>
        <v>0</v>
      </c>
      <c r="L30" s="48">
        <f t="shared" si="3"/>
        <v>58</v>
      </c>
      <c r="M30" s="48">
        <f t="shared" si="2"/>
        <v>0</v>
      </c>
      <c r="N30" s="48"/>
      <c r="O30" s="48">
        <f>58000/1000</f>
        <v>58</v>
      </c>
      <c r="P30" s="48">
        <f t="shared" si="4"/>
        <v>0</v>
      </c>
      <c r="Q30" s="48">
        <f t="shared" si="5"/>
        <v>58</v>
      </c>
      <c r="R30" s="48">
        <f t="shared" si="4"/>
        <v>0</v>
      </c>
    </row>
    <row r="31" spans="1:18" ht="12.75">
      <c r="A31" s="22"/>
      <c r="B31" s="22" t="s">
        <v>97</v>
      </c>
      <c r="C31" s="23">
        <v>0</v>
      </c>
      <c r="D31" s="23"/>
      <c r="E31" s="48">
        <f>20000/1000</f>
        <v>20</v>
      </c>
      <c r="F31" s="48">
        <f t="shared" si="0"/>
        <v>0</v>
      </c>
      <c r="G31" s="48">
        <f t="shared" si="1"/>
        <v>20</v>
      </c>
      <c r="H31" s="48">
        <f t="shared" si="0"/>
        <v>0</v>
      </c>
      <c r="I31" s="50"/>
      <c r="J31" s="48">
        <f>44000/1000</f>
        <v>44</v>
      </c>
      <c r="K31" s="48">
        <f t="shared" si="2"/>
        <v>0</v>
      </c>
      <c r="L31" s="48">
        <f t="shared" si="3"/>
        <v>44</v>
      </c>
      <c r="M31" s="48">
        <f t="shared" si="2"/>
        <v>0</v>
      </c>
      <c r="N31" s="48"/>
      <c r="O31" s="48">
        <f>34000/1000</f>
        <v>34</v>
      </c>
      <c r="P31" s="48">
        <f t="shared" si="4"/>
        <v>0</v>
      </c>
      <c r="Q31" s="48">
        <f t="shared" si="5"/>
        <v>34</v>
      </c>
      <c r="R31" s="48">
        <f t="shared" si="4"/>
        <v>0</v>
      </c>
    </row>
    <row r="32" spans="1:18" ht="12.75">
      <c r="A32" s="22"/>
      <c r="B32" s="22" t="s">
        <v>98</v>
      </c>
      <c r="C32" s="23">
        <v>0</v>
      </c>
      <c r="D32" s="23"/>
      <c r="E32" s="48">
        <f>1100000/1000</f>
        <v>1100</v>
      </c>
      <c r="F32" s="48">
        <f t="shared" si="0"/>
        <v>0</v>
      </c>
      <c r="G32" s="48">
        <f t="shared" si="1"/>
        <v>1100</v>
      </c>
      <c r="H32" s="48">
        <f t="shared" si="0"/>
        <v>0</v>
      </c>
      <c r="I32" s="50"/>
      <c r="J32" s="48">
        <f>1300000/1000</f>
        <v>1300</v>
      </c>
      <c r="K32" s="48">
        <f t="shared" si="2"/>
        <v>0</v>
      </c>
      <c r="L32" s="48">
        <f t="shared" si="3"/>
        <v>1300</v>
      </c>
      <c r="M32" s="48">
        <f t="shared" si="2"/>
        <v>0</v>
      </c>
      <c r="N32" s="48"/>
      <c r="O32" s="48">
        <f>1200000/1000</f>
        <v>1200</v>
      </c>
      <c r="P32" s="48">
        <f t="shared" si="4"/>
        <v>0</v>
      </c>
      <c r="Q32" s="48">
        <f t="shared" si="5"/>
        <v>1200</v>
      </c>
      <c r="R32" s="48">
        <f t="shared" si="4"/>
        <v>0</v>
      </c>
    </row>
    <row r="33" spans="1:18" ht="12.75">
      <c r="A33" s="22"/>
      <c r="B33" s="22" t="s">
        <v>99</v>
      </c>
      <c r="C33" s="23">
        <v>0</v>
      </c>
      <c r="D33" s="23"/>
      <c r="E33" s="48">
        <f>1100000/1000</f>
        <v>1100</v>
      </c>
      <c r="F33" s="48">
        <f t="shared" si="0"/>
        <v>0</v>
      </c>
      <c r="G33" s="48">
        <f t="shared" si="1"/>
        <v>1100</v>
      </c>
      <c r="H33" s="48">
        <f t="shared" si="0"/>
        <v>0</v>
      </c>
      <c r="I33" s="50"/>
      <c r="J33" s="48">
        <f>1500000/1000</f>
        <v>1500</v>
      </c>
      <c r="K33" s="48">
        <f t="shared" si="2"/>
        <v>0</v>
      </c>
      <c r="L33" s="48">
        <f t="shared" si="3"/>
        <v>1500</v>
      </c>
      <c r="M33" s="48">
        <f t="shared" si="2"/>
        <v>0</v>
      </c>
      <c r="N33" s="48"/>
      <c r="O33" s="48">
        <f>1300000/1000</f>
        <v>1300</v>
      </c>
      <c r="P33" s="48">
        <f t="shared" si="4"/>
        <v>0</v>
      </c>
      <c r="Q33" s="48">
        <f t="shared" si="5"/>
        <v>1300</v>
      </c>
      <c r="R33" s="48">
        <f t="shared" si="4"/>
        <v>0</v>
      </c>
    </row>
    <row r="34" spans="1:18" ht="12.75">
      <c r="A34" s="22"/>
      <c r="B34" s="22" t="s">
        <v>100</v>
      </c>
      <c r="C34" s="23">
        <v>0</v>
      </c>
      <c r="D34" s="23"/>
      <c r="E34" s="48">
        <f>720000/1000</f>
        <v>720</v>
      </c>
      <c r="F34" s="48">
        <f t="shared" si="0"/>
        <v>0</v>
      </c>
      <c r="G34" s="48">
        <f t="shared" si="1"/>
        <v>720</v>
      </c>
      <c r="H34" s="48">
        <f t="shared" si="0"/>
        <v>0</v>
      </c>
      <c r="I34" s="50"/>
      <c r="J34" s="48">
        <f>1300000/1000</f>
        <v>1300</v>
      </c>
      <c r="K34" s="48">
        <f t="shared" si="2"/>
        <v>0</v>
      </c>
      <c r="L34" s="48">
        <f t="shared" si="3"/>
        <v>1300</v>
      </c>
      <c r="M34" s="48">
        <f t="shared" si="2"/>
        <v>0</v>
      </c>
      <c r="N34" s="48"/>
      <c r="O34" s="48">
        <f>1000000/1000</f>
        <v>1000</v>
      </c>
      <c r="P34" s="48">
        <f t="shared" si="4"/>
        <v>0</v>
      </c>
      <c r="Q34" s="48">
        <f t="shared" si="5"/>
        <v>1000</v>
      </c>
      <c r="R34" s="48">
        <f t="shared" si="4"/>
        <v>0</v>
      </c>
    </row>
    <row r="35" spans="1:18" ht="12.75">
      <c r="A35" s="22" t="s">
        <v>101</v>
      </c>
      <c r="B35" s="22" t="s">
        <v>102</v>
      </c>
      <c r="C35" s="23">
        <v>0</v>
      </c>
      <c r="D35" s="23"/>
      <c r="E35" s="48">
        <f>290000/1000</f>
        <v>290</v>
      </c>
      <c r="F35" s="48">
        <f t="shared" si="0"/>
        <v>0</v>
      </c>
      <c r="G35" s="48">
        <f t="shared" si="1"/>
        <v>290</v>
      </c>
      <c r="H35" s="48">
        <f t="shared" si="0"/>
        <v>0</v>
      </c>
      <c r="I35" s="50"/>
      <c r="J35" s="48">
        <f>720000/1000</f>
        <v>720</v>
      </c>
      <c r="K35" s="48">
        <f t="shared" si="2"/>
        <v>0</v>
      </c>
      <c r="L35" s="48">
        <f t="shared" si="3"/>
        <v>720</v>
      </c>
      <c r="M35" s="48">
        <f t="shared" si="2"/>
        <v>0</v>
      </c>
      <c r="N35" s="48"/>
      <c r="O35" s="48">
        <f>530000/1000</f>
        <v>530</v>
      </c>
      <c r="P35" s="48">
        <f t="shared" si="4"/>
        <v>0</v>
      </c>
      <c r="Q35" s="48">
        <f t="shared" si="5"/>
        <v>530</v>
      </c>
      <c r="R35" s="48">
        <f t="shared" si="4"/>
        <v>0</v>
      </c>
    </row>
    <row r="36" spans="1:18" s="110" customFormat="1" ht="12.75">
      <c r="A36" s="22"/>
      <c r="B36" s="22"/>
      <c r="C36" s="22"/>
      <c r="D36" s="22"/>
      <c r="E36" s="48"/>
      <c r="F36" s="44"/>
      <c r="G36" s="48"/>
      <c r="H36" s="44"/>
      <c r="I36" s="48"/>
      <c r="J36" s="22"/>
      <c r="K36" s="24"/>
      <c r="L36" s="24"/>
      <c r="M36" s="24"/>
      <c r="N36" s="48"/>
      <c r="O36" s="22"/>
      <c r="P36" s="43"/>
      <c r="Q36" s="48"/>
      <c r="R36" s="43"/>
    </row>
    <row r="37" spans="1:18" s="110" customFormat="1" ht="12.75">
      <c r="A37" s="22"/>
      <c r="B37" s="22" t="s">
        <v>103</v>
      </c>
      <c r="C37" s="22"/>
      <c r="D37" s="22"/>
      <c r="E37" s="48"/>
      <c r="F37" s="24">
        <v>163.85</v>
      </c>
      <c r="G37" s="24">
        <v>163.85</v>
      </c>
      <c r="H37" s="24">
        <v>163.85</v>
      </c>
      <c r="I37" s="24"/>
      <c r="J37" s="24"/>
      <c r="K37" s="24">
        <v>161.63</v>
      </c>
      <c r="L37" s="24">
        <v>161.63</v>
      </c>
      <c r="M37" s="24">
        <v>161.63</v>
      </c>
      <c r="N37" s="24"/>
      <c r="O37" s="24"/>
      <c r="P37" s="24">
        <v>161.25</v>
      </c>
      <c r="Q37" s="24">
        <v>161.25</v>
      </c>
      <c r="R37" s="24">
        <v>161.25</v>
      </c>
    </row>
    <row r="38" spans="1:18" s="110" customFormat="1" ht="12.75">
      <c r="A38" s="22"/>
      <c r="B38" s="22" t="s">
        <v>104</v>
      </c>
      <c r="C38" s="22"/>
      <c r="D38" s="22"/>
      <c r="E38" s="48"/>
      <c r="F38" s="24">
        <v>15.2</v>
      </c>
      <c r="G38" s="24">
        <v>15.2</v>
      </c>
      <c r="H38" s="24">
        <v>15.2</v>
      </c>
      <c r="I38" s="24"/>
      <c r="J38" s="24"/>
      <c r="K38" s="24">
        <v>15.14</v>
      </c>
      <c r="L38" s="24">
        <v>15.14</v>
      </c>
      <c r="M38" s="24">
        <v>15.14</v>
      </c>
      <c r="N38" s="24"/>
      <c r="O38" s="24"/>
      <c r="P38" s="24">
        <v>15.13</v>
      </c>
      <c r="Q38" s="24">
        <v>15.13</v>
      </c>
      <c r="R38" s="24">
        <v>15.13</v>
      </c>
    </row>
    <row r="39" spans="1:18" s="110" customFormat="1" ht="12.75">
      <c r="A39" s="22"/>
      <c r="B39" s="22"/>
      <c r="C39" s="22"/>
      <c r="D39" s="22"/>
      <c r="E39" s="48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s="110" customFormat="1" ht="12.75">
      <c r="A40" s="22"/>
      <c r="B40" s="22" t="s">
        <v>105</v>
      </c>
      <c r="C40" s="44"/>
      <c r="D40" s="44"/>
      <c r="E40" s="24"/>
      <c r="F40" s="24">
        <f>SUM(F11:F27)</f>
        <v>83.47780000000002</v>
      </c>
      <c r="G40" s="24">
        <f>SUM(G27,G35,G34,G33,G32,G17,G31,G30,G29,G28)</f>
        <v>3443.8</v>
      </c>
      <c r="H40" s="24">
        <f>SUM(H11:H27)</f>
        <v>83.47780000000002</v>
      </c>
      <c r="I40" s="24"/>
      <c r="J40" s="24"/>
      <c r="K40" s="24">
        <f>SUM(K11:K27)</f>
        <v>132.35699999999997</v>
      </c>
      <c r="L40" s="24">
        <f>SUM(L27,L35,L34,L33,L32,L17,L31,L30,L29,L28)</f>
        <v>5088</v>
      </c>
      <c r="M40" s="24">
        <f>SUM(M11:M27)</f>
        <v>132.35699999999997</v>
      </c>
      <c r="N40" s="24"/>
      <c r="O40" s="24"/>
      <c r="P40" s="24">
        <f>SUM(P11:P27)</f>
        <v>117.169</v>
      </c>
      <c r="Q40" s="24">
        <f>SUM(Q27,Q35,Q34,Q33,Q32,Q17,Q31,Q30,Q29,Q28)</f>
        <v>4264</v>
      </c>
      <c r="R40" s="24">
        <f>SUM(R11:R27)</f>
        <v>117.169</v>
      </c>
    </row>
    <row r="41" spans="1:18" ht="12.75">
      <c r="A41" s="22"/>
      <c r="B41" s="22" t="s">
        <v>106</v>
      </c>
      <c r="C41" s="44"/>
      <c r="D41" s="24">
        <f>(F41-H41)*2/F41*100</f>
        <v>0</v>
      </c>
      <c r="E41" s="48"/>
      <c r="F41" s="24">
        <f>(F40/F37/0.0283*(21-7)/(21-F38))</f>
        <v>43.45484006875945</v>
      </c>
      <c r="G41" s="24">
        <f>(G40/G37/0.0283*(21-7)/(21-G38))</f>
        <v>1792.6895321725513</v>
      </c>
      <c r="H41" s="24">
        <f>(H40/H37/0.0283*(21-7)/(21-H38))</f>
        <v>43.45484006875945</v>
      </c>
      <c r="I41" s="24">
        <f>(K41-M41)*2/K41*100</f>
        <v>0</v>
      </c>
      <c r="J41" s="24"/>
      <c r="K41" s="24">
        <f>K40/K37/0.0283*(21-7)/(21-K38)</f>
        <v>69.13037712723772</v>
      </c>
      <c r="L41" s="24">
        <f>(L40/L37/0.0283*(21-7)/(21-L38))</f>
        <v>2657.4745485572025</v>
      </c>
      <c r="M41" s="24">
        <f>M40/M37/0.0283*(21-7)/(21-M38)</f>
        <v>69.13037712723772</v>
      </c>
      <c r="N41" s="24">
        <f>(P41-R41)*2/P41*100</f>
        <v>0</v>
      </c>
      <c r="O41" s="24"/>
      <c r="P41" s="24">
        <f>P40/P37/0.0283*(21-7)/(21-P38)</f>
        <v>61.23736555342658</v>
      </c>
      <c r="Q41" s="24">
        <f>(Q40/Q37/0.0283*(21-7)/(21-Q38))</f>
        <v>2228.5427606261974</v>
      </c>
      <c r="R41" s="24">
        <f>R40/R37/0.0283*(21-7)/(21-R38)</f>
        <v>61.23736555342658</v>
      </c>
    </row>
    <row r="42" spans="1:18" ht="12.75">
      <c r="A42" s="22"/>
      <c r="B42" s="22"/>
      <c r="C42" s="22"/>
      <c r="D42" s="22"/>
      <c r="E42" s="50"/>
      <c r="F42" s="44"/>
      <c r="G42" s="50"/>
      <c r="H42" s="44"/>
      <c r="I42" s="50"/>
      <c r="J42" s="50"/>
      <c r="K42" s="50"/>
      <c r="L42" s="50"/>
      <c r="M42" s="50"/>
      <c r="N42" s="50"/>
      <c r="O42" s="50"/>
      <c r="P42" s="43"/>
      <c r="Q42" s="50"/>
      <c r="R42" s="43"/>
    </row>
    <row r="43" spans="1:18" ht="12.75">
      <c r="A43" s="48"/>
      <c r="B43" s="22" t="s">
        <v>107</v>
      </c>
      <c r="C43" s="48">
        <f>AVERAGE(H41,M41,R41)</f>
        <v>57.940860916474584</v>
      </c>
      <c r="D43" s="48"/>
      <c r="E43" s="51"/>
      <c r="F43" s="44"/>
      <c r="G43" s="48"/>
      <c r="H43" s="44"/>
      <c r="I43" s="48"/>
      <c r="J43" s="48"/>
      <c r="K43" s="48"/>
      <c r="L43" s="48"/>
      <c r="M43" s="48"/>
      <c r="N43" s="48"/>
      <c r="O43" s="48"/>
      <c r="P43" s="43"/>
      <c r="Q43" s="48"/>
      <c r="R43" s="43"/>
    </row>
    <row r="44" spans="1:18" ht="12.75">
      <c r="A44" s="22"/>
      <c r="B44" s="22" t="s">
        <v>108</v>
      </c>
      <c r="C44" s="48">
        <f>AVERAGE(G41,L41,Q41)</f>
        <v>2226.235613785317</v>
      </c>
      <c r="D44" s="22"/>
      <c r="E44" s="43"/>
      <c r="F44" s="44"/>
      <c r="G44" s="43"/>
      <c r="H44" s="44"/>
      <c r="I44" s="43"/>
      <c r="J44" s="43"/>
      <c r="K44" s="43"/>
      <c r="L44" s="43"/>
      <c r="M44" s="43"/>
      <c r="N44" s="43"/>
      <c r="O44" s="43"/>
      <c r="P44" s="43"/>
      <c r="Q44" s="43"/>
      <c r="R44" s="4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C1" sqref="C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3.71093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4.8515625" style="0" customWidth="1"/>
    <col min="16" max="16" width="9.00390625" style="0" customWidth="1"/>
    <col min="18" max="18" width="9.00390625" style="0" customWidth="1"/>
  </cols>
  <sheetData>
    <row r="1" spans="1:18" ht="12.75">
      <c r="A1" s="42" t="s">
        <v>68</v>
      </c>
      <c r="B1" s="22"/>
      <c r="C1" s="22"/>
      <c r="D1" s="22"/>
      <c r="E1" s="43"/>
      <c r="F1" s="44"/>
      <c r="G1" s="43"/>
      <c r="H1" s="44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>
      <c r="A2" s="22" t="s">
        <v>282</v>
      </c>
      <c r="B2" s="22"/>
      <c r="C2" s="22"/>
      <c r="D2" s="22"/>
      <c r="E2" s="43"/>
      <c r="F2" s="44"/>
      <c r="G2" s="43"/>
      <c r="H2" s="44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.75">
      <c r="A3" s="22" t="s">
        <v>69</v>
      </c>
      <c r="B3" s="22"/>
      <c r="C3" s="8" t="s">
        <v>179</v>
      </c>
      <c r="D3" s="8"/>
      <c r="E3" s="43"/>
      <c r="F3" s="44"/>
      <c r="G3" s="43"/>
      <c r="H3" s="44"/>
      <c r="I3" s="43"/>
      <c r="J3" s="45"/>
      <c r="K3" s="43"/>
      <c r="L3" s="43"/>
      <c r="M3" s="43"/>
      <c r="N3" s="43"/>
      <c r="O3" s="43"/>
      <c r="P3" s="43"/>
      <c r="Q3" s="43"/>
      <c r="R3" s="43"/>
    </row>
    <row r="4" spans="1:18" ht="12.75">
      <c r="A4" s="22" t="s">
        <v>70</v>
      </c>
      <c r="B4" s="22"/>
      <c r="C4" s="64" t="s">
        <v>171</v>
      </c>
      <c r="D4" s="8" t="s">
        <v>157</v>
      </c>
      <c r="E4" s="46"/>
      <c r="F4" s="47"/>
      <c r="G4" s="46"/>
      <c r="H4" s="47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2.75">
      <c r="A5" s="22" t="s">
        <v>71</v>
      </c>
      <c r="B5" s="22"/>
      <c r="C5" s="65" t="s">
        <v>162</v>
      </c>
      <c r="D5" s="9"/>
      <c r="E5" s="9"/>
      <c r="F5" s="9"/>
      <c r="G5" s="9"/>
      <c r="H5" s="9"/>
      <c r="I5" s="9"/>
      <c r="J5" s="9"/>
      <c r="K5" s="43"/>
      <c r="L5" s="9"/>
      <c r="M5" s="43"/>
      <c r="N5" s="43"/>
      <c r="O5" s="43"/>
      <c r="P5" s="43"/>
      <c r="Q5" s="43"/>
      <c r="R5" s="43"/>
    </row>
    <row r="6" spans="1:18" ht="12.75">
      <c r="A6" s="22"/>
      <c r="B6" s="22"/>
      <c r="C6" s="23"/>
      <c r="D6" s="23"/>
      <c r="E6" s="26"/>
      <c r="F6" s="44"/>
      <c r="G6" s="26"/>
      <c r="H6" s="44"/>
      <c r="I6" s="43"/>
      <c r="J6" s="26"/>
      <c r="K6" s="43"/>
      <c r="L6" s="26"/>
      <c r="M6" s="43"/>
      <c r="N6" s="43"/>
      <c r="O6" s="26"/>
      <c r="P6" s="43"/>
      <c r="Q6" s="26"/>
      <c r="R6" s="43"/>
    </row>
    <row r="7" spans="1:18" ht="12.75">
      <c r="A7" s="22"/>
      <c r="B7" s="22"/>
      <c r="C7" s="23" t="s">
        <v>72</v>
      </c>
      <c r="D7" s="23"/>
      <c r="E7" s="111" t="s">
        <v>29</v>
      </c>
      <c r="F7" s="111"/>
      <c r="G7" s="111"/>
      <c r="H7" s="111"/>
      <c r="I7" s="112"/>
      <c r="J7" s="111" t="s">
        <v>30</v>
      </c>
      <c r="K7" s="111"/>
      <c r="L7" s="111"/>
      <c r="M7" s="111"/>
      <c r="N7" s="112"/>
      <c r="O7" s="111" t="s">
        <v>31</v>
      </c>
      <c r="P7" s="111"/>
      <c r="Q7" s="111"/>
      <c r="R7" s="111"/>
    </row>
    <row r="8" spans="1:18" ht="12.75">
      <c r="A8" s="22"/>
      <c r="B8" s="22"/>
      <c r="C8" s="23" t="s">
        <v>73</v>
      </c>
      <c r="D8" s="22"/>
      <c r="E8" s="26" t="s">
        <v>66</v>
      </c>
      <c r="F8" s="47" t="s">
        <v>74</v>
      </c>
      <c r="G8" s="26" t="s">
        <v>66</v>
      </c>
      <c r="H8" s="47" t="s">
        <v>74</v>
      </c>
      <c r="I8" s="43"/>
      <c r="J8" s="26" t="s">
        <v>66</v>
      </c>
      <c r="K8" s="26" t="s">
        <v>75</v>
      </c>
      <c r="L8" s="26" t="s">
        <v>66</v>
      </c>
      <c r="M8" s="26" t="s">
        <v>75</v>
      </c>
      <c r="N8" s="43"/>
      <c r="O8" s="26" t="s">
        <v>66</v>
      </c>
      <c r="P8" s="26" t="s">
        <v>75</v>
      </c>
      <c r="Q8" s="26" t="s">
        <v>66</v>
      </c>
      <c r="R8" s="26" t="s">
        <v>75</v>
      </c>
    </row>
    <row r="9" spans="1:18" ht="12.75">
      <c r="A9" s="22"/>
      <c r="B9" s="22"/>
      <c r="C9" s="23"/>
      <c r="D9" s="22"/>
      <c r="E9" s="26" t="s">
        <v>281</v>
      </c>
      <c r="F9" s="26" t="s">
        <v>281</v>
      </c>
      <c r="G9" s="26" t="s">
        <v>76</v>
      </c>
      <c r="H9" s="47" t="s">
        <v>76</v>
      </c>
      <c r="I9" s="43"/>
      <c r="J9" s="26" t="s">
        <v>281</v>
      </c>
      <c r="K9" s="26" t="s">
        <v>281</v>
      </c>
      <c r="L9" s="26" t="s">
        <v>76</v>
      </c>
      <c r="M9" s="47" t="s">
        <v>76</v>
      </c>
      <c r="N9" s="43"/>
      <c r="O9" s="26" t="s">
        <v>281</v>
      </c>
      <c r="P9" s="26" t="s">
        <v>281</v>
      </c>
      <c r="Q9" s="26" t="s">
        <v>76</v>
      </c>
      <c r="R9" s="47" t="s">
        <v>76</v>
      </c>
    </row>
    <row r="10" spans="1:18" ht="12.75">
      <c r="A10" s="22" t="s">
        <v>109</v>
      </c>
      <c r="B10" s="22"/>
      <c r="C10" s="22"/>
      <c r="D10" s="22"/>
      <c r="E10" s="43"/>
      <c r="F10" s="44"/>
      <c r="G10" s="43"/>
      <c r="H10" s="44"/>
      <c r="I10" s="43"/>
      <c r="J10" s="43"/>
      <c r="K10" s="43"/>
      <c r="L10" s="43"/>
      <c r="M10" s="43"/>
      <c r="N10" s="43"/>
      <c r="O10" s="24"/>
      <c r="P10" s="43"/>
      <c r="Q10" s="43"/>
      <c r="R10" s="43"/>
    </row>
    <row r="11" spans="1:18" ht="12.75">
      <c r="A11" s="22"/>
      <c r="B11" s="22" t="s">
        <v>77</v>
      </c>
      <c r="C11" s="23">
        <v>1</v>
      </c>
      <c r="D11" s="23"/>
      <c r="E11" s="48">
        <f>163/1000</f>
        <v>0.163</v>
      </c>
      <c r="F11" s="48">
        <f aca="true" t="shared" si="0" ref="F11:H35">IF(E11="","",E11*$C11)</f>
        <v>0.163</v>
      </c>
      <c r="G11" s="48">
        <f aca="true" t="shared" si="1" ref="G11:G35">IF(E11=0,"",IF(D11="nd",E11/2,E11))</f>
        <v>0.163</v>
      </c>
      <c r="H11" s="48">
        <f t="shared" si="0"/>
        <v>0.163</v>
      </c>
      <c r="I11" s="50"/>
      <c r="J11" s="48">
        <f>488/1000</f>
        <v>0.488</v>
      </c>
      <c r="K11" s="48">
        <f aca="true" t="shared" si="2" ref="K11:M35">IF(J11="","",J11*$C11)</f>
        <v>0.488</v>
      </c>
      <c r="L11" s="48">
        <f aca="true" t="shared" si="3" ref="L11:L35">IF(J11=0,"",IF(I11="nd",J11/2,J11))</f>
        <v>0.488</v>
      </c>
      <c r="M11" s="48">
        <f t="shared" si="2"/>
        <v>0.488</v>
      </c>
      <c r="N11" s="48"/>
      <c r="O11" s="48">
        <f>343/1000</f>
        <v>0.343</v>
      </c>
      <c r="P11" s="48">
        <f aca="true" t="shared" si="4" ref="P11:R35">IF(O11="","",O11*$C11)</f>
        <v>0.343</v>
      </c>
      <c r="Q11" s="48">
        <f aca="true" t="shared" si="5" ref="Q11:Q35">IF(O11=0,"",IF(N11="nd",O11/2,O11))</f>
        <v>0.343</v>
      </c>
      <c r="R11" s="48">
        <f t="shared" si="4"/>
        <v>0.343</v>
      </c>
    </row>
    <row r="12" spans="1:18" ht="12.75">
      <c r="A12" s="22"/>
      <c r="B12" s="22" t="s">
        <v>78</v>
      </c>
      <c r="C12" s="23">
        <v>0.5</v>
      </c>
      <c r="D12" s="23"/>
      <c r="E12" s="48">
        <f>142/1000</f>
        <v>0.142</v>
      </c>
      <c r="F12" s="48">
        <f t="shared" si="0"/>
        <v>0.071</v>
      </c>
      <c r="G12" s="48">
        <f t="shared" si="1"/>
        <v>0.142</v>
      </c>
      <c r="H12" s="48">
        <f t="shared" si="0"/>
        <v>0.071</v>
      </c>
      <c r="I12" s="50"/>
      <c r="J12" s="48">
        <f>588/1000</f>
        <v>0.588</v>
      </c>
      <c r="K12" s="48">
        <f t="shared" si="2"/>
        <v>0.294</v>
      </c>
      <c r="L12" s="48">
        <f t="shared" si="3"/>
        <v>0.588</v>
      </c>
      <c r="M12" s="48">
        <f t="shared" si="2"/>
        <v>0.294</v>
      </c>
      <c r="N12" s="48"/>
      <c r="O12" s="48">
        <f>313/1000</f>
        <v>0.313</v>
      </c>
      <c r="P12" s="48">
        <f t="shared" si="4"/>
        <v>0.1565</v>
      </c>
      <c r="Q12" s="48">
        <f t="shared" si="5"/>
        <v>0.313</v>
      </c>
      <c r="R12" s="48">
        <f t="shared" si="4"/>
        <v>0.1565</v>
      </c>
    </row>
    <row r="13" spans="1:18" ht="12.75">
      <c r="A13" s="22"/>
      <c r="B13" s="22" t="s">
        <v>79</v>
      </c>
      <c r="C13" s="23">
        <v>0.1</v>
      </c>
      <c r="D13" s="23"/>
      <c r="E13" s="48">
        <f>30.8/1000</f>
        <v>0.0308</v>
      </c>
      <c r="F13" s="48">
        <f t="shared" si="0"/>
        <v>0.0030800000000000003</v>
      </c>
      <c r="G13" s="48">
        <f t="shared" si="1"/>
        <v>0.0308</v>
      </c>
      <c r="H13" s="48">
        <f t="shared" si="0"/>
        <v>0.0030800000000000003</v>
      </c>
      <c r="I13" s="50"/>
      <c r="J13" s="48">
        <f>174/1000</f>
        <v>0.174</v>
      </c>
      <c r="K13" s="48">
        <f t="shared" si="2"/>
        <v>0.0174</v>
      </c>
      <c r="L13" s="48">
        <f t="shared" si="3"/>
        <v>0.174</v>
      </c>
      <c r="M13" s="48">
        <f t="shared" si="2"/>
        <v>0.0174</v>
      </c>
      <c r="N13" s="48"/>
      <c r="O13" s="48">
        <f>62.2/1000</f>
        <v>0.062200000000000005</v>
      </c>
      <c r="P13" s="48">
        <f t="shared" si="4"/>
        <v>0.006220000000000001</v>
      </c>
      <c r="Q13" s="48">
        <f t="shared" si="5"/>
        <v>0.062200000000000005</v>
      </c>
      <c r="R13" s="48">
        <f t="shared" si="4"/>
        <v>0.006220000000000001</v>
      </c>
    </row>
    <row r="14" spans="1:18" ht="12.75">
      <c r="A14" s="22"/>
      <c r="B14" s="22" t="s">
        <v>80</v>
      </c>
      <c r="C14" s="23">
        <v>0.1</v>
      </c>
      <c r="D14" s="23"/>
      <c r="E14" s="48">
        <f>32.9/1000</f>
        <v>0.0329</v>
      </c>
      <c r="F14" s="48">
        <f t="shared" si="0"/>
        <v>0.00329</v>
      </c>
      <c r="G14" s="48">
        <f t="shared" si="1"/>
        <v>0.0329</v>
      </c>
      <c r="H14" s="48">
        <f t="shared" si="0"/>
        <v>0.00329</v>
      </c>
      <c r="I14" s="50"/>
      <c r="J14" s="48">
        <f>171/1000</f>
        <v>0.171</v>
      </c>
      <c r="K14" s="48">
        <f t="shared" si="2"/>
        <v>0.0171</v>
      </c>
      <c r="L14" s="48">
        <f t="shared" si="3"/>
        <v>0.171</v>
      </c>
      <c r="M14" s="48">
        <f t="shared" si="2"/>
        <v>0.0171</v>
      </c>
      <c r="N14" s="48"/>
      <c r="O14" s="48">
        <f>72/1000</f>
        <v>0.072</v>
      </c>
      <c r="P14" s="48">
        <f t="shared" si="4"/>
        <v>0.0072</v>
      </c>
      <c r="Q14" s="48">
        <f t="shared" si="5"/>
        <v>0.072</v>
      </c>
      <c r="R14" s="48">
        <f t="shared" si="4"/>
        <v>0.0072</v>
      </c>
    </row>
    <row r="15" spans="1:18" ht="12.75">
      <c r="A15" s="22"/>
      <c r="B15" s="22" t="s">
        <v>81</v>
      </c>
      <c r="C15" s="23">
        <v>0.1</v>
      </c>
      <c r="D15" s="23"/>
      <c r="E15" s="48">
        <f>17.5/1000</f>
        <v>0.0175</v>
      </c>
      <c r="F15" s="48">
        <f t="shared" si="0"/>
        <v>0.0017500000000000003</v>
      </c>
      <c r="G15" s="48">
        <f t="shared" si="1"/>
        <v>0.0175</v>
      </c>
      <c r="H15" s="48">
        <f t="shared" si="0"/>
        <v>0.0017500000000000003</v>
      </c>
      <c r="I15" s="50"/>
      <c r="J15" s="48">
        <f>89.6/1000</f>
        <v>0.0896</v>
      </c>
      <c r="K15" s="48">
        <f t="shared" si="2"/>
        <v>0.008960000000000001</v>
      </c>
      <c r="L15" s="48">
        <f t="shared" si="3"/>
        <v>0.0896</v>
      </c>
      <c r="M15" s="48">
        <f t="shared" si="2"/>
        <v>0.008960000000000001</v>
      </c>
      <c r="N15" s="48"/>
      <c r="O15" s="48">
        <f>37.1/1000</f>
        <v>0.0371</v>
      </c>
      <c r="P15" s="48">
        <f t="shared" si="4"/>
        <v>0.00371</v>
      </c>
      <c r="Q15" s="48">
        <f t="shared" si="5"/>
        <v>0.0371</v>
      </c>
      <c r="R15" s="48">
        <f t="shared" si="4"/>
        <v>0.00371</v>
      </c>
    </row>
    <row r="16" spans="1:18" ht="12.75">
      <c r="A16" s="22"/>
      <c r="B16" s="22" t="s">
        <v>82</v>
      </c>
      <c r="C16" s="23">
        <v>0.01</v>
      </c>
      <c r="D16" s="23"/>
      <c r="E16" s="48">
        <f>34/1000</f>
        <v>0.034</v>
      </c>
      <c r="F16" s="48">
        <f t="shared" si="0"/>
        <v>0.00034</v>
      </c>
      <c r="G16" s="48">
        <f t="shared" si="1"/>
        <v>0.034</v>
      </c>
      <c r="H16" s="48">
        <f t="shared" si="0"/>
        <v>0.00034</v>
      </c>
      <c r="I16" s="50"/>
      <c r="J16" s="48">
        <f>165/1000</f>
        <v>0.165</v>
      </c>
      <c r="K16" s="48">
        <f t="shared" si="2"/>
        <v>0.0016500000000000002</v>
      </c>
      <c r="L16" s="48">
        <f t="shared" si="3"/>
        <v>0.165</v>
      </c>
      <c r="M16" s="48">
        <f t="shared" si="2"/>
        <v>0.0016500000000000002</v>
      </c>
      <c r="N16" s="48"/>
      <c r="O16" s="48">
        <f>81.8/1000</f>
        <v>0.0818</v>
      </c>
      <c r="P16" s="48">
        <f t="shared" si="4"/>
        <v>0.000818</v>
      </c>
      <c r="Q16" s="48">
        <f t="shared" si="5"/>
        <v>0.0818</v>
      </c>
      <c r="R16" s="48">
        <f t="shared" si="4"/>
        <v>0.000818</v>
      </c>
    </row>
    <row r="17" spans="1:18" ht="12.75">
      <c r="A17" s="22"/>
      <c r="B17" s="22" t="s">
        <v>83</v>
      </c>
      <c r="C17" s="23">
        <v>0.001</v>
      </c>
      <c r="D17" s="23"/>
      <c r="E17" s="48">
        <f>53.6/1000</f>
        <v>0.0536</v>
      </c>
      <c r="F17" s="48">
        <f t="shared" si="0"/>
        <v>5.36E-05</v>
      </c>
      <c r="G17" s="48">
        <f t="shared" si="1"/>
        <v>0.0536</v>
      </c>
      <c r="H17" s="48">
        <f t="shared" si="0"/>
        <v>5.36E-05</v>
      </c>
      <c r="I17" s="50"/>
      <c r="J17" s="48">
        <f>103/1000</f>
        <v>0.103</v>
      </c>
      <c r="K17" s="48">
        <f t="shared" si="2"/>
        <v>0.000103</v>
      </c>
      <c r="L17" s="48">
        <f t="shared" si="3"/>
        <v>0.103</v>
      </c>
      <c r="M17" s="48">
        <f t="shared" si="2"/>
        <v>0.000103</v>
      </c>
      <c r="N17" s="48"/>
      <c r="O17" s="48">
        <f>103/1000</f>
        <v>0.103</v>
      </c>
      <c r="P17" s="48">
        <f t="shared" si="4"/>
        <v>0.000103</v>
      </c>
      <c r="Q17" s="48">
        <f t="shared" si="5"/>
        <v>0.103</v>
      </c>
      <c r="R17" s="48">
        <f t="shared" si="4"/>
        <v>0.000103</v>
      </c>
    </row>
    <row r="18" spans="1:18" ht="12.75">
      <c r="A18" s="22"/>
      <c r="B18" s="22" t="s">
        <v>84</v>
      </c>
      <c r="C18" s="23">
        <v>0.1</v>
      </c>
      <c r="D18" s="23"/>
      <c r="E18" s="48">
        <f>2570/1000</f>
        <v>2.57</v>
      </c>
      <c r="F18" s="48">
        <f t="shared" si="0"/>
        <v>0.257</v>
      </c>
      <c r="G18" s="48">
        <f t="shared" si="1"/>
        <v>2.57</v>
      </c>
      <c r="H18" s="48">
        <f t="shared" si="0"/>
        <v>0.257</v>
      </c>
      <c r="I18" s="50"/>
      <c r="J18" s="48">
        <f>7110/1000</f>
        <v>7.11</v>
      </c>
      <c r="K18" s="48">
        <f t="shared" si="2"/>
        <v>0.7110000000000001</v>
      </c>
      <c r="L18" s="48">
        <f t="shared" si="3"/>
        <v>7.11</v>
      </c>
      <c r="M18" s="48">
        <f t="shared" si="2"/>
        <v>0.7110000000000001</v>
      </c>
      <c r="N18" s="48"/>
      <c r="O18" s="48">
        <f>5410/1000</f>
        <v>5.41</v>
      </c>
      <c r="P18" s="48">
        <f t="shared" si="4"/>
        <v>0.541</v>
      </c>
      <c r="Q18" s="48">
        <f t="shared" si="5"/>
        <v>5.41</v>
      </c>
      <c r="R18" s="48">
        <f t="shared" si="4"/>
        <v>0.541</v>
      </c>
    </row>
    <row r="19" spans="1:18" ht="12.75">
      <c r="A19" s="22"/>
      <c r="B19" s="22" t="s">
        <v>85</v>
      </c>
      <c r="C19" s="23">
        <v>0.05</v>
      </c>
      <c r="D19" s="23"/>
      <c r="E19" s="48">
        <f>1520/1000</f>
        <v>1.52</v>
      </c>
      <c r="F19" s="48">
        <f t="shared" si="0"/>
        <v>0.07600000000000001</v>
      </c>
      <c r="G19" s="48">
        <f t="shared" si="1"/>
        <v>1.52</v>
      </c>
      <c r="H19" s="48">
        <f t="shared" si="0"/>
        <v>0.07600000000000001</v>
      </c>
      <c r="I19" s="50"/>
      <c r="J19" s="48">
        <f>5510/1000</f>
        <v>5.51</v>
      </c>
      <c r="K19" s="48">
        <f t="shared" si="2"/>
        <v>0.2755</v>
      </c>
      <c r="L19" s="48">
        <f t="shared" si="3"/>
        <v>5.51</v>
      </c>
      <c r="M19" s="48">
        <f t="shared" si="2"/>
        <v>0.2755</v>
      </c>
      <c r="N19" s="48"/>
      <c r="O19" s="48">
        <f>2960/1000</f>
        <v>2.96</v>
      </c>
      <c r="P19" s="48">
        <f t="shared" si="4"/>
        <v>0.148</v>
      </c>
      <c r="Q19" s="48">
        <f t="shared" si="5"/>
        <v>2.96</v>
      </c>
      <c r="R19" s="48">
        <f t="shared" si="4"/>
        <v>0.148</v>
      </c>
    </row>
    <row r="20" spans="1:18" ht="12.75">
      <c r="A20" s="22"/>
      <c r="B20" s="22" t="s">
        <v>86</v>
      </c>
      <c r="C20" s="23">
        <v>0.5</v>
      </c>
      <c r="D20" s="23"/>
      <c r="E20" s="48">
        <f>2700/1000</f>
        <v>2.7</v>
      </c>
      <c r="F20" s="48">
        <f t="shared" si="0"/>
        <v>1.35</v>
      </c>
      <c r="G20" s="48">
        <f t="shared" si="1"/>
        <v>2.7</v>
      </c>
      <c r="H20" s="48">
        <f t="shared" si="0"/>
        <v>1.35</v>
      </c>
      <c r="I20" s="50"/>
      <c r="J20" s="48">
        <f>10100/1000</f>
        <v>10.1</v>
      </c>
      <c r="K20" s="48">
        <f t="shared" si="2"/>
        <v>5.05</v>
      </c>
      <c r="L20" s="48">
        <f t="shared" si="3"/>
        <v>10.1</v>
      </c>
      <c r="M20" s="48">
        <f t="shared" si="2"/>
        <v>5.05</v>
      </c>
      <c r="N20" s="48"/>
      <c r="O20" s="48">
        <f>4980/1000</f>
        <v>4.98</v>
      </c>
      <c r="P20" s="48">
        <f t="shared" si="4"/>
        <v>2.49</v>
      </c>
      <c r="Q20" s="48">
        <f t="shared" si="5"/>
        <v>4.98</v>
      </c>
      <c r="R20" s="48">
        <f t="shared" si="4"/>
        <v>2.49</v>
      </c>
    </row>
    <row r="21" spans="1:18" ht="12.75">
      <c r="A21" s="22"/>
      <c r="B21" s="22" t="s">
        <v>87</v>
      </c>
      <c r="C21" s="23">
        <v>0.1</v>
      </c>
      <c r="D21" s="23"/>
      <c r="E21" s="48">
        <f>647/1000</f>
        <v>0.647</v>
      </c>
      <c r="F21" s="48">
        <f t="shared" si="0"/>
        <v>0.06470000000000001</v>
      </c>
      <c r="G21" s="48">
        <f t="shared" si="1"/>
        <v>0.647</v>
      </c>
      <c r="H21" s="48">
        <f t="shared" si="0"/>
        <v>0.06470000000000001</v>
      </c>
      <c r="I21" s="50"/>
      <c r="J21" s="48">
        <f>3400/1000</f>
        <v>3.4</v>
      </c>
      <c r="K21" s="48">
        <f t="shared" si="2"/>
        <v>0.34</v>
      </c>
      <c r="L21" s="48">
        <f t="shared" si="3"/>
        <v>3.4</v>
      </c>
      <c r="M21" s="48">
        <f t="shared" si="2"/>
        <v>0.34</v>
      </c>
      <c r="N21" s="48"/>
      <c r="O21" s="48">
        <f>1270/1000</f>
        <v>1.27</v>
      </c>
      <c r="P21" s="48">
        <f t="shared" si="4"/>
        <v>0.127</v>
      </c>
      <c r="Q21" s="48">
        <f t="shared" si="5"/>
        <v>1.27</v>
      </c>
      <c r="R21" s="48">
        <f t="shared" si="4"/>
        <v>0.127</v>
      </c>
    </row>
    <row r="22" spans="1:18" ht="12.75">
      <c r="A22" s="22"/>
      <c r="B22" s="22" t="s">
        <v>88</v>
      </c>
      <c r="C22" s="23">
        <v>0.1</v>
      </c>
      <c r="D22" s="23"/>
      <c r="E22" s="48">
        <f>558/1000</f>
        <v>0.558</v>
      </c>
      <c r="F22" s="48">
        <f t="shared" si="0"/>
        <v>0.05580000000000001</v>
      </c>
      <c r="G22" s="48">
        <f t="shared" si="1"/>
        <v>0.558</v>
      </c>
      <c r="H22" s="48">
        <f t="shared" si="0"/>
        <v>0.05580000000000001</v>
      </c>
      <c r="I22" s="50"/>
      <c r="J22" s="48">
        <f>2940/1000</f>
        <v>2.94</v>
      </c>
      <c r="K22" s="48">
        <f t="shared" si="2"/>
        <v>0.294</v>
      </c>
      <c r="L22" s="48">
        <f t="shared" si="3"/>
        <v>2.94</v>
      </c>
      <c r="M22" s="48">
        <f t="shared" si="2"/>
        <v>0.294</v>
      </c>
      <c r="N22" s="48"/>
      <c r="O22" s="48">
        <f>1140/1000</f>
        <v>1.14</v>
      </c>
      <c r="P22" s="48">
        <f t="shared" si="4"/>
        <v>0.11399999999999999</v>
      </c>
      <c r="Q22" s="48">
        <f t="shared" si="5"/>
        <v>1.14</v>
      </c>
      <c r="R22" s="48">
        <f t="shared" si="4"/>
        <v>0.11399999999999999</v>
      </c>
    </row>
    <row r="23" spans="1:18" ht="12.75">
      <c r="A23" s="22"/>
      <c r="B23" s="22" t="s">
        <v>89</v>
      </c>
      <c r="C23" s="23">
        <v>0.1</v>
      </c>
      <c r="D23" s="23"/>
      <c r="E23" s="48">
        <f>352/1000</f>
        <v>0.352</v>
      </c>
      <c r="F23" s="48">
        <f t="shared" si="0"/>
        <v>0.0352</v>
      </c>
      <c r="G23" s="48">
        <f t="shared" si="1"/>
        <v>0.352</v>
      </c>
      <c r="H23" s="48">
        <f t="shared" si="0"/>
        <v>0.0352</v>
      </c>
      <c r="I23" s="50"/>
      <c r="J23" s="48">
        <f>2070/1000</f>
        <v>2.07</v>
      </c>
      <c r="K23" s="48">
        <f t="shared" si="2"/>
        <v>0.207</v>
      </c>
      <c r="L23" s="48">
        <f t="shared" si="3"/>
        <v>2.07</v>
      </c>
      <c r="M23" s="48">
        <f t="shared" si="2"/>
        <v>0.207</v>
      </c>
      <c r="N23" s="48"/>
      <c r="O23" s="48">
        <f>726/1000</f>
        <v>0.726</v>
      </c>
      <c r="P23" s="48">
        <f t="shared" si="4"/>
        <v>0.0726</v>
      </c>
      <c r="Q23" s="48">
        <f t="shared" si="5"/>
        <v>0.726</v>
      </c>
      <c r="R23" s="48">
        <f t="shared" si="4"/>
        <v>0.0726</v>
      </c>
    </row>
    <row r="24" spans="1:18" ht="12.75">
      <c r="A24" s="22"/>
      <c r="B24" s="22" t="s">
        <v>90</v>
      </c>
      <c r="C24" s="23">
        <v>0.1</v>
      </c>
      <c r="D24" s="23"/>
      <c r="E24" s="48">
        <f>122/1000</f>
        <v>0.122</v>
      </c>
      <c r="F24" s="48">
        <f t="shared" si="0"/>
        <v>0.0122</v>
      </c>
      <c r="G24" s="48">
        <f t="shared" si="1"/>
        <v>0.122</v>
      </c>
      <c r="H24" s="48">
        <f t="shared" si="0"/>
        <v>0.0122</v>
      </c>
      <c r="I24" s="50"/>
      <c r="J24" s="48">
        <f>667/1000</f>
        <v>0.667</v>
      </c>
      <c r="K24" s="48">
        <f t="shared" si="2"/>
        <v>0.06670000000000001</v>
      </c>
      <c r="L24" s="48">
        <f t="shared" si="3"/>
        <v>0.667</v>
      </c>
      <c r="M24" s="48">
        <f t="shared" si="2"/>
        <v>0.06670000000000001</v>
      </c>
      <c r="N24" s="48"/>
      <c r="O24" s="48">
        <f>240/1000</f>
        <v>0.24</v>
      </c>
      <c r="P24" s="48">
        <f t="shared" si="4"/>
        <v>0.024</v>
      </c>
      <c r="Q24" s="48">
        <f t="shared" si="5"/>
        <v>0.24</v>
      </c>
      <c r="R24" s="48">
        <f t="shared" si="4"/>
        <v>0.024</v>
      </c>
    </row>
    <row r="25" spans="1:18" ht="12.75">
      <c r="A25" s="22"/>
      <c r="B25" s="22" t="s">
        <v>91</v>
      </c>
      <c r="C25" s="23">
        <v>0.01</v>
      </c>
      <c r="D25" s="23"/>
      <c r="E25" s="48">
        <f>275/1000</f>
        <v>0.275</v>
      </c>
      <c r="F25" s="48">
        <f t="shared" si="0"/>
        <v>0.0027500000000000003</v>
      </c>
      <c r="G25" s="48">
        <f t="shared" si="1"/>
        <v>0.275</v>
      </c>
      <c r="H25" s="48">
        <f t="shared" si="0"/>
        <v>0.0027500000000000003</v>
      </c>
      <c r="I25" s="50"/>
      <c r="J25" s="48">
        <f>2120/1000</f>
        <v>2.12</v>
      </c>
      <c r="K25" s="48">
        <f t="shared" si="2"/>
        <v>0.0212</v>
      </c>
      <c r="L25" s="48">
        <f t="shared" si="3"/>
        <v>2.12</v>
      </c>
      <c r="M25" s="48">
        <f t="shared" si="2"/>
        <v>0.0212</v>
      </c>
      <c r="N25" s="48"/>
      <c r="O25" s="48">
        <f>553/1000</f>
        <v>0.553</v>
      </c>
      <c r="P25" s="48">
        <f t="shared" si="4"/>
        <v>0.00553</v>
      </c>
      <c r="Q25" s="48">
        <f t="shared" si="5"/>
        <v>0.553</v>
      </c>
      <c r="R25" s="48">
        <f t="shared" si="4"/>
        <v>0.00553</v>
      </c>
    </row>
    <row r="26" spans="1:18" ht="12.75">
      <c r="A26" s="22"/>
      <c r="B26" s="22" t="s">
        <v>92</v>
      </c>
      <c r="C26" s="23">
        <v>0.01</v>
      </c>
      <c r="D26" s="23"/>
      <c r="E26" s="48">
        <f>28.5/1000</f>
        <v>0.0285</v>
      </c>
      <c r="F26" s="48">
        <f t="shared" si="0"/>
        <v>0.00028500000000000004</v>
      </c>
      <c r="G26" s="48">
        <f t="shared" si="1"/>
        <v>0.0285</v>
      </c>
      <c r="H26" s="48">
        <f t="shared" si="0"/>
        <v>0.00028500000000000004</v>
      </c>
      <c r="I26" s="50"/>
      <c r="J26" s="48">
        <f>3110/1000</f>
        <v>3.11</v>
      </c>
      <c r="K26" s="48">
        <f t="shared" si="2"/>
        <v>0.0311</v>
      </c>
      <c r="L26" s="48">
        <f t="shared" si="3"/>
        <v>3.11</v>
      </c>
      <c r="M26" s="48">
        <f t="shared" si="2"/>
        <v>0.0311</v>
      </c>
      <c r="N26" s="48"/>
      <c r="O26" s="48">
        <f>48.4/1000</f>
        <v>0.0484</v>
      </c>
      <c r="P26" s="48">
        <f t="shared" si="4"/>
        <v>0.000484</v>
      </c>
      <c r="Q26" s="48">
        <f t="shared" si="5"/>
        <v>0.0484</v>
      </c>
      <c r="R26" s="48">
        <f t="shared" si="4"/>
        <v>0.000484</v>
      </c>
    </row>
    <row r="27" spans="1:18" ht="12.75">
      <c r="A27" s="22"/>
      <c r="B27" s="22" t="s">
        <v>93</v>
      </c>
      <c r="C27" s="23">
        <v>0.001</v>
      </c>
      <c r="D27" s="23"/>
      <c r="E27" s="48">
        <f>25.7/1000</f>
        <v>0.0257</v>
      </c>
      <c r="F27" s="48">
        <f t="shared" si="0"/>
        <v>2.57E-05</v>
      </c>
      <c r="G27" s="48">
        <f t="shared" si="1"/>
        <v>0.0257</v>
      </c>
      <c r="H27" s="48">
        <f t="shared" si="0"/>
        <v>2.57E-05</v>
      </c>
      <c r="I27" s="50"/>
      <c r="J27" s="48">
        <f>137/1000</f>
        <v>0.137</v>
      </c>
      <c r="K27" s="48">
        <f t="shared" si="2"/>
        <v>0.00013700000000000002</v>
      </c>
      <c r="L27" s="48">
        <f t="shared" si="3"/>
        <v>0.137</v>
      </c>
      <c r="M27" s="48">
        <f t="shared" si="2"/>
        <v>0.00013700000000000002</v>
      </c>
      <c r="N27" s="48"/>
      <c r="O27" s="48">
        <f>37.1/1000</f>
        <v>0.0371</v>
      </c>
      <c r="P27" s="48">
        <f t="shared" si="4"/>
        <v>3.71E-05</v>
      </c>
      <c r="Q27" s="48">
        <f t="shared" si="5"/>
        <v>0.0371</v>
      </c>
      <c r="R27" s="48">
        <f t="shared" si="4"/>
        <v>3.71E-05</v>
      </c>
    </row>
    <row r="28" spans="1:18" ht="12.75">
      <c r="A28" s="22"/>
      <c r="B28" s="22" t="s">
        <v>94</v>
      </c>
      <c r="C28" s="23">
        <v>0</v>
      </c>
      <c r="D28" s="23"/>
      <c r="E28" s="48">
        <f>3560/1000</f>
        <v>3.56</v>
      </c>
      <c r="F28" s="48">
        <f t="shared" si="0"/>
        <v>0</v>
      </c>
      <c r="G28" s="48">
        <f t="shared" si="1"/>
        <v>3.56</v>
      </c>
      <c r="H28" s="48">
        <f t="shared" si="0"/>
        <v>0</v>
      </c>
      <c r="I28" s="50"/>
      <c r="J28" s="60">
        <f>9270/1000</f>
        <v>9.27</v>
      </c>
      <c r="K28" s="48">
        <f t="shared" si="2"/>
        <v>0</v>
      </c>
      <c r="L28" s="48">
        <f t="shared" si="3"/>
        <v>9.27</v>
      </c>
      <c r="M28" s="48">
        <f t="shared" si="2"/>
        <v>0</v>
      </c>
      <c r="N28" s="48"/>
      <c r="O28" s="48">
        <f>6850/1000</f>
        <v>6.85</v>
      </c>
      <c r="P28" s="48">
        <f t="shared" si="4"/>
        <v>0</v>
      </c>
      <c r="Q28" s="48">
        <f t="shared" si="5"/>
        <v>6.85</v>
      </c>
      <c r="R28" s="48">
        <f t="shared" si="4"/>
        <v>0</v>
      </c>
    </row>
    <row r="29" spans="1:18" ht="12.75">
      <c r="A29" s="22"/>
      <c r="B29" s="22" t="s">
        <v>95</v>
      </c>
      <c r="C29" s="23">
        <v>0</v>
      </c>
      <c r="D29" s="23"/>
      <c r="E29" s="48">
        <f>1480/1000</f>
        <v>1.48</v>
      </c>
      <c r="F29" s="48">
        <f t="shared" si="0"/>
        <v>0</v>
      </c>
      <c r="G29" s="48">
        <f t="shared" si="1"/>
        <v>1.48</v>
      </c>
      <c r="H29" s="48">
        <f t="shared" si="0"/>
        <v>0</v>
      </c>
      <c r="I29" s="50"/>
      <c r="J29" s="48">
        <f>5620/1000</f>
        <v>5.62</v>
      </c>
      <c r="K29" s="48">
        <f t="shared" si="2"/>
        <v>0</v>
      </c>
      <c r="L29" s="48">
        <f t="shared" si="3"/>
        <v>5.62</v>
      </c>
      <c r="M29" s="48">
        <f t="shared" si="2"/>
        <v>0</v>
      </c>
      <c r="N29" s="48"/>
      <c r="O29" s="48">
        <f>2830/1000</f>
        <v>2.83</v>
      </c>
      <c r="P29" s="48">
        <f t="shared" si="4"/>
        <v>0</v>
      </c>
      <c r="Q29" s="48">
        <f t="shared" si="5"/>
        <v>2.83</v>
      </c>
      <c r="R29" s="48">
        <f t="shared" si="4"/>
        <v>0</v>
      </c>
    </row>
    <row r="30" spans="1:18" ht="12.75">
      <c r="A30" s="22"/>
      <c r="B30" s="22" t="s">
        <v>96</v>
      </c>
      <c r="C30" s="23">
        <v>0</v>
      </c>
      <c r="D30" s="23"/>
      <c r="E30" s="48">
        <f>403/1000</f>
        <v>0.403</v>
      </c>
      <c r="F30" s="48">
        <f t="shared" si="0"/>
        <v>0</v>
      </c>
      <c r="G30" s="48">
        <f t="shared" si="1"/>
        <v>0.403</v>
      </c>
      <c r="H30" s="48">
        <f t="shared" si="0"/>
        <v>0</v>
      </c>
      <c r="I30" s="50"/>
      <c r="J30" s="48">
        <f>1950/1000</f>
        <v>1.95</v>
      </c>
      <c r="K30" s="48">
        <f t="shared" si="2"/>
        <v>0</v>
      </c>
      <c r="L30" s="48">
        <f t="shared" si="3"/>
        <v>1.95</v>
      </c>
      <c r="M30" s="48">
        <f t="shared" si="2"/>
        <v>0</v>
      </c>
      <c r="N30" s="48"/>
      <c r="O30" s="48">
        <f>843/1000</f>
        <v>0.843</v>
      </c>
      <c r="P30" s="48">
        <f t="shared" si="4"/>
        <v>0</v>
      </c>
      <c r="Q30" s="48">
        <f t="shared" si="5"/>
        <v>0.843</v>
      </c>
      <c r="R30" s="48">
        <f t="shared" si="4"/>
        <v>0</v>
      </c>
    </row>
    <row r="31" spans="1:18" ht="12.75">
      <c r="A31" s="22"/>
      <c r="B31" s="22" t="s">
        <v>97</v>
      </c>
      <c r="C31" s="23">
        <v>0</v>
      </c>
      <c r="D31" s="23"/>
      <c r="E31" s="48">
        <f>75/1000</f>
        <v>0.075</v>
      </c>
      <c r="F31" s="48">
        <f t="shared" si="0"/>
        <v>0</v>
      </c>
      <c r="G31" s="48">
        <f t="shared" si="1"/>
        <v>0.075</v>
      </c>
      <c r="H31" s="48">
        <f t="shared" si="0"/>
        <v>0</v>
      </c>
      <c r="I31" s="50"/>
      <c r="J31" s="48">
        <f>344/1000</f>
        <v>0.344</v>
      </c>
      <c r="K31" s="48">
        <f t="shared" si="2"/>
        <v>0</v>
      </c>
      <c r="L31" s="48">
        <f t="shared" si="3"/>
        <v>0.344</v>
      </c>
      <c r="M31" s="48">
        <f t="shared" si="2"/>
        <v>0</v>
      </c>
      <c r="N31" s="48"/>
      <c r="O31" s="48">
        <f>174/1000</f>
        <v>0.174</v>
      </c>
      <c r="P31" s="48">
        <f t="shared" si="4"/>
        <v>0</v>
      </c>
      <c r="Q31" s="48">
        <f t="shared" si="5"/>
        <v>0.174</v>
      </c>
      <c r="R31" s="48">
        <f t="shared" si="4"/>
        <v>0</v>
      </c>
    </row>
    <row r="32" spans="1:18" ht="12.75">
      <c r="A32" s="22"/>
      <c r="B32" s="22" t="s">
        <v>98</v>
      </c>
      <c r="C32" s="23">
        <v>0</v>
      </c>
      <c r="D32" s="23"/>
      <c r="E32" s="48">
        <f>115000/1000</f>
        <v>115</v>
      </c>
      <c r="F32" s="48">
        <f t="shared" si="0"/>
        <v>0</v>
      </c>
      <c r="G32" s="48">
        <f t="shared" si="1"/>
        <v>115</v>
      </c>
      <c r="H32" s="48">
        <f t="shared" si="0"/>
        <v>0</v>
      </c>
      <c r="I32" s="50"/>
      <c r="J32" s="48">
        <f>272000/1000</f>
        <v>272</v>
      </c>
      <c r="K32" s="48">
        <f t="shared" si="2"/>
        <v>0</v>
      </c>
      <c r="L32" s="48">
        <f t="shared" si="3"/>
        <v>272</v>
      </c>
      <c r="M32" s="48">
        <f t="shared" si="2"/>
        <v>0</v>
      </c>
      <c r="N32" s="48"/>
      <c r="O32" s="48">
        <f>206000/1000</f>
        <v>206</v>
      </c>
      <c r="P32" s="48">
        <f t="shared" si="4"/>
        <v>0</v>
      </c>
      <c r="Q32" s="48">
        <f t="shared" si="5"/>
        <v>206</v>
      </c>
      <c r="R32" s="48">
        <f t="shared" si="4"/>
        <v>0</v>
      </c>
    </row>
    <row r="33" spans="1:18" ht="12.75">
      <c r="A33" s="22"/>
      <c r="B33" s="22" t="s">
        <v>99</v>
      </c>
      <c r="C33" s="23">
        <v>0</v>
      </c>
      <c r="D33" s="23"/>
      <c r="E33" s="48">
        <f>35700/1000</f>
        <v>35.7</v>
      </c>
      <c r="F33" s="48">
        <f t="shared" si="0"/>
        <v>0</v>
      </c>
      <c r="G33" s="48">
        <f t="shared" si="1"/>
        <v>35.7</v>
      </c>
      <c r="H33" s="48">
        <f t="shared" si="0"/>
        <v>0</v>
      </c>
      <c r="I33" s="50"/>
      <c r="J33" s="48">
        <f>125000/1000</f>
        <v>125</v>
      </c>
      <c r="K33" s="48">
        <f t="shared" si="2"/>
        <v>0</v>
      </c>
      <c r="L33" s="48">
        <f t="shared" si="3"/>
        <v>125</v>
      </c>
      <c r="M33" s="48">
        <f t="shared" si="2"/>
        <v>0</v>
      </c>
      <c r="N33" s="48"/>
      <c r="O33" s="48">
        <f>63300/1000</f>
        <v>63.3</v>
      </c>
      <c r="P33" s="48">
        <f t="shared" si="4"/>
        <v>0</v>
      </c>
      <c r="Q33" s="48">
        <f t="shared" si="5"/>
        <v>63.3</v>
      </c>
      <c r="R33" s="48">
        <f t="shared" si="4"/>
        <v>0</v>
      </c>
    </row>
    <row r="34" spans="1:18" ht="12.75">
      <c r="A34" s="22"/>
      <c r="B34" s="22" t="s">
        <v>100</v>
      </c>
      <c r="C34" s="23">
        <v>0</v>
      </c>
      <c r="D34" s="23"/>
      <c r="E34" s="48">
        <f>5370/1000</f>
        <v>5.37</v>
      </c>
      <c r="F34" s="48">
        <f t="shared" si="0"/>
        <v>0</v>
      </c>
      <c r="G34" s="48">
        <f t="shared" si="1"/>
        <v>5.37</v>
      </c>
      <c r="H34" s="48">
        <f t="shared" si="0"/>
        <v>0</v>
      </c>
      <c r="I34" s="50"/>
      <c r="J34" s="48">
        <f>28800/1000</f>
        <v>28.8</v>
      </c>
      <c r="K34" s="48">
        <f t="shared" si="2"/>
        <v>0</v>
      </c>
      <c r="L34" s="48">
        <f t="shared" si="3"/>
        <v>28.8</v>
      </c>
      <c r="M34" s="48">
        <f t="shared" si="2"/>
        <v>0</v>
      </c>
      <c r="N34" s="48"/>
      <c r="O34" s="48">
        <f>10100/1000</f>
        <v>10.1</v>
      </c>
      <c r="P34" s="48">
        <f t="shared" si="4"/>
        <v>0</v>
      </c>
      <c r="Q34" s="48">
        <f t="shared" si="5"/>
        <v>10.1</v>
      </c>
      <c r="R34" s="48">
        <f t="shared" si="4"/>
        <v>0</v>
      </c>
    </row>
    <row r="35" spans="1:18" ht="12.75">
      <c r="A35" s="22" t="s">
        <v>101</v>
      </c>
      <c r="B35" s="22" t="s">
        <v>102</v>
      </c>
      <c r="C35" s="23">
        <v>0</v>
      </c>
      <c r="D35" s="23"/>
      <c r="E35" s="48">
        <f>407/1000</f>
        <v>0.407</v>
      </c>
      <c r="F35" s="48">
        <f t="shared" si="0"/>
        <v>0</v>
      </c>
      <c r="G35" s="48">
        <f t="shared" si="1"/>
        <v>0.407</v>
      </c>
      <c r="H35" s="48">
        <f t="shared" si="0"/>
        <v>0</v>
      </c>
      <c r="I35" s="50"/>
      <c r="J35" s="48">
        <f>3110/1000</f>
        <v>3.11</v>
      </c>
      <c r="K35" s="48">
        <f t="shared" si="2"/>
        <v>0</v>
      </c>
      <c r="L35" s="48">
        <f t="shared" si="3"/>
        <v>3.11</v>
      </c>
      <c r="M35" s="48">
        <f t="shared" si="2"/>
        <v>0</v>
      </c>
      <c r="N35" s="48"/>
      <c r="O35" s="48">
        <f>794/1000</f>
        <v>0.794</v>
      </c>
      <c r="P35" s="48">
        <f t="shared" si="4"/>
        <v>0</v>
      </c>
      <c r="Q35" s="48">
        <f t="shared" si="5"/>
        <v>0.794</v>
      </c>
      <c r="R35" s="48">
        <f t="shared" si="4"/>
        <v>0</v>
      </c>
    </row>
    <row r="36" spans="1:18" s="110" customFormat="1" ht="12.75">
      <c r="A36" s="22"/>
      <c r="B36" s="22"/>
      <c r="C36" s="22"/>
      <c r="D36" s="22"/>
      <c r="E36" s="48"/>
      <c r="F36" s="44"/>
      <c r="G36" s="48"/>
      <c r="H36" s="44"/>
      <c r="I36" s="48"/>
      <c r="J36" s="22"/>
      <c r="K36" s="24"/>
      <c r="L36" s="24"/>
      <c r="M36" s="24"/>
      <c r="N36" s="48"/>
      <c r="O36" s="22"/>
      <c r="P36" s="43"/>
      <c r="Q36" s="48"/>
      <c r="R36" s="43"/>
    </row>
    <row r="37" spans="1:18" s="110" customFormat="1" ht="12.75">
      <c r="A37" s="22"/>
      <c r="B37" s="22" t="s">
        <v>103</v>
      </c>
      <c r="C37" s="22"/>
      <c r="D37" s="22"/>
      <c r="E37" s="48"/>
      <c r="F37" s="18">
        <v>120.33</v>
      </c>
      <c r="G37" s="18">
        <v>120.33</v>
      </c>
      <c r="H37" s="18">
        <v>120.33</v>
      </c>
      <c r="I37" s="24"/>
      <c r="J37" s="24"/>
      <c r="K37" s="24">
        <v>121.22</v>
      </c>
      <c r="L37" s="24">
        <v>121.22</v>
      </c>
      <c r="M37" s="24">
        <v>121.22</v>
      </c>
      <c r="N37" s="24"/>
      <c r="O37" s="24"/>
      <c r="P37" s="24">
        <v>118.51</v>
      </c>
      <c r="Q37" s="24">
        <v>118.51</v>
      </c>
      <c r="R37" s="24">
        <v>118.51</v>
      </c>
    </row>
    <row r="38" spans="1:18" s="110" customFormat="1" ht="12.75">
      <c r="A38" s="22"/>
      <c r="B38" s="22" t="s">
        <v>104</v>
      </c>
      <c r="C38" s="22"/>
      <c r="D38" s="22"/>
      <c r="E38" s="48"/>
      <c r="F38" s="18">
        <v>14.5</v>
      </c>
      <c r="G38" s="18">
        <v>14.5</v>
      </c>
      <c r="H38" s="18">
        <v>14.5</v>
      </c>
      <c r="I38" s="24"/>
      <c r="J38" s="24"/>
      <c r="K38" s="24">
        <v>14</v>
      </c>
      <c r="L38" s="24">
        <v>14</v>
      </c>
      <c r="M38" s="24">
        <v>14</v>
      </c>
      <c r="N38" s="24"/>
      <c r="O38" s="24"/>
      <c r="P38" s="24">
        <v>14</v>
      </c>
      <c r="Q38" s="24">
        <v>14</v>
      </c>
      <c r="R38" s="24">
        <v>14</v>
      </c>
    </row>
    <row r="39" spans="1:18" s="110" customFormat="1" ht="12.75">
      <c r="A39" s="22"/>
      <c r="B39" s="22"/>
      <c r="C39" s="22"/>
      <c r="D39" s="22"/>
      <c r="E39" s="48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s="110" customFormat="1" ht="12.75">
      <c r="A40" s="22"/>
      <c r="B40" s="22" t="s">
        <v>105</v>
      </c>
      <c r="C40" s="44"/>
      <c r="D40" s="44"/>
      <c r="E40" s="24"/>
      <c r="F40" s="24">
        <f>SUM(F11:F27)</f>
        <v>2.0964743</v>
      </c>
      <c r="G40" s="24">
        <f>SUM(G27,G35,G34,G33,G32,G17,G31,G30,G29,G28)</f>
        <v>162.07429999999997</v>
      </c>
      <c r="H40" s="24">
        <f>SUM(H11:H27)</f>
        <v>2.0964743</v>
      </c>
      <c r="I40" s="24"/>
      <c r="J40" s="24"/>
      <c r="K40" s="24">
        <f>SUM(K11:K27)</f>
        <v>7.823849999999999</v>
      </c>
      <c r="L40" s="24">
        <f>SUM(L27,L35,L34,L33,L32,L17,L31,L30,L29,L28)</f>
        <v>446.334</v>
      </c>
      <c r="M40" s="24">
        <f>SUM(M11:M27)</f>
        <v>7.823849999999999</v>
      </c>
      <c r="N40" s="24"/>
      <c r="O40" s="24"/>
      <c r="P40" s="24">
        <f>SUM(P11:P27)</f>
        <v>4.040202100000001</v>
      </c>
      <c r="Q40" s="24">
        <f>SUM(Q27,Q35,Q34,Q33,Q32,Q17,Q31,Q30,Q29,Q28)</f>
        <v>291.0311</v>
      </c>
      <c r="R40" s="24">
        <f>SUM(R11:R27)</f>
        <v>4.040202100000001</v>
      </c>
    </row>
    <row r="41" spans="1:19" ht="12.75">
      <c r="A41" s="22"/>
      <c r="B41" s="22" t="s">
        <v>106</v>
      </c>
      <c r="C41" s="44"/>
      <c r="D41" s="24">
        <f>(F41-H41)*2/F41*100</f>
        <v>0</v>
      </c>
      <c r="E41" s="48"/>
      <c r="F41" s="48">
        <f>(F40/F37/0.0283*(21-7)/(21-F38))</f>
        <v>1.3260010553111772</v>
      </c>
      <c r="G41" s="24">
        <f>(G40/G37/0.0283*(21-7)/(21-G38))</f>
        <v>102.5105305792779</v>
      </c>
      <c r="H41" s="48">
        <f>(H40/H37/0.0283*(21-7)/(21-H38))</f>
        <v>1.3260010553111772</v>
      </c>
      <c r="I41" s="24">
        <f>(K41-M41)*2/K41*100</f>
        <v>0</v>
      </c>
      <c r="J41" s="24"/>
      <c r="K41" s="48">
        <f>K40/K37/0.0283*(21-7)/(21-K38)</f>
        <v>4.56131217195264</v>
      </c>
      <c r="L41" s="24">
        <f>(L40/L37/0.0283*(21-7)/(21-L38))</f>
        <v>260.21315681618506</v>
      </c>
      <c r="M41" s="48">
        <f>M40/M37/0.0283*(21-7)/(21-M38)</f>
        <v>4.56131217195264</v>
      </c>
      <c r="N41" s="24">
        <f>(P41-R41)*2/P41*100</f>
        <v>0</v>
      </c>
      <c r="O41" s="24"/>
      <c r="P41" s="48">
        <f>P40/P37/0.0283*(21-7)/(21-P38)</f>
        <v>2.4093042796108217</v>
      </c>
      <c r="Q41" s="24">
        <f>(Q40/Q37/0.0283*(21-7)/(21-Q38))</f>
        <v>173.55133663482943</v>
      </c>
      <c r="R41" s="48">
        <f>R40/R37/0.0283*(21-7)/(21-R38)</f>
        <v>2.4093042796108217</v>
      </c>
      <c r="S41" s="110"/>
    </row>
    <row r="42" spans="1:18" ht="12.75">
      <c r="A42" s="22"/>
      <c r="B42" s="22"/>
      <c r="C42" s="22"/>
      <c r="D42" s="22"/>
      <c r="E42" s="50"/>
      <c r="F42" s="44"/>
      <c r="G42" s="50"/>
      <c r="H42" s="44"/>
      <c r="I42" s="50"/>
      <c r="J42" s="50"/>
      <c r="K42" s="50"/>
      <c r="L42" s="50"/>
      <c r="M42" s="50"/>
      <c r="N42" s="50"/>
      <c r="O42" s="50"/>
      <c r="P42" s="43"/>
      <c r="Q42" s="50"/>
      <c r="R42" s="43"/>
    </row>
    <row r="43" spans="1:18" ht="12.75">
      <c r="A43" s="48"/>
      <c r="B43" s="22" t="s">
        <v>107</v>
      </c>
      <c r="C43" s="48">
        <f>AVERAGE(H41,M41,R41)</f>
        <v>2.765539168958213</v>
      </c>
      <c r="D43" s="48"/>
      <c r="E43" s="51"/>
      <c r="F43" s="44"/>
      <c r="G43" s="48"/>
      <c r="H43" s="44"/>
      <c r="I43" s="48"/>
      <c r="J43" s="48"/>
      <c r="K43" s="48"/>
      <c r="L43" s="48"/>
      <c r="M43" s="48"/>
      <c r="N43" s="48"/>
      <c r="O43" s="48"/>
      <c r="P43" s="43"/>
      <c r="Q43" s="48"/>
      <c r="R43" s="43"/>
    </row>
    <row r="44" spans="1:18" ht="12.75">
      <c r="A44" s="22"/>
      <c r="B44" s="22" t="s">
        <v>108</v>
      </c>
      <c r="C44" s="48">
        <f>AVERAGE(G41,L41,Q41)</f>
        <v>178.75834134343077</v>
      </c>
      <c r="D44" s="22"/>
      <c r="E44" s="43"/>
      <c r="F44" s="44"/>
      <c r="G44" s="43"/>
      <c r="H44" s="44"/>
      <c r="I44" s="43"/>
      <c r="J44" s="43"/>
      <c r="K44" s="43"/>
      <c r="L44" s="43"/>
      <c r="M44" s="43"/>
      <c r="N44" s="43"/>
      <c r="O44" s="43"/>
      <c r="P44" s="43"/>
      <c r="Q44" s="43"/>
      <c r="R44" s="4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2">
      <selection activeCell="C1" sqref="C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3.71093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5.8515625" style="0" customWidth="1"/>
    <col min="16" max="16" width="9.00390625" style="0" customWidth="1"/>
    <col min="18" max="18" width="9.00390625" style="0" customWidth="1"/>
  </cols>
  <sheetData>
    <row r="1" spans="1:18" ht="12.75">
      <c r="A1" s="42" t="s">
        <v>68</v>
      </c>
      <c r="B1" s="22"/>
      <c r="C1" s="22"/>
      <c r="D1" s="22"/>
      <c r="E1" s="43"/>
      <c r="F1" s="44"/>
      <c r="G1" s="43"/>
      <c r="H1" s="44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>
      <c r="A2" s="22" t="s">
        <v>282</v>
      </c>
      <c r="B2" s="22"/>
      <c r="C2" s="22"/>
      <c r="D2" s="22"/>
      <c r="E2" s="43"/>
      <c r="F2" s="44"/>
      <c r="G2" s="43"/>
      <c r="H2" s="44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.75">
      <c r="A3" s="22" t="s">
        <v>69</v>
      </c>
      <c r="B3" s="22"/>
      <c r="C3" s="8" t="s">
        <v>179</v>
      </c>
      <c r="D3" s="8"/>
      <c r="E3" s="43"/>
      <c r="F3" s="44"/>
      <c r="G3" s="43"/>
      <c r="H3" s="44"/>
      <c r="I3" s="43"/>
      <c r="J3" s="45"/>
      <c r="K3" s="43"/>
      <c r="L3" s="43"/>
      <c r="M3" s="43"/>
      <c r="N3" s="43"/>
      <c r="O3" s="43"/>
      <c r="P3" s="43"/>
      <c r="Q3" s="43"/>
      <c r="R3" s="43"/>
    </row>
    <row r="4" spans="1:18" ht="12.75">
      <c r="A4" s="22" t="s">
        <v>70</v>
      </c>
      <c r="B4" s="22"/>
      <c r="C4" s="64" t="s">
        <v>172</v>
      </c>
      <c r="D4" s="64" t="s">
        <v>157</v>
      </c>
      <c r="E4" s="46"/>
      <c r="F4" s="47"/>
      <c r="G4" s="46"/>
      <c r="H4" s="47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2.75">
      <c r="A5" s="22" t="s">
        <v>71</v>
      </c>
      <c r="B5" s="22"/>
      <c r="C5" s="65" t="s">
        <v>164</v>
      </c>
      <c r="D5" s="9"/>
      <c r="E5" s="9"/>
      <c r="F5" s="9"/>
      <c r="G5" s="9"/>
      <c r="H5" s="9"/>
      <c r="I5" s="9"/>
      <c r="J5" s="9"/>
      <c r="K5" s="43"/>
      <c r="L5" s="9"/>
      <c r="M5" s="43"/>
      <c r="N5" s="43"/>
      <c r="O5" s="43"/>
      <c r="P5" s="43"/>
      <c r="Q5" s="43"/>
      <c r="R5" s="43"/>
    </row>
    <row r="6" spans="1:18" ht="12.75">
      <c r="A6" s="22"/>
      <c r="B6" s="22"/>
      <c r="C6" s="23"/>
      <c r="D6" s="23"/>
      <c r="E6" s="26"/>
      <c r="F6" s="44"/>
      <c r="G6" s="26"/>
      <c r="H6" s="44"/>
      <c r="I6" s="43"/>
      <c r="J6" s="26"/>
      <c r="K6" s="43"/>
      <c r="L6" s="26"/>
      <c r="M6" s="43"/>
      <c r="N6" s="43"/>
      <c r="O6" s="26"/>
      <c r="P6" s="43"/>
      <c r="Q6" s="26"/>
      <c r="R6" s="43"/>
    </row>
    <row r="7" spans="1:18" ht="12.75">
      <c r="A7" s="22"/>
      <c r="B7" s="22"/>
      <c r="C7" s="23" t="s">
        <v>72</v>
      </c>
      <c r="D7" s="23"/>
      <c r="E7" s="111" t="s">
        <v>29</v>
      </c>
      <c r="F7" s="111"/>
      <c r="G7" s="111"/>
      <c r="H7" s="111"/>
      <c r="I7" s="112"/>
      <c r="J7" s="111" t="s">
        <v>30</v>
      </c>
      <c r="K7" s="111"/>
      <c r="L7" s="111"/>
      <c r="M7" s="111"/>
      <c r="N7" s="112"/>
      <c r="O7" s="111" t="s">
        <v>31</v>
      </c>
      <c r="P7" s="111"/>
      <c r="Q7" s="111"/>
      <c r="R7" s="111"/>
    </row>
    <row r="8" spans="1:18" ht="12.75">
      <c r="A8" s="22"/>
      <c r="B8" s="22"/>
      <c r="C8" s="23" t="s">
        <v>73</v>
      </c>
      <c r="D8" s="22"/>
      <c r="E8" s="26" t="s">
        <v>66</v>
      </c>
      <c r="F8" s="47" t="s">
        <v>74</v>
      </c>
      <c r="G8" s="26" t="s">
        <v>66</v>
      </c>
      <c r="H8" s="47" t="s">
        <v>74</v>
      </c>
      <c r="I8" s="43"/>
      <c r="J8" s="26" t="s">
        <v>66</v>
      </c>
      <c r="K8" s="26" t="s">
        <v>75</v>
      </c>
      <c r="L8" s="26" t="s">
        <v>66</v>
      </c>
      <c r="M8" s="26" t="s">
        <v>75</v>
      </c>
      <c r="N8" s="43"/>
      <c r="O8" s="26" t="s">
        <v>66</v>
      </c>
      <c r="P8" s="26" t="s">
        <v>75</v>
      </c>
      <c r="Q8" s="26" t="s">
        <v>66</v>
      </c>
      <c r="R8" s="26" t="s">
        <v>75</v>
      </c>
    </row>
    <row r="9" spans="1:18" ht="12.75">
      <c r="A9" s="22"/>
      <c r="B9" s="22"/>
      <c r="C9" s="23"/>
      <c r="D9" s="22"/>
      <c r="E9" s="26" t="s">
        <v>281</v>
      </c>
      <c r="F9" s="26" t="s">
        <v>281</v>
      </c>
      <c r="G9" s="26" t="s">
        <v>76</v>
      </c>
      <c r="H9" s="47" t="s">
        <v>76</v>
      </c>
      <c r="I9" s="43"/>
      <c r="J9" s="26" t="s">
        <v>281</v>
      </c>
      <c r="K9" s="26" t="s">
        <v>281</v>
      </c>
      <c r="L9" s="26" t="s">
        <v>76</v>
      </c>
      <c r="M9" s="47" t="s">
        <v>76</v>
      </c>
      <c r="N9" s="43"/>
      <c r="O9" s="26" t="s">
        <v>281</v>
      </c>
      <c r="P9" s="26" t="s">
        <v>281</v>
      </c>
      <c r="Q9" s="26" t="s">
        <v>76</v>
      </c>
      <c r="R9" s="47" t="s">
        <v>76</v>
      </c>
    </row>
    <row r="10" spans="1:18" ht="12.75">
      <c r="A10" s="22" t="s">
        <v>109</v>
      </c>
      <c r="B10" s="22"/>
      <c r="C10" s="22"/>
      <c r="D10" s="22"/>
      <c r="E10" s="43"/>
      <c r="F10" s="44"/>
      <c r="G10" s="43"/>
      <c r="H10" s="44"/>
      <c r="I10" s="43"/>
      <c r="J10" s="43"/>
      <c r="K10" s="43"/>
      <c r="L10" s="43"/>
      <c r="M10" s="43"/>
      <c r="N10" s="43"/>
      <c r="O10" s="24"/>
      <c r="P10" s="43"/>
      <c r="Q10" s="43"/>
      <c r="R10" s="43"/>
    </row>
    <row r="11" spans="1:18" ht="12.75">
      <c r="A11" s="22"/>
      <c r="B11" s="22" t="s">
        <v>77</v>
      </c>
      <c r="C11" s="23">
        <v>1</v>
      </c>
      <c r="D11" s="23"/>
      <c r="E11" s="50">
        <f>46.9/1000</f>
        <v>0.0469</v>
      </c>
      <c r="F11" s="50">
        <f aca="true" t="shared" si="0" ref="F11:H35">IF(E11="","",E11*$C11)</f>
        <v>0.0469</v>
      </c>
      <c r="G11" s="50">
        <f aca="true" t="shared" si="1" ref="G11:G35">IF(E11=0,"",IF(D11="nd",E11/2,E11))</f>
        <v>0.0469</v>
      </c>
      <c r="H11" s="50">
        <f t="shared" si="0"/>
        <v>0.0469</v>
      </c>
      <c r="I11" s="50"/>
      <c r="J11" s="50">
        <f>17.1/1000</f>
        <v>0.0171</v>
      </c>
      <c r="K11" s="50">
        <f aca="true" t="shared" si="2" ref="K11:M35">IF(J11="","",J11*$C11)</f>
        <v>0.0171</v>
      </c>
      <c r="L11" s="50">
        <f aca="true" t="shared" si="3" ref="L11:L35">IF(J11=0,"",IF(I11="nd",J11/2,J11))</f>
        <v>0.0171</v>
      </c>
      <c r="M11" s="50">
        <f t="shared" si="2"/>
        <v>0.0171</v>
      </c>
      <c r="N11" s="50"/>
      <c r="O11" s="50">
        <f>24.7/1000</f>
        <v>0.0247</v>
      </c>
      <c r="P11" s="50">
        <f aca="true" t="shared" si="4" ref="P11:R35">IF(O11="","",O11*$C11)</f>
        <v>0.0247</v>
      </c>
      <c r="Q11" s="50">
        <f aca="true" t="shared" si="5" ref="Q11:Q35">IF(O11=0,"",IF(N11="nd",O11/2,O11))</f>
        <v>0.0247</v>
      </c>
      <c r="R11" s="50">
        <f t="shared" si="4"/>
        <v>0.0247</v>
      </c>
    </row>
    <row r="12" spans="1:18" ht="12.75">
      <c r="A12" s="22"/>
      <c r="B12" s="22" t="s">
        <v>78</v>
      </c>
      <c r="C12" s="23">
        <v>0.5</v>
      </c>
      <c r="D12" s="23"/>
      <c r="E12" s="50">
        <f>35.7/1000</f>
        <v>0.0357</v>
      </c>
      <c r="F12" s="50">
        <f t="shared" si="0"/>
        <v>0.01785</v>
      </c>
      <c r="G12" s="50">
        <f t="shared" si="1"/>
        <v>0.0357</v>
      </c>
      <c r="H12" s="50">
        <f t="shared" si="0"/>
        <v>0.01785</v>
      </c>
      <c r="I12" s="50"/>
      <c r="J12" s="50">
        <f>9.17/1000</f>
        <v>0.00917</v>
      </c>
      <c r="K12" s="50">
        <f t="shared" si="2"/>
        <v>0.004585</v>
      </c>
      <c r="L12" s="50">
        <f t="shared" si="3"/>
        <v>0.00917</v>
      </c>
      <c r="M12" s="50">
        <f t="shared" si="2"/>
        <v>0.004585</v>
      </c>
      <c r="N12" s="50"/>
      <c r="O12" s="50">
        <f>16.1/1000</f>
        <v>0.0161</v>
      </c>
      <c r="P12" s="50">
        <f t="shared" si="4"/>
        <v>0.00805</v>
      </c>
      <c r="Q12" s="50">
        <f t="shared" si="5"/>
        <v>0.0161</v>
      </c>
      <c r="R12" s="50">
        <f t="shared" si="4"/>
        <v>0.00805</v>
      </c>
    </row>
    <row r="13" spans="1:18" ht="12.75">
      <c r="A13" s="22"/>
      <c r="B13" s="22" t="s">
        <v>79</v>
      </c>
      <c r="C13" s="23">
        <v>0.1</v>
      </c>
      <c r="D13" s="23"/>
      <c r="E13" s="50">
        <f>10.3/1000</f>
        <v>0.0103</v>
      </c>
      <c r="F13" s="50">
        <f t="shared" si="0"/>
        <v>0.00103</v>
      </c>
      <c r="G13" s="50">
        <f t="shared" si="1"/>
        <v>0.0103</v>
      </c>
      <c r="H13" s="50">
        <f t="shared" si="0"/>
        <v>0.00103</v>
      </c>
      <c r="I13" s="50" t="s">
        <v>122</v>
      </c>
      <c r="J13" s="50">
        <f>5.54/1000</f>
        <v>0.00554</v>
      </c>
      <c r="K13" s="50">
        <f t="shared" si="2"/>
        <v>0.000554</v>
      </c>
      <c r="L13" s="50">
        <f t="shared" si="3"/>
        <v>0.00277</v>
      </c>
      <c r="M13" s="50">
        <f t="shared" si="2"/>
        <v>0.000277</v>
      </c>
      <c r="N13" s="50" t="s">
        <v>122</v>
      </c>
      <c r="O13" s="50">
        <f>6.67/1000</f>
        <v>0.00667</v>
      </c>
      <c r="P13" s="50">
        <f t="shared" si="4"/>
        <v>0.0006670000000000001</v>
      </c>
      <c r="Q13" s="50">
        <f t="shared" si="5"/>
        <v>0.003335</v>
      </c>
      <c r="R13" s="50">
        <f t="shared" si="4"/>
        <v>0.00033350000000000003</v>
      </c>
    </row>
    <row r="14" spans="1:18" ht="12.75">
      <c r="A14" s="22"/>
      <c r="B14" s="22" t="s">
        <v>80</v>
      </c>
      <c r="C14" s="23">
        <v>0.1</v>
      </c>
      <c r="D14" s="23"/>
      <c r="E14" s="50">
        <f>11.3/1000</f>
        <v>0.011300000000000001</v>
      </c>
      <c r="F14" s="50">
        <f t="shared" si="0"/>
        <v>0.0011300000000000001</v>
      </c>
      <c r="G14" s="50">
        <f t="shared" si="1"/>
        <v>0.011300000000000001</v>
      </c>
      <c r="H14" s="50">
        <f t="shared" si="0"/>
        <v>0.0011300000000000001</v>
      </c>
      <c r="I14" s="50" t="s">
        <v>122</v>
      </c>
      <c r="J14" s="50">
        <f>5.19/1000</f>
        <v>0.00519</v>
      </c>
      <c r="K14" s="50">
        <f t="shared" si="2"/>
        <v>0.000519</v>
      </c>
      <c r="L14" s="50">
        <f t="shared" si="3"/>
        <v>0.002595</v>
      </c>
      <c r="M14" s="50">
        <f t="shared" si="2"/>
        <v>0.0002595</v>
      </c>
      <c r="N14" s="50" t="s">
        <v>122</v>
      </c>
      <c r="O14" s="50">
        <f>6.24/1000</f>
        <v>0.00624</v>
      </c>
      <c r="P14" s="50">
        <f t="shared" si="4"/>
        <v>0.000624</v>
      </c>
      <c r="Q14" s="50">
        <f t="shared" si="5"/>
        <v>0.00312</v>
      </c>
      <c r="R14" s="50">
        <f t="shared" si="4"/>
        <v>0.000312</v>
      </c>
    </row>
    <row r="15" spans="1:18" ht="12.75">
      <c r="A15" s="22"/>
      <c r="B15" s="22" t="s">
        <v>81</v>
      </c>
      <c r="C15" s="23">
        <v>0.1</v>
      </c>
      <c r="D15" s="23" t="s">
        <v>122</v>
      </c>
      <c r="E15" s="50">
        <f>6.37/1000</f>
        <v>0.00637</v>
      </c>
      <c r="F15" s="50">
        <f t="shared" si="0"/>
        <v>0.000637</v>
      </c>
      <c r="G15" s="50">
        <f t="shared" si="1"/>
        <v>0.003185</v>
      </c>
      <c r="H15" s="50">
        <f t="shared" si="0"/>
        <v>0.0003185</v>
      </c>
      <c r="I15" s="50" t="s">
        <v>122</v>
      </c>
      <c r="J15" s="50">
        <f>4.86/1000</f>
        <v>0.004860000000000001</v>
      </c>
      <c r="K15" s="50">
        <f t="shared" si="2"/>
        <v>0.0004860000000000001</v>
      </c>
      <c r="L15" s="50">
        <f t="shared" si="3"/>
        <v>0.0024300000000000003</v>
      </c>
      <c r="M15" s="50">
        <f t="shared" si="2"/>
        <v>0.00024300000000000005</v>
      </c>
      <c r="N15" s="50" t="s">
        <v>122</v>
      </c>
      <c r="O15" s="50">
        <f>5.85/1000</f>
        <v>0.005849999999999999</v>
      </c>
      <c r="P15" s="50">
        <f t="shared" si="4"/>
        <v>0.0005849999999999999</v>
      </c>
      <c r="Q15" s="50">
        <f t="shared" si="5"/>
        <v>0.0029249999999999996</v>
      </c>
      <c r="R15" s="50">
        <f t="shared" si="4"/>
        <v>0.00029249999999999995</v>
      </c>
    </row>
    <row r="16" spans="1:18" ht="12.75">
      <c r="A16" s="22"/>
      <c r="B16" s="22" t="s">
        <v>82</v>
      </c>
      <c r="C16" s="23">
        <v>0.01</v>
      </c>
      <c r="D16" s="23"/>
      <c r="E16" s="50">
        <f>25.9/1000</f>
        <v>0.0259</v>
      </c>
      <c r="F16" s="50">
        <f t="shared" si="0"/>
        <v>0.000259</v>
      </c>
      <c r="G16" s="50">
        <f t="shared" si="1"/>
        <v>0.0259</v>
      </c>
      <c r="H16" s="50">
        <f t="shared" si="0"/>
        <v>0.000259</v>
      </c>
      <c r="I16" s="50"/>
      <c r="J16" s="50">
        <f>14.4/1000</f>
        <v>0.0144</v>
      </c>
      <c r="K16" s="50">
        <f t="shared" si="2"/>
        <v>0.000144</v>
      </c>
      <c r="L16" s="50">
        <f t="shared" si="3"/>
        <v>0.0144</v>
      </c>
      <c r="M16" s="50">
        <f t="shared" si="2"/>
        <v>0.000144</v>
      </c>
      <c r="N16" s="50"/>
      <c r="O16" s="50">
        <f>19.6/1000</f>
        <v>0.019600000000000003</v>
      </c>
      <c r="P16" s="50">
        <f t="shared" si="4"/>
        <v>0.00019600000000000002</v>
      </c>
      <c r="Q16" s="50">
        <f t="shared" si="5"/>
        <v>0.019600000000000003</v>
      </c>
      <c r="R16" s="50">
        <f t="shared" si="4"/>
        <v>0.00019600000000000002</v>
      </c>
    </row>
    <row r="17" spans="1:18" ht="12.75">
      <c r="A17" s="22"/>
      <c r="B17" s="22" t="s">
        <v>83</v>
      </c>
      <c r="C17" s="23">
        <v>0.001</v>
      </c>
      <c r="D17" s="23"/>
      <c r="E17" s="50">
        <f>38.3/1000</f>
        <v>0.038299999999999994</v>
      </c>
      <c r="F17" s="50">
        <f t="shared" si="0"/>
        <v>3.8299999999999996E-05</v>
      </c>
      <c r="G17" s="50">
        <f t="shared" si="1"/>
        <v>0.038299999999999994</v>
      </c>
      <c r="H17" s="50">
        <f t="shared" si="0"/>
        <v>3.8299999999999996E-05</v>
      </c>
      <c r="I17" s="50"/>
      <c r="J17" s="50">
        <f>27.8/1000</f>
        <v>0.027800000000000002</v>
      </c>
      <c r="K17" s="50">
        <f t="shared" si="2"/>
        <v>2.78E-05</v>
      </c>
      <c r="L17" s="50">
        <f t="shared" si="3"/>
        <v>0.027800000000000002</v>
      </c>
      <c r="M17" s="50">
        <f t="shared" si="2"/>
        <v>2.78E-05</v>
      </c>
      <c r="N17" s="50"/>
      <c r="O17" s="50">
        <f>35.4/1000</f>
        <v>0.0354</v>
      </c>
      <c r="P17" s="50">
        <f t="shared" si="4"/>
        <v>3.54E-05</v>
      </c>
      <c r="Q17" s="50">
        <f t="shared" si="5"/>
        <v>0.0354</v>
      </c>
      <c r="R17" s="50">
        <f t="shared" si="4"/>
        <v>3.54E-05</v>
      </c>
    </row>
    <row r="18" spans="1:18" ht="12.75">
      <c r="A18" s="22"/>
      <c r="B18" s="22" t="s">
        <v>84</v>
      </c>
      <c r="C18" s="23">
        <v>0.1</v>
      </c>
      <c r="D18" s="23"/>
      <c r="E18" s="50">
        <f>1200/1000</f>
        <v>1.2</v>
      </c>
      <c r="F18" s="50">
        <f t="shared" si="0"/>
        <v>0.12</v>
      </c>
      <c r="G18" s="50">
        <f t="shared" si="1"/>
        <v>1.2</v>
      </c>
      <c r="H18" s="50">
        <f t="shared" si="0"/>
        <v>0.12</v>
      </c>
      <c r="I18" s="50"/>
      <c r="J18" s="50">
        <f>395/1000</f>
        <v>0.395</v>
      </c>
      <c r="K18" s="50">
        <f t="shared" si="2"/>
        <v>0.03950000000000001</v>
      </c>
      <c r="L18" s="50">
        <f t="shared" si="3"/>
        <v>0.395</v>
      </c>
      <c r="M18" s="50">
        <f t="shared" si="2"/>
        <v>0.03950000000000001</v>
      </c>
      <c r="N18" s="50"/>
      <c r="O18" s="50">
        <f>585/1000</f>
        <v>0.585</v>
      </c>
      <c r="P18" s="50">
        <f t="shared" si="4"/>
        <v>0.058499999999999996</v>
      </c>
      <c r="Q18" s="50">
        <f t="shared" si="5"/>
        <v>0.585</v>
      </c>
      <c r="R18" s="50">
        <f t="shared" si="4"/>
        <v>0.058499999999999996</v>
      </c>
    </row>
    <row r="19" spans="1:18" ht="12.75">
      <c r="A19" s="22"/>
      <c r="B19" s="22" t="s">
        <v>85</v>
      </c>
      <c r="C19" s="23">
        <v>0.05</v>
      </c>
      <c r="D19" s="23"/>
      <c r="E19" s="50">
        <f>501/1000</f>
        <v>0.501</v>
      </c>
      <c r="F19" s="50">
        <f t="shared" si="0"/>
        <v>0.025050000000000003</v>
      </c>
      <c r="G19" s="50">
        <f t="shared" si="1"/>
        <v>0.501</v>
      </c>
      <c r="H19" s="50">
        <f t="shared" si="0"/>
        <v>0.025050000000000003</v>
      </c>
      <c r="I19" s="50"/>
      <c r="J19" s="50">
        <f>121/1000</f>
        <v>0.121</v>
      </c>
      <c r="K19" s="50">
        <f t="shared" si="2"/>
        <v>0.00605</v>
      </c>
      <c r="L19" s="50">
        <f t="shared" si="3"/>
        <v>0.121</v>
      </c>
      <c r="M19" s="50">
        <f t="shared" si="2"/>
        <v>0.00605</v>
      </c>
      <c r="N19" s="50"/>
      <c r="O19" s="50">
        <f>219/1000</f>
        <v>0.219</v>
      </c>
      <c r="P19" s="50">
        <f t="shared" si="4"/>
        <v>0.010950000000000001</v>
      </c>
      <c r="Q19" s="50">
        <f t="shared" si="5"/>
        <v>0.219</v>
      </c>
      <c r="R19" s="50">
        <f t="shared" si="4"/>
        <v>0.010950000000000001</v>
      </c>
    </row>
    <row r="20" spans="1:18" ht="12.75">
      <c r="A20" s="22"/>
      <c r="B20" s="22" t="s">
        <v>86</v>
      </c>
      <c r="C20" s="23">
        <v>0.5</v>
      </c>
      <c r="D20" s="23"/>
      <c r="E20" s="50">
        <f>1040/1000</f>
        <v>1.04</v>
      </c>
      <c r="F20" s="50">
        <f t="shared" si="0"/>
        <v>0.52</v>
      </c>
      <c r="G20" s="50">
        <f t="shared" si="1"/>
        <v>1.04</v>
      </c>
      <c r="H20" s="50">
        <f t="shared" si="0"/>
        <v>0.52</v>
      </c>
      <c r="I20" s="50"/>
      <c r="J20" s="50">
        <f>237/1000</f>
        <v>0.237</v>
      </c>
      <c r="K20" s="50">
        <f t="shared" si="2"/>
        <v>0.1185</v>
      </c>
      <c r="L20" s="50">
        <f t="shared" si="3"/>
        <v>0.237</v>
      </c>
      <c r="M20" s="50">
        <f t="shared" si="2"/>
        <v>0.1185</v>
      </c>
      <c r="N20" s="50"/>
      <c r="O20" s="50">
        <f>422/1000</f>
        <v>0.422</v>
      </c>
      <c r="P20" s="50">
        <f t="shared" si="4"/>
        <v>0.211</v>
      </c>
      <c r="Q20" s="50">
        <f t="shared" si="5"/>
        <v>0.422</v>
      </c>
      <c r="R20" s="50">
        <f t="shared" si="4"/>
        <v>0.211</v>
      </c>
    </row>
    <row r="21" spans="1:18" ht="12.75">
      <c r="A21" s="22"/>
      <c r="B21" s="22" t="s">
        <v>87</v>
      </c>
      <c r="C21" s="23">
        <v>0.1</v>
      </c>
      <c r="D21" s="23"/>
      <c r="E21" s="50">
        <f>218/1000</f>
        <v>0.218</v>
      </c>
      <c r="F21" s="50">
        <f t="shared" si="0"/>
        <v>0.0218</v>
      </c>
      <c r="G21" s="50">
        <f t="shared" si="1"/>
        <v>0.218</v>
      </c>
      <c r="H21" s="50">
        <f t="shared" si="0"/>
        <v>0.0218</v>
      </c>
      <c r="I21" s="50"/>
      <c r="J21" s="50">
        <f>41.8/1000</f>
        <v>0.0418</v>
      </c>
      <c r="K21" s="50">
        <f t="shared" si="2"/>
        <v>0.00418</v>
      </c>
      <c r="L21" s="50">
        <f t="shared" si="3"/>
        <v>0.0418</v>
      </c>
      <c r="M21" s="50">
        <f t="shared" si="2"/>
        <v>0.00418</v>
      </c>
      <c r="N21" s="50"/>
      <c r="O21" s="50">
        <f>85.8/1000</f>
        <v>0.0858</v>
      </c>
      <c r="P21" s="50">
        <f t="shared" si="4"/>
        <v>0.00858</v>
      </c>
      <c r="Q21" s="50">
        <f t="shared" si="5"/>
        <v>0.0858</v>
      </c>
      <c r="R21" s="50">
        <f t="shared" si="4"/>
        <v>0.00858</v>
      </c>
    </row>
    <row r="22" spans="1:18" ht="12.75">
      <c r="A22" s="22"/>
      <c r="B22" s="22" t="s">
        <v>88</v>
      </c>
      <c r="C22" s="23">
        <v>0.1</v>
      </c>
      <c r="D22" s="23"/>
      <c r="E22" s="50">
        <f>189/1000</f>
        <v>0.189</v>
      </c>
      <c r="F22" s="50">
        <f t="shared" si="0"/>
        <v>0.0189</v>
      </c>
      <c r="G22" s="50">
        <f t="shared" si="1"/>
        <v>0.189</v>
      </c>
      <c r="H22" s="50">
        <f t="shared" si="0"/>
        <v>0.0189</v>
      </c>
      <c r="I22" s="50"/>
      <c r="J22" s="50">
        <f>35.1/1000</f>
        <v>0.0351</v>
      </c>
      <c r="K22" s="50">
        <f t="shared" si="2"/>
        <v>0.00351</v>
      </c>
      <c r="L22" s="50">
        <f t="shared" si="3"/>
        <v>0.0351</v>
      </c>
      <c r="M22" s="50">
        <f t="shared" si="2"/>
        <v>0.00351</v>
      </c>
      <c r="N22" s="50"/>
      <c r="O22" s="50">
        <f>66.3/1000</f>
        <v>0.0663</v>
      </c>
      <c r="P22" s="50">
        <f t="shared" si="4"/>
        <v>0.0066300000000000005</v>
      </c>
      <c r="Q22" s="50">
        <f t="shared" si="5"/>
        <v>0.0663</v>
      </c>
      <c r="R22" s="50">
        <f t="shared" si="4"/>
        <v>0.0066300000000000005</v>
      </c>
    </row>
    <row r="23" spans="1:18" ht="12.75">
      <c r="A23" s="22"/>
      <c r="B23" s="22" t="s">
        <v>89</v>
      </c>
      <c r="C23" s="23">
        <v>0.1</v>
      </c>
      <c r="D23" s="23"/>
      <c r="E23" s="50">
        <f>178/1000</f>
        <v>0.178</v>
      </c>
      <c r="F23" s="50">
        <f t="shared" si="0"/>
        <v>0.0178</v>
      </c>
      <c r="G23" s="50">
        <f t="shared" si="1"/>
        <v>0.178</v>
      </c>
      <c r="H23" s="50">
        <f t="shared" si="0"/>
        <v>0.0178</v>
      </c>
      <c r="I23" s="50"/>
      <c r="J23" s="50">
        <f>32.7/1000</f>
        <v>0.0327</v>
      </c>
      <c r="K23" s="50">
        <f t="shared" si="2"/>
        <v>0.0032700000000000003</v>
      </c>
      <c r="L23" s="50">
        <f t="shared" si="3"/>
        <v>0.0327</v>
      </c>
      <c r="M23" s="50">
        <f t="shared" si="2"/>
        <v>0.0032700000000000003</v>
      </c>
      <c r="N23" s="50"/>
      <c r="O23" s="50">
        <f>62.9/1000</f>
        <v>0.0629</v>
      </c>
      <c r="P23" s="50">
        <f t="shared" si="4"/>
        <v>0.0062900000000000005</v>
      </c>
      <c r="Q23" s="50">
        <f t="shared" si="5"/>
        <v>0.0629</v>
      </c>
      <c r="R23" s="50">
        <f t="shared" si="4"/>
        <v>0.0062900000000000005</v>
      </c>
    </row>
    <row r="24" spans="1:18" ht="12.75">
      <c r="A24" s="22"/>
      <c r="B24" s="22" t="s">
        <v>90</v>
      </c>
      <c r="C24" s="23">
        <v>0.1</v>
      </c>
      <c r="D24" s="23"/>
      <c r="E24" s="50">
        <f>61/1000</f>
        <v>0.061</v>
      </c>
      <c r="F24" s="50">
        <f t="shared" si="0"/>
        <v>0.0061</v>
      </c>
      <c r="G24" s="50">
        <f t="shared" si="1"/>
        <v>0.061</v>
      </c>
      <c r="H24" s="50">
        <f t="shared" si="0"/>
        <v>0.0061</v>
      </c>
      <c r="I24" s="50"/>
      <c r="J24" s="50">
        <f>11.2/1000</f>
        <v>0.0112</v>
      </c>
      <c r="K24" s="50">
        <f t="shared" si="2"/>
        <v>0.0011200000000000001</v>
      </c>
      <c r="L24" s="50">
        <f t="shared" si="3"/>
        <v>0.0112</v>
      </c>
      <c r="M24" s="50">
        <f t="shared" si="2"/>
        <v>0.0011200000000000001</v>
      </c>
      <c r="N24" s="50"/>
      <c r="O24" s="50">
        <f>21.8/1000</f>
        <v>0.0218</v>
      </c>
      <c r="P24" s="50">
        <f t="shared" si="4"/>
        <v>0.00218</v>
      </c>
      <c r="Q24" s="50">
        <f t="shared" si="5"/>
        <v>0.0218</v>
      </c>
      <c r="R24" s="50">
        <f t="shared" si="4"/>
        <v>0.00218</v>
      </c>
    </row>
    <row r="25" spans="1:18" ht="12.75">
      <c r="A25" s="22"/>
      <c r="B25" s="22" t="s">
        <v>91</v>
      </c>
      <c r="C25" s="23">
        <v>0.01</v>
      </c>
      <c r="D25" s="23"/>
      <c r="E25" s="50">
        <f>105/1000</f>
        <v>0.105</v>
      </c>
      <c r="F25" s="44">
        <f t="shared" si="0"/>
        <v>0.00105</v>
      </c>
      <c r="G25" s="50">
        <f t="shared" si="1"/>
        <v>0.105</v>
      </c>
      <c r="H25" s="44">
        <f t="shared" si="0"/>
        <v>0.00105</v>
      </c>
      <c r="I25" s="50"/>
      <c r="J25" s="50">
        <f>26/1000</f>
        <v>0.026</v>
      </c>
      <c r="K25" s="44">
        <f t="shared" si="2"/>
        <v>0.00026</v>
      </c>
      <c r="L25" s="50">
        <f t="shared" si="3"/>
        <v>0.026</v>
      </c>
      <c r="M25" s="44">
        <f t="shared" si="2"/>
        <v>0.00026</v>
      </c>
      <c r="N25" s="50"/>
      <c r="O25" s="50">
        <f>45.6/1000</f>
        <v>0.0456</v>
      </c>
      <c r="P25" s="44">
        <f t="shared" si="4"/>
        <v>0.000456</v>
      </c>
      <c r="Q25" s="50">
        <f t="shared" si="5"/>
        <v>0.0456</v>
      </c>
      <c r="R25" s="44">
        <f t="shared" si="4"/>
        <v>0.000456</v>
      </c>
    </row>
    <row r="26" spans="1:18" ht="12.75">
      <c r="A26" s="22"/>
      <c r="B26" s="22" t="s">
        <v>92</v>
      </c>
      <c r="C26" s="23">
        <v>0.01</v>
      </c>
      <c r="D26" s="23"/>
      <c r="E26" s="50">
        <f>14.1/1000</f>
        <v>0.0141</v>
      </c>
      <c r="F26" s="44">
        <f t="shared" si="0"/>
        <v>0.000141</v>
      </c>
      <c r="G26" s="50">
        <f t="shared" si="1"/>
        <v>0.0141</v>
      </c>
      <c r="H26" s="44">
        <f t="shared" si="0"/>
        <v>0.000141</v>
      </c>
      <c r="I26" s="50" t="s">
        <v>122</v>
      </c>
      <c r="J26" s="50">
        <f>2.75/1000</f>
        <v>0.00275</v>
      </c>
      <c r="K26" s="44">
        <f t="shared" si="2"/>
        <v>2.7499999999999998E-05</v>
      </c>
      <c r="L26" s="50">
        <f t="shared" si="3"/>
        <v>0.001375</v>
      </c>
      <c r="M26" s="44">
        <f t="shared" si="2"/>
        <v>1.3749999999999999E-05</v>
      </c>
      <c r="N26" s="50"/>
      <c r="O26" s="50">
        <f>5.64/1000</f>
        <v>0.00564</v>
      </c>
      <c r="P26" s="44">
        <f t="shared" si="4"/>
        <v>5.64E-05</v>
      </c>
      <c r="Q26" s="50">
        <f t="shared" si="5"/>
        <v>0.00564</v>
      </c>
      <c r="R26" s="44">
        <f t="shared" si="4"/>
        <v>5.64E-05</v>
      </c>
    </row>
    <row r="27" spans="1:18" ht="12.75">
      <c r="A27" s="22"/>
      <c r="B27" s="22" t="s">
        <v>93</v>
      </c>
      <c r="C27" s="23">
        <v>0.001</v>
      </c>
      <c r="D27" s="23"/>
      <c r="E27" s="50">
        <f>37.3/1000</f>
        <v>0.0373</v>
      </c>
      <c r="F27" s="50">
        <f t="shared" si="0"/>
        <v>3.73E-05</v>
      </c>
      <c r="G27" s="50">
        <f t="shared" si="1"/>
        <v>0.0373</v>
      </c>
      <c r="H27" s="50">
        <f t="shared" si="0"/>
        <v>3.73E-05</v>
      </c>
      <c r="I27" s="50"/>
      <c r="J27" s="50">
        <f>12.8/1000</f>
        <v>0.0128</v>
      </c>
      <c r="K27" s="48">
        <f t="shared" si="2"/>
        <v>1.2800000000000001E-05</v>
      </c>
      <c r="L27" s="50">
        <f t="shared" si="3"/>
        <v>0.0128</v>
      </c>
      <c r="M27" s="48">
        <f t="shared" si="2"/>
        <v>1.2800000000000001E-05</v>
      </c>
      <c r="N27" s="50"/>
      <c r="O27" s="50">
        <f>25.3/1000</f>
        <v>0.0253</v>
      </c>
      <c r="P27" s="48">
        <f>IF(O27="","",O27*$C27)</f>
        <v>2.5300000000000002E-05</v>
      </c>
      <c r="Q27" s="50">
        <f t="shared" si="5"/>
        <v>0.0253</v>
      </c>
      <c r="R27" s="48">
        <f>IF(Q27="","",Q27*$C27)</f>
        <v>2.5300000000000002E-05</v>
      </c>
    </row>
    <row r="28" spans="1:18" ht="12.75">
      <c r="A28" s="22"/>
      <c r="B28" s="22" t="s">
        <v>94</v>
      </c>
      <c r="C28" s="23">
        <v>0</v>
      </c>
      <c r="D28" s="23"/>
      <c r="E28" s="48">
        <f>939/1000</f>
        <v>0.939</v>
      </c>
      <c r="F28" s="48">
        <f t="shared" si="0"/>
        <v>0</v>
      </c>
      <c r="G28" s="50">
        <f t="shared" si="1"/>
        <v>0.939</v>
      </c>
      <c r="H28" s="48">
        <f t="shared" si="0"/>
        <v>0</v>
      </c>
      <c r="I28" s="50"/>
      <c r="J28" s="53">
        <f>366/1000</f>
        <v>0.366</v>
      </c>
      <c r="K28" s="48">
        <f t="shared" si="2"/>
        <v>0</v>
      </c>
      <c r="L28" s="50">
        <f t="shared" si="3"/>
        <v>0.366</v>
      </c>
      <c r="M28" s="48">
        <f t="shared" si="2"/>
        <v>0</v>
      </c>
      <c r="N28" s="50"/>
      <c r="O28" s="50">
        <f>506/1000</f>
        <v>0.506</v>
      </c>
      <c r="P28" s="48">
        <f t="shared" si="4"/>
        <v>0</v>
      </c>
      <c r="Q28" s="50">
        <f t="shared" si="5"/>
        <v>0.506</v>
      </c>
      <c r="R28" s="48">
        <f t="shared" si="4"/>
        <v>0</v>
      </c>
    </row>
    <row r="29" spans="1:18" ht="12.75">
      <c r="A29" s="22"/>
      <c r="B29" s="22" t="s">
        <v>95</v>
      </c>
      <c r="C29" s="23">
        <v>0</v>
      </c>
      <c r="D29" s="23"/>
      <c r="E29" s="48">
        <f>381/1000</f>
        <v>0.381</v>
      </c>
      <c r="F29" s="48">
        <f t="shared" si="0"/>
        <v>0</v>
      </c>
      <c r="G29" s="50">
        <f t="shared" si="1"/>
        <v>0.381</v>
      </c>
      <c r="H29" s="48">
        <f t="shared" si="0"/>
        <v>0</v>
      </c>
      <c r="I29" s="50"/>
      <c r="J29" s="50">
        <f>127/1000</f>
        <v>0.127</v>
      </c>
      <c r="K29" s="48">
        <f t="shared" si="2"/>
        <v>0</v>
      </c>
      <c r="L29" s="50">
        <f t="shared" si="3"/>
        <v>0.127</v>
      </c>
      <c r="M29" s="48">
        <f t="shared" si="2"/>
        <v>0</v>
      </c>
      <c r="N29" s="50"/>
      <c r="O29" s="50">
        <f>196/1000</f>
        <v>0.196</v>
      </c>
      <c r="P29" s="48">
        <f t="shared" si="4"/>
        <v>0</v>
      </c>
      <c r="Q29" s="50">
        <f t="shared" si="5"/>
        <v>0.196</v>
      </c>
      <c r="R29" s="48">
        <f t="shared" si="4"/>
        <v>0</v>
      </c>
    </row>
    <row r="30" spans="1:18" ht="12.75">
      <c r="A30" s="22"/>
      <c r="B30" s="22" t="s">
        <v>96</v>
      </c>
      <c r="C30" s="23">
        <v>0</v>
      </c>
      <c r="D30" s="23"/>
      <c r="E30" s="48">
        <f>181/1000</f>
        <v>0.181</v>
      </c>
      <c r="F30" s="48">
        <f t="shared" si="0"/>
        <v>0</v>
      </c>
      <c r="G30" s="50">
        <f t="shared" si="1"/>
        <v>0.181</v>
      </c>
      <c r="H30" s="48">
        <f t="shared" si="0"/>
        <v>0</v>
      </c>
      <c r="I30" s="50"/>
      <c r="J30" s="50">
        <f>72.6/1000</f>
        <v>0.0726</v>
      </c>
      <c r="K30" s="48">
        <f t="shared" si="2"/>
        <v>0</v>
      </c>
      <c r="L30" s="50">
        <f t="shared" si="3"/>
        <v>0.0726</v>
      </c>
      <c r="M30" s="48">
        <f t="shared" si="2"/>
        <v>0</v>
      </c>
      <c r="N30" s="50"/>
      <c r="O30" s="50">
        <f>92.6/1000</f>
        <v>0.09259999999999999</v>
      </c>
      <c r="P30" s="48">
        <f t="shared" si="4"/>
        <v>0</v>
      </c>
      <c r="Q30" s="50">
        <f t="shared" si="5"/>
        <v>0.09259999999999999</v>
      </c>
      <c r="R30" s="48">
        <f t="shared" si="4"/>
        <v>0</v>
      </c>
    </row>
    <row r="31" spans="1:18" ht="12.75">
      <c r="A31" s="22"/>
      <c r="B31" s="22" t="s">
        <v>97</v>
      </c>
      <c r="C31" s="23">
        <v>0</v>
      </c>
      <c r="D31" s="23"/>
      <c r="E31" s="48">
        <f>70.6/1000</f>
        <v>0.0706</v>
      </c>
      <c r="F31" s="48">
        <f t="shared" si="0"/>
        <v>0</v>
      </c>
      <c r="G31" s="50">
        <f t="shared" si="1"/>
        <v>0.0706</v>
      </c>
      <c r="H31" s="48">
        <f t="shared" si="0"/>
        <v>0</v>
      </c>
      <c r="I31" s="50"/>
      <c r="J31" s="50">
        <f>40.1/1000</f>
        <v>0.040100000000000004</v>
      </c>
      <c r="K31" s="48">
        <f t="shared" si="2"/>
        <v>0</v>
      </c>
      <c r="L31" s="50">
        <f t="shared" si="3"/>
        <v>0.040100000000000004</v>
      </c>
      <c r="M31" s="48">
        <f t="shared" si="2"/>
        <v>0</v>
      </c>
      <c r="N31" s="50"/>
      <c r="O31" s="50">
        <f>56.2/1000</f>
        <v>0.0562</v>
      </c>
      <c r="P31" s="48">
        <f t="shared" si="4"/>
        <v>0</v>
      </c>
      <c r="Q31" s="50">
        <f t="shared" si="5"/>
        <v>0.0562</v>
      </c>
      <c r="R31" s="48">
        <f t="shared" si="4"/>
        <v>0</v>
      </c>
    </row>
    <row r="32" spans="1:18" ht="12.75">
      <c r="A32" s="22"/>
      <c r="B32" s="22" t="s">
        <v>98</v>
      </c>
      <c r="C32" s="23">
        <v>0</v>
      </c>
      <c r="D32" s="23"/>
      <c r="E32" s="48">
        <f>47200/1000</f>
        <v>47.2</v>
      </c>
      <c r="F32" s="48">
        <f t="shared" si="0"/>
        <v>0</v>
      </c>
      <c r="G32" s="50">
        <f t="shared" si="1"/>
        <v>47.2</v>
      </c>
      <c r="H32" s="48">
        <f t="shared" si="0"/>
        <v>0</v>
      </c>
      <c r="I32" s="50"/>
      <c r="J32" s="50">
        <f>18300/1000</f>
        <v>18.3</v>
      </c>
      <c r="K32" s="48">
        <f t="shared" si="2"/>
        <v>0</v>
      </c>
      <c r="L32" s="50">
        <f t="shared" si="3"/>
        <v>18.3</v>
      </c>
      <c r="M32" s="48">
        <f t="shared" si="2"/>
        <v>0</v>
      </c>
      <c r="N32" s="50"/>
      <c r="O32" s="50">
        <f>25400/1000</f>
        <v>25.4</v>
      </c>
      <c r="P32" s="48">
        <f t="shared" si="4"/>
        <v>0</v>
      </c>
      <c r="Q32" s="50">
        <f t="shared" si="5"/>
        <v>25.4</v>
      </c>
      <c r="R32" s="48">
        <f t="shared" si="4"/>
        <v>0</v>
      </c>
    </row>
    <row r="33" spans="1:18" ht="12.75">
      <c r="A33" s="22"/>
      <c r="B33" s="22" t="s">
        <v>99</v>
      </c>
      <c r="C33" s="23">
        <v>0</v>
      </c>
      <c r="D33" s="23"/>
      <c r="E33" s="48">
        <f>11600/1000</f>
        <v>11.6</v>
      </c>
      <c r="F33" s="48">
        <f t="shared" si="0"/>
        <v>0</v>
      </c>
      <c r="G33" s="50">
        <f t="shared" si="1"/>
        <v>11.6</v>
      </c>
      <c r="H33" s="48">
        <f t="shared" si="0"/>
        <v>0</v>
      </c>
      <c r="I33" s="50"/>
      <c r="J33" s="50">
        <f>2940/1000</f>
        <v>2.94</v>
      </c>
      <c r="K33" s="48">
        <f t="shared" si="2"/>
        <v>0</v>
      </c>
      <c r="L33" s="50">
        <f t="shared" si="3"/>
        <v>2.94</v>
      </c>
      <c r="M33" s="48">
        <f t="shared" si="2"/>
        <v>0</v>
      </c>
      <c r="N33" s="50"/>
      <c r="O33" s="50">
        <f>5000/1000</f>
        <v>5</v>
      </c>
      <c r="P33" s="48">
        <f t="shared" si="4"/>
        <v>0</v>
      </c>
      <c r="Q33" s="50">
        <f t="shared" si="5"/>
        <v>5</v>
      </c>
      <c r="R33" s="48">
        <f t="shared" si="4"/>
        <v>0</v>
      </c>
    </row>
    <row r="34" spans="1:18" ht="12.75">
      <c r="A34" s="22"/>
      <c r="B34" s="22" t="s">
        <v>100</v>
      </c>
      <c r="C34" s="23">
        <v>0</v>
      </c>
      <c r="D34" s="23"/>
      <c r="E34" s="48">
        <f>1870/1000</f>
        <v>1.87</v>
      </c>
      <c r="F34" s="48">
        <f t="shared" si="0"/>
        <v>0</v>
      </c>
      <c r="G34" s="50">
        <f t="shared" si="1"/>
        <v>1.87</v>
      </c>
      <c r="H34" s="48">
        <f t="shared" si="0"/>
        <v>0</v>
      </c>
      <c r="I34" s="50"/>
      <c r="J34" s="50">
        <f>338/1000</f>
        <v>0.338</v>
      </c>
      <c r="K34" s="48">
        <f t="shared" si="2"/>
        <v>0</v>
      </c>
      <c r="L34" s="50">
        <f t="shared" si="3"/>
        <v>0.338</v>
      </c>
      <c r="M34" s="48">
        <f t="shared" si="2"/>
        <v>0</v>
      </c>
      <c r="N34" s="50"/>
      <c r="O34" s="50">
        <f>668/1000</f>
        <v>0.668</v>
      </c>
      <c r="P34" s="48">
        <f t="shared" si="4"/>
        <v>0</v>
      </c>
      <c r="Q34" s="50">
        <f t="shared" si="5"/>
        <v>0.668</v>
      </c>
      <c r="R34" s="48">
        <f t="shared" si="4"/>
        <v>0</v>
      </c>
    </row>
    <row r="35" spans="1:18" ht="12.75">
      <c r="A35" s="22" t="s">
        <v>101</v>
      </c>
      <c r="B35" s="22" t="s">
        <v>102</v>
      </c>
      <c r="C35" s="23">
        <v>0</v>
      </c>
      <c r="D35" s="23"/>
      <c r="E35" s="48">
        <f>168/1000</f>
        <v>0.168</v>
      </c>
      <c r="F35" s="48">
        <f t="shared" si="0"/>
        <v>0</v>
      </c>
      <c r="G35" s="50">
        <f t="shared" si="1"/>
        <v>0.168</v>
      </c>
      <c r="H35" s="48">
        <f t="shared" si="0"/>
        <v>0</v>
      </c>
      <c r="I35" s="50"/>
      <c r="J35" s="50">
        <f>36.6/1000</f>
        <v>0.0366</v>
      </c>
      <c r="K35" s="48">
        <f t="shared" si="2"/>
        <v>0</v>
      </c>
      <c r="L35" s="50">
        <f t="shared" si="3"/>
        <v>0.0366</v>
      </c>
      <c r="M35" s="48">
        <f t="shared" si="2"/>
        <v>0</v>
      </c>
      <c r="N35" s="50"/>
      <c r="O35" s="50">
        <f>71.3/1000</f>
        <v>0.0713</v>
      </c>
      <c r="P35" s="48">
        <f t="shared" si="4"/>
        <v>0</v>
      </c>
      <c r="Q35" s="50">
        <f t="shared" si="5"/>
        <v>0.0713</v>
      </c>
      <c r="R35" s="48">
        <f t="shared" si="4"/>
        <v>0</v>
      </c>
    </row>
    <row r="36" spans="1:18" s="110" customFormat="1" ht="12.75">
      <c r="A36" s="22"/>
      <c r="B36" s="22"/>
      <c r="C36" s="22"/>
      <c r="D36" s="22"/>
      <c r="E36" s="48"/>
      <c r="F36" s="44"/>
      <c r="G36" s="48"/>
      <c r="H36" s="44"/>
      <c r="I36" s="48"/>
      <c r="J36" s="22"/>
      <c r="K36" s="24"/>
      <c r="L36" s="24"/>
      <c r="M36" s="24"/>
      <c r="N36" s="48"/>
      <c r="O36" s="22"/>
      <c r="P36" s="43"/>
      <c r="Q36" s="48"/>
      <c r="R36" s="43"/>
    </row>
    <row r="37" spans="1:18" s="110" customFormat="1" ht="12.75">
      <c r="A37" s="22"/>
      <c r="B37" s="22" t="s">
        <v>103</v>
      </c>
      <c r="C37" s="22"/>
      <c r="D37" s="22"/>
      <c r="E37" s="48"/>
      <c r="F37" s="18">
        <v>127.336</v>
      </c>
      <c r="G37" s="18">
        <v>127.336</v>
      </c>
      <c r="H37" s="18">
        <v>127.336</v>
      </c>
      <c r="I37" s="24"/>
      <c r="J37" s="24"/>
      <c r="K37" s="24">
        <v>130.421</v>
      </c>
      <c r="L37" s="24">
        <v>130.421</v>
      </c>
      <c r="M37" s="24">
        <v>130.421</v>
      </c>
      <c r="N37" s="24"/>
      <c r="O37" s="24"/>
      <c r="P37" s="24">
        <v>131.348</v>
      </c>
      <c r="Q37" s="24">
        <v>131.348</v>
      </c>
      <c r="R37" s="24">
        <v>131.348</v>
      </c>
    </row>
    <row r="38" spans="1:18" s="110" customFormat="1" ht="12.75">
      <c r="A38" s="22"/>
      <c r="B38" s="22" t="s">
        <v>104</v>
      </c>
      <c r="C38" s="22"/>
      <c r="D38" s="22"/>
      <c r="E38" s="48"/>
      <c r="F38" s="18">
        <v>15.3</v>
      </c>
      <c r="G38" s="18">
        <v>15.3</v>
      </c>
      <c r="H38" s="18">
        <v>15.3</v>
      </c>
      <c r="I38" s="24"/>
      <c r="J38" s="24"/>
      <c r="K38" s="24">
        <v>15</v>
      </c>
      <c r="L38" s="24">
        <v>15</v>
      </c>
      <c r="M38" s="24">
        <v>15</v>
      </c>
      <c r="N38" s="24"/>
      <c r="O38" s="24"/>
      <c r="P38" s="24">
        <v>14.4</v>
      </c>
      <c r="Q38" s="24">
        <v>14.4</v>
      </c>
      <c r="R38" s="24">
        <v>14.4</v>
      </c>
    </row>
    <row r="39" spans="1:18" s="110" customFormat="1" ht="12.75">
      <c r="A39" s="22"/>
      <c r="B39" s="22"/>
      <c r="C39" s="22"/>
      <c r="D39" s="22"/>
      <c r="E39" s="48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s="110" customFormat="1" ht="12.75">
      <c r="A40" s="22"/>
      <c r="B40" s="22" t="s">
        <v>105</v>
      </c>
      <c r="C40" s="44"/>
      <c r="D40" s="44"/>
      <c r="E40" s="24"/>
      <c r="F40" s="24">
        <f>SUM(F11:F27)</f>
        <v>0.7987226000000002</v>
      </c>
      <c r="G40" s="24">
        <f>SUM(G27,G35,G34,G33,G32,G17,G31,G30,G29,G28)</f>
        <v>62.4852</v>
      </c>
      <c r="H40" s="24">
        <f>SUM(H11:H27)</f>
        <v>0.7984041000000001</v>
      </c>
      <c r="I40" s="24"/>
      <c r="J40" s="24"/>
      <c r="K40" s="24">
        <f>SUM(K11:K27)</f>
        <v>0.19984610000000005</v>
      </c>
      <c r="L40" s="24">
        <f>SUM(L27,L35,L34,L33,L32,L17,L31,L30,L29,L28)</f>
        <v>22.2609</v>
      </c>
      <c r="M40" s="24">
        <f>SUM(M11:M27)</f>
        <v>0.19905285000000003</v>
      </c>
      <c r="N40" s="24"/>
      <c r="O40" s="24"/>
      <c r="P40" s="24">
        <f>SUM(P11:P27)</f>
        <v>0.3395251000000001</v>
      </c>
      <c r="Q40" s="24">
        <f>SUM(Q27,Q35,Q34,Q33,Q32,Q17,Q31,Q30,Q29,Q28)</f>
        <v>32.0508</v>
      </c>
      <c r="R40" s="24">
        <f>SUM(R11:R27)</f>
        <v>0.3385871000000001</v>
      </c>
    </row>
    <row r="41" spans="1:19" ht="12.75">
      <c r="A41" s="22"/>
      <c r="B41" s="22" t="s">
        <v>106</v>
      </c>
      <c r="C41" s="44"/>
      <c r="D41" s="24">
        <f>(F41-H41)*2/F41*100</f>
        <v>0.0797523445561965</v>
      </c>
      <c r="E41" s="48"/>
      <c r="F41" s="50">
        <f>(F40/F37/0.0283*(21-7)/(21-F38))</f>
        <v>0.5443917239345027</v>
      </c>
      <c r="G41" s="24">
        <f>(G40/G37/0.0283*(21-7)/(21-G38))</f>
        <v>42.58853542943718</v>
      </c>
      <c r="H41" s="50">
        <f>(H40/H37/0.0283*(21-7)/(21-H38))</f>
        <v>0.5441746413527989</v>
      </c>
      <c r="I41" s="24">
        <f>(K41-M41)*2/K41*100</f>
        <v>0.7938608759440783</v>
      </c>
      <c r="J41" s="24"/>
      <c r="K41" s="50">
        <f>K40/K37/0.0283*(21-7)/(21-K38)</f>
        <v>0.1263393101992823</v>
      </c>
      <c r="L41" s="24">
        <f>(L40/L37/0.0283*(21-7)/(21-L38))</f>
        <v>14.072962897025272</v>
      </c>
      <c r="M41" s="50">
        <f>M40/M37/0.0283*(21-7)/(21-M38)</f>
        <v>0.12583783102197743</v>
      </c>
      <c r="N41" s="24">
        <f>(P41-R41)*2/P41*100</f>
        <v>0.5525364693213584</v>
      </c>
      <c r="O41" s="24"/>
      <c r="P41" s="50">
        <f>P40/P37/0.0283*(21-7)/(21-P38)</f>
        <v>0.19375195178534108</v>
      </c>
      <c r="Q41" s="24">
        <f>(Q40/Q37/0.0283*(21-7)/(21-Q38))</f>
        <v>18.28997342547461</v>
      </c>
      <c r="R41" s="50">
        <f>R40/R37/0.0283*(21-7)/(21-R38)</f>
        <v>0.1932166766885231</v>
      </c>
      <c r="S41" s="110"/>
    </row>
    <row r="42" spans="1:18" ht="12.75">
      <c r="A42" s="22"/>
      <c r="B42" s="22"/>
      <c r="C42" s="22"/>
      <c r="D42" s="22"/>
      <c r="E42" s="50"/>
      <c r="F42" s="44"/>
      <c r="G42" s="50"/>
      <c r="H42" s="44"/>
      <c r="I42" s="50"/>
      <c r="J42" s="50"/>
      <c r="K42" s="50"/>
      <c r="L42" s="50"/>
      <c r="M42" s="50"/>
      <c r="N42" s="50"/>
      <c r="O42" s="50"/>
      <c r="P42" s="43"/>
      <c r="Q42" s="50"/>
      <c r="R42" s="43"/>
    </row>
    <row r="43" spans="1:18" ht="12.75">
      <c r="A43" s="48"/>
      <c r="B43" s="22" t="s">
        <v>107</v>
      </c>
      <c r="C43" s="48">
        <f>AVERAGE(H41,M41,R41)</f>
        <v>0.2877430496877665</v>
      </c>
      <c r="D43" s="48"/>
      <c r="E43" s="51"/>
      <c r="F43" s="44"/>
      <c r="G43" s="48"/>
      <c r="H43" s="44"/>
      <c r="I43" s="48"/>
      <c r="J43" s="48"/>
      <c r="K43" s="50"/>
      <c r="L43" s="48"/>
      <c r="M43" s="50"/>
      <c r="N43" s="48"/>
      <c r="O43" s="48"/>
      <c r="P43" s="43"/>
      <c r="Q43" s="48"/>
      <c r="R43" s="43"/>
    </row>
    <row r="44" spans="1:18" ht="12.75">
      <c r="A44" s="22"/>
      <c r="B44" s="22" t="s">
        <v>108</v>
      </c>
      <c r="C44" s="48">
        <f>AVERAGE(G41,L41,Q41)</f>
        <v>24.983823917312353</v>
      </c>
      <c r="D44" s="22"/>
      <c r="E44" s="43"/>
      <c r="F44" s="44"/>
      <c r="G44" s="43"/>
      <c r="H44" s="44"/>
      <c r="I44" s="43"/>
      <c r="J44" s="43"/>
      <c r="K44" s="43"/>
      <c r="L44" s="43"/>
      <c r="M44" s="43"/>
      <c r="N44" s="43"/>
      <c r="O44" s="43"/>
      <c r="P44" s="43"/>
      <c r="Q44" s="43"/>
      <c r="R44" s="4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C1" sqref="C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4.421875" style="0" customWidth="1"/>
    <col min="5" max="5" width="9.421875" style="132" customWidth="1"/>
    <col min="6" max="6" width="9.8515625" style="132" customWidth="1"/>
    <col min="7" max="7" width="9.140625" style="132" customWidth="1"/>
    <col min="8" max="8" width="9.8515625" style="132" customWidth="1"/>
    <col min="9" max="9" width="3.421875" style="0" customWidth="1"/>
    <col min="10" max="10" width="9.140625" style="132" customWidth="1"/>
    <col min="11" max="11" width="9.28125" style="132" customWidth="1"/>
    <col min="12" max="12" width="9.140625" style="132" customWidth="1"/>
    <col min="13" max="13" width="9.28125" style="132" customWidth="1"/>
    <col min="14" max="14" width="4.28125" style="0" customWidth="1"/>
    <col min="15" max="15" width="9.140625" style="132" customWidth="1"/>
    <col min="16" max="16" width="9.00390625" style="132" customWidth="1"/>
    <col min="17" max="17" width="9.140625" style="132" customWidth="1"/>
    <col min="18" max="18" width="9.00390625" style="132" customWidth="1"/>
  </cols>
  <sheetData>
    <row r="1" spans="1:18" ht="12.75">
      <c r="A1" s="42" t="s">
        <v>68</v>
      </c>
      <c r="B1" s="22"/>
      <c r="C1" s="22"/>
      <c r="D1" s="22"/>
      <c r="E1" s="44"/>
      <c r="F1" s="44"/>
      <c r="G1" s="44"/>
      <c r="H1" s="44"/>
      <c r="I1" s="43"/>
      <c r="J1" s="44"/>
      <c r="K1" s="44"/>
      <c r="L1" s="44"/>
      <c r="M1" s="44"/>
      <c r="N1" s="43"/>
      <c r="O1" s="44"/>
      <c r="P1" s="44"/>
      <c r="Q1" s="44"/>
      <c r="R1" s="44"/>
    </row>
    <row r="2" spans="1:18" ht="12.75">
      <c r="A2" s="22" t="s">
        <v>282</v>
      </c>
      <c r="B2" s="22"/>
      <c r="C2" s="22"/>
      <c r="D2" s="22"/>
      <c r="E2" s="44"/>
      <c r="F2" s="44"/>
      <c r="G2" s="44"/>
      <c r="H2" s="44"/>
      <c r="I2" s="43"/>
      <c r="J2" s="44"/>
      <c r="K2" s="44"/>
      <c r="L2" s="44"/>
      <c r="M2" s="44"/>
      <c r="N2" s="43"/>
      <c r="O2" s="44"/>
      <c r="P2" s="44"/>
      <c r="Q2" s="44"/>
      <c r="R2" s="44"/>
    </row>
    <row r="3" spans="1:18" ht="12.75">
      <c r="A3" s="22" t="s">
        <v>69</v>
      </c>
      <c r="B3" s="22"/>
      <c r="C3" s="8" t="s">
        <v>179</v>
      </c>
      <c r="D3" s="8"/>
      <c r="E3" s="44"/>
      <c r="F3" s="44"/>
      <c r="G3" s="44"/>
      <c r="H3" s="44"/>
      <c r="I3" s="43"/>
      <c r="J3" s="128"/>
      <c r="K3" s="44"/>
      <c r="L3" s="44"/>
      <c r="M3" s="44"/>
      <c r="N3" s="43"/>
      <c r="O3" s="44"/>
      <c r="P3" s="44"/>
      <c r="Q3" s="44"/>
      <c r="R3" s="44"/>
    </row>
    <row r="4" spans="1:18" ht="12.75">
      <c r="A4" s="22" t="s">
        <v>70</v>
      </c>
      <c r="B4" s="22"/>
      <c r="C4" s="64" t="s">
        <v>173</v>
      </c>
      <c r="D4" s="64" t="s">
        <v>157</v>
      </c>
      <c r="E4" s="129"/>
      <c r="F4" s="47"/>
      <c r="G4" s="129"/>
      <c r="H4" s="47"/>
      <c r="I4" s="46"/>
      <c r="J4" s="129"/>
      <c r="K4" s="129"/>
      <c r="L4" s="129"/>
      <c r="M4" s="129"/>
      <c r="N4" s="46"/>
      <c r="O4" s="129"/>
      <c r="P4" s="129"/>
      <c r="Q4" s="129"/>
      <c r="R4" s="129"/>
    </row>
    <row r="5" spans="1:18" ht="12.75">
      <c r="A5" s="22" t="s">
        <v>71</v>
      </c>
      <c r="B5" s="22"/>
      <c r="C5" s="65">
        <v>37098</v>
      </c>
      <c r="D5" s="9"/>
      <c r="E5" s="130"/>
      <c r="F5" s="130"/>
      <c r="G5" s="130"/>
      <c r="H5" s="130"/>
      <c r="I5" s="9"/>
      <c r="J5" s="130"/>
      <c r="K5" s="44"/>
      <c r="L5" s="130"/>
      <c r="M5" s="44"/>
      <c r="N5" s="43"/>
      <c r="O5" s="44"/>
      <c r="P5" s="44"/>
      <c r="Q5" s="44"/>
      <c r="R5" s="44"/>
    </row>
    <row r="6" spans="1:18" ht="12.75">
      <c r="A6" s="22"/>
      <c r="B6" s="22"/>
      <c r="C6" s="23"/>
      <c r="D6" s="23"/>
      <c r="E6" s="47"/>
      <c r="F6" s="44"/>
      <c r="G6" s="47"/>
      <c r="H6" s="44"/>
      <c r="I6" s="43"/>
      <c r="J6" s="47"/>
      <c r="K6" s="44"/>
      <c r="L6" s="47"/>
      <c r="M6" s="44"/>
      <c r="N6" s="43"/>
      <c r="O6" s="47"/>
      <c r="P6" s="44"/>
      <c r="Q6" s="47"/>
      <c r="R6" s="44"/>
    </row>
    <row r="7" spans="1:18" ht="12.75">
      <c r="A7" s="22"/>
      <c r="B7" s="22"/>
      <c r="C7" s="23" t="s">
        <v>72</v>
      </c>
      <c r="D7" s="23"/>
      <c r="E7" s="131" t="s">
        <v>29</v>
      </c>
      <c r="F7" s="131"/>
      <c r="G7" s="131"/>
      <c r="H7" s="131"/>
      <c r="I7" s="112"/>
      <c r="J7" s="131" t="s">
        <v>30</v>
      </c>
      <c r="K7" s="131"/>
      <c r="L7" s="131"/>
      <c r="M7" s="131"/>
      <c r="N7" s="112"/>
      <c r="O7" s="131" t="s">
        <v>31</v>
      </c>
      <c r="P7" s="131"/>
      <c r="Q7" s="131"/>
      <c r="R7" s="131"/>
    </row>
    <row r="8" spans="1:18" ht="12.75">
      <c r="A8" s="22"/>
      <c r="B8" s="22"/>
      <c r="C8" s="23" t="s">
        <v>73</v>
      </c>
      <c r="D8" s="22"/>
      <c r="E8" s="47" t="s">
        <v>66</v>
      </c>
      <c r="F8" s="47" t="s">
        <v>74</v>
      </c>
      <c r="G8" s="47" t="s">
        <v>66</v>
      </c>
      <c r="H8" s="47" t="s">
        <v>74</v>
      </c>
      <c r="I8" s="43"/>
      <c r="J8" s="47" t="s">
        <v>66</v>
      </c>
      <c r="K8" s="47" t="s">
        <v>75</v>
      </c>
      <c r="L8" s="47" t="s">
        <v>66</v>
      </c>
      <c r="M8" s="47" t="s">
        <v>75</v>
      </c>
      <c r="N8" s="43"/>
      <c r="O8" s="47" t="s">
        <v>66</v>
      </c>
      <c r="P8" s="47" t="s">
        <v>75</v>
      </c>
      <c r="Q8" s="47" t="s">
        <v>66</v>
      </c>
      <c r="R8" s="47" t="s">
        <v>75</v>
      </c>
    </row>
    <row r="9" spans="1:18" ht="12.75">
      <c r="A9" s="22"/>
      <c r="B9" s="22"/>
      <c r="C9" s="23"/>
      <c r="D9" s="22"/>
      <c r="E9" s="47" t="s">
        <v>281</v>
      </c>
      <c r="F9" s="47" t="s">
        <v>281</v>
      </c>
      <c r="G9" s="47" t="s">
        <v>76</v>
      </c>
      <c r="H9" s="47" t="s">
        <v>76</v>
      </c>
      <c r="I9" s="43"/>
      <c r="J9" s="47" t="s">
        <v>281</v>
      </c>
      <c r="K9" s="47" t="s">
        <v>281</v>
      </c>
      <c r="L9" s="47" t="s">
        <v>76</v>
      </c>
      <c r="M9" s="47" t="s">
        <v>76</v>
      </c>
      <c r="N9" s="43"/>
      <c r="O9" s="47" t="s">
        <v>281</v>
      </c>
      <c r="P9" s="47" t="s">
        <v>281</v>
      </c>
      <c r="Q9" s="47" t="s">
        <v>76</v>
      </c>
      <c r="R9" s="47" t="s">
        <v>76</v>
      </c>
    </row>
    <row r="10" spans="1:18" ht="12.75">
      <c r="A10" s="22" t="s">
        <v>109</v>
      </c>
      <c r="B10" s="22"/>
      <c r="C10" s="22"/>
      <c r="D10" s="22"/>
      <c r="E10" s="44"/>
      <c r="F10" s="44"/>
      <c r="G10" s="44"/>
      <c r="H10" s="44"/>
      <c r="I10" s="43"/>
      <c r="J10" s="44"/>
      <c r="K10" s="44"/>
      <c r="L10" s="44"/>
      <c r="M10" s="44"/>
      <c r="N10" s="43"/>
      <c r="O10" s="44"/>
      <c r="P10" s="44"/>
      <c r="Q10" s="44"/>
      <c r="R10" s="44"/>
    </row>
    <row r="11" spans="1:18" ht="12.75">
      <c r="A11" s="22"/>
      <c r="B11" s="22" t="s">
        <v>77</v>
      </c>
      <c r="C11" s="23">
        <v>1</v>
      </c>
      <c r="D11" s="23"/>
      <c r="E11" s="44">
        <v>0</v>
      </c>
      <c r="F11" s="44">
        <f aca="true" t="shared" si="0" ref="F11:H35">IF(E11="","",E11*$C11)</f>
        <v>0</v>
      </c>
      <c r="G11" s="44">
        <f aca="true" t="shared" si="1" ref="G11:G35">IF(E11=0,"",IF(D11="nd",E11/2,E11))</f>
      </c>
      <c r="H11" s="44">
        <f t="shared" si="0"/>
      </c>
      <c r="I11" s="50"/>
      <c r="J11" s="44">
        <v>0</v>
      </c>
      <c r="K11" s="44">
        <f aca="true" t="shared" si="2" ref="K11:M35">IF(J11="","",J11*$C11)</f>
        <v>0</v>
      </c>
      <c r="L11" s="44">
        <f aca="true" t="shared" si="3" ref="L11:L35">IF(J11=0,"",IF(I11="nd",J11/2,J11))</f>
      </c>
      <c r="M11" s="44">
        <f t="shared" si="2"/>
      </c>
      <c r="N11" s="50"/>
      <c r="O11" s="44">
        <v>0</v>
      </c>
      <c r="P11" s="44">
        <f aca="true" t="shared" si="4" ref="P11:R35">IF(O11="","",O11*$C11)</f>
        <v>0</v>
      </c>
      <c r="Q11" s="44">
        <f aca="true" t="shared" si="5" ref="Q11:Q35">IF(O11=0,"",IF(N11="nd",O11/2,O11))</f>
      </c>
      <c r="R11" s="44">
        <f t="shared" si="4"/>
      </c>
    </row>
    <row r="12" spans="1:18" ht="12.75">
      <c r="A12" s="22"/>
      <c r="B12" s="22" t="s">
        <v>78</v>
      </c>
      <c r="C12" s="23">
        <v>0.5</v>
      </c>
      <c r="D12" s="23"/>
      <c r="E12" s="44">
        <f>4/1000</f>
        <v>0.004</v>
      </c>
      <c r="F12" s="44">
        <f t="shared" si="0"/>
        <v>0.002</v>
      </c>
      <c r="G12" s="44">
        <f t="shared" si="1"/>
        <v>0.004</v>
      </c>
      <c r="H12" s="44">
        <f t="shared" si="0"/>
        <v>0.002</v>
      </c>
      <c r="I12" s="50"/>
      <c r="J12" s="44">
        <f>3.48/1000</f>
        <v>0.00348</v>
      </c>
      <c r="K12" s="44">
        <f t="shared" si="2"/>
        <v>0.00174</v>
      </c>
      <c r="L12" s="44">
        <f t="shared" si="3"/>
        <v>0.00348</v>
      </c>
      <c r="M12" s="44">
        <f t="shared" si="2"/>
        <v>0.00174</v>
      </c>
      <c r="N12" s="50" t="s">
        <v>122</v>
      </c>
      <c r="O12" s="44">
        <f>4.61/1000</f>
        <v>0.00461</v>
      </c>
      <c r="P12" s="44">
        <f t="shared" si="4"/>
        <v>0.002305</v>
      </c>
      <c r="Q12" s="44">
        <f t="shared" si="5"/>
        <v>0.002305</v>
      </c>
      <c r="R12" s="44">
        <f t="shared" si="4"/>
        <v>0.0011525</v>
      </c>
    </row>
    <row r="13" spans="1:18" ht="12.75">
      <c r="A13" s="22"/>
      <c r="B13" s="22" t="s">
        <v>79</v>
      </c>
      <c r="C13" s="23">
        <v>0.1</v>
      </c>
      <c r="D13" s="23" t="s">
        <v>122</v>
      </c>
      <c r="E13" s="44">
        <f>4.75/1000</f>
        <v>0.00475</v>
      </c>
      <c r="F13" s="44">
        <f t="shared" si="0"/>
        <v>0.000475</v>
      </c>
      <c r="G13" s="44">
        <f t="shared" si="1"/>
        <v>0.002375</v>
      </c>
      <c r="H13" s="44">
        <f t="shared" si="0"/>
        <v>0.0002375</v>
      </c>
      <c r="I13" s="50" t="s">
        <v>122</v>
      </c>
      <c r="J13" s="44">
        <f>4.43/1000</f>
        <v>0.00443</v>
      </c>
      <c r="K13" s="44">
        <f t="shared" si="2"/>
        <v>0.00044300000000000003</v>
      </c>
      <c r="L13" s="44">
        <f t="shared" si="3"/>
        <v>0.002215</v>
      </c>
      <c r="M13" s="44">
        <f t="shared" si="2"/>
        <v>0.00022150000000000002</v>
      </c>
      <c r="N13" s="50" t="s">
        <v>122</v>
      </c>
      <c r="O13" s="44">
        <f>4.5/1000</f>
        <v>0.0045</v>
      </c>
      <c r="P13" s="44">
        <f t="shared" si="4"/>
        <v>0.00045</v>
      </c>
      <c r="Q13" s="44">
        <f t="shared" si="5"/>
        <v>0.00225</v>
      </c>
      <c r="R13" s="44">
        <f t="shared" si="4"/>
        <v>0.000225</v>
      </c>
    </row>
    <row r="14" spans="1:18" ht="12.75">
      <c r="A14" s="22"/>
      <c r="B14" s="22" t="s">
        <v>80</v>
      </c>
      <c r="C14" s="23">
        <v>0.1</v>
      </c>
      <c r="D14" s="23"/>
      <c r="E14" s="44">
        <f>4.44/1000</f>
        <v>0.00444</v>
      </c>
      <c r="F14" s="44">
        <f t="shared" si="0"/>
        <v>0.00044400000000000006</v>
      </c>
      <c r="G14" s="44">
        <f t="shared" si="1"/>
        <v>0.00444</v>
      </c>
      <c r="H14" s="44">
        <f t="shared" si="0"/>
        <v>0.00044400000000000006</v>
      </c>
      <c r="I14" s="50" t="s">
        <v>122</v>
      </c>
      <c r="J14" s="44">
        <f>4.15/1000</f>
        <v>0.00415</v>
      </c>
      <c r="K14" s="44">
        <f t="shared" si="2"/>
        <v>0.000415</v>
      </c>
      <c r="L14" s="44">
        <f t="shared" si="3"/>
        <v>0.002075</v>
      </c>
      <c r="M14" s="44">
        <f t="shared" si="2"/>
        <v>0.0002075</v>
      </c>
      <c r="N14" s="50" t="s">
        <v>122</v>
      </c>
      <c r="O14" s="44">
        <f>4.21/1000</f>
        <v>0.00421</v>
      </c>
      <c r="P14" s="44">
        <f t="shared" si="4"/>
        <v>0.00042100000000000004</v>
      </c>
      <c r="Q14" s="44">
        <f t="shared" si="5"/>
        <v>0.002105</v>
      </c>
      <c r="R14" s="44">
        <f t="shared" si="4"/>
        <v>0.00021050000000000002</v>
      </c>
    </row>
    <row r="15" spans="1:18" ht="12.75">
      <c r="A15" s="22"/>
      <c r="B15" s="22" t="s">
        <v>81</v>
      </c>
      <c r="C15" s="23">
        <v>0.1</v>
      </c>
      <c r="D15" s="23"/>
      <c r="E15" s="44">
        <f>4.16/1000</f>
        <v>0.0041600000000000005</v>
      </c>
      <c r="F15" s="44">
        <f t="shared" si="0"/>
        <v>0.0004160000000000001</v>
      </c>
      <c r="G15" s="44">
        <f t="shared" si="1"/>
        <v>0.0041600000000000005</v>
      </c>
      <c r="H15" s="44">
        <f t="shared" si="0"/>
        <v>0.0004160000000000001</v>
      </c>
      <c r="I15" s="50" t="s">
        <v>122</v>
      </c>
      <c r="J15" s="44">
        <f>3.88/1000</f>
        <v>0.0038799999999999998</v>
      </c>
      <c r="K15" s="44">
        <f t="shared" si="2"/>
        <v>0.000388</v>
      </c>
      <c r="L15" s="44">
        <f t="shared" si="3"/>
        <v>0.0019399999999999999</v>
      </c>
      <c r="M15" s="44">
        <f t="shared" si="2"/>
        <v>0.000194</v>
      </c>
      <c r="N15" s="50" t="s">
        <v>122</v>
      </c>
      <c r="O15" s="44">
        <f>3.94/1000</f>
        <v>0.00394</v>
      </c>
      <c r="P15" s="44">
        <f t="shared" si="4"/>
        <v>0.00039400000000000004</v>
      </c>
      <c r="Q15" s="44">
        <f t="shared" si="5"/>
        <v>0.00197</v>
      </c>
      <c r="R15" s="44">
        <f t="shared" si="4"/>
        <v>0.00019700000000000002</v>
      </c>
    </row>
    <row r="16" spans="1:18" ht="12.75">
      <c r="A16" s="22"/>
      <c r="B16" s="22" t="s">
        <v>82</v>
      </c>
      <c r="C16" s="23">
        <v>0.01</v>
      </c>
      <c r="D16" s="23"/>
      <c r="E16" s="44">
        <f>19.6/1000</f>
        <v>0.019600000000000003</v>
      </c>
      <c r="F16" s="44">
        <f t="shared" si="0"/>
        <v>0.00019600000000000002</v>
      </c>
      <c r="G16" s="44">
        <f t="shared" si="1"/>
        <v>0.019600000000000003</v>
      </c>
      <c r="H16" s="44">
        <f t="shared" si="0"/>
        <v>0.00019600000000000002</v>
      </c>
      <c r="I16" s="50"/>
      <c r="J16" s="44">
        <f>12.5/1000</f>
        <v>0.0125</v>
      </c>
      <c r="K16" s="44">
        <f t="shared" si="2"/>
        <v>0.000125</v>
      </c>
      <c r="L16" s="44">
        <f t="shared" si="3"/>
        <v>0.0125</v>
      </c>
      <c r="M16" s="44">
        <f t="shared" si="2"/>
        <v>0.000125</v>
      </c>
      <c r="N16" s="50"/>
      <c r="O16" s="44">
        <f>11.1/1000</f>
        <v>0.0111</v>
      </c>
      <c r="P16" s="44">
        <f t="shared" si="4"/>
        <v>0.000111</v>
      </c>
      <c r="Q16" s="44">
        <f t="shared" si="5"/>
        <v>0.0111</v>
      </c>
      <c r="R16" s="44">
        <f t="shared" si="4"/>
        <v>0.000111</v>
      </c>
    </row>
    <row r="17" spans="1:18" ht="12.75">
      <c r="A17" s="22"/>
      <c r="B17" s="22" t="s">
        <v>83</v>
      </c>
      <c r="C17" s="23">
        <v>0.001</v>
      </c>
      <c r="D17" s="23"/>
      <c r="E17" s="44">
        <f>32/1000</f>
        <v>0.032</v>
      </c>
      <c r="F17" s="44">
        <f t="shared" si="0"/>
        <v>3.2E-05</v>
      </c>
      <c r="G17" s="44">
        <f t="shared" si="1"/>
        <v>0.032</v>
      </c>
      <c r="H17" s="44">
        <f t="shared" si="0"/>
        <v>3.2E-05</v>
      </c>
      <c r="I17" s="50"/>
      <c r="J17" s="44">
        <f>22.5/1000</f>
        <v>0.0225</v>
      </c>
      <c r="K17" s="44">
        <f t="shared" si="2"/>
        <v>2.2499999999999998E-05</v>
      </c>
      <c r="L17" s="44">
        <f t="shared" si="3"/>
        <v>0.0225</v>
      </c>
      <c r="M17" s="44">
        <f t="shared" si="2"/>
        <v>2.2499999999999998E-05</v>
      </c>
      <c r="N17" s="50"/>
      <c r="O17" s="44">
        <f>20.3/1000</f>
        <v>0.020300000000000002</v>
      </c>
      <c r="P17" s="44">
        <f t="shared" si="4"/>
        <v>2.0300000000000002E-05</v>
      </c>
      <c r="Q17" s="44">
        <f t="shared" si="5"/>
        <v>0.020300000000000002</v>
      </c>
      <c r="R17" s="44">
        <f t="shared" si="4"/>
        <v>2.0300000000000002E-05</v>
      </c>
    </row>
    <row r="18" spans="1:18" ht="12.75">
      <c r="A18" s="22"/>
      <c r="B18" s="22" t="s">
        <v>84</v>
      </c>
      <c r="C18" s="23">
        <v>0.1</v>
      </c>
      <c r="D18" s="23"/>
      <c r="E18" s="44">
        <f>60/1000</f>
        <v>0.06</v>
      </c>
      <c r="F18" s="44">
        <f t="shared" si="0"/>
        <v>0.006</v>
      </c>
      <c r="G18" s="44">
        <f t="shared" si="1"/>
        <v>0.06</v>
      </c>
      <c r="H18" s="44">
        <f t="shared" si="0"/>
        <v>0.006</v>
      </c>
      <c r="I18" s="50"/>
      <c r="J18" s="44">
        <f>45.1/1000</f>
        <v>0.0451</v>
      </c>
      <c r="K18" s="44">
        <f t="shared" si="2"/>
        <v>0.00451</v>
      </c>
      <c r="L18" s="44">
        <f t="shared" si="3"/>
        <v>0.0451</v>
      </c>
      <c r="M18" s="44">
        <f t="shared" si="2"/>
        <v>0.00451</v>
      </c>
      <c r="N18" s="50"/>
      <c r="O18" s="44">
        <f>50.4/1000</f>
        <v>0.0504</v>
      </c>
      <c r="P18" s="44">
        <f t="shared" si="4"/>
        <v>0.00504</v>
      </c>
      <c r="Q18" s="44">
        <f t="shared" si="5"/>
        <v>0.0504</v>
      </c>
      <c r="R18" s="44">
        <f t="shared" si="4"/>
        <v>0.00504</v>
      </c>
    </row>
    <row r="19" spans="1:18" ht="12.75">
      <c r="A19" s="22"/>
      <c r="B19" s="22" t="s">
        <v>85</v>
      </c>
      <c r="C19" s="23">
        <v>0.05</v>
      </c>
      <c r="D19" s="23"/>
      <c r="E19" s="44">
        <f>30.7/1000</f>
        <v>0.030699999999999998</v>
      </c>
      <c r="F19" s="44">
        <f t="shared" si="0"/>
        <v>0.001535</v>
      </c>
      <c r="G19" s="44">
        <f t="shared" si="1"/>
        <v>0.030699999999999998</v>
      </c>
      <c r="H19" s="44">
        <f t="shared" si="0"/>
        <v>0.001535</v>
      </c>
      <c r="I19" s="50"/>
      <c r="J19" s="44">
        <f>27.9/1000</f>
        <v>0.027899999999999998</v>
      </c>
      <c r="K19" s="44">
        <f t="shared" si="2"/>
        <v>0.001395</v>
      </c>
      <c r="L19" s="44">
        <f t="shared" si="3"/>
        <v>0.027899999999999998</v>
      </c>
      <c r="M19" s="44">
        <f t="shared" si="2"/>
        <v>0.001395</v>
      </c>
      <c r="N19" s="50"/>
      <c r="O19" s="44">
        <f>28.1/1000</f>
        <v>0.0281</v>
      </c>
      <c r="P19" s="44">
        <f t="shared" si="4"/>
        <v>0.001405</v>
      </c>
      <c r="Q19" s="44">
        <f t="shared" si="5"/>
        <v>0.0281</v>
      </c>
      <c r="R19" s="44">
        <f t="shared" si="4"/>
        <v>0.001405</v>
      </c>
    </row>
    <row r="20" spans="1:18" ht="12.75">
      <c r="A20" s="22"/>
      <c r="B20" s="22" t="s">
        <v>86</v>
      </c>
      <c r="C20" s="23">
        <v>0.5</v>
      </c>
      <c r="D20" s="23"/>
      <c r="E20" s="44">
        <f>60.5/1000</f>
        <v>0.0605</v>
      </c>
      <c r="F20" s="44">
        <f t="shared" si="0"/>
        <v>0.03025</v>
      </c>
      <c r="G20" s="44">
        <f t="shared" si="1"/>
        <v>0.0605</v>
      </c>
      <c r="H20" s="44">
        <f t="shared" si="0"/>
        <v>0.03025</v>
      </c>
      <c r="I20" s="50"/>
      <c r="J20" s="44">
        <f>50.6/1000</f>
        <v>0.0506</v>
      </c>
      <c r="K20" s="44">
        <f t="shared" si="2"/>
        <v>0.0253</v>
      </c>
      <c r="L20" s="44">
        <f t="shared" si="3"/>
        <v>0.0506</v>
      </c>
      <c r="M20" s="44">
        <f t="shared" si="2"/>
        <v>0.0253</v>
      </c>
      <c r="N20" s="50"/>
      <c r="O20" s="44">
        <f>53.1/1000</f>
        <v>0.0531</v>
      </c>
      <c r="P20" s="44">
        <f t="shared" si="4"/>
        <v>0.02655</v>
      </c>
      <c r="Q20" s="44">
        <f t="shared" si="5"/>
        <v>0.0531</v>
      </c>
      <c r="R20" s="44">
        <f t="shared" si="4"/>
        <v>0.02655</v>
      </c>
    </row>
    <row r="21" spans="1:18" ht="12.75">
      <c r="A21" s="22"/>
      <c r="B21" s="22" t="s">
        <v>87</v>
      </c>
      <c r="C21" s="23">
        <v>0.1</v>
      </c>
      <c r="D21" s="23"/>
      <c r="E21" s="44">
        <f>19/1000</f>
        <v>0.019</v>
      </c>
      <c r="F21" s="44">
        <f t="shared" si="0"/>
        <v>0.0019</v>
      </c>
      <c r="G21" s="44">
        <f t="shared" si="1"/>
        <v>0.019</v>
      </c>
      <c r="H21" s="44">
        <f t="shared" si="0"/>
        <v>0.0019</v>
      </c>
      <c r="I21" s="50"/>
      <c r="J21" s="44">
        <f>16.4/1000</f>
        <v>0.016399999999999998</v>
      </c>
      <c r="K21" s="44">
        <f t="shared" si="2"/>
        <v>0.00164</v>
      </c>
      <c r="L21" s="44">
        <f t="shared" si="3"/>
        <v>0.016399999999999998</v>
      </c>
      <c r="M21" s="44">
        <f t="shared" si="2"/>
        <v>0.00164</v>
      </c>
      <c r="N21" s="50"/>
      <c r="O21" s="44">
        <f>17.8/1000</f>
        <v>0.0178</v>
      </c>
      <c r="P21" s="44">
        <f t="shared" si="4"/>
        <v>0.0017800000000000001</v>
      </c>
      <c r="Q21" s="44">
        <f t="shared" si="5"/>
        <v>0.0178</v>
      </c>
      <c r="R21" s="44">
        <f t="shared" si="4"/>
        <v>0.0017800000000000001</v>
      </c>
    </row>
    <row r="22" spans="1:18" ht="12.75">
      <c r="A22" s="22"/>
      <c r="B22" s="22" t="s">
        <v>88</v>
      </c>
      <c r="C22" s="23">
        <v>0.1</v>
      </c>
      <c r="D22" s="23"/>
      <c r="E22" s="44">
        <f>15.6/1000</f>
        <v>0.0156</v>
      </c>
      <c r="F22" s="44">
        <f t="shared" si="0"/>
        <v>0.00156</v>
      </c>
      <c r="G22" s="44">
        <f t="shared" si="1"/>
        <v>0.0156</v>
      </c>
      <c r="H22" s="44">
        <f t="shared" si="0"/>
        <v>0.00156</v>
      </c>
      <c r="I22" s="50"/>
      <c r="J22" s="44">
        <f>14.3/1000</f>
        <v>0.0143</v>
      </c>
      <c r="K22" s="44">
        <f t="shared" si="2"/>
        <v>0.00143</v>
      </c>
      <c r="L22" s="44">
        <f t="shared" si="3"/>
        <v>0.0143</v>
      </c>
      <c r="M22" s="44">
        <f t="shared" si="2"/>
        <v>0.00143</v>
      </c>
      <c r="N22" s="50"/>
      <c r="O22" s="44">
        <f>14.7/1000</f>
        <v>0.0147</v>
      </c>
      <c r="P22" s="44">
        <f t="shared" si="4"/>
        <v>0.00147</v>
      </c>
      <c r="Q22" s="44">
        <f t="shared" si="5"/>
        <v>0.0147</v>
      </c>
      <c r="R22" s="44">
        <f t="shared" si="4"/>
        <v>0.00147</v>
      </c>
    </row>
    <row r="23" spans="1:18" ht="12.75">
      <c r="A23" s="22"/>
      <c r="B23" s="22" t="s">
        <v>89</v>
      </c>
      <c r="C23" s="23">
        <v>0.1</v>
      </c>
      <c r="D23" s="23"/>
      <c r="E23" s="44">
        <f>17.8/1000</f>
        <v>0.0178</v>
      </c>
      <c r="F23" s="44">
        <f t="shared" si="0"/>
        <v>0.0017800000000000001</v>
      </c>
      <c r="G23" s="44">
        <f t="shared" si="1"/>
        <v>0.0178</v>
      </c>
      <c r="H23" s="44">
        <f t="shared" si="0"/>
        <v>0.0017800000000000001</v>
      </c>
      <c r="I23" s="50"/>
      <c r="J23" s="44">
        <f>13.6/1000</f>
        <v>0.0136</v>
      </c>
      <c r="K23" s="44">
        <f t="shared" si="2"/>
        <v>0.00136</v>
      </c>
      <c r="L23" s="44">
        <f t="shared" si="3"/>
        <v>0.0136</v>
      </c>
      <c r="M23" s="44">
        <f t="shared" si="2"/>
        <v>0.00136</v>
      </c>
      <c r="N23" s="50"/>
      <c r="O23" s="44">
        <f>15.1/1000</f>
        <v>0.015099999999999999</v>
      </c>
      <c r="P23" s="44">
        <f t="shared" si="4"/>
        <v>0.00151</v>
      </c>
      <c r="Q23" s="44">
        <f t="shared" si="5"/>
        <v>0.015099999999999999</v>
      </c>
      <c r="R23" s="44">
        <f t="shared" si="4"/>
        <v>0.00151</v>
      </c>
    </row>
    <row r="24" spans="1:18" ht="12.75">
      <c r="A24" s="22"/>
      <c r="B24" s="22" t="s">
        <v>90</v>
      </c>
      <c r="C24" s="23">
        <v>0.1</v>
      </c>
      <c r="D24" s="23"/>
      <c r="E24" s="44">
        <f>5.13/1000</f>
        <v>0.00513</v>
      </c>
      <c r="F24" s="44">
        <f t="shared" si="0"/>
        <v>0.000513</v>
      </c>
      <c r="G24" s="44">
        <f t="shared" si="1"/>
        <v>0.00513</v>
      </c>
      <c r="H24" s="44">
        <f t="shared" si="0"/>
        <v>0.000513</v>
      </c>
      <c r="I24" s="50" t="s">
        <v>122</v>
      </c>
      <c r="J24" s="44">
        <f>4.29/1000</f>
        <v>0.00429</v>
      </c>
      <c r="K24" s="44">
        <f t="shared" si="2"/>
        <v>0.0004290000000000001</v>
      </c>
      <c r="L24" s="44">
        <f t="shared" si="3"/>
        <v>0.002145</v>
      </c>
      <c r="M24" s="44">
        <f t="shared" si="2"/>
        <v>0.00021450000000000004</v>
      </c>
      <c r="N24" s="50" t="s">
        <v>122</v>
      </c>
      <c r="O24" s="44">
        <f>4.09/1000</f>
        <v>0.00409</v>
      </c>
      <c r="P24" s="44">
        <f t="shared" si="4"/>
        <v>0.000409</v>
      </c>
      <c r="Q24" s="44">
        <f t="shared" si="5"/>
        <v>0.002045</v>
      </c>
      <c r="R24" s="44">
        <f t="shared" si="4"/>
        <v>0.0002045</v>
      </c>
    </row>
    <row r="25" spans="1:18" ht="12.75">
      <c r="A25" s="22"/>
      <c r="B25" s="22" t="s">
        <v>91</v>
      </c>
      <c r="C25" s="23">
        <v>0.01</v>
      </c>
      <c r="D25" s="23"/>
      <c r="E25" s="44">
        <f>28.6/1000</f>
        <v>0.0286</v>
      </c>
      <c r="F25" s="44">
        <f t="shared" si="0"/>
        <v>0.000286</v>
      </c>
      <c r="G25" s="44">
        <f t="shared" si="1"/>
        <v>0.0286</v>
      </c>
      <c r="H25" s="44">
        <f t="shared" si="0"/>
        <v>0.000286</v>
      </c>
      <c r="I25" s="50"/>
      <c r="J25" s="44">
        <f>18.3/1000</f>
        <v>0.0183</v>
      </c>
      <c r="K25" s="44">
        <f t="shared" si="2"/>
        <v>0.000183</v>
      </c>
      <c r="L25" s="44">
        <f t="shared" si="3"/>
        <v>0.0183</v>
      </c>
      <c r="M25" s="44">
        <f t="shared" si="2"/>
        <v>0.000183</v>
      </c>
      <c r="N25" s="50"/>
      <c r="O25" s="44">
        <f>16.1/1000</f>
        <v>0.0161</v>
      </c>
      <c r="P25" s="44">
        <f t="shared" si="4"/>
        <v>0.000161</v>
      </c>
      <c r="Q25" s="44">
        <f t="shared" si="5"/>
        <v>0.0161</v>
      </c>
      <c r="R25" s="44">
        <f t="shared" si="4"/>
        <v>0.000161</v>
      </c>
    </row>
    <row r="26" spans="1:18" ht="12.75">
      <c r="A26" s="22"/>
      <c r="B26" s="22" t="s">
        <v>92</v>
      </c>
      <c r="C26" s="23">
        <v>0.01</v>
      </c>
      <c r="D26" s="23" t="s">
        <v>122</v>
      </c>
      <c r="E26" s="44">
        <f>2.61/1000</f>
        <v>0.00261</v>
      </c>
      <c r="F26" s="44">
        <f t="shared" si="0"/>
        <v>2.61E-05</v>
      </c>
      <c r="G26" s="44">
        <f t="shared" si="1"/>
        <v>0.001305</v>
      </c>
      <c r="H26" s="44">
        <f t="shared" si="0"/>
        <v>1.305E-05</v>
      </c>
      <c r="I26" s="50" t="s">
        <v>122</v>
      </c>
      <c r="J26" s="44">
        <f>2.22/1000</f>
        <v>0.00222</v>
      </c>
      <c r="K26" s="44">
        <f t="shared" si="2"/>
        <v>2.22E-05</v>
      </c>
      <c r="L26" s="44">
        <f t="shared" si="3"/>
        <v>0.00111</v>
      </c>
      <c r="M26" s="44">
        <f t="shared" si="2"/>
        <v>1.11E-05</v>
      </c>
      <c r="N26" s="50" t="s">
        <v>122</v>
      </c>
      <c r="O26" s="44">
        <f>2.12/1000</f>
        <v>0.00212</v>
      </c>
      <c r="P26" s="44">
        <f t="shared" si="4"/>
        <v>2.12E-05</v>
      </c>
      <c r="Q26" s="44">
        <f t="shared" si="5"/>
        <v>0.00106</v>
      </c>
      <c r="R26" s="44">
        <f t="shared" si="4"/>
        <v>1.06E-05</v>
      </c>
    </row>
    <row r="27" spans="1:18" ht="12.75">
      <c r="A27" s="22"/>
      <c r="B27" s="22" t="s">
        <v>93</v>
      </c>
      <c r="C27" s="23">
        <v>0.001</v>
      </c>
      <c r="D27" s="23"/>
      <c r="E27" s="44">
        <f>16.7/1000</f>
        <v>0.0167</v>
      </c>
      <c r="F27" s="44">
        <f t="shared" si="0"/>
        <v>1.67E-05</v>
      </c>
      <c r="G27" s="44">
        <f t="shared" si="1"/>
        <v>0.0167</v>
      </c>
      <c r="H27" s="44">
        <f t="shared" si="0"/>
        <v>1.67E-05</v>
      </c>
      <c r="I27" s="50"/>
      <c r="J27" s="44">
        <f>13.4/1000</f>
        <v>0.0134</v>
      </c>
      <c r="K27" s="44">
        <f t="shared" si="2"/>
        <v>1.34E-05</v>
      </c>
      <c r="L27" s="44">
        <f t="shared" si="3"/>
        <v>0.0134</v>
      </c>
      <c r="M27" s="44">
        <f t="shared" si="2"/>
        <v>1.34E-05</v>
      </c>
      <c r="N27" s="50" t="s">
        <v>122</v>
      </c>
      <c r="O27" s="44">
        <f>10.7/1000</f>
        <v>0.0107</v>
      </c>
      <c r="P27" s="44">
        <f t="shared" si="4"/>
        <v>1.07E-05</v>
      </c>
      <c r="Q27" s="44">
        <f t="shared" si="5"/>
        <v>0.00535</v>
      </c>
      <c r="R27" s="44">
        <f t="shared" si="4"/>
        <v>5.35E-06</v>
      </c>
    </row>
    <row r="28" spans="1:18" ht="12.75">
      <c r="A28" s="22"/>
      <c r="B28" s="22" t="s">
        <v>94</v>
      </c>
      <c r="C28" s="23">
        <v>0</v>
      </c>
      <c r="D28" s="23"/>
      <c r="E28" s="44">
        <f>85.9/1000</f>
        <v>0.0859</v>
      </c>
      <c r="F28" s="44">
        <f t="shared" si="0"/>
        <v>0</v>
      </c>
      <c r="G28" s="44">
        <f t="shared" si="1"/>
        <v>0.0859</v>
      </c>
      <c r="H28" s="44">
        <f t="shared" si="0"/>
        <v>0</v>
      </c>
      <c r="I28" s="50"/>
      <c r="J28" s="75">
        <f>71.1/1000</f>
        <v>0.0711</v>
      </c>
      <c r="K28" s="44">
        <f t="shared" si="2"/>
        <v>0</v>
      </c>
      <c r="L28" s="44">
        <f t="shared" si="3"/>
        <v>0.0711</v>
      </c>
      <c r="M28" s="44">
        <f t="shared" si="2"/>
        <v>0</v>
      </c>
      <c r="N28" s="50"/>
      <c r="O28" s="44">
        <f>75.8/1000</f>
        <v>0.07579999999999999</v>
      </c>
      <c r="P28" s="44">
        <f t="shared" si="4"/>
        <v>0</v>
      </c>
      <c r="Q28" s="44">
        <f t="shared" si="5"/>
        <v>0.07579999999999999</v>
      </c>
      <c r="R28" s="44">
        <f t="shared" si="4"/>
        <v>0</v>
      </c>
    </row>
    <row r="29" spans="1:18" ht="12.75">
      <c r="A29" s="22"/>
      <c r="B29" s="22" t="s">
        <v>95</v>
      </c>
      <c r="C29" s="23">
        <v>0</v>
      </c>
      <c r="D29" s="23"/>
      <c r="E29" s="44">
        <f>60/1000</f>
        <v>0.06</v>
      </c>
      <c r="F29" s="44">
        <f t="shared" si="0"/>
        <v>0</v>
      </c>
      <c r="G29" s="44">
        <f t="shared" si="1"/>
        <v>0.06</v>
      </c>
      <c r="H29" s="44">
        <f t="shared" si="0"/>
        <v>0</v>
      </c>
      <c r="I29" s="50"/>
      <c r="J29" s="44">
        <f>58.7/1000</f>
        <v>0.0587</v>
      </c>
      <c r="K29" s="44">
        <f t="shared" si="2"/>
        <v>0</v>
      </c>
      <c r="L29" s="44">
        <f t="shared" si="3"/>
        <v>0.0587</v>
      </c>
      <c r="M29" s="44">
        <f t="shared" si="2"/>
        <v>0</v>
      </c>
      <c r="N29" s="50"/>
      <c r="O29" s="44">
        <f>51/1000</f>
        <v>0.051</v>
      </c>
      <c r="P29" s="44">
        <f t="shared" si="4"/>
        <v>0</v>
      </c>
      <c r="Q29" s="44">
        <f t="shared" si="5"/>
        <v>0.051</v>
      </c>
      <c r="R29" s="44">
        <f t="shared" si="4"/>
        <v>0</v>
      </c>
    </row>
    <row r="30" spans="1:18" ht="12.75">
      <c r="A30" s="22"/>
      <c r="B30" s="22" t="s">
        <v>96</v>
      </c>
      <c r="C30" s="23">
        <v>0</v>
      </c>
      <c r="D30" s="23"/>
      <c r="E30" s="44">
        <f>54.6/1000</f>
        <v>0.0546</v>
      </c>
      <c r="F30" s="44">
        <f t="shared" si="0"/>
        <v>0</v>
      </c>
      <c r="G30" s="44">
        <f t="shared" si="1"/>
        <v>0.0546</v>
      </c>
      <c r="H30" s="44">
        <f t="shared" si="0"/>
        <v>0</v>
      </c>
      <c r="I30" s="50"/>
      <c r="J30" s="44">
        <f>56.9/1000</f>
        <v>0.0569</v>
      </c>
      <c r="K30" s="44">
        <f t="shared" si="2"/>
        <v>0</v>
      </c>
      <c r="L30" s="44">
        <f t="shared" si="3"/>
        <v>0.0569</v>
      </c>
      <c r="M30" s="44">
        <f t="shared" si="2"/>
        <v>0</v>
      </c>
      <c r="N30" s="50"/>
      <c r="O30" s="44">
        <f>53.2/1000</f>
        <v>0.053200000000000004</v>
      </c>
      <c r="P30" s="44">
        <f t="shared" si="4"/>
        <v>0</v>
      </c>
      <c r="Q30" s="44">
        <f t="shared" si="5"/>
        <v>0.053200000000000004</v>
      </c>
      <c r="R30" s="44">
        <f t="shared" si="4"/>
        <v>0</v>
      </c>
    </row>
    <row r="31" spans="1:18" ht="12.75">
      <c r="A31" s="22"/>
      <c r="B31" s="22" t="s">
        <v>97</v>
      </c>
      <c r="C31" s="23">
        <v>0</v>
      </c>
      <c r="D31" s="23"/>
      <c r="E31" s="44">
        <f>42.5/1000</f>
        <v>0.0425</v>
      </c>
      <c r="F31" s="44">
        <f t="shared" si="0"/>
        <v>0</v>
      </c>
      <c r="G31" s="44">
        <f t="shared" si="1"/>
        <v>0.0425</v>
      </c>
      <c r="H31" s="44">
        <f t="shared" si="0"/>
        <v>0</v>
      </c>
      <c r="I31" s="50"/>
      <c r="J31" s="44">
        <f>29.6/1000</f>
        <v>0.0296</v>
      </c>
      <c r="K31" s="44">
        <f t="shared" si="2"/>
        <v>0</v>
      </c>
      <c r="L31" s="44">
        <f t="shared" si="3"/>
        <v>0.0296</v>
      </c>
      <c r="M31" s="44">
        <f t="shared" si="2"/>
        <v>0</v>
      </c>
      <c r="N31" s="50"/>
      <c r="O31" s="44">
        <f>29.9/1000</f>
        <v>0.0299</v>
      </c>
      <c r="P31" s="44">
        <f t="shared" si="4"/>
        <v>0</v>
      </c>
      <c r="Q31" s="44">
        <f t="shared" si="5"/>
        <v>0.0299</v>
      </c>
      <c r="R31" s="44">
        <f t="shared" si="4"/>
        <v>0</v>
      </c>
    </row>
    <row r="32" spans="1:18" ht="12.75">
      <c r="A32" s="22"/>
      <c r="B32" s="22" t="s">
        <v>98</v>
      </c>
      <c r="C32" s="23">
        <v>0</v>
      </c>
      <c r="D32" s="23"/>
      <c r="E32" s="44">
        <f>2130/1000</f>
        <v>2.13</v>
      </c>
      <c r="F32" s="44">
        <f t="shared" si="0"/>
        <v>0</v>
      </c>
      <c r="G32" s="44">
        <f t="shared" si="1"/>
        <v>2.13</v>
      </c>
      <c r="H32" s="44">
        <f t="shared" si="0"/>
        <v>0</v>
      </c>
      <c r="I32" s="50"/>
      <c r="J32" s="44">
        <f>1480/1000</f>
        <v>1.48</v>
      </c>
      <c r="K32" s="44">
        <f t="shared" si="2"/>
        <v>0</v>
      </c>
      <c r="L32" s="44">
        <f t="shared" si="3"/>
        <v>1.48</v>
      </c>
      <c r="M32" s="44">
        <f t="shared" si="2"/>
        <v>0</v>
      </c>
      <c r="N32" s="50"/>
      <c r="O32" s="44">
        <f>1880/1000</f>
        <v>1.88</v>
      </c>
      <c r="P32" s="44">
        <f t="shared" si="4"/>
        <v>0</v>
      </c>
      <c r="Q32" s="44">
        <f t="shared" si="5"/>
        <v>1.88</v>
      </c>
      <c r="R32" s="44">
        <f t="shared" si="4"/>
        <v>0</v>
      </c>
    </row>
    <row r="33" spans="1:18" ht="12.75">
      <c r="A33" s="22"/>
      <c r="B33" s="22" t="s">
        <v>99</v>
      </c>
      <c r="C33" s="23">
        <v>0</v>
      </c>
      <c r="D33" s="23"/>
      <c r="E33" s="44">
        <f>641/1000</f>
        <v>0.641</v>
      </c>
      <c r="F33" s="44">
        <f t="shared" si="0"/>
        <v>0</v>
      </c>
      <c r="G33" s="44">
        <f t="shared" si="1"/>
        <v>0.641</v>
      </c>
      <c r="H33" s="44">
        <f t="shared" si="0"/>
        <v>0</v>
      </c>
      <c r="I33" s="50"/>
      <c r="J33" s="44">
        <f>518/1000</f>
        <v>0.518</v>
      </c>
      <c r="K33" s="44">
        <f t="shared" si="2"/>
        <v>0</v>
      </c>
      <c r="L33" s="44">
        <f t="shared" si="3"/>
        <v>0.518</v>
      </c>
      <c r="M33" s="44">
        <f t="shared" si="2"/>
        <v>0</v>
      </c>
      <c r="N33" s="50"/>
      <c r="O33" s="44">
        <f>557/1000</f>
        <v>0.557</v>
      </c>
      <c r="P33" s="44">
        <f t="shared" si="4"/>
        <v>0</v>
      </c>
      <c r="Q33" s="44">
        <f t="shared" si="5"/>
        <v>0.557</v>
      </c>
      <c r="R33" s="44">
        <f t="shared" si="4"/>
        <v>0</v>
      </c>
    </row>
    <row r="34" spans="1:18" ht="12.75">
      <c r="A34" s="22"/>
      <c r="B34" s="22" t="s">
        <v>100</v>
      </c>
      <c r="C34" s="23">
        <v>0</v>
      </c>
      <c r="D34" s="23"/>
      <c r="E34" s="44">
        <f>149/1000</f>
        <v>0.149</v>
      </c>
      <c r="F34" s="44">
        <f t="shared" si="0"/>
        <v>0</v>
      </c>
      <c r="G34" s="44">
        <f t="shared" si="1"/>
        <v>0.149</v>
      </c>
      <c r="H34" s="44">
        <f t="shared" si="0"/>
        <v>0</v>
      </c>
      <c r="I34" s="50"/>
      <c r="J34" s="44">
        <f>114/1000</f>
        <v>0.114</v>
      </c>
      <c r="K34" s="44">
        <f t="shared" si="2"/>
        <v>0</v>
      </c>
      <c r="L34" s="44">
        <f t="shared" si="3"/>
        <v>0.114</v>
      </c>
      <c r="M34" s="44">
        <f t="shared" si="2"/>
        <v>0</v>
      </c>
      <c r="N34" s="50"/>
      <c r="O34" s="44">
        <f>117/1000</f>
        <v>0.117</v>
      </c>
      <c r="P34" s="44">
        <f t="shared" si="4"/>
        <v>0</v>
      </c>
      <c r="Q34" s="44">
        <f t="shared" si="5"/>
        <v>0.117</v>
      </c>
      <c r="R34" s="44">
        <f t="shared" si="4"/>
        <v>0</v>
      </c>
    </row>
    <row r="35" spans="1:18" ht="12.75">
      <c r="A35" s="22" t="s">
        <v>101</v>
      </c>
      <c r="B35" s="22" t="s">
        <v>102</v>
      </c>
      <c r="C35" s="23">
        <v>0</v>
      </c>
      <c r="D35" s="23"/>
      <c r="E35" s="44">
        <f>28.6/1000</f>
        <v>0.0286</v>
      </c>
      <c r="F35" s="44">
        <f t="shared" si="0"/>
        <v>0</v>
      </c>
      <c r="G35" s="44">
        <f t="shared" si="1"/>
        <v>0.0286</v>
      </c>
      <c r="H35" s="44">
        <f t="shared" si="0"/>
        <v>0</v>
      </c>
      <c r="I35" s="50"/>
      <c r="J35" s="44">
        <f>18.3/1000</f>
        <v>0.0183</v>
      </c>
      <c r="K35" s="44">
        <f t="shared" si="2"/>
        <v>0</v>
      </c>
      <c r="L35" s="44">
        <f t="shared" si="3"/>
        <v>0.0183</v>
      </c>
      <c r="M35" s="44">
        <f t="shared" si="2"/>
        <v>0</v>
      </c>
      <c r="N35" s="50"/>
      <c r="O35" s="44">
        <f>16.1/1000</f>
        <v>0.0161</v>
      </c>
      <c r="P35" s="44">
        <f t="shared" si="4"/>
        <v>0</v>
      </c>
      <c r="Q35" s="44">
        <f t="shared" si="5"/>
        <v>0.0161</v>
      </c>
      <c r="R35" s="44">
        <f t="shared" si="4"/>
        <v>0</v>
      </c>
    </row>
    <row r="36" spans="1:18" s="110" customFormat="1" ht="12.75">
      <c r="A36" s="22"/>
      <c r="B36" s="22"/>
      <c r="C36" s="22"/>
      <c r="D36" s="22"/>
      <c r="E36" s="44"/>
      <c r="F36" s="44"/>
      <c r="G36" s="44"/>
      <c r="H36" s="44"/>
      <c r="I36" s="48"/>
      <c r="J36" s="44"/>
      <c r="K36" s="44"/>
      <c r="L36" s="44"/>
      <c r="M36" s="44"/>
      <c r="N36" s="48"/>
      <c r="O36" s="44"/>
      <c r="P36" s="44"/>
      <c r="Q36" s="44"/>
      <c r="R36" s="44"/>
    </row>
    <row r="37" spans="1:18" s="110" customFormat="1" ht="12.75">
      <c r="A37" s="22"/>
      <c r="B37" s="22" t="s">
        <v>103</v>
      </c>
      <c r="C37" s="22"/>
      <c r="D37" s="22"/>
      <c r="E37" s="44"/>
      <c r="F37" s="75">
        <v>132.667</v>
      </c>
      <c r="G37" s="75">
        <v>132.667</v>
      </c>
      <c r="H37" s="75">
        <v>132.667</v>
      </c>
      <c r="I37" s="24"/>
      <c r="J37" s="44"/>
      <c r="K37" s="44">
        <v>133.099</v>
      </c>
      <c r="L37" s="44">
        <v>133.099</v>
      </c>
      <c r="M37" s="44">
        <v>133.099</v>
      </c>
      <c r="N37" s="24"/>
      <c r="O37" s="44"/>
      <c r="P37" s="44">
        <v>135.046</v>
      </c>
      <c r="Q37" s="44">
        <v>135.046</v>
      </c>
      <c r="R37" s="44">
        <v>135.046</v>
      </c>
    </row>
    <row r="38" spans="1:18" s="110" customFormat="1" ht="12.75">
      <c r="A38" s="22"/>
      <c r="B38" s="22" t="s">
        <v>104</v>
      </c>
      <c r="C38" s="22"/>
      <c r="D38" s="22"/>
      <c r="E38" s="44"/>
      <c r="F38" s="75">
        <v>14.6</v>
      </c>
      <c r="G38" s="75">
        <v>14.6</v>
      </c>
      <c r="H38" s="75">
        <v>14.6</v>
      </c>
      <c r="I38" s="24"/>
      <c r="J38" s="44"/>
      <c r="K38" s="44">
        <v>14.3</v>
      </c>
      <c r="L38" s="44">
        <v>14.3</v>
      </c>
      <c r="M38" s="44">
        <v>14.3</v>
      </c>
      <c r="N38" s="24"/>
      <c r="O38" s="44"/>
      <c r="P38" s="44">
        <v>14.3</v>
      </c>
      <c r="Q38" s="44">
        <v>14.3</v>
      </c>
      <c r="R38" s="44">
        <v>14.3</v>
      </c>
    </row>
    <row r="39" spans="1:18" s="110" customFormat="1" ht="12.75">
      <c r="A39" s="22"/>
      <c r="B39" s="22"/>
      <c r="C39" s="22"/>
      <c r="D39" s="22"/>
      <c r="E39" s="44"/>
      <c r="F39" s="44"/>
      <c r="G39" s="44"/>
      <c r="H39" s="44"/>
      <c r="I39" s="24"/>
      <c r="J39" s="44"/>
      <c r="K39" s="44"/>
      <c r="L39" s="44"/>
      <c r="M39" s="44"/>
      <c r="N39" s="24"/>
      <c r="O39" s="44"/>
      <c r="P39" s="44"/>
      <c r="Q39" s="44"/>
      <c r="R39" s="44"/>
    </row>
    <row r="40" spans="1:18" s="110" customFormat="1" ht="12.75">
      <c r="A40" s="22"/>
      <c r="B40" s="22" t="s">
        <v>105</v>
      </c>
      <c r="C40" s="44"/>
      <c r="D40" s="44"/>
      <c r="E40" s="44"/>
      <c r="F40" s="44">
        <f>SUM(F11:F27)</f>
        <v>0.047429799999999994</v>
      </c>
      <c r="G40" s="44">
        <f>SUM(G27,G35,G34,G33,G32,G17,G31,G30,G29,G28)</f>
        <v>3.2403000000000004</v>
      </c>
      <c r="H40" s="44">
        <f>SUM(H11:H27)</f>
        <v>0.04717925</v>
      </c>
      <c r="I40" s="24"/>
      <c r="J40" s="44"/>
      <c r="K40" s="44">
        <f>SUM(K11:K27)</f>
        <v>0.0394161</v>
      </c>
      <c r="L40" s="44">
        <f>SUM(L27,L35,L34,L33,L32,L17,L31,L30,L29,L28)</f>
        <v>2.3825</v>
      </c>
      <c r="M40" s="44">
        <f>SUM(M11:M27)</f>
        <v>0.038567500000000005</v>
      </c>
      <c r="N40" s="24"/>
      <c r="O40" s="44"/>
      <c r="P40" s="44">
        <f>SUM(P11:P27)</f>
        <v>0.0420582</v>
      </c>
      <c r="Q40" s="44">
        <f>SUM(Q27,Q35,Q34,Q33,Q32,Q17,Q31,Q30,Q29,Q28)</f>
        <v>2.8056500000000004</v>
      </c>
      <c r="R40" s="44">
        <f>SUM(R11:R27)</f>
        <v>0.04005275</v>
      </c>
    </row>
    <row r="41" spans="1:19" ht="12.75">
      <c r="A41" s="22"/>
      <c r="B41" s="22" t="s">
        <v>106</v>
      </c>
      <c r="C41" s="44"/>
      <c r="D41" s="24">
        <f>(F41-H41)*2/F41*100</f>
        <v>1.0565087771822457</v>
      </c>
      <c r="E41" s="44"/>
      <c r="F41" s="44">
        <f>(F40/F37/0.0283*(21-7)/(21-F38))</f>
        <v>0.027634398178749887</v>
      </c>
      <c r="G41" s="44">
        <f>(G40/G37/0.0283*(21-7)/(21-G38))</f>
        <v>1.8879215265213705</v>
      </c>
      <c r="H41" s="44">
        <f>(H40/H37/0.0283*(21-7)/(21-H38))</f>
        <v>0.027488418257609896</v>
      </c>
      <c r="I41" s="24">
        <f>(K41-M41)*2/K41*100</f>
        <v>4.305854714190379</v>
      </c>
      <c r="J41" s="44"/>
      <c r="K41" s="44">
        <f>K40/K37/0.0283*(21-7)/(21-K38)</f>
        <v>0.021865814327691524</v>
      </c>
      <c r="L41" s="44">
        <f>(L40/L37/0.0283*(21-7)/(21-L38))</f>
        <v>1.3216757273227195</v>
      </c>
      <c r="M41" s="44">
        <f>M40/M37/0.0283*(21-7)/(21-M38)</f>
        <v>0.021395059229179014</v>
      </c>
      <c r="N41" s="24">
        <f>(P41-R41)*2/P41*100</f>
        <v>9.536546975381713</v>
      </c>
      <c r="O41" s="44"/>
      <c r="P41" s="44">
        <f>P40/P37/0.0283*(21-7)/(21-P38)</f>
        <v>0.022995123915151558</v>
      </c>
      <c r="Q41" s="44">
        <f>(Q40/Q37/0.0283*(21-7)/(21-Q38))</f>
        <v>1.5339760002221916</v>
      </c>
      <c r="R41" s="44">
        <f>R40/R37/0.0283*(21-7)/(21-R38)</f>
        <v>0.021898653518043727</v>
      </c>
      <c r="S41" s="110"/>
    </row>
    <row r="42" spans="1:18" ht="12.75">
      <c r="A42" s="22"/>
      <c r="B42" s="22"/>
      <c r="C42" s="22"/>
      <c r="D42" s="22"/>
      <c r="E42" s="44"/>
      <c r="F42" s="44"/>
      <c r="G42" s="44"/>
      <c r="H42" s="44"/>
      <c r="I42" s="50"/>
      <c r="J42" s="44"/>
      <c r="K42" s="44"/>
      <c r="L42" s="44"/>
      <c r="M42" s="44"/>
      <c r="N42" s="50"/>
      <c r="O42" s="44"/>
      <c r="P42" s="44"/>
      <c r="Q42" s="44"/>
      <c r="R42" s="44"/>
    </row>
    <row r="43" spans="1:18" ht="12.75">
      <c r="A43" s="48"/>
      <c r="B43" s="22" t="s">
        <v>107</v>
      </c>
      <c r="C43" s="50">
        <f>AVERAGE(H41,M41,R41)</f>
        <v>0.023594043668277543</v>
      </c>
      <c r="D43" s="48"/>
      <c r="E43" s="133"/>
      <c r="F43" s="44"/>
      <c r="G43" s="44"/>
      <c r="H43" s="44"/>
      <c r="I43" s="48"/>
      <c r="J43" s="44"/>
      <c r="K43" s="44"/>
      <c r="L43" s="44"/>
      <c r="M43" s="44"/>
      <c r="N43" s="48"/>
      <c r="O43" s="44"/>
      <c r="P43" s="44"/>
      <c r="Q43" s="44"/>
      <c r="R43" s="44"/>
    </row>
    <row r="44" spans="1:18" ht="12.75">
      <c r="A44" s="22"/>
      <c r="B44" s="22" t="s">
        <v>108</v>
      </c>
      <c r="C44" s="48">
        <f>AVERAGE(G41,L41,Q41)</f>
        <v>1.5811910846887607</v>
      </c>
      <c r="D44" s="22"/>
      <c r="E44" s="44"/>
      <c r="F44" s="44"/>
      <c r="G44" s="44"/>
      <c r="H44" s="44"/>
      <c r="I44" s="43"/>
      <c r="J44" s="44"/>
      <c r="K44" s="44"/>
      <c r="L44" s="44"/>
      <c r="M44" s="44"/>
      <c r="N44" s="43"/>
      <c r="O44" s="44"/>
      <c r="P44" s="44"/>
      <c r="Q44" s="44"/>
      <c r="R44" s="4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4">
      <selection activeCell="C1" sqref="C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3.8515625" style="0" customWidth="1"/>
    <col min="5" max="5" width="9.421875" style="132" customWidth="1"/>
    <col min="6" max="6" width="9.8515625" style="132" customWidth="1"/>
    <col min="7" max="7" width="9.140625" style="132" customWidth="1"/>
    <col min="8" max="8" width="9.8515625" style="132" customWidth="1"/>
    <col min="9" max="9" width="3.421875" style="0" customWidth="1"/>
    <col min="10" max="10" width="9.140625" style="132" customWidth="1"/>
    <col min="11" max="11" width="9.28125" style="132" customWidth="1"/>
    <col min="12" max="12" width="9.140625" style="132" customWidth="1"/>
    <col min="13" max="13" width="9.28125" style="132" customWidth="1"/>
    <col min="14" max="14" width="3.8515625" style="0" customWidth="1"/>
    <col min="15" max="15" width="9.140625" style="132" customWidth="1"/>
    <col min="16" max="16" width="9.00390625" style="132" customWidth="1"/>
    <col min="17" max="17" width="9.140625" style="132" customWidth="1"/>
    <col min="18" max="18" width="9.00390625" style="132" customWidth="1"/>
  </cols>
  <sheetData>
    <row r="1" spans="1:18" ht="12.75">
      <c r="A1" s="42" t="s">
        <v>68</v>
      </c>
      <c r="B1" s="22"/>
      <c r="C1" s="22"/>
      <c r="D1" s="22"/>
      <c r="E1" s="44"/>
      <c r="F1" s="44"/>
      <c r="G1" s="44"/>
      <c r="H1" s="44"/>
      <c r="I1" s="43"/>
      <c r="J1" s="44"/>
      <c r="K1" s="44"/>
      <c r="L1" s="44"/>
      <c r="M1" s="44"/>
      <c r="N1" s="43"/>
      <c r="O1" s="44"/>
      <c r="P1" s="44"/>
      <c r="Q1" s="44"/>
      <c r="R1" s="44"/>
    </row>
    <row r="2" spans="1:18" ht="12.75">
      <c r="A2" s="22" t="s">
        <v>282</v>
      </c>
      <c r="B2" s="22"/>
      <c r="C2" s="22"/>
      <c r="D2" s="22"/>
      <c r="E2" s="44"/>
      <c r="F2" s="44"/>
      <c r="G2" s="44"/>
      <c r="H2" s="44"/>
      <c r="I2" s="43"/>
      <c r="J2" s="44"/>
      <c r="K2" s="44"/>
      <c r="L2" s="44"/>
      <c r="M2" s="44"/>
      <c r="N2" s="43"/>
      <c r="O2" s="44"/>
      <c r="P2" s="44"/>
      <c r="Q2" s="44"/>
      <c r="R2" s="44"/>
    </row>
    <row r="3" spans="1:18" ht="12.75">
      <c r="A3" s="22" t="s">
        <v>69</v>
      </c>
      <c r="B3" s="22"/>
      <c r="C3" s="8" t="s">
        <v>179</v>
      </c>
      <c r="D3" s="8"/>
      <c r="E3" s="44"/>
      <c r="F3" s="44"/>
      <c r="G3" s="44"/>
      <c r="H3" s="44"/>
      <c r="I3" s="43"/>
      <c r="J3" s="128"/>
      <c r="K3" s="44"/>
      <c r="L3" s="44"/>
      <c r="M3" s="44"/>
      <c r="N3" s="43"/>
      <c r="O3" s="44"/>
      <c r="P3" s="44"/>
      <c r="Q3" s="44"/>
      <c r="R3" s="44"/>
    </row>
    <row r="4" spans="1:18" ht="12.75">
      <c r="A4" s="22" t="s">
        <v>70</v>
      </c>
      <c r="B4" s="22"/>
      <c r="C4" s="8" t="s">
        <v>174</v>
      </c>
      <c r="D4" s="8" t="s">
        <v>157</v>
      </c>
      <c r="E4" s="129"/>
      <c r="F4" s="47"/>
      <c r="G4" s="129"/>
      <c r="H4" s="47"/>
      <c r="I4" s="46"/>
      <c r="J4" s="129"/>
      <c r="K4" s="129"/>
      <c r="L4" s="129"/>
      <c r="M4" s="129"/>
      <c r="N4" s="46"/>
      <c r="O4" s="129"/>
      <c r="P4" s="129"/>
      <c r="Q4" s="129"/>
      <c r="R4" s="129"/>
    </row>
    <row r="5" spans="1:18" ht="12.75">
      <c r="A5" s="22" t="s">
        <v>71</v>
      </c>
      <c r="B5" s="22"/>
      <c r="C5" s="65" t="s">
        <v>167</v>
      </c>
      <c r="D5" s="9"/>
      <c r="E5" s="130"/>
      <c r="F5" s="130"/>
      <c r="G5" s="130"/>
      <c r="H5" s="130"/>
      <c r="I5" s="9"/>
      <c r="J5" s="130"/>
      <c r="K5" s="44"/>
      <c r="L5" s="130"/>
      <c r="M5" s="44"/>
      <c r="N5" s="43"/>
      <c r="O5" s="44"/>
      <c r="P5" s="44"/>
      <c r="Q5" s="44"/>
      <c r="R5" s="44"/>
    </row>
    <row r="6" spans="1:18" ht="12.75">
      <c r="A6" s="22"/>
      <c r="B6" s="22"/>
      <c r="C6" s="23"/>
      <c r="D6" s="23"/>
      <c r="E6" s="47"/>
      <c r="F6" s="44"/>
      <c r="G6" s="47"/>
      <c r="H6" s="44"/>
      <c r="I6" s="43"/>
      <c r="J6" s="47"/>
      <c r="K6" s="44"/>
      <c r="L6" s="47"/>
      <c r="M6" s="44"/>
      <c r="N6" s="43"/>
      <c r="O6" s="47"/>
      <c r="P6" s="44"/>
      <c r="Q6" s="47"/>
      <c r="R6" s="44"/>
    </row>
    <row r="7" spans="1:18" ht="12.75">
      <c r="A7" s="22"/>
      <c r="B7" s="22"/>
      <c r="C7" s="23" t="s">
        <v>72</v>
      </c>
      <c r="D7" s="23"/>
      <c r="E7" s="131" t="s">
        <v>29</v>
      </c>
      <c r="F7" s="131"/>
      <c r="G7" s="131"/>
      <c r="H7" s="131"/>
      <c r="I7" s="112"/>
      <c r="J7" s="131" t="s">
        <v>30</v>
      </c>
      <c r="K7" s="131"/>
      <c r="L7" s="131"/>
      <c r="M7" s="131"/>
      <c r="N7" s="112"/>
      <c r="O7" s="131" t="s">
        <v>31</v>
      </c>
      <c r="P7" s="131"/>
      <c r="Q7" s="131"/>
      <c r="R7" s="131"/>
    </row>
    <row r="8" spans="1:18" ht="12.75">
      <c r="A8" s="22"/>
      <c r="B8" s="22"/>
      <c r="C8" s="23" t="s">
        <v>73</v>
      </c>
      <c r="D8" s="22"/>
      <c r="E8" s="47" t="s">
        <v>66</v>
      </c>
      <c r="F8" s="47" t="s">
        <v>74</v>
      </c>
      <c r="G8" s="47" t="s">
        <v>66</v>
      </c>
      <c r="H8" s="47" t="s">
        <v>74</v>
      </c>
      <c r="I8" s="43"/>
      <c r="J8" s="47" t="s">
        <v>66</v>
      </c>
      <c r="K8" s="47" t="s">
        <v>75</v>
      </c>
      <c r="L8" s="47" t="s">
        <v>66</v>
      </c>
      <c r="M8" s="47" t="s">
        <v>75</v>
      </c>
      <c r="N8" s="43"/>
      <c r="O8" s="47" t="s">
        <v>66</v>
      </c>
      <c r="P8" s="47" t="s">
        <v>75</v>
      </c>
      <c r="Q8" s="47" t="s">
        <v>66</v>
      </c>
      <c r="R8" s="47" t="s">
        <v>75</v>
      </c>
    </row>
    <row r="9" spans="1:18" ht="12.75">
      <c r="A9" s="22"/>
      <c r="B9" s="22"/>
      <c r="C9" s="23"/>
      <c r="D9" s="22"/>
      <c r="E9" s="47" t="s">
        <v>281</v>
      </c>
      <c r="F9" s="47" t="s">
        <v>281</v>
      </c>
      <c r="G9" s="47" t="s">
        <v>76</v>
      </c>
      <c r="H9" s="47" t="s">
        <v>76</v>
      </c>
      <c r="I9" s="43"/>
      <c r="J9" s="47" t="s">
        <v>281</v>
      </c>
      <c r="K9" s="47" t="s">
        <v>281</v>
      </c>
      <c r="L9" s="47" t="s">
        <v>76</v>
      </c>
      <c r="M9" s="47" t="s">
        <v>76</v>
      </c>
      <c r="N9" s="43"/>
      <c r="O9" s="47" t="s">
        <v>281</v>
      </c>
      <c r="P9" s="47" t="s">
        <v>281</v>
      </c>
      <c r="Q9" s="47" t="s">
        <v>76</v>
      </c>
      <c r="R9" s="47" t="s">
        <v>76</v>
      </c>
    </row>
    <row r="10" spans="1:18" ht="12.75">
      <c r="A10" s="22" t="s">
        <v>109</v>
      </c>
      <c r="B10" s="22"/>
      <c r="C10" s="22"/>
      <c r="D10" s="22"/>
      <c r="E10" s="44"/>
      <c r="F10" s="44"/>
      <c r="G10" s="44"/>
      <c r="H10" s="44"/>
      <c r="I10" s="43"/>
      <c r="J10" s="44"/>
      <c r="K10" s="44"/>
      <c r="L10" s="44"/>
      <c r="M10" s="44"/>
      <c r="N10" s="43"/>
      <c r="O10" s="44"/>
      <c r="P10" s="44"/>
      <c r="Q10" s="44"/>
      <c r="R10" s="44"/>
    </row>
    <row r="11" spans="1:18" ht="12.75">
      <c r="A11" s="22"/>
      <c r="B11" s="22" t="s">
        <v>77</v>
      </c>
      <c r="C11" s="23">
        <v>1</v>
      </c>
      <c r="D11" s="23"/>
      <c r="E11" s="44">
        <v>0</v>
      </c>
      <c r="F11" s="44">
        <f aca="true" t="shared" si="0" ref="F11:H35">IF(E11="","",E11*$C11)</f>
        <v>0</v>
      </c>
      <c r="G11" s="44">
        <f aca="true" t="shared" si="1" ref="G11:G35">IF(E11=0,"",IF(D11="nd",E11/2,E11))</f>
      </c>
      <c r="H11" s="44">
        <f t="shared" si="0"/>
      </c>
      <c r="I11" s="50"/>
      <c r="J11" s="44">
        <f>11.6/1000</f>
        <v>0.0116</v>
      </c>
      <c r="K11" s="44">
        <f aca="true" t="shared" si="2" ref="K11:M35">IF(J11="","",J11*$C11)</f>
        <v>0.0116</v>
      </c>
      <c r="L11" s="44">
        <f aca="true" t="shared" si="3" ref="L11:L35">IF(J11=0,"",IF(I11="nd",J11/2,J11))</f>
        <v>0.0116</v>
      </c>
      <c r="M11" s="44">
        <f t="shared" si="2"/>
        <v>0.0116</v>
      </c>
      <c r="N11" s="50"/>
      <c r="O11" s="44">
        <f>18.6/1000</f>
        <v>0.018600000000000002</v>
      </c>
      <c r="P11" s="44">
        <f aca="true" t="shared" si="4" ref="P11:R35">IF(O11="","",O11*$C11)</f>
        <v>0.018600000000000002</v>
      </c>
      <c r="Q11" s="44">
        <f aca="true" t="shared" si="5" ref="Q11:Q35">IF(O11=0,"",IF(N11="nd",O11/2,O11))</f>
        <v>0.018600000000000002</v>
      </c>
      <c r="R11" s="44">
        <f t="shared" si="4"/>
        <v>0.018600000000000002</v>
      </c>
    </row>
    <row r="12" spans="1:18" ht="12.75">
      <c r="A12" s="22"/>
      <c r="B12" s="22" t="s">
        <v>78</v>
      </c>
      <c r="C12" s="23">
        <v>0.5</v>
      </c>
      <c r="D12" s="23" t="s">
        <v>122</v>
      </c>
      <c r="E12" s="44">
        <f>4.09/1000</f>
        <v>0.00409</v>
      </c>
      <c r="F12" s="44">
        <f t="shared" si="0"/>
        <v>0.002045</v>
      </c>
      <c r="G12" s="44">
        <f t="shared" si="1"/>
        <v>0.002045</v>
      </c>
      <c r="H12" s="44">
        <f t="shared" si="0"/>
        <v>0.0010225</v>
      </c>
      <c r="I12" s="50"/>
      <c r="J12" s="44">
        <f>9.23/1000</f>
        <v>0.00923</v>
      </c>
      <c r="K12" s="44">
        <f t="shared" si="2"/>
        <v>0.004615</v>
      </c>
      <c r="L12" s="44">
        <f t="shared" si="3"/>
        <v>0.00923</v>
      </c>
      <c r="M12" s="44">
        <f t="shared" si="2"/>
        <v>0.004615</v>
      </c>
      <c r="N12" s="50"/>
      <c r="O12" s="44">
        <f>9.47/1000</f>
        <v>0.009470000000000001</v>
      </c>
      <c r="P12" s="44">
        <f t="shared" si="4"/>
        <v>0.0047350000000000005</v>
      </c>
      <c r="Q12" s="44">
        <f t="shared" si="5"/>
        <v>0.009470000000000001</v>
      </c>
      <c r="R12" s="44">
        <f t="shared" si="4"/>
        <v>0.0047350000000000005</v>
      </c>
    </row>
    <row r="13" spans="1:18" ht="12.75">
      <c r="A13" s="22"/>
      <c r="B13" s="22" t="s">
        <v>79</v>
      </c>
      <c r="C13" s="23">
        <v>0.1</v>
      </c>
      <c r="D13" s="23" t="s">
        <v>122</v>
      </c>
      <c r="E13" s="44">
        <f>7.46/1000</f>
        <v>0.00746</v>
      </c>
      <c r="F13" s="44">
        <f t="shared" si="0"/>
        <v>0.000746</v>
      </c>
      <c r="G13" s="44">
        <f t="shared" si="1"/>
        <v>0.00373</v>
      </c>
      <c r="H13" s="44">
        <f t="shared" si="0"/>
        <v>0.000373</v>
      </c>
      <c r="I13" s="50" t="s">
        <v>122</v>
      </c>
      <c r="J13" s="44">
        <f>7.67/1000</f>
        <v>0.00767</v>
      </c>
      <c r="K13" s="44">
        <f t="shared" si="2"/>
        <v>0.000767</v>
      </c>
      <c r="L13" s="44">
        <f t="shared" si="3"/>
        <v>0.003835</v>
      </c>
      <c r="M13" s="44">
        <f t="shared" si="2"/>
        <v>0.0003835</v>
      </c>
      <c r="N13" s="50" t="s">
        <v>122</v>
      </c>
      <c r="O13" s="44">
        <f>6.82/1000</f>
        <v>0.0068200000000000005</v>
      </c>
      <c r="P13" s="44">
        <f t="shared" si="4"/>
        <v>0.0006820000000000001</v>
      </c>
      <c r="Q13" s="44">
        <f t="shared" si="5"/>
        <v>0.0034100000000000003</v>
      </c>
      <c r="R13" s="44">
        <f t="shared" si="4"/>
        <v>0.00034100000000000005</v>
      </c>
    </row>
    <row r="14" spans="1:18" ht="12.75">
      <c r="A14" s="22"/>
      <c r="B14" s="22" t="s">
        <v>80</v>
      </c>
      <c r="C14" s="23">
        <v>0.1</v>
      </c>
      <c r="D14" s="23" t="s">
        <v>122</v>
      </c>
      <c r="E14" s="44">
        <f>6.99/1000</f>
        <v>0.0069900000000000006</v>
      </c>
      <c r="F14" s="44">
        <f t="shared" si="0"/>
        <v>0.0006990000000000001</v>
      </c>
      <c r="G14" s="44">
        <f t="shared" si="1"/>
        <v>0.0034950000000000003</v>
      </c>
      <c r="H14" s="44">
        <f t="shared" si="0"/>
        <v>0.00034950000000000004</v>
      </c>
      <c r="I14" s="50" t="s">
        <v>122</v>
      </c>
      <c r="J14" s="44">
        <f>7.18/1000</f>
        <v>0.00718</v>
      </c>
      <c r="K14" s="44">
        <f t="shared" si="2"/>
        <v>0.000718</v>
      </c>
      <c r="L14" s="44">
        <f t="shared" si="3"/>
        <v>0.00359</v>
      </c>
      <c r="M14" s="44">
        <f t="shared" si="2"/>
        <v>0.000359</v>
      </c>
      <c r="N14" s="50" t="s">
        <v>122</v>
      </c>
      <c r="O14" s="44">
        <f>6.38/1000</f>
        <v>0.00638</v>
      </c>
      <c r="P14" s="44">
        <f t="shared" si="4"/>
        <v>0.0006380000000000001</v>
      </c>
      <c r="Q14" s="44">
        <f t="shared" si="5"/>
        <v>0.00319</v>
      </c>
      <c r="R14" s="44">
        <f t="shared" si="4"/>
        <v>0.00031900000000000006</v>
      </c>
    </row>
    <row r="15" spans="1:18" ht="12.75">
      <c r="A15" s="22"/>
      <c r="B15" s="22" t="s">
        <v>81</v>
      </c>
      <c r="C15" s="23">
        <v>0.1</v>
      </c>
      <c r="D15" s="23" t="s">
        <v>122</v>
      </c>
      <c r="E15" s="44">
        <f>6.55/1000</f>
        <v>0.006549999999999999</v>
      </c>
      <c r="F15" s="44">
        <f t="shared" si="0"/>
        <v>0.000655</v>
      </c>
      <c r="G15" s="44">
        <f t="shared" si="1"/>
        <v>0.0032749999999999997</v>
      </c>
      <c r="H15" s="44">
        <f t="shared" si="0"/>
        <v>0.0003275</v>
      </c>
      <c r="I15" s="50" t="s">
        <v>122</v>
      </c>
      <c r="J15" s="44">
        <f>6.73/1000</f>
        <v>0.006730000000000001</v>
      </c>
      <c r="K15" s="44">
        <f t="shared" si="2"/>
        <v>0.0006730000000000001</v>
      </c>
      <c r="L15" s="44">
        <f t="shared" si="3"/>
        <v>0.0033650000000000004</v>
      </c>
      <c r="M15" s="44">
        <f t="shared" si="2"/>
        <v>0.00033650000000000005</v>
      </c>
      <c r="N15" s="50" t="s">
        <v>122</v>
      </c>
      <c r="O15" s="44">
        <f>5.98/1000</f>
        <v>0.00598</v>
      </c>
      <c r="P15" s="44">
        <f t="shared" si="4"/>
        <v>0.000598</v>
      </c>
      <c r="Q15" s="44">
        <f t="shared" si="5"/>
        <v>0.00299</v>
      </c>
      <c r="R15" s="44">
        <f t="shared" si="4"/>
        <v>0.000299</v>
      </c>
    </row>
    <row r="16" spans="1:18" ht="12.75">
      <c r="A16" s="22"/>
      <c r="B16" s="22" t="s">
        <v>82</v>
      </c>
      <c r="C16" s="23">
        <v>0.01</v>
      </c>
      <c r="D16" s="23"/>
      <c r="E16" s="44">
        <f>20.9/1000</f>
        <v>0.0209</v>
      </c>
      <c r="F16" s="44">
        <f t="shared" si="0"/>
        <v>0.00020899999999999998</v>
      </c>
      <c r="G16" s="44">
        <f t="shared" si="1"/>
        <v>0.0209</v>
      </c>
      <c r="H16" s="44">
        <f t="shared" si="0"/>
        <v>0.00020899999999999998</v>
      </c>
      <c r="I16" s="50"/>
      <c r="J16" s="44">
        <f>17.7/1000</f>
        <v>0.0177</v>
      </c>
      <c r="K16" s="44">
        <f t="shared" si="2"/>
        <v>0.00017700000000000002</v>
      </c>
      <c r="L16" s="44">
        <f t="shared" si="3"/>
        <v>0.0177</v>
      </c>
      <c r="M16" s="44">
        <f t="shared" si="2"/>
        <v>0.00017700000000000002</v>
      </c>
      <c r="N16" s="50"/>
      <c r="O16" s="44">
        <f>14.8/1000</f>
        <v>0.0148</v>
      </c>
      <c r="P16" s="44">
        <f t="shared" si="4"/>
        <v>0.00014800000000000002</v>
      </c>
      <c r="Q16" s="44">
        <f t="shared" si="5"/>
        <v>0.0148</v>
      </c>
      <c r="R16" s="44">
        <f t="shared" si="4"/>
        <v>0.00014800000000000002</v>
      </c>
    </row>
    <row r="17" spans="1:18" ht="12.75">
      <c r="A17" s="22"/>
      <c r="B17" s="22" t="s">
        <v>83</v>
      </c>
      <c r="C17" s="23">
        <v>0.001</v>
      </c>
      <c r="D17" s="23"/>
      <c r="E17" s="44">
        <f>43/1000</f>
        <v>0.043</v>
      </c>
      <c r="F17" s="44">
        <f t="shared" si="0"/>
        <v>4.2999999999999995E-05</v>
      </c>
      <c r="G17" s="44">
        <f t="shared" si="1"/>
        <v>0.043</v>
      </c>
      <c r="H17" s="44">
        <f t="shared" si="0"/>
        <v>4.2999999999999995E-05</v>
      </c>
      <c r="I17" s="50"/>
      <c r="J17" s="44">
        <f>33/1000</f>
        <v>0.033</v>
      </c>
      <c r="K17" s="44">
        <f t="shared" si="2"/>
        <v>3.3E-05</v>
      </c>
      <c r="L17" s="44">
        <f t="shared" si="3"/>
        <v>0.033</v>
      </c>
      <c r="M17" s="44">
        <f t="shared" si="2"/>
        <v>3.3E-05</v>
      </c>
      <c r="N17" s="50"/>
      <c r="O17" s="44">
        <f>31.4/1000</f>
        <v>0.0314</v>
      </c>
      <c r="P17" s="44">
        <f t="shared" si="4"/>
        <v>3.14E-05</v>
      </c>
      <c r="Q17" s="44">
        <f t="shared" si="5"/>
        <v>0.0314</v>
      </c>
      <c r="R17" s="44">
        <f t="shared" si="4"/>
        <v>3.14E-05</v>
      </c>
    </row>
    <row r="18" spans="1:18" ht="12.75">
      <c r="A18" s="22"/>
      <c r="B18" s="22" t="s">
        <v>84</v>
      </c>
      <c r="C18" s="23">
        <v>0.1</v>
      </c>
      <c r="D18" s="23"/>
      <c r="E18" s="44">
        <f>113/1000</f>
        <v>0.113</v>
      </c>
      <c r="F18" s="44">
        <f t="shared" si="0"/>
        <v>0.011300000000000001</v>
      </c>
      <c r="G18" s="44">
        <f t="shared" si="1"/>
        <v>0.113</v>
      </c>
      <c r="H18" s="44">
        <f t="shared" si="0"/>
        <v>0.011300000000000001</v>
      </c>
      <c r="I18" s="50"/>
      <c r="J18" s="44">
        <f>258/1000</f>
        <v>0.258</v>
      </c>
      <c r="K18" s="44">
        <f t="shared" si="2"/>
        <v>0.025800000000000003</v>
      </c>
      <c r="L18" s="44">
        <f t="shared" si="3"/>
        <v>0.258</v>
      </c>
      <c r="M18" s="44">
        <f t="shared" si="2"/>
        <v>0.025800000000000003</v>
      </c>
      <c r="N18" s="50"/>
      <c r="O18" s="44">
        <f>404/1000</f>
        <v>0.404</v>
      </c>
      <c r="P18" s="44">
        <f t="shared" si="4"/>
        <v>0.040400000000000005</v>
      </c>
      <c r="Q18" s="44">
        <f t="shared" si="5"/>
        <v>0.404</v>
      </c>
      <c r="R18" s="44">
        <f t="shared" si="4"/>
        <v>0.040400000000000005</v>
      </c>
    </row>
    <row r="19" spans="1:18" ht="12.75">
      <c r="A19" s="22"/>
      <c r="B19" s="22" t="s">
        <v>85</v>
      </c>
      <c r="C19" s="23">
        <v>0.05</v>
      </c>
      <c r="D19" s="23"/>
      <c r="E19" s="44">
        <f>34.9/1000</f>
        <v>0.0349</v>
      </c>
      <c r="F19" s="44">
        <f t="shared" si="0"/>
        <v>0.001745</v>
      </c>
      <c r="G19" s="44">
        <f t="shared" si="1"/>
        <v>0.0349</v>
      </c>
      <c r="H19" s="44">
        <f t="shared" si="0"/>
        <v>0.001745</v>
      </c>
      <c r="I19" s="50"/>
      <c r="J19" s="44">
        <f>99.9/1000</f>
        <v>0.0999</v>
      </c>
      <c r="K19" s="44">
        <f t="shared" si="2"/>
        <v>0.004995</v>
      </c>
      <c r="L19" s="44">
        <f t="shared" si="3"/>
        <v>0.0999</v>
      </c>
      <c r="M19" s="44">
        <f t="shared" si="2"/>
        <v>0.004995</v>
      </c>
      <c r="N19" s="50"/>
      <c r="O19" s="44">
        <f>122/1000</f>
        <v>0.122</v>
      </c>
      <c r="P19" s="44">
        <f t="shared" si="4"/>
        <v>0.0061</v>
      </c>
      <c r="Q19" s="44">
        <f t="shared" si="5"/>
        <v>0.122</v>
      </c>
      <c r="R19" s="44">
        <f t="shared" si="4"/>
        <v>0.0061</v>
      </c>
    </row>
    <row r="20" spans="1:18" ht="12.75">
      <c r="A20" s="22"/>
      <c r="B20" s="22" t="s">
        <v>86</v>
      </c>
      <c r="C20" s="23">
        <v>0.5</v>
      </c>
      <c r="D20" s="23"/>
      <c r="E20" s="44">
        <f>58.7/1000</f>
        <v>0.0587</v>
      </c>
      <c r="F20" s="44">
        <f t="shared" si="0"/>
        <v>0.02935</v>
      </c>
      <c r="G20" s="44">
        <f t="shared" si="1"/>
        <v>0.0587</v>
      </c>
      <c r="H20" s="44">
        <f t="shared" si="0"/>
        <v>0.02935</v>
      </c>
      <c r="I20" s="50"/>
      <c r="J20" s="44">
        <f>180/1000</f>
        <v>0.18</v>
      </c>
      <c r="K20" s="44">
        <f t="shared" si="2"/>
        <v>0.09</v>
      </c>
      <c r="L20" s="44">
        <f t="shared" si="3"/>
        <v>0.18</v>
      </c>
      <c r="M20" s="44">
        <f t="shared" si="2"/>
        <v>0.09</v>
      </c>
      <c r="N20" s="50"/>
      <c r="O20" s="44">
        <f>213/1000</f>
        <v>0.213</v>
      </c>
      <c r="P20" s="44">
        <f t="shared" si="4"/>
        <v>0.1065</v>
      </c>
      <c r="Q20" s="44">
        <f t="shared" si="5"/>
        <v>0.213</v>
      </c>
      <c r="R20" s="44">
        <f t="shared" si="4"/>
        <v>0.1065</v>
      </c>
    </row>
    <row r="21" spans="1:18" ht="12.75">
      <c r="A21" s="22"/>
      <c r="B21" s="22" t="s">
        <v>87</v>
      </c>
      <c r="C21" s="23">
        <v>0.1</v>
      </c>
      <c r="D21" s="23"/>
      <c r="E21" s="44">
        <f>18.1/1000</f>
        <v>0.0181</v>
      </c>
      <c r="F21" s="44">
        <f t="shared" si="0"/>
        <v>0.0018100000000000002</v>
      </c>
      <c r="G21" s="44">
        <f t="shared" si="1"/>
        <v>0.0181</v>
      </c>
      <c r="H21" s="44">
        <f t="shared" si="0"/>
        <v>0.0018100000000000002</v>
      </c>
      <c r="I21" s="50"/>
      <c r="J21" s="44">
        <f>59.3/1000</f>
        <v>0.0593</v>
      </c>
      <c r="K21" s="44">
        <f t="shared" si="2"/>
        <v>0.00593</v>
      </c>
      <c r="L21" s="44">
        <f t="shared" si="3"/>
        <v>0.0593</v>
      </c>
      <c r="M21" s="44">
        <f t="shared" si="2"/>
        <v>0.00593</v>
      </c>
      <c r="N21" s="50"/>
      <c r="O21" s="44">
        <f>39.1/1000</f>
        <v>0.0391</v>
      </c>
      <c r="P21" s="44">
        <f t="shared" si="4"/>
        <v>0.00391</v>
      </c>
      <c r="Q21" s="44">
        <f t="shared" si="5"/>
        <v>0.0391</v>
      </c>
      <c r="R21" s="44">
        <f t="shared" si="4"/>
        <v>0.00391</v>
      </c>
    </row>
    <row r="22" spans="1:18" ht="12.75">
      <c r="A22" s="22"/>
      <c r="B22" s="22" t="s">
        <v>88</v>
      </c>
      <c r="C22" s="23">
        <v>0.1</v>
      </c>
      <c r="D22" s="23"/>
      <c r="E22" s="44">
        <f>13.7/1000</f>
        <v>0.013699999999999999</v>
      </c>
      <c r="F22" s="44">
        <f t="shared" si="0"/>
        <v>0.00137</v>
      </c>
      <c r="G22" s="44">
        <f t="shared" si="1"/>
        <v>0.013699999999999999</v>
      </c>
      <c r="H22" s="44">
        <f t="shared" si="0"/>
        <v>0.00137</v>
      </c>
      <c r="I22" s="50"/>
      <c r="J22" s="44">
        <f>37.8/1000</f>
        <v>0.0378</v>
      </c>
      <c r="K22" s="44">
        <f t="shared" si="2"/>
        <v>0.0037800000000000004</v>
      </c>
      <c r="L22" s="44">
        <f t="shared" si="3"/>
        <v>0.0378</v>
      </c>
      <c r="M22" s="44">
        <f t="shared" si="2"/>
        <v>0.0037800000000000004</v>
      </c>
      <c r="N22" s="50"/>
      <c r="O22" s="44">
        <f>33.1/1000</f>
        <v>0.033100000000000004</v>
      </c>
      <c r="P22" s="44">
        <f t="shared" si="4"/>
        <v>0.0033100000000000004</v>
      </c>
      <c r="Q22" s="44">
        <f t="shared" si="5"/>
        <v>0.033100000000000004</v>
      </c>
      <c r="R22" s="44">
        <f t="shared" si="4"/>
        <v>0.0033100000000000004</v>
      </c>
    </row>
    <row r="23" spans="1:18" ht="12.75">
      <c r="A23" s="22"/>
      <c r="B23" s="22" t="s">
        <v>89</v>
      </c>
      <c r="C23" s="23">
        <v>0.1</v>
      </c>
      <c r="D23" s="23"/>
      <c r="E23" s="44">
        <f>11.8/1000</f>
        <v>0.011800000000000001</v>
      </c>
      <c r="F23" s="44">
        <f t="shared" si="0"/>
        <v>0.0011800000000000003</v>
      </c>
      <c r="G23" s="44">
        <f t="shared" si="1"/>
        <v>0.011800000000000001</v>
      </c>
      <c r="H23" s="44">
        <f t="shared" si="0"/>
        <v>0.0011800000000000003</v>
      </c>
      <c r="I23" s="50"/>
      <c r="J23" s="44">
        <f>29.6/1000</f>
        <v>0.0296</v>
      </c>
      <c r="K23" s="44">
        <f t="shared" si="2"/>
        <v>0.0029600000000000004</v>
      </c>
      <c r="L23" s="44">
        <f t="shared" si="3"/>
        <v>0.0296</v>
      </c>
      <c r="M23" s="44">
        <f t="shared" si="2"/>
        <v>0.0029600000000000004</v>
      </c>
      <c r="N23" s="50"/>
      <c r="O23" s="44">
        <f>27.2/1000</f>
        <v>0.0272</v>
      </c>
      <c r="P23" s="44">
        <f t="shared" si="4"/>
        <v>0.00272</v>
      </c>
      <c r="Q23" s="44">
        <f t="shared" si="5"/>
        <v>0.0272</v>
      </c>
      <c r="R23" s="44">
        <f t="shared" si="4"/>
        <v>0.00272</v>
      </c>
    </row>
    <row r="24" spans="1:18" ht="12.75">
      <c r="A24" s="22"/>
      <c r="B24" s="22" t="s">
        <v>90</v>
      </c>
      <c r="C24" s="23">
        <v>0.1</v>
      </c>
      <c r="D24" s="23" t="s">
        <v>122</v>
      </c>
      <c r="E24" s="44">
        <f>2.95/1000</f>
        <v>0.0029500000000000004</v>
      </c>
      <c r="F24" s="44">
        <f t="shared" si="0"/>
        <v>0.00029500000000000007</v>
      </c>
      <c r="G24" s="44">
        <f t="shared" si="1"/>
        <v>0.0014750000000000002</v>
      </c>
      <c r="H24" s="44">
        <f t="shared" si="0"/>
        <v>0.00014750000000000003</v>
      </c>
      <c r="I24" s="50"/>
      <c r="J24" s="44">
        <f>10.3/1000</f>
        <v>0.0103</v>
      </c>
      <c r="K24" s="44">
        <f t="shared" si="2"/>
        <v>0.00103</v>
      </c>
      <c r="L24" s="44">
        <f t="shared" si="3"/>
        <v>0.0103</v>
      </c>
      <c r="M24" s="44">
        <f t="shared" si="2"/>
        <v>0.00103</v>
      </c>
      <c r="N24" s="50"/>
      <c r="O24" s="44">
        <f>9.9/1000</f>
        <v>0.0099</v>
      </c>
      <c r="P24" s="44">
        <f t="shared" si="4"/>
        <v>0.0009900000000000002</v>
      </c>
      <c r="Q24" s="44">
        <f t="shared" si="5"/>
        <v>0.0099</v>
      </c>
      <c r="R24" s="44">
        <f t="shared" si="4"/>
        <v>0.0009900000000000002</v>
      </c>
    </row>
    <row r="25" spans="1:18" ht="12.75">
      <c r="A25" s="22"/>
      <c r="B25" s="22" t="s">
        <v>91</v>
      </c>
      <c r="C25" s="23">
        <v>0.01</v>
      </c>
      <c r="D25" s="23"/>
      <c r="E25" s="44">
        <f>30.4/1000</f>
        <v>0.0304</v>
      </c>
      <c r="F25" s="44">
        <f t="shared" si="0"/>
        <v>0.000304</v>
      </c>
      <c r="G25" s="44">
        <f t="shared" si="1"/>
        <v>0.0304</v>
      </c>
      <c r="H25" s="44">
        <f t="shared" si="0"/>
        <v>0.000304</v>
      </c>
      <c r="I25" s="50"/>
      <c r="J25" s="44">
        <f>50.6/1000</f>
        <v>0.0506</v>
      </c>
      <c r="K25" s="44">
        <f t="shared" si="2"/>
        <v>0.000506</v>
      </c>
      <c r="L25" s="44">
        <f t="shared" si="3"/>
        <v>0.0506</v>
      </c>
      <c r="M25" s="44">
        <f t="shared" si="2"/>
        <v>0.000506</v>
      </c>
      <c r="N25" s="50"/>
      <c r="O25" s="44">
        <f>31.4/1000</f>
        <v>0.0314</v>
      </c>
      <c r="P25" s="44">
        <f t="shared" si="4"/>
        <v>0.000314</v>
      </c>
      <c r="Q25" s="44">
        <f t="shared" si="5"/>
        <v>0.0314</v>
      </c>
      <c r="R25" s="44">
        <f t="shared" si="4"/>
        <v>0.000314</v>
      </c>
    </row>
    <row r="26" spans="1:18" ht="12.75">
      <c r="A26" s="22"/>
      <c r="B26" s="22" t="s">
        <v>92</v>
      </c>
      <c r="C26" s="23">
        <v>0.01</v>
      </c>
      <c r="D26" s="23" t="s">
        <v>122</v>
      </c>
      <c r="E26" s="44">
        <f>2.67/1000</f>
        <v>0.00267</v>
      </c>
      <c r="F26" s="44">
        <f t="shared" si="0"/>
        <v>2.6700000000000002E-05</v>
      </c>
      <c r="G26" s="44">
        <f t="shared" si="1"/>
        <v>0.001335</v>
      </c>
      <c r="H26" s="44">
        <f t="shared" si="0"/>
        <v>1.3350000000000001E-05</v>
      </c>
      <c r="I26" s="50"/>
      <c r="J26" s="44">
        <f>6.1/1000</f>
        <v>0.0060999999999999995</v>
      </c>
      <c r="K26" s="44">
        <f t="shared" si="2"/>
        <v>6.1E-05</v>
      </c>
      <c r="L26" s="44">
        <f t="shared" si="3"/>
        <v>0.0060999999999999995</v>
      </c>
      <c r="M26" s="44">
        <f t="shared" si="2"/>
        <v>6.1E-05</v>
      </c>
      <c r="N26" s="50" t="s">
        <v>122</v>
      </c>
      <c r="O26" s="44">
        <f>6.84/1000</f>
        <v>0.00684</v>
      </c>
      <c r="P26" s="44">
        <f t="shared" si="4"/>
        <v>6.84E-05</v>
      </c>
      <c r="Q26" s="44">
        <f t="shared" si="5"/>
        <v>0.00342</v>
      </c>
      <c r="R26" s="44">
        <f t="shared" si="4"/>
        <v>3.42E-05</v>
      </c>
    </row>
    <row r="27" spans="1:18" ht="12.75">
      <c r="A27" s="22"/>
      <c r="B27" s="22" t="s">
        <v>93</v>
      </c>
      <c r="C27" s="23">
        <v>0.001</v>
      </c>
      <c r="D27" s="23"/>
      <c r="E27" s="44">
        <f>25.1/1000</f>
        <v>0.0251</v>
      </c>
      <c r="F27" s="44">
        <f t="shared" si="0"/>
        <v>2.51E-05</v>
      </c>
      <c r="G27" s="44">
        <f t="shared" si="1"/>
        <v>0.0251</v>
      </c>
      <c r="H27" s="44">
        <f t="shared" si="0"/>
        <v>2.51E-05</v>
      </c>
      <c r="I27" s="50"/>
      <c r="J27" s="44">
        <f>42/4/1000</f>
        <v>0.0105</v>
      </c>
      <c r="K27" s="44">
        <f t="shared" si="2"/>
        <v>1.0500000000000001E-05</v>
      </c>
      <c r="L27" s="44">
        <f t="shared" si="3"/>
        <v>0.0105</v>
      </c>
      <c r="M27" s="44">
        <f t="shared" si="2"/>
        <v>1.0500000000000001E-05</v>
      </c>
      <c r="N27" s="50"/>
      <c r="O27" s="44">
        <f>24.6/1000</f>
        <v>0.0246</v>
      </c>
      <c r="P27" s="44">
        <f t="shared" si="4"/>
        <v>2.46E-05</v>
      </c>
      <c r="Q27" s="44">
        <f t="shared" si="5"/>
        <v>0.0246</v>
      </c>
      <c r="R27" s="44">
        <f t="shared" si="4"/>
        <v>2.46E-05</v>
      </c>
    </row>
    <row r="28" spans="1:18" ht="12.75">
      <c r="A28" s="22"/>
      <c r="B28" s="22" t="s">
        <v>94</v>
      </c>
      <c r="C28" s="23">
        <v>0</v>
      </c>
      <c r="D28" s="23"/>
      <c r="E28" s="44">
        <f>156/1000</f>
        <v>0.156</v>
      </c>
      <c r="F28" s="44">
        <f t="shared" si="0"/>
        <v>0</v>
      </c>
      <c r="G28" s="44">
        <f t="shared" si="1"/>
        <v>0.156</v>
      </c>
      <c r="H28" s="44">
        <f t="shared" si="0"/>
        <v>0</v>
      </c>
      <c r="I28" s="50"/>
      <c r="J28" s="75">
        <f>277/1000</f>
        <v>0.277</v>
      </c>
      <c r="K28" s="44">
        <f t="shared" si="2"/>
        <v>0</v>
      </c>
      <c r="L28" s="44">
        <f t="shared" si="3"/>
        <v>0.277</v>
      </c>
      <c r="M28" s="44">
        <f t="shared" si="2"/>
        <v>0</v>
      </c>
      <c r="N28" s="50"/>
      <c r="O28" s="44">
        <f>394/1000</f>
        <v>0.394</v>
      </c>
      <c r="P28" s="44">
        <f t="shared" si="4"/>
        <v>0</v>
      </c>
      <c r="Q28" s="44">
        <f t="shared" si="5"/>
        <v>0.394</v>
      </c>
      <c r="R28" s="44">
        <f t="shared" si="4"/>
        <v>0</v>
      </c>
    </row>
    <row r="29" spans="1:18" ht="12.75">
      <c r="A29" s="22"/>
      <c r="B29" s="22" t="s">
        <v>95</v>
      </c>
      <c r="C29" s="23">
        <v>0</v>
      </c>
      <c r="D29" s="23"/>
      <c r="E29" s="44">
        <f>89.9/1000</f>
        <v>0.08990000000000001</v>
      </c>
      <c r="F29" s="44">
        <f t="shared" si="0"/>
        <v>0</v>
      </c>
      <c r="G29" s="44">
        <f t="shared" si="1"/>
        <v>0.08990000000000001</v>
      </c>
      <c r="H29" s="44">
        <f t="shared" si="0"/>
        <v>0</v>
      </c>
      <c r="I29" s="50"/>
      <c r="J29" s="44">
        <f>126/1000</f>
        <v>0.126</v>
      </c>
      <c r="K29" s="44">
        <f t="shared" si="2"/>
        <v>0</v>
      </c>
      <c r="L29" s="44">
        <f t="shared" si="3"/>
        <v>0.126</v>
      </c>
      <c r="M29" s="44">
        <f t="shared" si="2"/>
        <v>0</v>
      </c>
      <c r="N29" s="50"/>
      <c r="O29" s="44">
        <f>132/1000</f>
        <v>0.132</v>
      </c>
      <c r="P29" s="44">
        <f t="shared" si="4"/>
        <v>0</v>
      </c>
      <c r="Q29" s="44">
        <f t="shared" si="5"/>
        <v>0.132</v>
      </c>
      <c r="R29" s="44">
        <f t="shared" si="4"/>
        <v>0</v>
      </c>
    </row>
    <row r="30" spans="1:18" ht="12.75">
      <c r="A30" s="22"/>
      <c r="B30" s="22" t="s">
        <v>96</v>
      </c>
      <c r="C30" s="23">
        <v>0</v>
      </c>
      <c r="D30" s="23"/>
      <c r="E30" s="44">
        <f>106/1000</f>
        <v>0.106</v>
      </c>
      <c r="F30" s="44">
        <f t="shared" si="0"/>
        <v>0</v>
      </c>
      <c r="G30" s="44">
        <f t="shared" si="1"/>
        <v>0.106</v>
      </c>
      <c r="H30" s="44">
        <f t="shared" si="0"/>
        <v>0</v>
      </c>
      <c r="I30" s="50"/>
      <c r="J30" s="44">
        <f>93.2/1000</f>
        <v>0.0932</v>
      </c>
      <c r="K30" s="44">
        <f t="shared" si="2"/>
        <v>0</v>
      </c>
      <c r="L30" s="44">
        <f t="shared" si="3"/>
        <v>0.0932</v>
      </c>
      <c r="M30" s="44">
        <f t="shared" si="2"/>
        <v>0</v>
      </c>
      <c r="N30" s="50"/>
      <c r="O30" s="44">
        <f>76/1000</f>
        <v>0.076</v>
      </c>
      <c r="P30" s="44">
        <f t="shared" si="4"/>
        <v>0</v>
      </c>
      <c r="Q30" s="44">
        <f t="shared" si="5"/>
        <v>0.076</v>
      </c>
      <c r="R30" s="44">
        <f t="shared" si="4"/>
        <v>0</v>
      </c>
    </row>
    <row r="31" spans="1:18" ht="12.75">
      <c r="A31" s="22"/>
      <c r="B31" s="22" t="s">
        <v>97</v>
      </c>
      <c r="C31" s="23">
        <v>0</v>
      </c>
      <c r="D31" s="23"/>
      <c r="E31" s="44">
        <f>59.3/1000</f>
        <v>0.0593</v>
      </c>
      <c r="F31" s="44">
        <f t="shared" si="0"/>
        <v>0</v>
      </c>
      <c r="G31" s="44">
        <f t="shared" si="1"/>
        <v>0.0593</v>
      </c>
      <c r="H31" s="44">
        <f t="shared" si="0"/>
        <v>0</v>
      </c>
      <c r="I31" s="50"/>
      <c r="J31" s="44">
        <f>53.2/1000</f>
        <v>0.053200000000000004</v>
      </c>
      <c r="K31" s="44">
        <f t="shared" si="2"/>
        <v>0</v>
      </c>
      <c r="L31" s="44">
        <f t="shared" si="3"/>
        <v>0.053200000000000004</v>
      </c>
      <c r="M31" s="44">
        <f t="shared" si="2"/>
        <v>0</v>
      </c>
      <c r="N31" s="50"/>
      <c r="O31" s="44">
        <f>47.9/1000</f>
        <v>0.0479</v>
      </c>
      <c r="P31" s="44">
        <f t="shared" si="4"/>
        <v>0</v>
      </c>
      <c r="Q31" s="44">
        <f t="shared" si="5"/>
        <v>0.0479</v>
      </c>
      <c r="R31" s="44">
        <f t="shared" si="4"/>
        <v>0</v>
      </c>
    </row>
    <row r="32" spans="1:18" ht="12.75">
      <c r="A32" s="22"/>
      <c r="B32" s="22" t="s">
        <v>98</v>
      </c>
      <c r="C32" s="23">
        <v>0</v>
      </c>
      <c r="D32" s="23"/>
      <c r="E32" s="44">
        <f>6050/1000</f>
        <v>6.05</v>
      </c>
      <c r="F32" s="44">
        <f t="shared" si="0"/>
        <v>0</v>
      </c>
      <c r="G32" s="44">
        <f t="shared" si="1"/>
        <v>6.05</v>
      </c>
      <c r="H32" s="44">
        <f t="shared" si="0"/>
        <v>0</v>
      </c>
      <c r="I32" s="50"/>
      <c r="J32" s="44">
        <f>11300/1000</f>
        <v>11.3</v>
      </c>
      <c r="K32" s="44">
        <f t="shared" si="2"/>
        <v>0</v>
      </c>
      <c r="L32" s="44">
        <f t="shared" si="3"/>
        <v>11.3</v>
      </c>
      <c r="M32" s="44">
        <f t="shared" si="2"/>
        <v>0</v>
      </c>
      <c r="N32" s="50"/>
      <c r="O32" s="44">
        <f>20200/1000</f>
        <v>20.2</v>
      </c>
      <c r="P32" s="44">
        <f t="shared" si="4"/>
        <v>0</v>
      </c>
      <c r="Q32" s="44">
        <f t="shared" si="5"/>
        <v>20.2</v>
      </c>
      <c r="R32" s="44">
        <f t="shared" si="4"/>
        <v>0</v>
      </c>
    </row>
    <row r="33" spans="1:18" ht="12.75">
      <c r="A33" s="22"/>
      <c r="B33" s="22" t="s">
        <v>99</v>
      </c>
      <c r="C33" s="23">
        <v>0</v>
      </c>
      <c r="D33" s="23"/>
      <c r="E33" s="44">
        <f>873/1000</f>
        <v>0.873</v>
      </c>
      <c r="F33" s="44">
        <f t="shared" si="0"/>
        <v>0</v>
      </c>
      <c r="G33" s="44">
        <f t="shared" si="1"/>
        <v>0.873</v>
      </c>
      <c r="H33" s="44">
        <f t="shared" si="0"/>
        <v>0</v>
      </c>
      <c r="I33" s="50"/>
      <c r="J33" s="44">
        <f>2250/1000</f>
        <v>2.25</v>
      </c>
      <c r="K33" s="44">
        <f t="shared" si="2"/>
        <v>0</v>
      </c>
      <c r="L33" s="44">
        <f t="shared" si="3"/>
        <v>2.25</v>
      </c>
      <c r="M33" s="44">
        <f t="shared" si="2"/>
        <v>0</v>
      </c>
      <c r="N33" s="50"/>
      <c r="O33" s="44">
        <f>2960/1000</f>
        <v>2.96</v>
      </c>
      <c r="P33" s="44">
        <f t="shared" si="4"/>
        <v>0</v>
      </c>
      <c r="Q33" s="44">
        <f t="shared" si="5"/>
        <v>2.96</v>
      </c>
      <c r="R33" s="44">
        <f t="shared" si="4"/>
        <v>0</v>
      </c>
    </row>
    <row r="34" spans="1:18" ht="12.75">
      <c r="A34" s="22"/>
      <c r="B34" s="22" t="s">
        <v>100</v>
      </c>
      <c r="C34" s="23">
        <v>0</v>
      </c>
      <c r="D34" s="23"/>
      <c r="E34" s="44">
        <f>117/1000</f>
        <v>0.117</v>
      </c>
      <c r="F34" s="44">
        <f t="shared" si="0"/>
        <v>0</v>
      </c>
      <c r="G34" s="44">
        <f t="shared" si="1"/>
        <v>0.117</v>
      </c>
      <c r="H34" s="44">
        <f t="shared" si="0"/>
        <v>0</v>
      </c>
      <c r="I34" s="50"/>
      <c r="J34" s="44">
        <f>373/1000</f>
        <v>0.373</v>
      </c>
      <c r="K34" s="44">
        <f t="shared" si="2"/>
        <v>0</v>
      </c>
      <c r="L34" s="44">
        <f t="shared" si="3"/>
        <v>0.373</v>
      </c>
      <c r="M34" s="44">
        <f t="shared" si="2"/>
        <v>0</v>
      </c>
      <c r="N34" s="50"/>
      <c r="O34" s="44">
        <f>314/1000</f>
        <v>0.314</v>
      </c>
      <c r="P34" s="44">
        <f t="shared" si="4"/>
        <v>0</v>
      </c>
      <c r="Q34" s="44">
        <f t="shared" si="5"/>
        <v>0.314</v>
      </c>
      <c r="R34" s="44">
        <f t="shared" si="4"/>
        <v>0</v>
      </c>
    </row>
    <row r="35" spans="1:18" ht="12.75">
      <c r="A35" s="22" t="s">
        <v>101</v>
      </c>
      <c r="B35" s="22" t="s">
        <v>102</v>
      </c>
      <c r="C35" s="23">
        <v>0</v>
      </c>
      <c r="D35" s="23"/>
      <c r="E35" s="44">
        <f>30.4/1000</f>
        <v>0.0304</v>
      </c>
      <c r="F35" s="44">
        <f t="shared" si="0"/>
        <v>0</v>
      </c>
      <c r="G35" s="44">
        <f t="shared" si="1"/>
        <v>0.0304</v>
      </c>
      <c r="H35" s="44">
        <f t="shared" si="0"/>
        <v>0</v>
      </c>
      <c r="I35" s="50"/>
      <c r="J35" s="44">
        <f>73/1000</f>
        <v>0.073</v>
      </c>
      <c r="K35" s="44">
        <f t="shared" si="2"/>
        <v>0</v>
      </c>
      <c r="L35" s="44">
        <f t="shared" si="3"/>
        <v>0.073</v>
      </c>
      <c r="M35" s="44">
        <f t="shared" si="2"/>
        <v>0</v>
      </c>
      <c r="N35" s="50"/>
      <c r="O35" s="44">
        <f>32.4/1000</f>
        <v>0.0324</v>
      </c>
      <c r="P35" s="44">
        <f t="shared" si="4"/>
        <v>0</v>
      </c>
      <c r="Q35" s="44">
        <f t="shared" si="5"/>
        <v>0.0324</v>
      </c>
      <c r="R35" s="44">
        <f t="shared" si="4"/>
        <v>0</v>
      </c>
    </row>
    <row r="36" spans="1:18" s="110" customFormat="1" ht="12.75">
      <c r="A36" s="22"/>
      <c r="B36" s="22"/>
      <c r="C36" s="22"/>
      <c r="D36" s="22"/>
      <c r="E36" s="44"/>
      <c r="F36" s="44"/>
      <c r="G36" s="44"/>
      <c r="H36" s="44"/>
      <c r="I36" s="48"/>
      <c r="J36" s="44"/>
      <c r="K36" s="44"/>
      <c r="L36" s="44"/>
      <c r="M36" s="44"/>
      <c r="N36" s="48"/>
      <c r="O36" s="44"/>
      <c r="P36" s="44"/>
      <c r="Q36" s="44"/>
      <c r="R36" s="44"/>
    </row>
    <row r="37" spans="1:18" s="110" customFormat="1" ht="12.75">
      <c r="A37" s="22"/>
      <c r="B37" s="22" t="s">
        <v>103</v>
      </c>
      <c r="C37" s="22"/>
      <c r="D37" s="22"/>
      <c r="E37" s="44"/>
      <c r="F37" s="75">
        <v>128</v>
      </c>
      <c r="G37" s="75">
        <v>128</v>
      </c>
      <c r="H37" s="75">
        <v>128</v>
      </c>
      <c r="I37" s="24"/>
      <c r="J37" s="44"/>
      <c r="K37" s="75">
        <v>126.738</v>
      </c>
      <c r="L37" s="75">
        <v>126.738</v>
      </c>
      <c r="M37" s="75">
        <v>126.738</v>
      </c>
      <c r="N37" s="24"/>
      <c r="O37" s="44"/>
      <c r="P37" s="44">
        <v>131.868</v>
      </c>
      <c r="Q37" s="44">
        <v>131.868</v>
      </c>
      <c r="R37" s="44">
        <v>131.868</v>
      </c>
    </row>
    <row r="38" spans="1:18" s="110" customFormat="1" ht="12.75">
      <c r="A38" s="22"/>
      <c r="B38" s="22" t="s">
        <v>104</v>
      </c>
      <c r="C38" s="22"/>
      <c r="D38" s="22"/>
      <c r="E38" s="44"/>
      <c r="F38" s="75">
        <v>15.2</v>
      </c>
      <c r="G38" s="75">
        <v>15.2</v>
      </c>
      <c r="H38" s="75">
        <v>15.2</v>
      </c>
      <c r="I38" s="24"/>
      <c r="J38" s="44"/>
      <c r="K38" s="75">
        <v>14.9</v>
      </c>
      <c r="L38" s="75">
        <v>14.9</v>
      </c>
      <c r="M38" s="75">
        <v>14.9</v>
      </c>
      <c r="N38" s="24"/>
      <c r="O38" s="44"/>
      <c r="P38" s="44">
        <v>15.2</v>
      </c>
      <c r="Q38" s="44">
        <v>15.2</v>
      </c>
      <c r="R38" s="44">
        <v>15.2</v>
      </c>
    </row>
    <row r="39" spans="1:18" s="110" customFormat="1" ht="12.75">
      <c r="A39" s="22"/>
      <c r="B39" s="22"/>
      <c r="C39" s="22"/>
      <c r="D39" s="22"/>
      <c r="E39" s="44"/>
      <c r="F39" s="44"/>
      <c r="G39" s="44"/>
      <c r="H39" s="44"/>
      <c r="I39" s="24"/>
      <c r="J39" s="44"/>
      <c r="K39" s="44"/>
      <c r="L39" s="44"/>
      <c r="M39" s="44"/>
      <c r="N39" s="24"/>
      <c r="O39" s="44"/>
      <c r="P39" s="44"/>
      <c r="Q39" s="44"/>
      <c r="R39" s="44"/>
    </row>
    <row r="40" spans="1:18" s="110" customFormat="1" ht="12.75">
      <c r="A40" s="22"/>
      <c r="B40" s="22" t="s">
        <v>105</v>
      </c>
      <c r="C40" s="44"/>
      <c r="D40" s="44"/>
      <c r="E40" s="44"/>
      <c r="F40" s="44">
        <f>SUM(F11:F27)</f>
        <v>0.051802799999999996</v>
      </c>
      <c r="G40" s="44">
        <f>SUM(G27,G35,G34,G33,G32,G17,G31,G30,G29,G28)</f>
        <v>7.5497</v>
      </c>
      <c r="H40" s="44">
        <f>SUM(H11:H27)</f>
        <v>0.04956945000000001</v>
      </c>
      <c r="I40" s="24"/>
      <c r="J40" s="44"/>
      <c r="K40" s="44">
        <f>SUM(K11:K27)</f>
        <v>0.1536555</v>
      </c>
      <c r="L40" s="44">
        <f>SUM(L27,L35,L34,L33,L32,L17,L31,L30,L29,L28)</f>
        <v>14.588899999999999</v>
      </c>
      <c r="M40" s="44">
        <f>SUM(M11:M27)</f>
        <v>0.1525765</v>
      </c>
      <c r="N40" s="24"/>
      <c r="O40" s="44"/>
      <c r="P40" s="44">
        <f>SUM(P11:P27)</f>
        <v>0.1897694</v>
      </c>
      <c r="Q40" s="44">
        <f>SUM(Q27,Q35,Q34,Q33,Q32,Q17,Q31,Q30,Q29,Q28)</f>
        <v>24.2123</v>
      </c>
      <c r="R40" s="44">
        <f>SUM(R11:R27)</f>
        <v>0.18877620000000003</v>
      </c>
    </row>
    <row r="41" spans="1:19" ht="12.75">
      <c r="A41" s="22"/>
      <c r="B41" s="22" t="s">
        <v>106</v>
      </c>
      <c r="C41" s="44"/>
      <c r="D41" s="24">
        <f>(F41-H41)*2/F41*100</f>
        <v>8.622506891519315</v>
      </c>
      <c r="E41" s="44"/>
      <c r="F41" s="44">
        <f>(F40/F37/0.0283*(21-7)/(21-F38))</f>
        <v>0.034518893932009256</v>
      </c>
      <c r="G41" s="44">
        <f>(G40/G37/0.0283*(21-7)/(21-G38))</f>
        <v>5.030756899597904</v>
      </c>
      <c r="H41" s="44">
        <f>(H40/H37/0.0283*(21-7)/(21-H38))</f>
        <v>0.033030696927927386</v>
      </c>
      <c r="I41" s="24">
        <f>(K41-M41)*2/K41*100</f>
        <v>1.4044404528311638</v>
      </c>
      <c r="J41" s="44"/>
      <c r="K41" s="44">
        <f>K40/K37/0.0283*(21-7)/(21-K38)</f>
        <v>0.0983225256425096</v>
      </c>
      <c r="L41" s="44">
        <f>(L40/L37/0.0283*(21-7)/(21-L38))</f>
        <v>9.335282462040137</v>
      </c>
      <c r="M41" s="44">
        <f>M40/M37/0.0283*(21-7)/(21-M38)</f>
        <v>0.09763208498032525</v>
      </c>
      <c r="N41" s="24">
        <f>(P41-R41)*2/P41*100</f>
        <v>1.0467441009983398</v>
      </c>
      <c r="O41" s="44"/>
      <c r="P41" s="44">
        <f>P40/P37/0.0283*(21-7)/(21-P38)</f>
        <v>0.12274402814998242</v>
      </c>
      <c r="Q41" s="44">
        <f>(Q40/Q37/0.0283*(21-7)/(21-Q38))</f>
        <v>15.660666223194145</v>
      </c>
      <c r="R41" s="44">
        <f>R40/R37/0.0283*(21-7)/(21-R38)</f>
        <v>0.12210162021298858</v>
      </c>
      <c r="S41" s="110"/>
    </row>
    <row r="42" spans="1:18" ht="12.75">
      <c r="A42" s="22"/>
      <c r="B42" s="22"/>
      <c r="C42" s="22"/>
      <c r="D42" s="22"/>
      <c r="E42" s="44"/>
      <c r="F42" s="44"/>
      <c r="G42" s="44"/>
      <c r="H42" s="44"/>
      <c r="I42" s="50"/>
      <c r="J42" s="44"/>
      <c r="K42" s="44"/>
      <c r="L42" s="44"/>
      <c r="M42" s="44"/>
      <c r="N42" s="50"/>
      <c r="O42" s="44"/>
      <c r="P42" s="44"/>
      <c r="Q42" s="44"/>
      <c r="R42" s="44"/>
    </row>
    <row r="43" spans="1:18" ht="12.75">
      <c r="A43" s="48"/>
      <c r="B43" s="22" t="s">
        <v>107</v>
      </c>
      <c r="C43" s="50">
        <f>AVERAGE(H41,M41,R41)</f>
        <v>0.08425480070708041</v>
      </c>
      <c r="D43" s="48"/>
      <c r="E43" s="133"/>
      <c r="F43" s="44"/>
      <c r="G43" s="44"/>
      <c r="H43" s="44"/>
      <c r="I43" s="48"/>
      <c r="J43" s="44"/>
      <c r="K43" s="44"/>
      <c r="L43" s="44"/>
      <c r="M43" s="44"/>
      <c r="N43" s="48"/>
      <c r="O43" s="44"/>
      <c r="P43" s="44"/>
      <c r="Q43" s="44"/>
      <c r="R43" s="44"/>
    </row>
    <row r="44" spans="1:18" ht="12.75">
      <c r="A44" s="22"/>
      <c r="B44" s="22" t="s">
        <v>108</v>
      </c>
      <c r="C44" s="48">
        <f>AVERAGE(G41,L41,Q41)</f>
        <v>10.00890186161073</v>
      </c>
      <c r="D44" s="22"/>
      <c r="E44" s="44"/>
      <c r="F44" s="44"/>
      <c r="G44" s="44"/>
      <c r="H44" s="44"/>
      <c r="I44" s="43"/>
      <c r="J44" s="44"/>
      <c r="K44" s="44"/>
      <c r="L44" s="44"/>
      <c r="M44" s="44"/>
      <c r="N44" s="43"/>
      <c r="O44" s="44"/>
      <c r="P44" s="44"/>
      <c r="Q44" s="44"/>
      <c r="R44" s="4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B1">
      <selection activeCell="C1" sqref="C1"/>
    </sheetView>
  </sheetViews>
  <sheetFormatPr defaultColWidth="9.140625" defaultRowHeight="12.75"/>
  <cols>
    <col min="1" max="1" width="2.421875" style="1" hidden="1" customWidth="1"/>
    <col min="2" max="2" width="32.140625" style="1" customWidth="1"/>
    <col min="3" max="3" width="71.8515625" style="1" customWidth="1"/>
    <col min="4" max="4" width="12.7109375" style="1" customWidth="1"/>
    <col min="5" max="16384" width="8.8515625" style="1" customWidth="1"/>
  </cols>
  <sheetData>
    <row r="1" spans="2:12" ht="12.75">
      <c r="B1" s="2" t="s">
        <v>48</v>
      </c>
      <c r="C1" s="33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230</v>
      </c>
      <c r="C3" s="10">
        <v>307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t="s">
        <v>186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175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112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64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113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 t="s">
        <v>185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246</v>
      </c>
      <c r="C11" s="10">
        <v>1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220</v>
      </c>
      <c r="C12" s="9" t="s">
        <v>268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219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28" customFormat="1" ht="50.25" customHeight="1">
      <c r="B14" s="27" t="s">
        <v>41</v>
      </c>
      <c r="C14" s="27" t="s">
        <v>184</v>
      </c>
      <c r="D14" s="32"/>
      <c r="E14" s="27"/>
      <c r="F14" s="27"/>
      <c r="G14" s="27"/>
      <c r="H14" s="27"/>
      <c r="I14" s="27"/>
      <c r="J14" s="27"/>
      <c r="K14" s="27"/>
      <c r="L14" s="27"/>
    </row>
    <row r="15" spans="2:12" s="28" customFormat="1" ht="12.75">
      <c r="B15" s="27" t="s">
        <v>44</v>
      </c>
      <c r="C15" s="41">
        <v>62.5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2:12" s="28" customFormat="1" ht="12.75">
      <c r="B16" s="9" t="s">
        <v>49</v>
      </c>
      <c r="C16" s="27"/>
      <c r="F16" s="27"/>
      <c r="G16" s="27"/>
      <c r="H16" s="27"/>
      <c r="I16" s="27"/>
      <c r="J16" s="27"/>
      <c r="K16" s="27"/>
      <c r="L16" s="27"/>
    </row>
    <row r="17" spans="2:12" s="28" customFormat="1" ht="12.75">
      <c r="B17" s="9" t="s">
        <v>247</v>
      </c>
      <c r="C17" s="73" t="s">
        <v>265</v>
      </c>
      <c r="D17" s="27"/>
      <c r="E17" s="27"/>
      <c r="F17" s="27"/>
      <c r="G17" s="27"/>
      <c r="H17" s="27"/>
      <c r="I17" s="27"/>
      <c r="J17" s="27"/>
      <c r="K17" s="27"/>
      <c r="L17" s="27"/>
    </row>
    <row r="18" spans="2:12" s="28" customFormat="1" ht="12.75">
      <c r="B18" s="9" t="s">
        <v>248</v>
      </c>
      <c r="C18" s="73" t="s">
        <v>267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25.5">
      <c r="B19" s="27" t="s">
        <v>7</v>
      </c>
      <c r="C19" s="27" t="s">
        <v>266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67</v>
      </c>
      <c r="C20" s="9" t="s">
        <v>250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25.5">
      <c r="B21" s="34" t="s">
        <v>50</v>
      </c>
      <c r="C21" s="36" t="s">
        <v>168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42</v>
      </c>
      <c r="C22" s="27" t="s">
        <v>249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11">
        <v>4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10">
        <v>120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45</v>
      </c>
      <c r="C27" s="11">
        <v>19.908520666182266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46</v>
      </c>
      <c r="C28" s="10">
        <v>138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34" t="s">
        <v>11</v>
      </c>
      <c r="C30" s="35"/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62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B1">
      <selection activeCell="C1" sqref="C1"/>
    </sheetView>
  </sheetViews>
  <sheetFormatPr defaultColWidth="9.140625" defaultRowHeight="12.75"/>
  <cols>
    <col min="1" max="1" width="2.57421875" style="0" hidden="1" customWidth="1"/>
    <col min="2" max="2" width="17.28125" style="0" customWidth="1"/>
    <col min="3" max="3" width="66.57421875" style="82" customWidth="1"/>
  </cols>
  <sheetData>
    <row r="1" ht="12.75">
      <c r="B1" s="2" t="s">
        <v>236</v>
      </c>
    </row>
    <row r="3" spans="2:12" s="1" customFormat="1" ht="12.75">
      <c r="B3" s="2" t="s">
        <v>169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s="28" customFormat="1" ht="12.75">
      <c r="B5" s="27" t="s">
        <v>189</v>
      </c>
      <c r="C5" s="73" t="s">
        <v>154</v>
      </c>
      <c r="D5" s="27"/>
      <c r="E5" s="27"/>
      <c r="F5" s="27"/>
      <c r="G5" s="27"/>
      <c r="H5" s="27"/>
      <c r="I5" s="27"/>
      <c r="J5" s="27"/>
      <c r="K5" s="27"/>
      <c r="L5" s="27"/>
    </row>
    <row r="6" spans="2:12" s="28" customFormat="1" ht="12.75">
      <c r="B6" s="27" t="s">
        <v>190</v>
      </c>
      <c r="C6" s="27" t="s">
        <v>114</v>
      </c>
      <c r="D6" s="32"/>
      <c r="E6" s="27"/>
      <c r="F6" s="27"/>
      <c r="G6" s="27"/>
      <c r="H6" s="27"/>
      <c r="I6" s="27"/>
      <c r="J6" s="27"/>
      <c r="K6" s="27"/>
      <c r="L6" s="27"/>
    </row>
    <row r="7" spans="2:12" s="28" customFormat="1" ht="12.75">
      <c r="B7" s="27" t="s">
        <v>191</v>
      </c>
      <c r="C7" s="27" t="s">
        <v>115</v>
      </c>
      <c r="D7" s="27"/>
      <c r="E7" s="27"/>
      <c r="F7" s="27"/>
      <c r="G7" s="27"/>
      <c r="H7" s="27"/>
      <c r="I7" s="27"/>
      <c r="J7" s="27"/>
      <c r="K7" s="27"/>
      <c r="L7" s="27"/>
    </row>
    <row r="8" spans="2:12" s="28" customFormat="1" ht="12.75">
      <c r="B8" s="27" t="s">
        <v>192</v>
      </c>
      <c r="C8" s="91">
        <v>36278</v>
      </c>
      <c r="D8" s="27"/>
      <c r="E8" s="27"/>
      <c r="F8" s="27"/>
      <c r="G8" s="27"/>
      <c r="H8" s="27"/>
      <c r="I8" s="27"/>
      <c r="J8" s="27"/>
      <c r="K8" s="27"/>
      <c r="L8" s="27"/>
    </row>
    <row r="9" spans="2:12" s="28" customFormat="1" ht="12.75">
      <c r="B9" s="27" t="s">
        <v>245</v>
      </c>
      <c r="C9" s="103">
        <v>36251</v>
      </c>
      <c r="D9" s="27"/>
      <c r="E9" s="27"/>
      <c r="F9" s="27"/>
      <c r="G9" s="27"/>
      <c r="H9" s="27"/>
      <c r="I9" s="27"/>
      <c r="J9" s="27"/>
      <c r="K9" s="27"/>
      <c r="L9" s="27"/>
    </row>
    <row r="10" spans="2:12" s="28" customFormat="1" ht="12.75">
      <c r="B10" s="27" t="s">
        <v>193</v>
      </c>
      <c r="C10" s="27" t="s">
        <v>116</v>
      </c>
      <c r="D10" s="27"/>
      <c r="E10" s="27"/>
      <c r="F10" s="27"/>
      <c r="G10" s="27"/>
      <c r="H10" s="27"/>
      <c r="I10" s="27"/>
      <c r="J10" s="27"/>
      <c r="K10" s="27"/>
      <c r="L10" s="27"/>
    </row>
    <row r="11" spans="2:12" s="28" customFormat="1" ht="12.75">
      <c r="B11" s="27" t="s">
        <v>194</v>
      </c>
      <c r="C11" s="91" t="s">
        <v>188</v>
      </c>
      <c r="D11" s="27"/>
      <c r="E11" s="27"/>
      <c r="F11" s="27"/>
      <c r="G11" s="27"/>
      <c r="H11" s="27"/>
      <c r="I11" s="27"/>
      <c r="J11" s="27"/>
      <c r="K11" s="27"/>
      <c r="L11" s="27"/>
    </row>
    <row r="12" spans="2:12" s="28" customFormat="1" ht="12.75">
      <c r="B12" s="27"/>
      <c r="C12" s="91"/>
      <c r="D12" s="27"/>
      <c r="E12" s="27"/>
      <c r="F12" s="27"/>
      <c r="G12" s="27"/>
      <c r="H12" s="27"/>
      <c r="I12" s="27"/>
      <c r="J12" s="27"/>
      <c r="K12" s="27"/>
      <c r="L12" s="27"/>
    </row>
    <row r="13" spans="2:12" s="28" customFormat="1" ht="12.75">
      <c r="B13" s="92" t="s">
        <v>170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2:12" s="28" customFormat="1" ht="12.7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2:12" s="28" customFormat="1" ht="12.75">
      <c r="B15" s="27" t="s">
        <v>189</v>
      </c>
      <c r="C15" s="73" t="s">
        <v>154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2:12" s="28" customFormat="1" ht="12.75">
      <c r="B16" s="27" t="s">
        <v>190</v>
      </c>
      <c r="C16" s="27" t="s">
        <v>114</v>
      </c>
      <c r="D16" s="32"/>
      <c r="E16" s="27"/>
      <c r="F16" s="27"/>
      <c r="G16" s="27"/>
      <c r="H16" s="27"/>
      <c r="I16" s="27"/>
      <c r="J16" s="27"/>
      <c r="K16" s="27"/>
      <c r="L16" s="27"/>
    </row>
    <row r="17" spans="2:12" s="28" customFormat="1" ht="12.75">
      <c r="B17" s="27" t="s">
        <v>191</v>
      </c>
      <c r="C17" s="27" t="s">
        <v>115</v>
      </c>
      <c r="D17" s="27"/>
      <c r="E17" s="27"/>
      <c r="F17" s="27"/>
      <c r="G17" s="27"/>
      <c r="H17" s="27"/>
      <c r="I17" s="27"/>
      <c r="J17" s="27"/>
      <c r="K17" s="27"/>
      <c r="L17" s="27"/>
    </row>
    <row r="18" spans="2:12" s="28" customFormat="1" ht="12.75">
      <c r="B18" s="27" t="s">
        <v>192</v>
      </c>
      <c r="C18" s="91" t="s">
        <v>117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2:12" s="28" customFormat="1" ht="12.75">
      <c r="B19" s="27" t="s">
        <v>245</v>
      </c>
      <c r="C19" s="103">
        <v>36251</v>
      </c>
      <c r="D19" s="27"/>
      <c r="E19" s="27"/>
      <c r="F19" s="27"/>
      <c r="G19" s="27"/>
      <c r="H19" s="27"/>
      <c r="I19" s="27"/>
      <c r="J19" s="27"/>
      <c r="K19" s="27"/>
      <c r="L19" s="27"/>
    </row>
    <row r="20" spans="2:12" s="28" customFormat="1" ht="12.75">
      <c r="B20" s="27" t="s">
        <v>193</v>
      </c>
      <c r="C20" s="27" t="s">
        <v>118</v>
      </c>
      <c r="D20" s="27"/>
      <c r="E20" s="27"/>
      <c r="F20" s="27"/>
      <c r="G20" s="27"/>
      <c r="H20" s="27"/>
      <c r="I20" s="27"/>
      <c r="J20" s="27"/>
      <c r="K20" s="27"/>
      <c r="L20" s="27"/>
    </row>
    <row r="21" spans="2:12" s="93" customFormat="1" ht="12.75">
      <c r="B21" s="94" t="s">
        <v>194</v>
      </c>
      <c r="C21" s="95" t="s">
        <v>187</v>
      </c>
      <c r="D21" s="94"/>
      <c r="E21" s="94"/>
      <c r="F21" s="94"/>
      <c r="G21" s="94"/>
      <c r="H21" s="94"/>
      <c r="I21" s="94"/>
      <c r="J21" s="94"/>
      <c r="K21" s="94"/>
      <c r="L21" s="94"/>
    </row>
    <row r="22" spans="2:12" s="93" customFormat="1" ht="12.75">
      <c r="B22" s="96"/>
      <c r="C22" s="96"/>
      <c r="D22" s="94"/>
      <c r="E22" s="94"/>
      <c r="F22" s="94"/>
      <c r="G22" s="94"/>
      <c r="H22" s="94"/>
      <c r="I22" s="94"/>
      <c r="J22" s="94"/>
      <c r="K22" s="94"/>
      <c r="L22" s="94"/>
    </row>
    <row r="23" spans="2:12" s="28" customFormat="1" ht="12.75">
      <c r="B23" s="92" t="s">
        <v>171</v>
      </c>
      <c r="C23" s="27"/>
      <c r="D23" s="32"/>
      <c r="E23" s="27"/>
      <c r="F23" s="27"/>
      <c r="G23" s="27"/>
      <c r="H23" s="27"/>
      <c r="I23" s="27"/>
      <c r="J23" s="27"/>
      <c r="K23" s="27"/>
      <c r="L23" s="27"/>
    </row>
    <row r="24" spans="2:12" s="28" customFormat="1" ht="12.75">
      <c r="B24" s="27"/>
      <c r="C24" s="27"/>
      <c r="D24" s="32"/>
      <c r="E24" s="27"/>
      <c r="F24" s="27"/>
      <c r="G24" s="27"/>
      <c r="H24" s="27"/>
      <c r="I24" s="27"/>
      <c r="J24" s="27"/>
      <c r="K24" s="27"/>
      <c r="L24" s="27"/>
    </row>
    <row r="25" spans="2:12" s="28" customFormat="1" ht="12.75">
      <c r="B25" s="27" t="s">
        <v>189</v>
      </c>
      <c r="C25" s="73" t="s">
        <v>153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s="28" customFormat="1" ht="12.75">
      <c r="B26" s="27" t="s">
        <v>190</v>
      </c>
      <c r="C26" s="27" t="s">
        <v>114</v>
      </c>
      <c r="D26" s="27"/>
      <c r="E26" s="32"/>
      <c r="F26" s="27"/>
      <c r="G26" s="27"/>
      <c r="H26" s="27"/>
      <c r="I26" s="27"/>
      <c r="J26" s="27"/>
      <c r="K26" s="27"/>
      <c r="L26" s="27"/>
    </row>
    <row r="27" spans="2:12" s="28" customFormat="1" ht="12.75">
      <c r="B27" s="27" t="s">
        <v>191</v>
      </c>
      <c r="C27" s="27" t="s">
        <v>115</v>
      </c>
      <c r="D27" s="27"/>
      <c r="E27" s="27"/>
      <c r="F27" s="27"/>
      <c r="G27" s="27"/>
      <c r="H27" s="27"/>
      <c r="I27" s="27"/>
      <c r="J27" s="27"/>
      <c r="K27" s="27"/>
      <c r="L27" s="27"/>
    </row>
    <row r="28" spans="2:12" s="28" customFormat="1" ht="12.75">
      <c r="B28" s="27" t="s">
        <v>192</v>
      </c>
      <c r="C28" s="91" t="s">
        <v>155</v>
      </c>
      <c r="D28" s="32"/>
      <c r="E28" s="27"/>
      <c r="F28" s="27"/>
      <c r="G28" s="27"/>
      <c r="H28" s="27"/>
      <c r="I28" s="27"/>
      <c r="J28" s="27"/>
      <c r="K28" s="27"/>
      <c r="L28" s="27"/>
    </row>
    <row r="29" spans="2:12" s="28" customFormat="1" ht="12.75">
      <c r="B29" s="27" t="s">
        <v>245</v>
      </c>
      <c r="C29" s="103">
        <v>36647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2:12" s="28" customFormat="1" ht="25.5">
      <c r="B30" s="27" t="s">
        <v>193</v>
      </c>
      <c r="C30" s="27" t="s">
        <v>156</v>
      </c>
      <c r="D30" s="27"/>
      <c r="E30" s="27"/>
      <c r="F30" s="27"/>
      <c r="G30" s="27"/>
      <c r="H30" s="27"/>
      <c r="I30" s="27"/>
      <c r="J30" s="27"/>
      <c r="K30" s="27"/>
      <c r="L30" s="27"/>
    </row>
    <row r="31" spans="2:12" s="28" customFormat="1" ht="12.75">
      <c r="B31" s="27" t="s">
        <v>194</v>
      </c>
      <c r="C31" s="91" t="s">
        <v>165</v>
      </c>
      <c r="D31" s="27"/>
      <c r="E31" s="27"/>
      <c r="F31" s="27"/>
      <c r="G31" s="27"/>
      <c r="H31" s="27"/>
      <c r="I31" s="27"/>
      <c r="J31" s="27"/>
      <c r="K31" s="27"/>
      <c r="L31" s="27"/>
    </row>
    <row r="32" spans="2:12" s="93" customFormat="1" ht="12.75">
      <c r="B32" s="94"/>
      <c r="C32" s="95"/>
      <c r="D32" s="94"/>
      <c r="E32" s="94"/>
      <c r="F32" s="94"/>
      <c r="G32" s="94"/>
      <c r="H32" s="94"/>
      <c r="I32" s="94"/>
      <c r="J32" s="94"/>
      <c r="K32" s="94"/>
      <c r="L32" s="94"/>
    </row>
    <row r="33" spans="2:12" s="28" customFormat="1" ht="12.75">
      <c r="B33" s="92" t="s">
        <v>172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2" s="28" customFormat="1" ht="12.7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s="28" customFormat="1" ht="25.5">
      <c r="B35" s="27" t="s">
        <v>189</v>
      </c>
      <c r="C35" s="73" t="s">
        <v>163</v>
      </c>
      <c r="D35" s="27"/>
      <c r="E35" s="27"/>
      <c r="F35" s="27"/>
      <c r="G35" s="27"/>
      <c r="H35" s="27"/>
      <c r="I35" s="27"/>
      <c r="J35" s="27"/>
      <c r="K35" s="27"/>
      <c r="L35" s="27"/>
    </row>
    <row r="36" spans="2:12" s="28" customFormat="1" ht="12.75">
      <c r="B36" s="27" t="s">
        <v>190</v>
      </c>
      <c r="C36" s="27" t="s">
        <v>114</v>
      </c>
      <c r="D36" s="27"/>
      <c r="E36" s="27"/>
      <c r="F36" s="27"/>
      <c r="G36" s="27"/>
      <c r="H36" s="27"/>
      <c r="I36" s="27"/>
      <c r="J36" s="27"/>
      <c r="K36" s="27"/>
      <c r="L36" s="27"/>
    </row>
    <row r="37" spans="2:12" s="28" customFormat="1" ht="12.75">
      <c r="B37" s="27" t="s">
        <v>191</v>
      </c>
      <c r="C37" s="27" t="s">
        <v>115</v>
      </c>
      <c r="D37" s="27"/>
      <c r="E37" s="27"/>
      <c r="F37" s="27"/>
      <c r="G37" s="27"/>
      <c r="H37" s="27"/>
      <c r="I37" s="27"/>
      <c r="J37" s="27"/>
      <c r="K37" s="27"/>
      <c r="L37" s="27"/>
    </row>
    <row r="38" spans="2:12" s="28" customFormat="1" ht="12.75">
      <c r="B38" s="27" t="s">
        <v>192</v>
      </c>
      <c r="C38" s="91" t="s">
        <v>164</v>
      </c>
      <c r="D38" s="27"/>
      <c r="E38" s="27"/>
      <c r="F38" s="27"/>
      <c r="G38" s="27"/>
      <c r="H38" s="27"/>
      <c r="I38" s="27"/>
      <c r="J38" s="27"/>
      <c r="K38" s="27"/>
      <c r="L38" s="27"/>
    </row>
    <row r="39" spans="2:12" s="28" customFormat="1" ht="12.75">
      <c r="B39" s="27" t="s">
        <v>245</v>
      </c>
      <c r="C39" s="103">
        <v>37073</v>
      </c>
      <c r="D39" s="27"/>
      <c r="E39" s="27"/>
      <c r="F39" s="27"/>
      <c r="G39" s="27"/>
      <c r="H39" s="27"/>
      <c r="I39" s="27"/>
      <c r="J39" s="27"/>
      <c r="K39" s="27"/>
      <c r="L39" s="27"/>
    </row>
    <row r="40" spans="2:12" s="28" customFormat="1" ht="12.75">
      <c r="B40" s="27" t="s">
        <v>193</v>
      </c>
      <c r="C40" s="27" t="s">
        <v>176</v>
      </c>
      <c r="D40" s="27"/>
      <c r="E40" s="27"/>
      <c r="F40" s="27"/>
      <c r="G40" s="27"/>
      <c r="H40" s="27"/>
      <c r="I40" s="27"/>
      <c r="J40" s="27"/>
      <c r="K40" s="27"/>
      <c r="L40" s="27"/>
    </row>
    <row r="41" spans="2:12" s="28" customFormat="1" ht="12.75">
      <c r="B41" s="27" t="s">
        <v>194</v>
      </c>
      <c r="C41" s="91" t="s">
        <v>166</v>
      </c>
      <c r="D41" s="27"/>
      <c r="E41" s="27"/>
      <c r="F41" s="27"/>
      <c r="G41" s="27"/>
      <c r="H41" s="27"/>
      <c r="I41" s="27"/>
      <c r="J41" s="27"/>
      <c r="K41" s="27"/>
      <c r="L41" s="27"/>
    </row>
    <row r="42" spans="2:12" s="28" customFormat="1" ht="12.75">
      <c r="B42" s="27"/>
      <c r="C42" s="91"/>
      <c r="D42" s="27"/>
      <c r="E42" s="27"/>
      <c r="F42" s="27"/>
      <c r="G42" s="27"/>
      <c r="H42" s="27"/>
      <c r="I42" s="27"/>
      <c r="J42" s="27"/>
      <c r="K42" s="27"/>
      <c r="L42" s="27"/>
    </row>
    <row r="43" spans="2:12" s="28" customFormat="1" ht="12.75">
      <c r="B43" s="92" t="s">
        <v>173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s="28" customFormat="1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2" s="28" customFormat="1" ht="25.5">
      <c r="B45" s="27" t="s">
        <v>189</v>
      </c>
      <c r="C45" s="73" t="s">
        <v>163</v>
      </c>
      <c r="D45" s="27"/>
      <c r="E45" s="27"/>
      <c r="F45" s="27"/>
      <c r="G45" s="27"/>
      <c r="H45" s="27"/>
      <c r="I45" s="27"/>
      <c r="J45" s="27"/>
      <c r="K45" s="27"/>
      <c r="L45" s="27"/>
    </row>
    <row r="46" spans="2:12" s="28" customFormat="1" ht="12.75">
      <c r="B46" s="27" t="s">
        <v>190</v>
      </c>
      <c r="C46" s="27" t="s">
        <v>114</v>
      </c>
      <c r="D46" s="27"/>
      <c r="E46" s="27"/>
      <c r="F46" s="27"/>
      <c r="G46" s="27"/>
      <c r="H46" s="27"/>
      <c r="I46" s="27"/>
      <c r="J46" s="27"/>
      <c r="K46" s="27"/>
      <c r="L46" s="27"/>
    </row>
    <row r="47" spans="2:12" s="28" customFormat="1" ht="12.75">
      <c r="B47" s="27" t="s">
        <v>191</v>
      </c>
      <c r="C47" s="27" t="s">
        <v>115</v>
      </c>
      <c r="D47" s="27"/>
      <c r="E47" s="27"/>
      <c r="F47" s="27"/>
      <c r="G47" s="27"/>
      <c r="H47" s="27"/>
      <c r="I47" s="27"/>
      <c r="J47" s="27"/>
      <c r="K47" s="27"/>
      <c r="L47" s="27"/>
    </row>
    <row r="48" spans="2:12" s="28" customFormat="1" ht="12.75">
      <c r="B48" s="27" t="s">
        <v>192</v>
      </c>
      <c r="C48" s="91">
        <v>37098</v>
      </c>
      <c r="D48" s="27"/>
      <c r="E48" s="27"/>
      <c r="F48" s="27"/>
      <c r="G48" s="27"/>
      <c r="H48" s="27"/>
      <c r="I48" s="27"/>
      <c r="J48" s="27"/>
      <c r="K48" s="27"/>
      <c r="L48" s="27"/>
    </row>
    <row r="49" spans="2:12" s="28" customFormat="1" ht="12.75">
      <c r="B49" s="27" t="s">
        <v>245</v>
      </c>
      <c r="C49" s="103">
        <v>37073</v>
      </c>
      <c r="D49" s="27"/>
      <c r="E49" s="27"/>
      <c r="F49" s="27"/>
      <c r="G49" s="27"/>
      <c r="H49" s="27"/>
      <c r="I49" s="27"/>
      <c r="J49" s="27"/>
      <c r="K49" s="27"/>
      <c r="L49" s="27"/>
    </row>
    <row r="50" spans="2:12" s="28" customFormat="1" ht="12.75">
      <c r="B50" s="27" t="s">
        <v>193</v>
      </c>
      <c r="C50" s="27" t="s">
        <v>177</v>
      </c>
      <c r="D50" s="27"/>
      <c r="E50" s="27"/>
      <c r="F50" s="27"/>
      <c r="G50" s="27"/>
      <c r="H50" s="27"/>
      <c r="I50" s="27"/>
      <c r="J50" s="27"/>
      <c r="K50" s="27"/>
      <c r="L50" s="27"/>
    </row>
    <row r="51" spans="2:12" s="28" customFormat="1" ht="12.75">
      <c r="B51" s="27" t="s">
        <v>194</v>
      </c>
      <c r="C51" s="91" t="s">
        <v>166</v>
      </c>
      <c r="D51" s="27"/>
      <c r="E51" s="27"/>
      <c r="F51" s="27"/>
      <c r="G51" s="27"/>
      <c r="H51" s="27"/>
      <c r="I51" s="27"/>
      <c r="J51" s="27"/>
      <c r="K51" s="27"/>
      <c r="L51" s="27"/>
    </row>
    <row r="52" spans="2:12" s="28" customFormat="1" ht="12.75">
      <c r="B52" s="27"/>
      <c r="C52" s="91"/>
      <c r="D52" s="27"/>
      <c r="E52" s="27"/>
      <c r="F52" s="27"/>
      <c r="G52" s="27"/>
      <c r="H52" s="27"/>
      <c r="I52" s="27"/>
      <c r="J52" s="27"/>
      <c r="K52" s="27"/>
      <c r="L52" s="27"/>
    </row>
    <row r="53" spans="2:12" s="28" customFormat="1" ht="12.75">
      <c r="B53" s="92" t="s">
        <v>174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2:12" s="28" customFormat="1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2:12" s="28" customFormat="1" ht="25.5">
      <c r="B55" s="27" t="s">
        <v>189</v>
      </c>
      <c r="C55" s="73" t="s">
        <v>163</v>
      </c>
      <c r="D55" s="27"/>
      <c r="E55" s="27"/>
      <c r="F55" s="27"/>
      <c r="G55" s="27"/>
      <c r="H55" s="27"/>
      <c r="I55" s="27"/>
      <c r="J55" s="27"/>
      <c r="K55" s="27"/>
      <c r="L55" s="27"/>
    </row>
    <row r="56" spans="2:12" s="28" customFormat="1" ht="12.75">
      <c r="B56" s="27" t="s">
        <v>190</v>
      </c>
      <c r="C56" s="27" t="s">
        <v>114</v>
      </c>
      <c r="D56" s="27"/>
      <c r="E56" s="27"/>
      <c r="F56" s="27"/>
      <c r="G56" s="27"/>
      <c r="H56" s="27"/>
      <c r="I56" s="27"/>
      <c r="J56" s="27"/>
      <c r="K56" s="27"/>
      <c r="L56" s="27"/>
    </row>
    <row r="57" spans="2:12" s="28" customFormat="1" ht="12.75">
      <c r="B57" s="27" t="s">
        <v>191</v>
      </c>
      <c r="C57" s="27" t="s">
        <v>115</v>
      </c>
      <c r="D57" s="27"/>
      <c r="E57" s="27"/>
      <c r="F57" s="27"/>
      <c r="G57" s="27"/>
      <c r="H57" s="27"/>
      <c r="I57" s="27"/>
      <c r="J57" s="27"/>
      <c r="K57" s="27"/>
      <c r="L57" s="27"/>
    </row>
    <row r="58" spans="2:12" s="28" customFormat="1" ht="12.75">
      <c r="B58" s="27" t="s">
        <v>192</v>
      </c>
      <c r="C58" s="91" t="s">
        <v>167</v>
      </c>
      <c r="D58" s="27"/>
      <c r="E58" s="27"/>
      <c r="F58" s="27"/>
      <c r="G58" s="27"/>
      <c r="H58" s="27"/>
      <c r="I58" s="27"/>
      <c r="J58" s="27"/>
      <c r="K58" s="27"/>
      <c r="L58" s="27"/>
    </row>
    <row r="59" spans="2:12" s="28" customFormat="1" ht="12.75">
      <c r="B59" s="27" t="s">
        <v>245</v>
      </c>
      <c r="C59" s="103">
        <v>37073</v>
      </c>
      <c r="D59" s="27"/>
      <c r="E59" s="27"/>
      <c r="F59" s="27"/>
      <c r="G59" s="27"/>
      <c r="H59" s="27"/>
      <c r="I59" s="27"/>
      <c r="J59" s="27"/>
      <c r="K59" s="27"/>
      <c r="L59" s="27"/>
    </row>
    <row r="60" spans="2:12" s="28" customFormat="1" ht="12.75">
      <c r="B60" s="27" t="s">
        <v>193</v>
      </c>
      <c r="C60" s="27" t="s">
        <v>178</v>
      </c>
      <c r="D60" s="27"/>
      <c r="E60" s="27"/>
      <c r="F60" s="27"/>
      <c r="G60" s="27"/>
      <c r="H60" s="27"/>
      <c r="I60" s="27"/>
      <c r="J60" s="27"/>
      <c r="K60" s="27"/>
      <c r="L60" s="27"/>
    </row>
    <row r="61" spans="2:12" s="28" customFormat="1" ht="12.75">
      <c r="B61" s="27" t="s">
        <v>194</v>
      </c>
      <c r="C61" s="91" t="s">
        <v>166</v>
      </c>
      <c r="D61" s="27"/>
      <c r="E61" s="27"/>
      <c r="F61" s="27"/>
      <c r="G61" s="27"/>
      <c r="H61" s="27"/>
      <c r="I61" s="27"/>
      <c r="J61" s="27"/>
      <c r="K61" s="27"/>
      <c r="L61" s="27"/>
    </row>
    <row r="62" spans="2:12" s="1" customFormat="1" ht="12.75">
      <c r="B62" s="9"/>
      <c r="C62" s="12"/>
      <c r="D62" s="9"/>
      <c r="E62" s="9"/>
      <c r="F62" s="9"/>
      <c r="G62" s="9"/>
      <c r="H62" s="9"/>
      <c r="I62" s="9"/>
      <c r="J62" s="9"/>
      <c r="K62" s="9"/>
      <c r="L62" s="9"/>
    </row>
    <row r="63" ht="12.75">
      <c r="B63" s="2" t="s">
        <v>195</v>
      </c>
    </row>
    <row r="65" spans="2:3" ht="38.25">
      <c r="B65" s="83" t="s">
        <v>189</v>
      </c>
      <c r="C65" s="101" t="s">
        <v>235</v>
      </c>
    </row>
    <row r="66" spans="2:3" ht="12.75">
      <c r="B66" t="s">
        <v>196</v>
      </c>
      <c r="C66" s="82" t="s">
        <v>114</v>
      </c>
    </row>
    <row r="67" spans="2:3" ht="12.75">
      <c r="B67" t="s">
        <v>191</v>
      </c>
      <c r="C67" s="82" t="s">
        <v>114</v>
      </c>
    </row>
    <row r="68" spans="1:3" ht="12.75">
      <c r="A68" t="s">
        <v>195</v>
      </c>
      <c r="B68" t="s">
        <v>197</v>
      </c>
      <c r="C68" s="82" t="s">
        <v>244</v>
      </c>
    </row>
    <row r="69" spans="2:5" ht="12.75">
      <c r="B69" s="27" t="s">
        <v>192</v>
      </c>
      <c r="E69" s="84"/>
    </row>
    <row r="70" spans="2:5" ht="12.75">
      <c r="B70" s="27" t="s">
        <v>245</v>
      </c>
      <c r="C70" s="104">
        <v>33939</v>
      </c>
      <c r="E70" s="84"/>
    </row>
    <row r="71" ht="12.75">
      <c r="E71" s="84"/>
    </row>
    <row r="72" spans="2:5" ht="12.75">
      <c r="B72" s="2" t="s">
        <v>198</v>
      </c>
      <c r="E72" s="84"/>
    </row>
    <row r="73" ht="12.75">
      <c r="E73" s="84"/>
    </row>
    <row r="74" spans="2:5" ht="38.25">
      <c r="B74" s="83" t="s">
        <v>189</v>
      </c>
      <c r="C74" s="101" t="s">
        <v>235</v>
      </c>
      <c r="E74" s="84"/>
    </row>
    <row r="75" spans="2:5" ht="12.75">
      <c r="B75" t="s">
        <v>196</v>
      </c>
      <c r="C75" s="82" t="s">
        <v>114</v>
      </c>
      <c r="E75" s="84"/>
    </row>
    <row r="76" spans="2:5" ht="12.75">
      <c r="B76" t="s">
        <v>191</v>
      </c>
      <c r="C76" s="82" t="s">
        <v>114</v>
      </c>
      <c r="E76" s="84"/>
    </row>
    <row r="77" spans="1:3" ht="12.75">
      <c r="A77" t="s">
        <v>198</v>
      </c>
      <c r="B77" t="s">
        <v>197</v>
      </c>
      <c r="C77" s="82" t="s">
        <v>243</v>
      </c>
    </row>
    <row r="78" spans="2:5" ht="12.75">
      <c r="B78" s="27" t="s">
        <v>192</v>
      </c>
      <c r="E78" s="84"/>
    </row>
    <row r="79" spans="2:5" ht="12.75">
      <c r="B79" s="27" t="s">
        <v>245</v>
      </c>
      <c r="C79" s="104">
        <v>33939</v>
      </c>
      <c r="E79" s="84"/>
    </row>
    <row r="80" ht="12.75">
      <c r="E80" s="84"/>
    </row>
    <row r="81" spans="2:5" ht="12.75">
      <c r="B81" s="2" t="s">
        <v>199</v>
      </c>
      <c r="E81" s="84"/>
    </row>
    <row r="82" ht="12.75">
      <c r="E82" s="84"/>
    </row>
    <row r="83" spans="2:5" ht="38.25">
      <c r="B83" s="83" t="s">
        <v>189</v>
      </c>
      <c r="C83" s="101" t="s">
        <v>235</v>
      </c>
      <c r="E83" s="84"/>
    </row>
    <row r="84" spans="2:5" ht="12.75">
      <c r="B84" t="s">
        <v>196</v>
      </c>
      <c r="C84" s="82" t="s">
        <v>114</v>
      </c>
      <c r="E84" s="84"/>
    </row>
    <row r="85" spans="2:5" ht="12.75">
      <c r="B85" t="s">
        <v>191</v>
      </c>
      <c r="C85" s="82" t="s">
        <v>114</v>
      </c>
      <c r="E85" s="84"/>
    </row>
    <row r="86" spans="1:3" ht="12.75">
      <c r="A86" t="s">
        <v>199</v>
      </c>
      <c r="B86" t="s">
        <v>197</v>
      </c>
      <c r="C86" s="82" t="s">
        <v>242</v>
      </c>
    </row>
    <row r="87" spans="2:5" ht="12.75">
      <c r="B87" s="27" t="s">
        <v>192</v>
      </c>
      <c r="E87" s="84"/>
    </row>
    <row r="88" spans="2:5" ht="12.75">
      <c r="B88" s="27" t="s">
        <v>245</v>
      </c>
      <c r="C88" s="104">
        <v>33939</v>
      </c>
      <c r="E88" s="84"/>
    </row>
    <row r="89" ht="12.75">
      <c r="E89" s="84"/>
    </row>
    <row r="90" spans="2:5" ht="12.75">
      <c r="B90" s="2" t="s">
        <v>200</v>
      </c>
      <c r="E90" s="84"/>
    </row>
    <row r="91" ht="12.75">
      <c r="E91" s="84"/>
    </row>
    <row r="92" spans="2:5" ht="38.25">
      <c r="B92" s="83" t="s">
        <v>189</v>
      </c>
      <c r="C92" s="101" t="s">
        <v>235</v>
      </c>
      <c r="E92" s="84"/>
    </row>
    <row r="93" spans="2:5" ht="12.75">
      <c r="B93" t="s">
        <v>196</v>
      </c>
      <c r="C93" s="82" t="s">
        <v>114</v>
      </c>
      <c r="E93" s="84"/>
    </row>
    <row r="94" spans="2:5" ht="12.75">
      <c r="B94" t="s">
        <v>191</v>
      </c>
      <c r="C94" s="82" t="s">
        <v>114</v>
      </c>
      <c r="E94" s="84"/>
    </row>
    <row r="95" spans="1:3" ht="12.75">
      <c r="A95" t="s">
        <v>200</v>
      </c>
      <c r="B95" t="s">
        <v>197</v>
      </c>
      <c r="C95" s="82" t="s">
        <v>214</v>
      </c>
    </row>
    <row r="96" ht="12.75">
      <c r="B96" s="27" t="s">
        <v>192</v>
      </c>
    </row>
    <row r="97" spans="2:3" ht="12.75">
      <c r="B97" s="27" t="s">
        <v>245</v>
      </c>
      <c r="C97" s="104">
        <v>33939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25"/>
  <sheetViews>
    <sheetView workbookViewId="0" topLeftCell="B1">
      <selection activeCell="C1" sqref="C1"/>
    </sheetView>
  </sheetViews>
  <sheetFormatPr defaultColWidth="9.140625" defaultRowHeight="12.75"/>
  <cols>
    <col min="1" max="1" width="2.7109375" style="14" hidden="1" customWidth="1"/>
    <col min="2" max="2" width="23.421875" style="14" customWidth="1"/>
    <col min="3" max="3" width="4.421875" style="14" customWidth="1"/>
    <col min="4" max="4" width="8.7109375" style="4" customWidth="1"/>
    <col min="5" max="5" width="4.28125" style="4" customWidth="1"/>
    <col min="6" max="6" width="2.7109375" style="4" customWidth="1"/>
    <col min="7" max="7" width="10.28125" style="14" customWidth="1"/>
    <col min="8" max="8" width="2.7109375" style="14" customWidth="1"/>
    <col min="9" max="9" width="10.140625" style="15" customWidth="1"/>
    <col min="10" max="10" width="2.57421875" style="14" customWidth="1"/>
    <col min="11" max="11" width="10.421875" style="14" customWidth="1"/>
    <col min="12" max="12" width="4.57421875" style="14" customWidth="1"/>
    <col min="13" max="13" width="10.57421875" style="14" customWidth="1"/>
    <col min="14" max="14" width="2.140625" style="14" customWidth="1"/>
    <col min="15" max="15" width="8.8515625" style="14" customWidth="1"/>
    <col min="16" max="16" width="2.140625" style="14" customWidth="1"/>
    <col min="17" max="16384" width="8.8515625" style="14" customWidth="1"/>
  </cols>
  <sheetData>
    <row r="1" spans="2:5" ht="12.75">
      <c r="B1" s="13" t="s">
        <v>215</v>
      </c>
      <c r="C1" s="13"/>
      <c r="E1" s="30"/>
    </row>
    <row r="2" spans="2:5" ht="12.75">
      <c r="B2" s="13"/>
      <c r="C2" s="13"/>
      <c r="E2" s="30"/>
    </row>
    <row r="3" spans="2:5" ht="12.75">
      <c r="B3" s="13"/>
      <c r="C3" s="13"/>
      <c r="E3" s="30"/>
    </row>
    <row r="4" spans="1:13" ht="12.75">
      <c r="A4" s="16" t="s">
        <v>61</v>
      </c>
      <c r="B4" s="13" t="s">
        <v>169</v>
      </c>
      <c r="C4" s="13" t="s">
        <v>137</v>
      </c>
      <c r="G4" s="16" t="s">
        <v>181</v>
      </c>
      <c r="H4" s="16"/>
      <c r="I4" s="16" t="s">
        <v>182</v>
      </c>
      <c r="J4" s="16"/>
      <c r="K4" s="16" t="s">
        <v>183</v>
      </c>
      <c r="M4" s="16" t="s">
        <v>180</v>
      </c>
    </row>
    <row r="5" spans="3:6" ht="14.25" customHeight="1">
      <c r="C5" s="8"/>
      <c r="D5" s="16"/>
      <c r="E5" s="74"/>
      <c r="F5" s="14"/>
    </row>
    <row r="6" spans="4:9" ht="12.75">
      <c r="D6" s="17"/>
      <c r="E6" s="14"/>
      <c r="F6" s="14"/>
      <c r="I6" s="14"/>
    </row>
    <row r="7" spans="2:13" ht="12.75">
      <c r="B7" s="4" t="s">
        <v>13</v>
      </c>
      <c r="C7" s="4" t="s">
        <v>237</v>
      </c>
      <c r="D7" s="4" t="s">
        <v>14</v>
      </c>
      <c r="E7" s="16" t="s">
        <v>15</v>
      </c>
      <c r="G7" s="44">
        <v>0.0111</v>
      </c>
      <c r="H7" s="44"/>
      <c r="I7" s="44">
        <v>0.0031</v>
      </c>
      <c r="J7" s="44"/>
      <c r="K7" s="44">
        <v>0.0082</v>
      </c>
      <c r="M7" s="75">
        <f>AVERAGE(G7,I7,K7)</f>
        <v>0.0074666666666666675</v>
      </c>
    </row>
    <row r="8" spans="2:13" ht="12.75">
      <c r="B8" s="4" t="s">
        <v>63</v>
      </c>
      <c r="C8" s="4" t="s">
        <v>237</v>
      </c>
      <c r="D8" s="4" t="s">
        <v>16</v>
      </c>
      <c r="E8" s="16" t="s">
        <v>15</v>
      </c>
      <c r="G8" s="24">
        <v>36.8</v>
      </c>
      <c r="H8" s="24"/>
      <c r="I8" s="24">
        <v>38.3</v>
      </c>
      <c r="J8" s="24"/>
      <c r="K8" s="24">
        <v>40.8</v>
      </c>
      <c r="L8" s="18"/>
      <c r="M8" s="21">
        <f>AVERAGE(G8,I8,K8)</f>
        <v>38.63333333333333</v>
      </c>
    </row>
    <row r="9" spans="2:13" ht="12.75">
      <c r="B9" s="4" t="s">
        <v>119</v>
      </c>
      <c r="C9" s="4" t="s">
        <v>237</v>
      </c>
      <c r="D9" s="4" t="s">
        <v>16</v>
      </c>
      <c r="E9" s="16" t="s">
        <v>15</v>
      </c>
      <c r="G9" s="24">
        <v>1.4</v>
      </c>
      <c r="H9" s="24"/>
      <c r="I9" s="24">
        <v>0.8</v>
      </c>
      <c r="J9" s="24"/>
      <c r="K9" s="24">
        <v>1.1</v>
      </c>
      <c r="L9" s="18"/>
      <c r="M9" s="18">
        <f>AVERAGE(G9,I9,K9)</f>
        <v>1.1</v>
      </c>
    </row>
    <row r="10" spans="2:15" ht="12.75">
      <c r="B10" s="4" t="s">
        <v>25</v>
      </c>
      <c r="C10" s="4" t="s">
        <v>237</v>
      </c>
      <c r="D10" s="4" t="s">
        <v>16</v>
      </c>
      <c r="E10" s="16" t="s">
        <v>15</v>
      </c>
      <c r="G10" s="24">
        <v>90.2</v>
      </c>
      <c r="H10" s="24"/>
      <c r="I10" s="24">
        <v>144.3</v>
      </c>
      <c r="J10" s="24"/>
      <c r="K10" s="24">
        <v>112.9</v>
      </c>
      <c r="M10" s="21">
        <f>AVERAGE(G10,I10,K10)</f>
        <v>115.8</v>
      </c>
      <c r="O10" s="38"/>
    </row>
    <row r="11" spans="2:15" ht="12.75">
      <c r="B11" s="4" t="s">
        <v>26</v>
      </c>
      <c r="C11" s="4" t="s">
        <v>237</v>
      </c>
      <c r="D11" s="4" t="s">
        <v>16</v>
      </c>
      <c r="E11" s="16" t="s">
        <v>15</v>
      </c>
      <c r="G11" s="48">
        <v>0.346</v>
      </c>
      <c r="H11" s="48"/>
      <c r="I11" s="48">
        <v>0.363</v>
      </c>
      <c r="J11" s="48"/>
      <c r="K11" s="48">
        <v>0.333</v>
      </c>
      <c r="M11" s="60">
        <f>AVERAGE(G11,I11,K11)</f>
        <v>0.3473333333333333</v>
      </c>
      <c r="O11" s="38"/>
    </row>
    <row r="12" spans="2:13" ht="12.75">
      <c r="B12" s="4" t="s">
        <v>58</v>
      </c>
      <c r="C12" s="4" t="s">
        <v>237</v>
      </c>
      <c r="D12" s="4" t="s">
        <v>16</v>
      </c>
      <c r="E12" s="16" t="s">
        <v>15</v>
      </c>
      <c r="G12" s="5">
        <f>G10+G11*2</f>
        <v>90.892</v>
      </c>
      <c r="H12" s="6"/>
      <c r="I12" s="5">
        <f>I10+I11*2</f>
        <v>145.026</v>
      </c>
      <c r="J12" s="6"/>
      <c r="K12" s="5">
        <f>K10+K11*2</f>
        <v>113.566</v>
      </c>
      <c r="L12" s="6"/>
      <c r="M12" s="18">
        <f>AVERAGE(K12,I12,G12)</f>
        <v>116.49466666666666</v>
      </c>
    </row>
    <row r="13" spans="4:9" ht="12.75">
      <c r="D13" s="14"/>
      <c r="E13" s="14"/>
      <c r="F13" s="14"/>
      <c r="I13" s="14"/>
    </row>
    <row r="14" spans="4:9" ht="12.75">
      <c r="D14" s="14"/>
      <c r="E14" s="14"/>
      <c r="F14" s="14"/>
      <c r="I14" s="14"/>
    </row>
    <row r="15" spans="2:13" ht="12.75">
      <c r="B15" s="4" t="s">
        <v>43</v>
      </c>
      <c r="C15" s="4" t="s">
        <v>120</v>
      </c>
      <c r="G15" s="19"/>
      <c r="H15" s="19"/>
      <c r="I15" s="20"/>
      <c r="J15" s="19"/>
      <c r="K15" s="19"/>
      <c r="L15" s="16"/>
      <c r="M15" s="21"/>
    </row>
    <row r="16" spans="2:13" ht="12.75">
      <c r="B16" s="4" t="s">
        <v>54</v>
      </c>
      <c r="C16" s="4"/>
      <c r="D16" s="4" t="s">
        <v>28</v>
      </c>
      <c r="G16" s="5">
        <f>0.333*352.51</f>
        <v>117.38583</v>
      </c>
      <c r="H16" s="5"/>
      <c r="I16" s="5">
        <f>0.333*352.49</f>
        <v>117.37917000000002</v>
      </c>
      <c r="J16" s="5"/>
      <c r="K16" s="5">
        <f>0.333*352.51</f>
        <v>117.38583</v>
      </c>
      <c r="L16" s="16"/>
      <c r="M16" s="21">
        <f>AVERAGE(G16,I16,K16)</f>
        <v>117.38361000000002</v>
      </c>
    </row>
    <row r="17" spans="2:15" ht="12.75">
      <c r="B17" s="4" t="s">
        <v>55</v>
      </c>
      <c r="C17" s="4" t="s">
        <v>238</v>
      </c>
      <c r="D17" s="4" t="s">
        <v>28</v>
      </c>
      <c r="F17" s="4" t="s">
        <v>122</v>
      </c>
      <c r="G17" s="57">
        <f>AVERAGE(0.000085,0.000086,0.000185)</f>
        <v>0.00011866666666666666</v>
      </c>
      <c r="H17" s="37" t="s">
        <v>122</v>
      </c>
      <c r="I17" s="57">
        <f>AVERAGE(0.000214,0.000139,0.000185)</f>
        <v>0.00017933333333333335</v>
      </c>
      <c r="J17" s="37" t="s">
        <v>122</v>
      </c>
      <c r="K17" s="57">
        <f>AVERAGE(0.000185,0.000137,0.000179)</f>
        <v>0.00016700000000000002</v>
      </c>
      <c r="L17" s="16"/>
      <c r="M17" s="76">
        <f>AVERAGE(G17,I17,K17)</f>
        <v>0.000155</v>
      </c>
      <c r="O17" s="29"/>
    </row>
    <row r="18" spans="2:13" ht="12.75">
      <c r="B18" s="4" t="s">
        <v>27</v>
      </c>
      <c r="C18" s="4" t="s">
        <v>238</v>
      </c>
      <c r="D18" s="4" t="s">
        <v>18</v>
      </c>
      <c r="G18" s="107">
        <f>(G16-G17)/G16*100</f>
        <v>99.99989890886603</v>
      </c>
      <c r="H18" s="107"/>
      <c r="I18" s="107">
        <f>(I16-I17)/I16*100</f>
        <v>99.99984721877541</v>
      </c>
      <c r="J18" s="107"/>
      <c r="K18" s="107">
        <f>(K16-K17)/K16*100</f>
        <v>99.9998577341064</v>
      </c>
      <c r="L18" s="16"/>
      <c r="M18" s="77"/>
    </row>
    <row r="19" spans="2:13" ht="12.75">
      <c r="B19" s="4"/>
      <c r="C19" s="4"/>
      <c r="G19" s="19"/>
      <c r="H19" s="19"/>
      <c r="I19" s="20"/>
      <c r="J19" s="19"/>
      <c r="K19" s="19"/>
      <c r="L19" s="16"/>
      <c r="M19" s="21"/>
    </row>
    <row r="20" spans="2:13" ht="12.75">
      <c r="B20" s="4" t="s">
        <v>43</v>
      </c>
      <c r="C20" s="4" t="s">
        <v>111</v>
      </c>
      <c r="L20" s="16"/>
      <c r="M20" s="21"/>
    </row>
    <row r="21" spans="2:13" ht="12.75">
      <c r="B21" s="4" t="s">
        <v>54</v>
      </c>
      <c r="C21" s="4"/>
      <c r="D21" s="4" t="s">
        <v>28</v>
      </c>
      <c r="G21" s="5">
        <f>0.333*352.51</f>
        <v>117.38583</v>
      </c>
      <c r="H21" s="5"/>
      <c r="I21" s="5">
        <f>0.333*352.49</f>
        <v>117.37917000000002</v>
      </c>
      <c r="J21" s="5"/>
      <c r="K21" s="5">
        <f>0.333*352.51</f>
        <v>117.38583</v>
      </c>
      <c r="L21" s="16"/>
      <c r="M21" s="21">
        <f>AVERAGE(G21,I21,K21)</f>
        <v>117.38361000000002</v>
      </c>
    </row>
    <row r="22" spans="2:13" ht="12.75">
      <c r="B22" s="4" t="s">
        <v>55</v>
      </c>
      <c r="C22" s="4" t="s">
        <v>238</v>
      </c>
      <c r="D22" s="4" t="s">
        <v>28</v>
      </c>
      <c r="F22" s="4" t="s">
        <v>122</v>
      </c>
      <c r="G22" s="57">
        <f>AVERAGE(0.000177,0.000179,0.000185)</f>
        <v>0.00018033333333333334</v>
      </c>
      <c r="H22" s="37" t="s">
        <v>122</v>
      </c>
      <c r="I22" s="57">
        <f>AVERAGE(0.000184,0.000183,0.000185)</f>
        <v>0.000184</v>
      </c>
      <c r="J22" s="37" t="s">
        <v>122</v>
      </c>
      <c r="K22" s="57">
        <f>AVERAGE(0.000185,0.0000868,0.000179)</f>
        <v>0.00015026666666666667</v>
      </c>
      <c r="L22" s="16"/>
      <c r="M22" s="76">
        <f>AVERAGE(G22,I22,K22)</f>
        <v>0.00017153333333333335</v>
      </c>
    </row>
    <row r="23" spans="2:13" ht="12.75">
      <c r="B23" s="4" t="s">
        <v>27</v>
      </c>
      <c r="C23" s="4" t="s">
        <v>238</v>
      </c>
      <c r="D23" s="4" t="s">
        <v>18</v>
      </c>
      <c r="G23" s="107">
        <f>(G21-G22)/G21*100</f>
        <v>99.99984637555202</v>
      </c>
      <c r="H23" s="107"/>
      <c r="I23" s="107">
        <f>(I21-I22)/I21*100</f>
        <v>99.9998432430558</v>
      </c>
      <c r="J23" s="107"/>
      <c r="K23" s="107">
        <f>(K21-K22)/K21*100</f>
        <v>99.99987198909216</v>
      </c>
      <c r="L23" s="19"/>
      <c r="M23" s="107"/>
    </row>
    <row r="24" spans="2:13" ht="12.75">
      <c r="B24" s="4"/>
      <c r="C24" s="4"/>
      <c r="G24" s="19"/>
      <c r="H24" s="19"/>
      <c r="I24" s="20"/>
      <c r="J24" s="19"/>
      <c r="K24" s="20"/>
      <c r="L24" s="19"/>
      <c r="M24" s="20"/>
    </row>
    <row r="25" spans="2:13" ht="12.75">
      <c r="B25" s="4" t="s">
        <v>43</v>
      </c>
      <c r="C25" s="4" t="s">
        <v>121</v>
      </c>
      <c r="G25" s="19"/>
      <c r="H25" s="19"/>
      <c r="I25" s="20"/>
      <c r="J25" s="19"/>
      <c r="K25" s="19"/>
      <c r="L25" s="16"/>
      <c r="M25" s="21"/>
    </row>
    <row r="26" spans="2:13" ht="12.75">
      <c r="B26" s="4" t="s">
        <v>54</v>
      </c>
      <c r="C26" s="4"/>
      <c r="D26" s="4" t="s">
        <v>28</v>
      </c>
      <c r="G26" s="5">
        <f>0.333*352.51</f>
        <v>117.38583</v>
      </c>
      <c r="H26" s="5"/>
      <c r="I26" s="5">
        <f>0.333*352.49</f>
        <v>117.37917000000002</v>
      </c>
      <c r="J26" s="5"/>
      <c r="K26" s="5">
        <f>0.333*352.51</f>
        <v>117.38583</v>
      </c>
      <c r="L26" s="16"/>
      <c r="M26" s="21">
        <f>AVERAGE(G26,I26,K26)</f>
        <v>117.38361000000002</v>
      </c>
    </row>
    <row r="27" spans="2:13" ht="12.75">
      <c r="B27" s="4" t="s">
        <v>55</v>
      </c>
      <c r="C27" s="4"/>
      <c r="D27" s="4" t="s">
        <v>28</v>
      </c>
      <c r="G27" s="57">
        <f>AVERAGE(0.000552,0.000789,0.000629)</f>
        <v>0.0006566666666666666</v>
      </c>
      <c r="H27" s="37"/>
      <c r="I27" s="57">
        <f>AVERAGE(0.000812,0.000733,0.000738)</f>
        <v>0.000761</v>
      </c>
      <c r="J27" s="37"/>
      <c r="K27" s="57">
        <f>AVERAGE(0.000673,0.000687,0.000615)</f>
        <v>0.0006583333333333334</v>
      </c>
      <c r="L27" s="16"/>
      <c r="M27" s="76">
        <f>AVERAGE(G27,I27,K27)</f>
        <v>0.0006919999999999999</v>
      </c>
    </row>
    <row r="28" spans="2:13" ht="12.75">
      <c r="B28" s="4" t="s">
        <v>27</v>
      </c>
      <c r="C28" s="4"/>
      <c r="D28" s="4" t="s">
        <v>18</v>
      </c>
      <c r="G28" s="107">
        <f>(G26-G27)/G26*100</f>
        <v>99.99944059119686</v>
      </c>
      <c r="H28" s="107"/>
      <c r="I28" s="107">
        <f>(I26-I27)/I26*100</f>
        <v>99.99935167372541</v>
      </c>
      <c r="J28" s="107"/>
      <c r="K28" s="107">
        <f>(K26-K27)/K26*100</f>
        <v>99.99943917137756</v>
      </c>
      <c r="L28" s="19"/>
      <c r="M28" s="78"/>
    </row>
    <row r="29" spans="2:13" ht="12.75">
      <c r="B29" s="4"/>
      <c r="C29" s="4"/>
      <c r="G29" s="19"/>
      <c r="H29" s="19"/>
      <c r="I29" s="20"/>
      <c r="J29" s="19"/>
      <c r="K29" s="19"/>
      <c r="L29" s="16"/>
      <c r="M29" s="21"/>
    </row>
    <row r="30" spans="2:13" ht="12.75">
      <c r="B30" s="4"/>
      <c r="C30" s="4"/>
      <c r="G30" s="19"/>
      <c r="H30" s="19"/>
      <c r="I30" s="20"/>
      <c r="J30" s="19"/>
      <c r="K30" s="19"/>
      <c r="L30" s="16"/>
      <c r="M30" s="21"/>
    </row>
    <row r="31" spans="2:13" ht="12.75">
      <c r="B31" s="4"/>
      <c r="C31" s="4"/>
      <c r="G31" s="19"/>
      <c r="H31" s="19"/>
      <c r="I31" s="20"/>
      <c r="J31" s="19"/>
      <c r="K31" s="19"/>
      <c r="L31" s="16"/>
      <c r="M31" s="21"/>
    </row>
    <row r="32" spans="2:13" ht="12.75">
      <c r="B32" s="4" t="s">
        <v>59</v>
      </c>
      <c r="C32" s="4" t="s">
        <v>53</v>
      </c>
      <c r="D32" s="4" t="s">
        <v>237</v>
      </c>
      <c r="L32" s="16"/>
      <c r="M32" s="60"/>
    </row>
    <row r="33" spans="2:13" ht="12.75">
      <c r="B33" s="4" t="s">
        <v>52</v>
      </c>
      <c r="C33" s="4"/>
      <c r="D33" s="4" t="s">
        <v>17</v>
      </c>
      <c r="G33" s="19">
        <v>29612</v>
      </c>
      <c r="H33" s="19"/>
      <c r="I33" s="19">
        <v>28575</v>
      </c>
      <c r="J33" s="7"/>
      <c r="K33" s="19">
        <v>29102</v>
      </c>
      <c r="M33" s="21">
        <f>AVERAGE(G33,I33,K33)</f>
        <v>29096.333333333332</v>
      </c>
    </row>
    <row r="34" spans="2:13" ht="12.75">
      <c r="B34" s="4" t="s">
        <v>56</v>
      </c>
      <c r="C34" s="4"/>
      <c r="D34" s="4" t="s">
        <v>18</v>
      </c>
      <c r="G34" s="24">
        <v>14.23</v>
      </c>
      <c r="H34" s="19"/>
      <c r="I34" s="24">
        <v>14.27</v>
      </c>
      <c r="J34" s="19"/>
      <c r="K34" s="24">
        <v>14.38</v>
      </c>
      <c r="M34" s="18">
        <f>AVERAGE(G34,I34,K34)</f>
        <v>14.293333333333335</v>
      </c>
    </row>
    <row r="35" spans="2:13" ht="12.75">
      <c r="B35" s="4" t="s">
        <v>57</v>
      </c>
      <c r="C35" s="4"/>
      <c r="D35" s="4" t="s">
        <v>18</v>
      </c>
      <c r="G35" s="24">
        <v>18</v>
      </c>
      <c r="H35" s="19"/>
      <c r="I35" s="24">
        <v>19</v>
      </c>
      <c r="J35" s="19"/>
      <c r="K35" s="24">
        <v>18.1</v>
      </c>
      <c r="M35" s="18">
        <f>AVERAGE(G35,I35,K35)</f>
        <v>18.366666666666667</v>
      </c>
    </row>
    <row r="36" spans="2:13" ht="12.75">
      <c r="B36" s="4" t="s">
        <v>51</v>
      </c>
      <c r="C36" s="4"/>
      <c r="D36" s="4" t="s">
        <v>19</v>
      </c>
      <c r="G36" s="24">
        <v>138</v>
      </c>
      <c r="H36" s="19"/>
      <c r="I36" s="24">
        <v>140</v>
      </c>
      <c r="J36" s="19"/>
      <c r="K36" s="24">
        <v>138</v>
      </c>
      <c r="M36" s="18">
        <f>AVERAGE(G36,I36,K36)</f>
        <v>138.66666666666666</v>
      </c>
    </row>
    <row r="37" spans="2:13" ht="12.75">
      <c r="B37" s="4"/>
      <c r="C37" s="4"/>
      <c r="G37" s="19"/>
      <c r="H37" s="19"/>
      <c r="I37" s="20"/>
      <c r="J37" s="19"/>
      <c r="K37" s="19"/>
      <c r="M37" s="60"/>
    </row>
    <row r="38" spans="2:13" ht="12.75">
      <c r="B38" s="4" t="s">
        <v>59</v>
      </c>
      <c r="C38" s="4" t="s">
        <v>110</v>
      </c>
      <c r="D38" s="4" t="s">
        <v>238</v>
      </c>
      <c r="G38" s="19"/>
      <c r="H38" s="19"/>
      <c r="I38" s="20"/>
      <c r="J38" s="19"/>
      <c r="K38" s="19"/>
      <c r="M38" s="60"/>
    </row>
    <row r="39" spans="2:13" ht="12.75">
      <c r="B39" s="4" t="s">
        <v>52</v>
      </c>
      <c r="C39" s="4"/>
      <c r="D39" s="4" t="s">
        <v>17</v>
      </c>
      <c r="G39" s="19">
        <v>31310</v>
      </c>
      <c r="H39" s="19"/>
      <c r="I39" s="19">
        <v>31177</v>
      </c>
      <c r="J39" s="19"/>
      <c r="K39" s="19">
        <v>30480</v>
      </c>
      <c r="M39" s="21">
        <f>AVERAGE(G39,I39,K39)</f>
        <v>30989</v>
      </c>
    </row>
    <row r="40" spans="2:13" ht="12.75">
      <c r="B40" s="4" t="s">
        <v>56</v>
      </c>
      <c r="C40" s="4"/>
      <c r="D40" s="4" t="s">
        <v>18</v>
      </c>
      <c r="G40" s="24">
        <v>14.23</v>
      </c>
      <c r="H40" s="19"/>
      <c r="I40" s="24">
        <v>14.27</v>
      </c>
      <c r="J40" s="19"/>
      <c r="K40" s="24">
        <v>14.38</v>
      </c>
      <c r="M40" s="18">
        <f>AVERAGE(G40,I40,K40)</f>
        <v>14.293333333333335</v>
      </c>
    </row>
    <row r="41" spans="2:13" ht="12.75">
      <c r="B41" s="4" t="s">
        <v>57</v>
      </c>
      <c r="C41" s="4"/>
      <c r="D41" s="4" t="s">
        <v>18</v>
      </c>
      <c r="G41" s="19">
        <v>16.4</v>
      </c>
      <c r="H41" s="19"/>
      <c r="I41" s="20">
        <v>16.1</v>
      </c>
      <c r="J41" s="19"/>
      <c r="K41" s="19">
        <v>16.4</v>
      </c>
      <c r="M41" s="18">
        <f>AVERAGE(G41,I41,K41)</f>
        <v>16.3</v>
      </c>
    </row>
    <row r="42" spans="2:13" ht="12.75">
      <c r="B42" s="4" t="s">
        <v>51</v>
      </c>
      <c r="C42" s="4"/>
      <c r="D42" s="4" t="s">
        <v>19</v>
      </c>
      <c r="G42" s="19"/>
      <c r="H42" s="19"/>
      <c r="I42" s="20"/>
      <c r="J42" s="19"/>
      <c r="K42" s="19"/>
      <c r="M42" s="21"/>
    </row>
    <row r="43" spans="2:13" ht="13.5" customHeight="1">
      <c r="B43" s="4"/>
      <c r="C43" s="4"/>
      <c r="G43" s="19"/>
      <c r="H43" s="19"/>
      <c r="I43" s="20"/>
      <c r="J43" s="19"/>
      <c r="K43" s="19"/>
      <c r="L43" s="16"/>
      <c r="M43" s="21"/>
    </row>
    <row r="44" spans="1:13" ht="12.75">
      <c r="A44" s="16" t="s">
        <v>61</v>
      </c>
      <c r="B44" s="13" t="s">
        <v>170</v>
      </c>
      <c r="C44" s="13" t="s">
        <v>137</v>
      </c>
      <c r="G44" s="16" t="s">
        <v>181</v>
      </c>
      <c r="H44" s="16"/>
      <c r="I44" s="16" t="s">
        <v>182</v>
      </c>
      <c r="J44" s="16"/>
      <c r="K44" s="16" t="s">
        <v>183</v>
      </c>
      <c r="M44" s="16" t="s">
        <v>180</v>
      </c>
    </row>
    <row r="45" spans="3:13" ht="12.75">
      <c r="C45" s="79"/>
      <c r="D45" s="39"/>
      <c r="E45" s="59"/>
      <c r="F45" s="14"/>
      <c r="G45" s="16"/>
      <c r="H45" s="16"/>
      <c r="I45" s="16"/>
      <c r="J45" s="16"/>
      <c r="K45" s="16"/>
      <c r="M45" s="16"/>
    </row>
    <row r="46" spans="4:9" ht="12.75">
      <c r="D46" s="17"/>
      <c r="E46" s="14"/>
      <c r="F46" s="14"/>
      <c r="I46" s="14"/>
    </row>
    <row r="47" spans="2:13" ht="12.75">
      <c r="B47" s="4" t="s">
        <v>13</v>
      </c>
      <c r="C47" s="4" t="s">
        <v>237</v>
      </c>
      <c r="D47" s="4" t="s">
        <v>14</v>
      </c>
      <c r="E47" s="16" t="s">
        <v>15</v>
      </c>
      <c r="G47" s="44">
        <v>0.0077</v>
      </c>
      <c r="H47" s="44"/>
      <c r="I47" s="44">
        <v>0.0131</v>
      </c>
      <c r="J47" s="44"/>
      <c r="K47" s="44">
        <v>0.0135</v>
      </c>
      <c r="M47" s="75">
        <f>AVERAGE(G47,I47,K47)</f>
        <v>0.011433333333333332</v>
      </c>
    </row>
    <row r="48" spans="2:13" ht="12.75">
      <c r="B48" s="4" t="s">
        <v>63</v>
      </c>
      <c r="C48" s="4" t="s">
        <v>237</v>
      </c>
      <c r="D48" s="4" t="s">
        <v>16</v>
      </c>
      <c r="E48" s="16" t="s">
        <v>15</v>
      </c>
      <c r="G48" s="24">
        <v>42.5</v>
      </c>
      <c r="H48" s="24"/>
      <c r="I48" s="24">
        <v>41.8</v>
      </c>
      <c r="J48" s="24"/>
      <c r="K48" s="24">
        <v>42.9</v>
      </c>
      <c r="L48" s="18"/>
      <c r="M48" s="21">
        <f>AVERAGE(G48,I48,K48)</f>
        <v>42.4</v>
      </c>
    </row>
    <row r="49" spans="2:13" ht="12.75">
      <c r="B49" s="4" t="s">
        <v>119</v>
      </c>
      <c r="C49" s="4" t="s">
        <v>237</v>
      </c>
      <c r="D49" s="4" t="s">
        <v>16</v>
      </c>
      <c r="E49" s="16" t="s">
        <v>15</v>
      </c>
      <c r="G49" s="24"/>
      <c r="H49" s="24"/>
      <c r="I49" s="24"/>
      <c r="J49" s="24"/>
      <c r="K49" s="24"/>
      <c r="L49" s="18"/>
      <c r="M49" s="21"/>
    </row>
    <row r="50" spans="2:13" ht="12.75">
      <c r="B50" s="4" t="s">
        <v>25</v>
      </c>
      <c r="C50" s="4" t="s">
        <v>237</v>
      </c>
      <c r="D50" s="4" t="s">
        <v>16</v>
      </c>
      <c r="E50" s="16" t="s">
        <v>15</v>
      </c>
      <c r="G50" s="24">
        <v>29.3</v>
      </c>
      <c r="H50" s="24"/>
      <c r="I50" s="24">
        <v>39</v>
      </c>
      <c r="J50" s="24"/>
      <c r="K50" s="24">
        <v>35.8</v>
      </c>
      <c r="M50" s="21">
        <f>AVERAGE(G50,I50,K50)</f>
        <v>34.699999999999996</v>
      </c>
    </row>
    <row r="51" spans="2:13" ht="12.75">
      <c r="B51" s="4" t="s">
        <v>26</v>
      </c>
      <c r="C51" s="4" t="s">
        <v>237</v>
      </c>
      <c r="D51" s="4" t="s">
        <v>16</v>
      </c>
      <c r="E51" s="16" t="s">
        <v>15</v>
      </c>
      <c r="G51" s="48">
        <v>0.096</v>
      </c>
      <c r="H51" s="48"/>
      <c r="I51" s="48">
        <v>0.081</v>
      </c>
      <c r="J51" s="48"/>
      <c r="K51" s="48">
        <v>0.095</v>
      </c>
      <c r="M51" s="60">
        <f>AVERAGE(G51,I51,K51)</f>
        <v>0.09066666666666667</v>
      </c>
    </row>
    <row r="52" spans="2:13" ht="12.75">
      <c r="B52" s="4" t="s">
        <v>58</v>
      </c>
      <c r="C52" s="4" t="s">
        <v>237</v>
      </c>
      <c r="D52" s="4" t="s">
        <v>16</v>
      </c>
      <c r="E52" s="16" t="s">
        <v>15</v>
      </c>
      <c r="G52" s="5">
        <f>G50+G51*2</f>
        <v>29.492</v>
      </c>
      <c r="H52" s="6"/>
      <c r="I52" s="5">
        <f>I50+I51*2</f>
        <v>39.162</v>
      </c>
      <c r="J52" s="6"/>
      <c r="K52" s="5">
        <f>K50+K51*2</f>
        <v>35.989999999999995</v>
      </c>
      <c r="L52" s="6"/>
      <c r="M52" s="18">
        <f>AVERAGE(K52,I52,G52)</f>
        <v>34.88133333333333</v>
      </c>
    </row>
    <row r="55" spans="2:13" ht="12.75">
      <c r="B55" s="4" t="s">
        <v>123</v>
      </c>
      <c r="C55" s="4"/>
      <c r="D55" s="4" t="s">
        <v>28</v>
      </c>
      <c r="G55" s="58">
        <v>5.86E-05</v>
      </c>
      <c r="I55" s="58">
        <v>0.000103</v>
      </c>
      <c r="K55" s="58">
        <v>8.06E-05</v>
      </c>
      <c r="M55" s="80"/>
    </row>
    <row r="56" spans="2:13" ht="12.75">
      <c r="B56" s="4" t="s">
        <v>124</v>
      </c>
      <c r="C56" s="4"/>
      <c r="D56" s="4" t="s">
        <v>28</v>
      </c>
      <c r="G56" s="58">
        <v>4.69E-05</v>
      </c>
      <c r="I56" s="58">
        <v>3.08E-05</v>
      </c>
      <c r="K56" s="58">
        <v>2E-05</v>
      </c>
      <c r="M56" s="80"/>
    </row>
    <row r="57" spans="2:13" ht="12.75">
      <c r="B57" s="4" t="s">
        <v>125</v>
      </c>
      <c r="C57" s="4"/>
      <c r="D57" s="4" t="s">
        <v>28</v>
      </c>
      <c r="G57" s="58">
        <v>0.000359</v>
      </c>
      <c r="I57" s="58">
        <v>0.000312</v>
      </c>
      <c r="K57" s="58">
        <v>0.00015</v>
      </c>
      <c r="M57" s="80"/>
    </row>
    <row r="58" spans="2:13" ht="12.75">
      <c r="B58" s="4" t="s">
        <v>126</v>
      </c>
      <c r="C58" s="4"/>
      <c r="D58" s="4" t="s">
        <v>28</v>
      </c>
      <c r="F58" s="14" t="s">
        <v>122</v>
      </c>
      <c r="G58" s="58">
        <v>3.91E-06</v>
      </c>
      <c r="H58" s="14" t="s">
        <v>122</v>
      </c>
      <c r="I58" s="58">
        <v>3.8E-06</v>
      </c>
      <c r="J58" s="14" t="s">
        <v>122</v>
      </c>
      <c r="K58" s="58">
        <v>3.84E-06</v>
      </c>
      <c r="M58" s="80"/>
    </row>
    <row r="59" spans="2:13" ht="12.75">
      <c r="B59" s="4" t="s">
        <v>127</v>
      </c>
      <c r="C59" s="4"/>
      <c r="D59" s="4" t="s">
        <v>28</v>
      </c>
      <c r="G59" s="58">
        <v>0.000363</v>
      </c>
      <c r="I59" s="58">
        <v>0.000133</v>
      </c>
      <c r="K59" s="58">
        <v>0.000119</v>
      </c>
      <c r="M59" s="80"/>
    </row>
    <row r="60" spans="2:13" ht="12.75">
      <c r="B60" s="4" t="s">
        <v>128</v>
      </c>
      <c r="C60" s="4"/>
      <c r="D60" s="4" t="s">
        <v>28</v>
      </c>
      <c r="G60" s="58">
        <v>0.00424</v>
      </c>
      <c r="I60" s="58">
        <v>0.00177</v>
      </c>
      <c r="K60" s="58">
        <v>0.000637</v>
      </c>
      <c r="M60" s="80"/>
    </row>
    <row r="61" spans="2:13" ht="12.75">
      <c r="B61" s="87" t="s">
        <v>203</v>
      </c>
      <c r="C61" s="4"/>
      <c r="D61" s="4" t="s">
        <v>28</v>
      </c>
      <c r="F61" s="4" t="s">
        <v>122</v>
      </c>
      <c r="G61" s="58">
        <v>0.00016</v>
      </c>
      <c r="H61" s="14" t="s">
        <v>122</v>
      </c>
      <c r="I61" s="58">
        <v>0.00016</v>
      </c>
      <c r="J61" s="14" t="s">
        <v>122</v>
      </c>
      <c r="K61" s="58">
        <v>0.00017</v>
      </c>
      <c r="M61" s="80"/>
    </row>
    <row r="62" spans="2:13" ht="12.75">
      <c r="B62" s="4" t="s">
        <v>129</v>
      </c>
      <c r="C62" s="4"/>
      <c r="D62" s="4" t="s">
        <v>28</v>
      </c>
      <c r="G62" s="58">
        <v>0.00102</v>
      </c>
      <c r="I62" s="58">
        <v>0.000616</v>
      </c>
      <c r="K62" s="58">
        <v>0.000353</v>
      </c>
      <c r="M62" s="80"/>
    </row>
    <row r="63" spans="2:13" ht="12.75">
      <c r="B63" s="4" t="s">
        <v>130</v>
      </c>
      <c r="C63" s="4"/>
      <c r="D63" s="4" t="s">
        <v>28</v>
      </c>
      <c r="G63" s="58">
        <v>0.00034</v>
      </c>
      <c r="I63" s="58">
        <v>0.000137</v>
      </c>
      <c r="K63" s="58">
        <v>0.000119</v>
      </c>
      <c r="M63" s="80"/>
    </row>
    <row r="64" spans="2:13" ht="12.75">
      <c r="B64" s="4" t="s">
        <v>131</v>
      </c>
      <c r="C64" s="4"/>
      <c r="D64" s="4" t="s">
        <v>28</v>
      </c>
      <c r="G64" s="58">
        <v>0.0519</v>
      </c>
      <c r="I64" s="58">
        <v>0.075</v>
      </c>
      <c r="K64" s="58">
        <v>0.0433</v>
      </c>
      <c r="M64" s="80"/>
    </row>
    <row r="65" spans="2:13" ht="12.75">
      <c r="B65" s="4" t="s">
        <v>132</v>
      </c>
      <c r="C65" s="4"/>
      <c r="D65" s="4" t="s">
        <v>28</v>
      </c>
      <c r="G65" s="58">
        <v>0.00386</v>
      </c>
      <c r="I65" s="58">
        <v>0.00178</v>
      </c>
      <c r="K65" s="58">
        <v>0.000607</v>
      </c>
      <c r="M65" s="80"/>
    </row>
    <row r="66" spans="2:13" ht="12.75">
      <c r="B66" s="4" t="s">
        <v>133</v>
      </c>
      <c r="C66" s="4"/>
      <c r="D66" s="4" t="s">
        <v>28</v>
      </c>
      <c r="G66" s="58">
        <v>7.03E-05</v>
      </c>
      <c r="I66" s="58">
        <v>0.000183</v>
      </c>
      <c r="K66" s="58">
        <v>3.46E-05</v>
      </c>
      <c r="M66" s="80"/>
    </row>
    <row r="67" spans="2:13" ht="12.75">
      <c r="B67" s="4" t="s">
        <v>134</v>
      </c>
      <c r="C67" s="4"/>
      <c r="D67" s="4" t="s">
        <v>28</v>
      </c>
      <c r="G67" s="58">
        <v>4.69E-05</v>
      </c>
      <c r="I67" s="58">
        <v>1.71E-05</v>
      </c>
      <c r="K67" s="58">
        <v>1.27E-05</v>
      </c>
      <c r="M67" s="80"/>
    </row>
    <row r="68" spans="2:13" ht="12.75">
      <c r="B68" s="4" t="s">
        <v>135</v>
      </c>
      <c r="C68" s="4"/>
      <c r="D68" s="4" t="s">
        <v>28</v>
      </c>
      <c r="G68" s="58">
        <v>1.95E-05</v>
      </c>
      <c r="I68" s="58">
        <v>1.9E-05</v>
      </c>
      <c r="K68" s="58">
        <v>1.92E-05</v>
      </c>
      <c r="M68" s="80"/>
    </row>
    <row r="69" spans="2:13" ht="12.75">
      <c r="B69" s="4" t="s">
        <v>136</v>
      </c>
      <c r="C69" s="4"/>
      <c r="D69" s="4" t="s">
        <v>28</v>
      </c>
      <c r="G69" s="58">
        <v>0.0466</v>
      </c>
      <c r="I69" s="58">
        <v>0.0606</v>
      </c>
      <c r="K69" s="58">
        <v>0.0727</v>
      </c>
      <c r="M69" s="80"/>
    </row>
    <row r="71" spans="2:13" ht="12.75">
      <c r="B71" s="4" t="s">
        <v>59</v>
      </c>
      <c r="C71" s="4" t="s">
        <v>53</v>
      </c>
      <c r="D71" s="4" t="s">
        <v>237</v>
      </c>
      <c r="L71" s="16"/>
      <c r="M71" s="60"/>
    </row>
    <row r="72" spans="2:13" ht="12.75">
      <c r="B72" s="4" t="s">
        <v>52</v>
      </c>
      <c r="C72" s="4"/>
      <c r="D72" s="4" t="s">
        <v>17</v>
      </c>
      <c r="G72" s="19">
        <v>35625</v>
      </c>
      <c r="H72" s="19"/>
      <c r="I72" s="19">
        <v>35020</v>
      </c>
      <c r="J72" s="7"/>
      <c r="K72" s="19">
        <v>34309</v>
      </c>
      <c r="M72" s="21">
        <f>AVERAGE(G72,I72,K72)</f>
        <v>34984.666666666664</v>
      </c>
    </row>
    <row r="73" spans="2:13" ht="12.75">
      <c r="B73" s="4" t="s">
        <v>56</v>
      </c>
      <c r="C73" s="4"/>
      <c r="D73" s="4" t="s">
        <v>18</v>
      </c>
      <c r="G73" s="24">
        <v>15.2</v>
      </c>
      <c r="H73" s="19"/>
      <c r="I73" s="24">
        <v>15.14</v>
      </c>
      <c r="J73" s="19"/>
      <c r="K73" s="24">
        <v>15.13</v>
      </c>
      <c r="M73" s="18">
        <f>AVERAGE(G73,I73,K73)</f>
        <v>15.156666666666666</v>
      </c>
    </row>
    <row r="74" spans="2:13" ht="12.75">
      <c r="B74" s="4" t="s">
        <v>57</v>
      </c>
      <c r="C74" s="4"/>
      <c r="D74" s="4" t="s">
        <v>18</v>
      </c>
      <c r="G74" s="24">
        <v>16.3</v>
      </c>
      <c r="H74" s="19"/>
      <c r="I74" s="24">
        <v>16.4</v>
      </c>
      <c r="J74" s="19"/>
      <c r="K74" s="24">
        <v>17.1</v>
      </c>
      <c r="M74" s="18">
        <f>AVERAGE(G74,I74,K74)</f>
        <v>16.6</v>
      </c>
    </row>
    <row r="75" spans="2:13" ht="12.75">
      <c r="B75" s="4" t="s">
        <v>51</v>
      </c>
      <c r="C75" s="4"/>
      <c r="D75" s="4" t="s">
        <v>19</v>
      </c>
      <c r="G75" s="81">
        <v>134</v>
      </c>
      <c r="H75" s="7"/>
      <c r="I75" s="81">
        <v>134</v>
      </c>
      <c r="J75" s="7"/>
      <c r="K75" s="81">
        <v>135</v>
      </c>
      <c r="L75" s="21"/>
      <c r="M75" s="21">
        <f>AVERAGE(G75,I75,K75)</f>
        <v>134.33333333333334</v>
      </c>
    </row>
    <row r="76" spans="2:13" ht="12.75">
      <c r="B76" s="4"/>
      <c r="C76" s="4"/>
      <c r="G76" s="19"/>
      <c r="H76" s="19"/>
      <c r="I76" s="20"/>
      <c r="J76" s="19"/>
      <c r="K76" s="19"/>
      <c r="M76" s="60"/>
    </row>
    <row r="77" spans="2:13" ht="12.75">
      <c r="B77" s="4" t="s">
        <v>59</v>
      </c>
      <c r="C77" s="4" t="s">
        <v>110</v>
      </c>
      <c r="D77" s="4" t="s">
        <v>238</v>
      </c>
      <c r="G77" s="19"/>
      <c r="H77" s="19"/>
      <c r="I77" s="20"/>
      <c r="J77" s="19"/>
      <c r="K77" s="19"/>
      <c r="M77" s="60"/>
    </row>
    <row r="78" spans="2:13" ht="12.75">
      <c r="B78" s="4" t="s">
        <v>52</v>
      </c>
      <c r="C78" s="4"/>
      <c r="D78" s="4" t="s">
        <v>17</v>
      </c>
      <c r="G78" s="19">
        <v>34464</v>
      </c>
      <c r="H78" s="19"/>
      <c r="I78" s="19">
        <v>33956</v>
      </c>
      <c r="J78" s="19"/>
      <c r="K78" s="19">
        <v>33847</v>
      </c>
      <c r="M78" s="21">
        <f>AVERAGE(G78,I78,K78)</f>
        <v>34089</v>
      </c>
    </row>
    <row r="79" spans="2:13" ht="12.75">
      <c r="B79" s="4" t="s">
        <v>56</v>
      </c>
      <c r="C79" s="4"/>
      <c r="D79" s="4" t="s">
        <v>18</v>
      </c>
      <c r="G79" s="24">
        <v>15.2</v>
      </c>
      <c r="H79" s="19"/>
      <c r="I79" s="24">
        <v>15.14</v>
      </c>
      <c r="J79" s="19"/>
      <c r="K79" s="24">
        <v>15.13</v>
      </c>
      <c r="M79" s="18">
        <f>AVERAGE(G79,I79,K79)</f>
        <v>15.156666666666666</v>
      </c>
    </row>
    <row r="80" spans="2:13" ht="12.75">
      <c r="B80" s="4" t="s">
        <v>57</v>
      </c>
      <c r="C80" s="4"/>
      <c r="D80" s="4" t="s">
        <v>18</v>
      </c>
      <c r="G80" s="19">
        <v>17</v>
      </c>
      <c r="H80" s="19"/>
      <c r="I80" s="20">
        <v>17.5</v>
      </c>
      <c r="J80" s="19"/>
      <c r="K80" s="19">
        <v>17.4</v>
      </c>
      <c r="M80" s="18">
        <f>AVERAGE(G80,I80,K80)</f>
        <v>17.3</v>
      </c>
    </row>
    <row r="81" spans="2:13" ht="12.75">
      <c r="B81" s="4" t="s">
        <v>51</v>
      </c>
      <c r="C81" s="4"/>
      <c r="D81" s="4" t="s">
        <v>19</v>
      </c>
      <c r="G81" s="19"/>
      <c r="H81" s="19"/>
      <c r="I81" s="20"/>
      <c r="J81" s="19"/>
      <c r="K81" s="19"/>
      <c r="M81" s="21"/>
    </row>
    <row r="82" spans="2:13" ht="12.75">
      <c r="B82" s="4"/>
      <c r="C82" s="4"/>
      <c r="G82" s="19"/>
      <c r="H82" s="19"/>
      <c r="I82" s="20"/>
      <c r="J82" s="19"/>
      <c r="K82" s="19"/>
      <c r="L82" s="16"/>
      <c r="M82" s="21"/>
    </row>
    <row r="83" spans="2:13" ht="12.75">
      <c r="B83" s="4" t="s">
        <v>59</v>
      </c>
      <c r="C83" s="4" t="s">
        <v>138</v>
      </c>
      <c r="D83" s="4" t="s">
        <v>239</v>
      </c>
      <c r="G83" s="19"/>
      <c r="H83" s="19"/>
      <c r="I83" s="20"/>
      <c r="J83" s="19"/>
      <c r="K83" s="19"/>
      <c r="M83" s="60"/>
    </row>
    <row r="84" spans="2:13" ht="12.75">
      <c r="B84" s="4" t="s">
        <v>52</v>
      </c>
      <c r="C84" s="4"/>
      <c r="D84" s="4" t="s">
        <v>17</v>
      </c>
      <c r="G84" s="19">
        <v>35870</v>
      </c>
      <c r="H84" s="19"/>
      <c r="I84" s="19">
        <v>33752</v>
      </c>
      <c r="J84" s="19"/>
      <c r="K84" s="19">
        <v>33665</v>
      </c>
      <c r="M84" s="21">
        <f>AVERAGE(G84,I84,K84)</f>
        <v>34429</v>
      </c>
    </row>
    <row r="85" spans="2:13" ht="12.75">
      <c r="B85" s="4" t="s">
        <v>56</v>
      </c>
      <c r="C85" s="4"/>
      <c r="D85" s="4" t="s">
        <v>18</v>
      </c>
      <c r="G85" s="24">
        <v>15.2</v>
      </c>
      <c r="H85" s="19"/>
      <c r="I85" s="24">
        <v>15.14</v>
      </c>
      <c r="J85" s="19"/>
      <c r="K85" s="24">
        <v>15.13</v>
      </c>
      <c r="M85" s="18">
        <f>AVERAGE(G85,I85,K85)</f>
        <v>15.156666666666666</v>
      </c>
    </row>
    <row r="86" spans="2:13" ht="12.75">
      <c r="B86" s="4" t="s">
        <v>57</v>
      </c>
      <c r="C86" s="4"/>
      <c r="D86" s="4" t="s">
        <v>18</v>
      </c>
      <c r="G86" s="5">
        <v>15.8</v>
      </c>
      <c r="H86" s="19"/>
      <c r="I86" s="20">
        <v>16.8</v>
      </c>
      <c r="J86" s="19"/>
      <c r="K86" s="19">
        <v>16.7</v>
      </c>
      <c r="M86" s="18">
        <f>AVERAGE(G86,I86,K86)</f>
        <v>16.433333333333334</v>
      </c>
    </row>
    <row r="87" spans="2:13" ht="12.75">
      <c r="B87" s="4" t="s">
        <v>51</v>
      </c>
      <c r="C87" s="4"/>
      <c r="D87" s="4" t="s">
        <v>19</v>
      </c>
      <c r="G87" s="19"/>
      <c r="H87" s="19"/>
      <c r="I87" s="20"/>
      <c r="J87" s="19"/>
      <c r="K87" s="19"/>
      <c r="M87" s="21"/>
    </row>
    <row r="89" spans="2:13" ht="12.75">
      <c r="B89" s="4" t="s">
        <v>123</v>
      </c>
      <c r="C89" s="4" t="s">
        <v>239</v>
      </c>
      <c r="D89" s="4" t="s">
        <v>34</v>
      </c>
      <c r="E89" s="16" t="s">
        <v>15</v>
      </c>
      <c r="G89" s="60">
        <f>G55*1/60*454*1000000/(G$84*0.0283)*(21-7)/(21-G$85)</f>
        <v>1.0543491406669634</v>
      </c>
      <c r="H89" s="4"/>
      <c r="I89" s="60">
        <f>I55*1/60*454*1000000/(I$84*0.0283)*(21-7)/(21-I$85)</f>
        <v>1.9493341848503185</v>
      </c>
      <c r="J89" s="4"/>
      <c r="K89" s="60">
        <f aca="true" t="shared" si="0" ref="K89:K103">K55*1/60*454*1000000/(K$84*0.0283)*(21-7)/(21-K$85)</f>
        <v>1.5267380323720485</v>
      </c>
      <c r="M89" s="18">
        <f aca="true" t="shared" si="1" ref="M89:M97">AVERAGE(K89,I89,G89)</f>
        <v>1.5101404526297768</v>
      </c>
    </row>
    <row r="90" spans="2:13" ht="12.75">
      <c r="B90" s="4" t="s">
        <v>124</v>
      </c>
      <c r="C90" s="4" t="s">
        <v>239</v>
      </c>
      <c r="D90" s="4" t="s">
        <v>34</v>
      </c>
      <c r="E90" s="16" t="s">
        <v>15</v>
      </c>
      <c r="G90" s="60">
        <f aca="true" t="shared" si="2" ref="G90:I103">G56*1/60*454*1000000/(G$84*0.0283)*(21-7)/(21-G$85)</f>
        <v>0.8438391586566651</v>
      </c>
      <c r="H90" s="4"/>
      <c r="I90" s="60">
        <f t="shared" si="2"/>
        <v>0.5829076979940759</v>
      </c>
      <c r="J90" s="4"/>
      <c r="K90" s="60">
        <f t="shared" si="0"/>
        <v>0.37884318421142643</v>
      </c>
      <c r="M90" s="18">
        <f t="shared" si="1"/>
        <v>0.6018633469540559</v>
      </c>
    </row>
    <row r="91" spans="2:13" ht="12.75">
      <c r="B91" s="4" t="s">
        <v>125</v>
      </c>
      <c r="C91" s="4" t="s">
        <v>239</v>
      </c>
      <c r="D91" s="4" t="s">
        <v>34</v>
      </c>
      <c r="E91" s="16" t="s">
        <v>15</v>
      </c>
      <c r="G91" s="60">
        <f t="shared" si="2"/>
        <v>6.459237909546754</v>
      </c>
      <c r="H91" s="4"/>
      <c r="I91" s="60">
        <f t="shared" si="2"/>
        <v>5.9047792783815485</v>
      </c>
      <c r="J91" s="4"/>
      <c r="K91" s="60">
        <f t="shared" si="0"/>
        <v>2.841323881585698</v>
      </c>
      <c r="M91" s="18">
        <f t="shared" si="1"/>
        <v>5.068447023171333</v>
      </c>
    </row>
    <row r="92" spans="2:13" ht="12.75">
      <c r="B92" s="4" t="s">
        <v>126</v>
      </c>
      <c r="C92" s="4" t="s">
        <v>239</v>
      </c>
      <c r="D92" s="4" t="s">
        <v>34</v>
      </c>
      <c r="E92" s="16" t="s">
        <v>15</v>
      </c>
      <c r="F92" s="14" t="s">
        <v>122</v>
      </c>
      <c r="G92" s="60">
        <f t="shared" si="2"/>
        <v>0.07034991706497996</v>
      </c>
      <c r="H92" s="14" t="s">
        <v>122</v>
      </c>
      <c r="I92" s="60">
        <f t="shared" si="2"/>
        <v>0.07191718351874961</v>
      </c>
      <c r="J92" s="14" t="s">
        <v>122</v>
      </c>
      <c r="K92" s="60">
        <f t="shared" si="0"/>
        <v>0.07273789136859386</v>
      </c>
      <c r="L92" s="14">
        <v>100</v>
      </c>
      <c r="M92" s="18">
        <f t="shared" si="1"/>
        <v>0.07166833065077448</v>
      </c>
    </row>
    <row r="93" spans="2:13" ht="12.75">
      <c r="B93" s="4" t="s">
        <v>127</v>
      </c>
      <c r="C93" s="4" t="s">
        <v>239</v>
      </c>
      <c r="D93" s="4" t="s">
        <v>34</v>
      </c>
      <c r="E93" s="16" t="s">
        <v>15</v>
      </c>
      <c r="G93" s="60">
        <f t="shared" si="2"/>
        <v>6.53120713416566</v>
      </c>
      <c r="H93" s="4"/>
      <c r="I93" s="60">
        <f t="shared" si="2"/>
        <v>2.5171014231562365</v>
      </c>
      <c r="J93" s="4"/>
      <c r="K93" s="60">
        <f t="shared" si="0"/>
        <v>2.2541169460579873</v>
      </c>
      <c r="M93" s="18">
        <f t="shared" si="1"/>
        <v>3.7674751677932945</v>
      </c>
    </row>
    <row r="94" spans="2:13" ht="12.75">
      <c r="B94" s="4" t="s">
        <v>128</v>
      </c>
      <c r="C94" s="4" t="s">
        <v>239</v>
      </c>
      <c r="D94" s="4" t="s">
        <v>34</v>
      </c>
      <c r="E94" s="16" t="s">
        <v>15</v>
      </c>
      <c r="G94" s="60">
        <f t="shared" si="2"/>
        <v>76.28737809603965</v>
      </c>
      <c r="H94" s="4"/>
      <c r="I94" s="60">
        <f t="shared" si="2"/>
        <v>33.49826706004916</v>
      </c>
      <c r="J94" s="4"/>
      <c r="K94" s="60">
        <f t="shared" si="0"/>
        <v>12.066155417133931</v>
      </c>
      <c r="M94" s="18">
        <f t="shared" si="1"/>
        <v>40.61726685774091</v>
      </c>
    </row>
    <row r="95" spans="2:13" ht="12.75">
      <c r="B95" s="87" t="s">
        <v>203</v>
      </c>
      <c r="C95" s="4" t="s">
        <v>239</v>
      </c>
      <c r="D95" s="4" t="s">
        <v>34</v>
      </c>
      <c r="E95" s="16" t="s">
        <v>15</v>
      </c>
      <c r="F95" s="4" t="s">
        <v>122</v>
      </c>
      <c r="G95" s="60">
        <f t="shared" si="2"/>
        <v>2.8787689847562135</v>
      </c>
      <c r="H95" s="4" t="s">
        <v>122</v>
      </c>
      <c r="I95" s="60">
        <f t="shared" si="2"/>
        <v>3.028091937631563</v>
      </c>
      <c r="J95" s="4" t="s">
        <v>122</v>
      </c>
      <c r="K95" s="60">
        <f t="shared" si="0"/>
        <v>3.2201670657971246</v>
      </c>
      <c r="L95" s="14">
        <v>100</v>
      </c>
      <c r="M95" s="18">
        <f t="shared" si="1"/>
        <v>3.0423426627283003</v>
      </c>
    </row>
    <row r="96" spans="2:13" ht="12.75">
      <c r="B96" s="4" t="s">
        <v>129</v>
      </c>
      <c r="C96" s="4" t="s">
        <v>239</v>
      </c>
      <c r="D96" s="4" t="s">
        <v>34</v>
      </c>
      <c r="E96" s="16" t="s">
        <v>15</v>
      </c>
      <c r="G96" s="53">
        <f t="shared" si="2"/>
        <v>18.35215227782086</v>
      </c>
      <c r="H96" s="4"/>
      <c r="I96" s="53">
        <f t="shared" si="2"/>
        <v>11.658153959881517</v>
      </c>
      <c r="J96" s="4"/>
      <c r="K96" s="53">
        <f t="shared" si="0"/>
        <v>6.686582201331676</v>
      </c>
      <c r="M96" s="18">
        <f t="shared" si="1"/>
        <v>12.232296146344686</v>
      </c>
    </row>
    <row r="97" spans="2:13" ht="12.75">
      <c r="B97" s="4" t="s">
        <v>130</v>
      </c>
      <c r="C97" s="4" t="s">
        <v>239</v>
      </c>
      <c r="D97" s="4" t="s">
        <v>34</v>
      </c>
      <c r="E97" s="16" t="s">
        <v>15</v>
      </c>
      <c r="G97" s="60">
        <f t="shared" si="2"/>
        <v>6.117384092606954</v>
      </c>
      <c r="H97" s="4"/>
      <c r="I97" s="60">
        <f t="shared" si="2"/>
        <v>2.592803721597025</v>
      </c>
      <c r="J97" s="4"/>
      <c r="K97" s="60">
        <f t="shared" si="0"/>
        <v>2.2541169460579873</v>
      </c>
      <c r="M97" s="18">
        <f t="shared" si="1"/>
        <v>3.654768253420656</v>
      </c>
    </row>
    <row r="98" spans="2:13" ht="12.75">
      <c r="B98" s="4" t="s">
        <v>131</v>
      </c>
      <c r="C98" s="4" t="s">
        <v>239</v>
      </c>
      <c r="D98" s="4" t="s">
        <v>34</v>
      </c>
      <c r="E98" s="16" t="s">
        <v>15</v>
      </c>
      <c r="G98" s="21">
        <f t="shared" si="2"/>
        <v>933.8006894302969</v>
      </c>
      <c r="H98" s="4"/>
      <c r="I98" s="21">
        <f t="shared" si="2"/>
        <v>1419.418095764795</v>
      </c>
      <c r="J98" s="4"/>
      <c r="K98" s="21">
        <f t="shared" si="0"/>
        <v>820.1954938177382</v>
      </c>
      <c r="M98" s="18">
        <f aca="true" t="shared" si="3" ref="M98:M103">AVERAGE(K98,I98,G98)</f>
        <v>1057.8047596709432</v>
      </c>
    </row>
    <row r="99" spans="2:13" ht="12.75">
      <c r="B99" s="4" t="s">
        <v>132</v>
      </c>
      <c r="C99" s="4" t="s">
        <v>239</v>
      </c>
      <c r="D99" s="4" t="s">
        <v>34</v>
      </c>
      <c r="E99" s="16" t="s">
        <v>15</v>
      </c>
      <c r="G99" s="18">
        <f t="shared" si="2"/>
        <v>69.45030175724365</v>
      </c>
      <c r="H99" s="4"/>
      <c r="I99" s="18">
        <f t="shared" si="2"/>
        <v>33.68752280615113</v>
      </c>
      <c r="J99" s="4"/>
      <c r="K99" s="18">
        <f t="shared" si="0"/>
        <v>11.497890640816793</v>
      </c>
      <c r="M99" s="18">
        <f t="shared" si="3"/>
        <v>38.21190506807053</v>
      </c>
    </row>
    <row r="100" spans="2:13" ht="12.75">
      <c r="B100" s="4" t="s">
        <v>133</v>
      </c>
      <c r="C100" s="4" t="s">
        <v>239</v>
      </c>
      <c r="D100" s="4" t="s">
        <v>34</v>
      </c>
      <c r="E100" s="16" t="s">
        <v>15</v>
      </c>
      <c r="G100" s="53">
        <f t="shared" si="2"/>
        <v>1.2648591226772616</v>
      </c>
      <c r="H100" s="4"/>
      <c r="I100" s="53">
        <f t="shared" si="2"/>
        <v>3.4633801536661</v>
      </c>
      <c r="J100" s="4"/>
      <c r="K100" s="53">
        <f t="shared" si="0"/>
        <v>0.6553987086857678</v>
      </c>
      <c r="M100" s="18">
        <f t="shared" si="3"/>
        <v>1.7945459950097098</v>
      </c>
    </row>
    <row r="101" spans="2:13" ht="12.75">
      <c r="B101" s="4" t="s">
        <v>134</v>
      </c>
      <c r="C101" s="4" t="s">
        <v>239</v>
      </c>
      <c r="D101" s="4" t="s">
        <v>34</v>
      </c>
      <c r="E101" s="16" t="s">
        <v>15</v>
      </c>
      <c r="G101" s="60">
        <f t="shared" si="2"/>
        <v>0.8438391586566651</v>
      </c>
      <c r="H101" s="4"/>
      <c r="I101" s="60">
        <f t="shared" si="2"/>
        <v>0.3236273258343732</v>
      </c>
      <c r="J101" s="4"/>
      <c r="K101" s="60">
        <f t="shared" si="0"/>
        <v>0.2405654219742558</v>
      </c>
      <c r="M101" s="18">
        <f t="shared" si="3"/>
        <v>0.4693439688217647</v>
      </c>
    </row>
    <row r="102" spans="2:13" ht="12.75">
      <c r="B102" s="4" t="s">
        <v>135</v>
      </c>
      <c r="C102" s="4" t="s">
        <v>239</v>
      </c>
      <c r="D102" s="4" t="s">
        <v>34</v>
      </c>
      <c r="E102" s="16" t="s">
        <v>15</v>
      </c>
      <c r="F102" s="4" t="s">
        <v>122</v>
      </c>
      <c r="G102" s="60">
        <f t="shared" si="2"/>
        <v>0.35084997001716356</v>
      </c>
      <c r="H102" s="4" t="s">
        <v>122</v>
      </c>
      <c r="I102" s="60">
        <f t="shared" si="2"/>
        <v>0.35958591759374814</v>
      </c>
      <c r="J102" s="4" t="s">
        <v>122</v>
      </c>
      <c r="K102" s="60">
        <f t="shared" si="0"/>
        <v>0.3636894568429694</v>
      </c>
      <c r="L102" s="14">
        <v>100</v>
      </c>
      <c r="M102" s="18">
        <f t="shared" si="3"/>
        <v>0.358041781484627</v>
      </c>
    </row>
    <row r="103" spans="2:13" ht="12.75">
      <c r="B103" s="4" t="s">
        <v>136</v>
      </c>
      <c r="C103" s="4" t="s">
        <v>239</v>
      </c>
      <c r="D103" s="4" t="s">
        <v>34</v>
      </c>
      <c r="E103" s="16" t="s">
        <v>15</v>
      </c>
      <c r="G103" s="21">
        <f t="shared" si="2"/>
        <v>838.4414668102473</v>
      </c>
      <c r="H103" s="4"/>
      <c r="I103" s="21">
        <f t="shared" si="2"/>
        <v>1146.8898213779544</v>
      </c>
      <c r="J103" s="4"/>
      <c r="K103" s="21">
        <f t="shared" si="0"/>
        <v>1377.094974608535</v>
      </c>
      <c r="M103" s="18">
        <f t="shared" si="3"/>
        <v>1120.8087542655787</v>
      </c>
    </row>
    <row r="104" spans="2:13" ht="12.75">
      <c r="B104" s="4"/>
      <c r="C104" s="4"/>
      <c r="E104" s="16"/>
      <c r="G104" s="21"/>
      <c r="H104" s="4"/>
      <c r="I104" s="21"/>
      <c r="J104" s="4"/>
      <c r="K104" s="21"/>
      <c r="M104" s="18"/>
    </row>
    <row r="105" spans="2:13" ht="12.75">
      <c r="B105" s="4" t="s">
        <v>35</v>
      </c>
      <c r="C105" s="14" t="s">
        <v>239</v>
      </c>
      <c r="D105" s="4" t="s">
        <v>34</v>
      </c>
      <c r="E105" s="16" t="s">
        <v>15</v>
      </c>
      <c r="G105" s="60">
        <f>G93+G97</f>
        <v>12.648591226772613</v>
      </c>
      <c r="I105" s="60">
        <f>I93+I97</f>
        <v>5.109905144753261</v>
      </c>
      <c r="K105" s="60">
        <f>K93+K97</f>
        <v>4.508233892115975</v>
      </c>
      <c r="M105" s="18">
        <f>AVERAGE(K105,I105,G105)</f>
        <v>7.422243421213949</v>
      </c>
    </row>
    <row r="106" spans="2:13" ht="12.75">
      <c r="B106" s="4" t="s">
        <v>36</v>
      </c>
      <c r="C106" s="14" t="s">
        <v>239</v>
      </c>
      <c r="D106" s="4" t="s">
        <v>34</v>
      </c>
      <c r="E106" s="16" t="s">
        <v>15</v>
      </c>
      <c r="G106" s="60">
        <f>G89+G92+G94</f>
        <v>77.41207715377159</v>
      </c>
      <c r="I106" s="60">
        <f>I89+I92+I94</f>
        <v>35.51951842841822</v>
      </c>
      <c r="K106" s="60">
        <f>K89+K92+K94</f>
        <v>13.665631340874574</v>
      </c>
      <c r="M106" s="18">
        <f>AVERAGE(K106,I106,G106)</f>
        <v>42.199075641021466</v>
      </c>
    </row>
    <row r="107" spans="2:13" ht="12.75">
      <c r="B107" s="4"/>
      <c r="E107" s="16"/>
      <c r="G107" s="60"/>
      <c r="I107" s="60"/>
      <c r="K107" s="60"/>
      <c r="M107" s="18"/>
    </row>
    <row r="109" spans="1:13" ht="12.75">
      <c r="A109" s="16" t="s">
        <v>61</v>
      </c>
      <c r="B109" s="13" t="s">
        <v>171</v>
      </c>
      <c r="C109" s="13" t="s">
        <v>157</v>
      </c>
      <c r="G109" s="16" t="s">
        <v>181</v>
      </c>
      <c r="H109" s="16"/>
      <c r="I109" s="16" t="s">
        <v>182</v>
      </c>
      <c r="J109" s="16"/>
      <c r="K109" s="16" t="s">
        <v>183</v>
      </c>
      <c r="M109" s="16" t="s">
        <v>180</v>
      </c>
    </row>
    <row r="110" spans="3:13" ht="12.75">
      <c r="C110" s="79"/>
      <c r="D110" s="39"/>
      <c r="E110" s="59"/>
      <c r="F110" s="14"/>
      <c r="G110" s="16"/>
      <c r="H110" s="16"/>
      <c r="I110" s="16"/>
      <c r="J110" s="16"/>
      <c r="K110" s="16"/>
      <c r="M110" s="16"/>
    </row>
    <row r="111" spans="4:9" ht="12.75">
      <c r="D111" s="17"/>
      <c r="E111" s="14"/>
      <c r="F111" s="14"/>
      <c r="I111" s="14"/>
    </row>
    <row r="112" spans="2:13" ht="12.75">
      <c r="B112" s="4" t="s">
        <v>63</v>
      </c>
      <c r="C112" s="4"/>
      <c r="D112" s="4" t="s">
        <v>16</v>
      </c>
      <c r="E112" s="16" t="s">
        <v>15</v>
      </c>
      <c r="G112" s="24">
        <v>46.9</v>
      </c>
      <c r="H112" s="24"/>
      <c r="I112" s="24">
        <v>42.8</v>
      </c>
      <c r="J112" s="24"/>
      <c r="K112" s="24">
        <v>48.8</v>
      </c>
      <c r="L112" s="18"/>
      <c r="M112" s="21">
        <f>AVERAGE(G112,I112,K112)</f>
        <v>46.166666666666664</v>
      </c>
    </row>
    <row r="113" spans="2:13" ht="12.75">
      <c r="B113" s="4" t="s">
        <v>119</v>
      </c>
      <c r="C113" s="4"/>
      <c r="D113" s="4" t="s">
        <v>16</v>
      </c>
      <c r="E113" s="16" t="s">
        <v>15</v>
      </c>
      <c r="G113" s="48">
        <v>2.33</v>
      </c>
      <c r="H113" s="48"/>
      <c r="I113" s="48">
        <v>0.57</v>
      </c>
      <c r="J113" s="48"/>
      <c r="K113" s="48">
        <v>1.12</v>
      </c>
      <c r="L113" s="18"/>
      <c r="M113" s="18">
        <f>AVERAGE(G113,I113,K113)</f>
        <v>1.3399999999999999</v>
      </c>
    </row>
    <row r="115" spans="2:13" ht="12.75">
      <c r="B115" s="4" t="s">
        <v>123</v>
      </c>
      <c r="C115" s="4"/>
      <c r="D115" s="4" t="s">
        <v>28</v>
      </c>
      <c r="G115" s="58">
        <v>3.03E-05</v>
      </c>
      <c r="H115" s="58"/>
      <c r="I115" s="58">
        <v>1.37E-05</v>
      </c>
      <c r="J115" s="58"/>
      <c r="K115" s="58">
        <v>3.18E-05</v>
      </c>
      <c r="M115" s="80"/>
    </row>
    <row r="116" spans="2:13" ht="12.75">
      <c r="B116" s="4" t="s">
        <v>124</v>
      </c>
      <c r="C116" s="4"/>
      <c r="D116" s="4" t="s">
        <v>28</v>
      </c>
      <c r="G116" s="58">
        <f>0.0000216</f>
        <v>2.16E-05</v>
      </c>
      <c r="H116" s="58" t="s">
        <v>122</v>
      </c>
      <c r="I116" s="58">
        <v>2.04E-05</v>
      </c>
      <c r="J116" s="58" t="s">
        <v>122</v>
      </c>
      <c r="K116" s="58">
        <f>0.0000199</f>
        <v>1.99E-05</v>
      </c>
      <c r="M116" s="80"/>
    </row>
    <row r="117" spans="2:13" ht="12.75">
      <c r="B117" s="4" t="s">
        <v>125</v>
      </c>
      <c r="C117" s="4"/>
      <c r="D117" s="4" t="s">
        <v>28</v>
      </c>
      <c r="G117" s="58">
        <v>0.000101</v>
      </c>
      <c r="H117" s="58"/>
      <c r="I117" s="58">
        <v>6.57E-05</v>
      </c>
      <c r="J117" s="58"/>
      <c r="K117" s="58">
        <v>9.24E-05</v>
      </c>
      <c r="M117" s="80"/>
    </row>
    <row r="118" spans="2:13" ht="12.75">
      <c r="B118" s="4" t="s">
        <v>126</v>
      </c>
      <c r="C118" s="4"/>
      <c r="D118" s="4" t="s">
        <v>28</v>
      </c>
      <c r="F118" s="14" t="s">
        <v>122</v>
      </c>
      <c r="G118" s="58">
        <v>5.13E-06</v>
      </c>
      <c r="H118" s="58" t="s">
        <v>122</v>
      </c>
      <c r="I118" s="58">
        <v>5.09E-06</v>
      </c>
      <c r="J118" s="58" t="s">
        <v>122</v>
      </c>
      <c r="K118" s="58">
        <v>4.97E-06</v>
      </c>
      <c r="M118" s="80"/>
    </row>
    <row r="119" spans="2:13" ht="12.75">
      <c r="B119" s="4" t="s">
        <v>127</v>
      </c>
      <c r="C119" s="4"/>
      <c r="D119" s="4" t="s">
        <v>28</v>
      </c>
      <c r="G119" s="58">
        <v>0.000146</v>
      </c>
      <c r="H119" s="58"/>
      <c r="I119" s="58">
        <v>0.000155</v>
      </c>
      <c r="J119" s="58"/>
      <c r="K119" s="58">
        <v>0.000113</v>
      </c>
      <c r="M119" s="80"/>
    </row>
    <row r="120" spans="2:13" ht="12.75">
      <c r="B120" s="4" t="s">
        <v>128</v>
      </c>
      <c r="C120" s="4"/>
      <c r="D120" s="4" t="s">
        <v>28</v>
      </c>
      <c r="G120" s="58">
        <v>0.000151</v>
      </c>
      <c r="H120" s="58"/>
      <c r="I120" s="58">
        <v>0.000188</v>
      </c>
      <c r="J120" s="58"/>
      <c r="K120" s="58">
        <v>7.65E-05</v>
      </c>
      <c r="M120" s="80"/>
    </row>
    <row r="121" spans="2:13" ht="12.75">
      <c r="B121" s="4" t="s">
        <v>129</v>
      </c>
      <c r="C121" s="4"/>
      <c r="D121" s="4" t="s">
        <v>28</v>
      </c>
      <c r="G121" s="58">
        <v>0.000657</v>
      </c>
      <c r="H121" s="58"/>
      <c r="I121" s="58">
        <v>0.000631</v>
      </c>
      <c r="J121" s="58"/>
      <c r="K121" s="58">
        <v>0.000342</v>
      </c>
      <c r="M121" s="80"/>
    </row>
    <row r="122" spans="2:13" ht="12.75">
      <c r="B122" s="4" t="s">
        <v>130</v>
      </c>
      <c r="C122" s="4"/>
      <c r="D122" s="4" t="s">
        <v>28</v>
      </c>
      <c r="G122" s="58">
        <v>8.22E-05</v>
      </c>
      <c r="H122" s="58"/>
      <c r="I122" s="58">
        <v>7.08E-05</v>
      </c>
      <c r="J122" s="58"/>
      <c r="K122" s="58">
        <v>5.71E-05</v>
      </c>
      <c r="M122" s="80"/>
    </row>
    <row r="123" spans="2:13" ht="12.75">
      <c r="B123" s="4" t="s">
        <v>131</v>
      </c>
      <c r="C123" s="4"/>
      <c r="D123" s="4" t="s">
        <v>28</v>
      </c>
      <c r="G123" s="58">
        <v>0.00183</v>
      </c>
      <c r="H123" s="58"/>
      <c r="I123" s="58">
        <v>0.00177</v>
      </c>
      <c r="J123" s="58"/>
      <c r="K123" s="58">
        <v>0.00167</v>
      </c>
      <c r="M123" s="80"/>
    </row>
    <row r="124" spans="2:13" ht="12.75">
      <c r="B124" s="4" t="s">
        <v>132</v>
      </c>
      <c r="C124" s="4"/>
      <c r="D124" s="4" t="s">
        <v>28</v>
      </c>
      <c r="G124" s="58">
        <v>0.00471</v>
      </c>
      <c r="H124" s="58" t="s">
        <v>122</v>
      </c>
      <c r="I124" s="58">
        <v>0.000504</v>
      </c>
      <c r="J124" s="58"/>
      <c r="K124" s="58">
        <v>0.000154</v>
      </c>
      <c r="M124" s="80"/>
    </row>
    <row r="125" spans="2:13" ht="12.75">
      <c r="B125" s="4" t="s">
        <v>133</v>
      </c>
      <c r="C125" s="4"/>
      <c r="D125" s="4" t="s">
        <v>28</v>
      </c>
      <c r="G125" s="58">
        <v>0.000126</v>
      </c>
      <c r="H125" s="58"/>
      <c r="I125" s="58">
        <v>0.000332</v>
      </c>
      <c r="J125" s="58"/>
      <c r="K125" s="58">
        <v>0.000138</v>
      </c>
      <c r="M125" s="80"/>
    </row>
    <row r="126" spans="2:13" ht="12.75">
      <c r="B126" s="4" t="s">
        <v>134</v>
      </c>
      <c r="C126" s="4"/>
      <c r="D126" s="4" t="s">
        <v>28</v>
      </c>
      <c r="G126" s="58">
        <v>0.000325</v>
      </c>
      <c r="H126" s="58" t="s">
        <v>122</v>
      </c>
      <c r="I126" s="58">
        <v>0.000171</v>
      </c>
      <c r="J126" s="58" t="s">
        <v>122</v>
      </c>
      <c r="K126" s="58">
        <v>0.000147</v>
      </c>
      <c r="M126" s="80"/>
    </row>
    <row r="127" spans="2:13" ht="12.75">
      <c r="B127" s="4" t="s">
        <v>135</v>
      </c>
      <c r="C127" s="4"/>
      <c r="D127" s="4" t="s">
        <v>28</v>
      </c>
      <c r="F127" s="4" t="s">
        <v>122</v>
      </c>
      <c r="G127" s="58">
        <v>2.57E-05</v>
      </c>
      <c r="H127" s="58" t="s">
        <v>122</v>
      </c>
      <c r="I127" s="58">
        <v>2.55E-05</v>
      </c>
      <c r="J127" s="58" t="s">
        <v>122</v>
      </c>
      <c r="K127" s="58">
        <v>2.48E-05</v>
      </c>
      <c r="M127" s="80"/>
    </row>
    <row r="128" spans="2:13" ht="12.75">
      <c r="B128" s="4" t="s">
        <v>136</v>
      </c>
      <c r="C128" s="4"/>
      <c r="D128" s="4" t="s">
        <v>28</v>
      </c>
      <c r="G128" s="58">
        <v>0.00509</v>
      </c>
      <c r="H128" s="58"/>
      <c r="I128" s="58">
        <v>0.00221</v>
      </c>
      <c r="J128" s="58"/>
      <c r="K128" s="58">
        <v>0.00341</v>
      </c>
      <c r="M128" s="80"/>
    </row>
    <row r="129" spans="7:11" ht="12.75">
      <c r="G129" s="58"/>
      <c r="H129" s="58"/>
      <c r="I129" s="58"/>
      <c r="J129" s="58"/>
      <c r="K129" s="58"/>
    </row>
    <row r="130" spans="2:11" ht="12.75">
      <c r="B130" s="4" t="s">
        <v>158</v>
      </c>
      <c r="D130" s="4" t="s">
        <v>28</v>
      </c>
      <c r="G130" s="58">
        <f>G$133*22/100</f>
        <v>0.000572</v>
      </c>
      <c r="H130" s="58"/>
      <c r="I130" s="58">
        <f>I$133*22/100</f>
        <v>0.00046199999999999995</v>
      </c>
      <c r="J130" s="58"/>
      <c r="K130" s="58">
        <f>K$133*29/100</f>
        <v>0.0005510000000000001</v>
      </c>
    </row>
    <row r="131" spans="2:11" ht="12.75">
      <c r="B131" s="4" t="s">
        <v>159</v>
      </c>
      <c r="D131" s="4" t="s">
        <v>28</v>
      </c>
      <c r="G131" s="58">
        <f>G$133*48/100</f>
        <v>0.001248</v>
      </c>
      <c r="H131" s="58"/>
      <c r="I131" s="58">
        <f>I$133*45/100</f>
        <v>0.000945</v>
      </c>
      <c r="J131" s="58"/>
      <c r="K131" s="58">
        <f>K$133*41/100</f>
        <v>0.000779</v>
      </c>
    </row>
    <row r="132" spans="2:11" ht="12.75">
      <c r="B132" s="4" t="s">
        <v>160</v>
      </c>
      <c r="D132" s="4" t="s">
        <v>28</v>
      </c>
      <c r="G132" s="58">
        <f>G$133*30/100</f>
        <v>0.00078</v>
      </c>
      <c r="H132" s="58"/>
      <c r="I132" s="58">
        <f>I$133*33/100</f>
        <v>0.000693</v>
      </c>
      <c r="J132" s="58"/>
      <c r="K132" s="58">
        <f>K$133*29/100</f>
        <v>0.0005510000000000001</v>
      </c>
    </row>
    <row r="133" spans="2:11" ht="12.75">
      <c r="B133" s="4" t="s">
        <v>161</v>
      </c>
      <c r="D133" s="4" t="s">
        <v>28</v>
      </c>
      <c r="G133" s="58">
        <f>0.0026</f>
        <v>0.0026</v>
      </c>
      <c r="H133" s="58"/>
      <c r="I133" s="58">
        <f>0.0021</f>
        <v>0.0021</v>
      </c>
      <c r="J133" s="58"/>
      <c r="K133" s="58">
        <f>0.0019</f>
        <v>0.0019</v>
      </c>
    </row>
    <row r="134" spans="7:11" ht="12.75">
      <c r="G134" s="58"/>
      <c r="H134" s="58"/>
      <c r="I134" s="58"/>
      <c r="J134" s="58"/>
      <c r="K134" s="58"/>
    </row>
    <row r="135" spans="2:13" ht="12.75">
      <c r="B135" s="4" t="s">
        <v>59</v>
      </c>
      <c r="C135" s="4" t="s">
        <v>110</v>
      </c>
      <c r="D135" s="4" t="s">
        <v>237</v>
      </c>
      <c r="G135" s="19"/>
      <c r="H135" s="19"/>
      <c r="I135" s="20"/>
      <c r="J135" s="19"/>
      <c r="K135" s="19"/>
      <c r="M135" s="60"/>
    </row>
    <row r="136" spans="2:13" ht="12.75">
      <c r="B136" s="4" t="s">
        <v>52</v>
      </c>
      <c r="C136" s="4"/>
      <c r="D136" s="4" t="s">
        <v>17</v>
      </c>
      <c r="G136" s="19">
        <v>32788</v>
      </c>
      <c r="H136" s="19"/>
      <c r="I136" s="19">
        <v>33027</v>
      </c>
      <c r="J136" s="19"/>
      <c r="K136" s="19">
        <v>31447</v>
      </c>
      <c r="M136" s="21">
        <f>AVERAGE(G136,I136,K136)</f>
        <v>32420.666666666668</v>
      </c>
    </row>
    <row r="137" spans="2:13" ht="12.75">
      <c r="B137" s="4" t="s">
        <v>56</v>
      </c>
      <c r="C137" s="4"/>
      <c r="D137" s="4" t="s">
        <v>18</v>
      </c>
      <c r="G137" s="24">
        <v>14.5</v>
      </c>
      <c r="H137" s="19"/>
      <c r="I137" s="24">
        <v>14</v>
      </c>
      <c r="J137" s="19"/>
      <c r="K137" s="24">
        <v>14</v>
      </c>
      <c r="M137" s="18">
        <f>AVERAGE(G137,I137,K137)</f>
        <v>14.166666666666666</v>
      </c>
    </row>
    <row r="138" spans="2:13" ht="12.75">
      <c r="B138" s="4" t="s">
        <v>57</v>
      </c>
      <c r="C138" s="4"/>
      <c r="D138" s="4" t="s">
        <v>18</v>
      </c>
      <c r="G138" s="19">
        <v>18.5</v>
      </c>
      <c r="H138" s="19"/>
      <c r="I138" s="20">
        <v>18.5</v>
      </c>
      <c r="J138" s="19"/>
      <c r="K138" s="19">
        <v>21</v>
      </c>
      <c r="M138" s="18">
        <f>AVERAGE(G138,I138,K138)</f>
        <v>19.333333333333332</v>
      </c>
    </row>
    <row r="139" spans="2:13" ht="12.75">
      <c r="B139" s="4" t="s">
        <v>51</v>
      </c>
      <c r="C139" s="4"/>
      <c r="D139" s="4" t="s">
        <v>19</v>
      </c>
      <c r="G139" s="19"/>
      <c r="H139" s="19"/>
      <c r="I139" s="20"/>
      <c r="J139" s="19"/>
      <c r="K139" s="19"/>
      <c r="M139" s="21"/>
    </row>
    <row r="140" spans="2:13" ht="12.75">
      <c r="B140" s="4"/>
      <c r="C140" s="4"/>
      <c r="G140" s="19"/>
      <c r="H140" s="19"/>
      <c r="I140" s="20"/>
      <c r="J140" s="19"/>
      <c r="K140" s="19"/>
      <c r="L140" s="16"/>
      <c r="M140" s="21"/>
    </row>
    <row r="141" spans="2:13" ht="12.75">
      <c r="B141" s="4" t="s">
        <v>59</v>
      </c>
      <c r="C141" s="4" t="s">
        <v>138</v>
      </c>
      <c r="D141" s="4" t="s">
        <v>238</v>
      </c>
      <c r="G141" s="19"/>
      <c r="H141" s="19"/>
      <c r="I141" s="20"/>
      <c r="J141" s="19"/>
      <c r="K141" s="19"/>
      <c r="M141" s="60"/>
    </row>
    <row r="142" spans="2:13" ht="12.75">
      <c r="B142" s="4" t="s">
        <v>52</v>
      </c>
      <c r="C142" s="4"/>
      <c r="D142" s="4" t="s">
        <v>17</v>
      </c>
      <c r="G142" s="19">
        <v>32681</v>
      </c>
      <c r="H142" s="19"/>
      <c r="I142" s="19">
        <v>32015</v>
      </c>
      <c r="J142" s="19"/>
      <c r="K142" s="19">
        <v>29193</v>
      </c>
      <c r="M142" s="21">
        <f>AVERAGE(G142,I142,K142)</f>
        <v>31296.333333333332</v>
      </c>
    </row>
    <row r="143" spans="2:13" ht="12.75">
      <c r="B143" s="4" t="s">
        <v>56</v>
      </c>
      <c r="C143" s="4"/>
      <c r="D143" s="4" t="s">
        <v>18</v>
      </c>
      <c r="G143" s="24">
        <v>14.5</v>
      </c>
      <c r="H143" s="19"/>
      <c r="I143" s="24">
        <v>14</v>
      </c>
      <c r="J143" s="19"/>
      <c r="K143" s="24">
        <v>14</v>
      </c>
      <c r="M143" s="18">
        <f>AVERAGE(G143,I143,K143)</f>
        <v>14.166666666666666</v>
      </c>
    </row>
    <row r="144" spans="2:13" ht="12.75">
      <c r="B144" s="4" t="s">
        <v>57</v>
      </c>
      <c r="C144" s="4"/>
      <c r="D144" s="4" t="s">
        <v>18</v>
      </c>
      <c r="G144" s="5">
        <v>17.7</v>
      </c>
      <c r="H144" s="19"/>
      <c r="I144" s="20">
        <v>18.2</v>
      </c>
      <c r="J144" s="19"/>
      <c r="K144" s="19">
        <v>20.4</v>
      </c>
      <c r="M144" s="18">
        <f>AVERAGE(G144,I144,K144)</f>
        <v>18.766666666666666</v>
      </c>
    </row>
    <row r="145" spans="2:13" ht="12.75">
      <c r="B145" s="4" t="s">
        <v>51</v>
      </c>
      <c r="C145" s="4"/>
      <c r="D145" s="4" t="s">
        <v>19</v>
      </c>
      <c r="G145" s="19">
        <v>137</v>
      </c>
      <c r="H145" s="19"/>
      <c r="I145" s="20">
        <v>139</v>
      </c>
      <c r="J145" s="19"/>
      <c r="K145" s="19">
        <v>145</v>
      </c>
      <c r="M145" s="18">
        <f>AVERAGE(G145,I145,K145)</f>
        <v>140.33333333333334</v>
      </c>
    </row>
    <row r="146" spans="2:13" ht="12.75">
      <c r="B146" s="4"/>
      <c r="C146" s="4"/>
      <c r="G146" s="19"/>
      <c r="H146" s="19"/>
      <c r="I146" s="20"/>
      <c r="J146" s="19"/>
      <c r="K146" s="19"/>
      <c r="M146" s="21"/>
    </row>
    <row r="148" spans="2:13" ht="12.75">
      <c r="B148" s="4" t="s">
        <v>123</v>
      </c>
      <c r="C148" s="4" t="s">
        <v>238</v>
      </c>
      <c r="D148" s="4" t="s">
        <v>34</v>
      </c>
      <c r="E148" s="16" t="s">
        <v>15</v>
      </c>
      <c r="G148" s="60">
        <f aca="true" t="shared" si="4" ref="G148:G161">G115*1/60*454*1000000/(G$142*0.0283)*(21-7)/(21-G$143)</f>
        <v>0.5339248539417903</v>
      </c>
      <c r="H148" s="4"/>
      <c r="I148" s="60">
        <f aca="true" t="shared" si="5" ref="I148:I161">I115*1/60*454*1000000/(I$142*0.0283)*(21-7)/(21-I$143)</f>
        <v>0.22883119238681374</v>
      </c>
      <c r="J148" s="4"/>
      <c r="K148" s="60">
        <f aca="true" t="shared" si="6" ref="K148:K161">K115*1/60*454*1000000/(K$142*0.0283)*(21-7)/(21-K$143)</f>
        <v>0.5825008391212425</v>
      </c>
      <c r="M148" s="18">
        <f aca="true" t="shared" si="7" ref="M148:M155">AVERAGE(K148,I148,G148)</f>
        <v>0.4484189618166155</v>
      </c>
    </row>
    <row r="149" spans="2:13" ht="12.75">
      <c r="B149" s="4" t="s">
        <v>124</v>
      </c>
      <c r="C149" s="4" t="s">
        <v>238</v>
      </c>
      <c r="D149" s="4" t="s">
        <v>34</v>
      </c>
      <c r="E149" s="16" t="s">
        <v>15</v>
      </c>
      <c r="G149" s="60">
        <f t="shared" si="4"/>
        <v>0.38061969785949407</v>
      </c>
      <c r="H149" s="4" t="s">
        <v>122</v>
      </c>
      <c r="I149" s="60">
        <f t="shared" si="5"/>
        <v>0.340741337568686</v>
      </c>
      <c r="J149" s="4" t="s">
        <v>122</v>
      </c>
      <c r="K149" s="60">
        <f t="shared" si="6"/>
        <v>0.3645209653620354</v>
      </c>
      <c r="L149" s="14">
        <v>100</v>
      </c>
      <c r="M149" s="18">
        <f t="shared" si="7"/>
        <v>0.36196066693007184</v>
      </c>
    </row>
    <row r="150" spans="2:13" ht="12.75">
      <c r="B150" s="4" t="s">
        <v>125</v>
      </c>
      <c r="C150" s="4" t="s">
        <v>238</v>
      </c>
      <c r="D150" s="4" t="s">
        <v>34</v>
      </c>
      <c r="E150" s="16" t="s">
        <v>15</v>
      </c>
      <c r="G150" s="60">
        <f t="shared" si="4"/>
        <v>1.779749513139301</v>
      </c>
      <c r="H150" s="4"/>
      <c r="I150" s="60">
        <f t="shared" si="5"/>
        <v>1.0973875430520916</v>
      </c>
      <c r="J150" s="4"/>
      <c r="K150" s="60">
        <f t="shared" si="6"/>
        <v>1.6925496080126667</v>
      </c>
      <c r="M150" s="18">
        <f t="shared" si="7"/>
        <v>1.5232288880680198</v>
      </c>
    </row>
    <row r="151" spans="2:13" ht="12.75">
      <c r="B151" s="4" t="s">
        <v>126</v>
      </c>
      <c r="C151" s="4" t="s">
        <v>238</v>
      </c>
      <c r="D151" s="4" t="s">
        <v>34</v>
      </c>
      <c r="E151" s="16" t="s">
        <v>15</v>
      </c>
      <c r="F151" s="14" t="s">
        <v>122</v>
      </c>
      <c r="G151" s="60">
        <f t="shared" si="4"/>
        <v>0.09039717824162988</v>
      </c>
      <c r="H151" s="14" t="s">
        <v>122</v>
      </c>
      <c r="I151" s="60">
        <f t="shared" si="5"/>
        <v>0.0850183043247359</v>
      </c>
      <c r="J151" s="14" t="s">
        <v>122</v>
      </c>
      <c r="K151" s="60">
        <f t="shared" si="6"/>
        <v>0.09103865315825709</v>
      </c>
      <c r="L151" s="14">
        <v>100</v>
      </c>
      <c r="M151" s="18">
        <f t="shared" si="7"/>
        <v>0.08881804524154095</v>
      </c>
    </row>
    <row r="152" spans="2:13" ht="12.75">
      <c r="B152" s="4" t="s">
        <v>127</v>
      </c>
      <c r="C152" s="4" t="s">
        <v>238</v>
      </c>
      <c r="D152" s="4" t="s">
        <v>34</v>
      </c>
      <c r="E152" s="16" t="s">
        <v>15</v>
      </c>
      <c r="G152" s="60">
        <f t="shared" si="4"/>
        <v>2.5727072170132477</v>
      </c>
      <c r="H152" s="4"/>
      <c r="I152" s="60">
        <f t="shared" si="5"/>
        <v>2.5889660452522714</v>
      </c>
      <c r="J152" s="4"/>
      <c r="K152" s="60">
        <f t="shared" si="6"/>
        <v>2.0698929188899498</v>
      </c>
      <c r="M152" s="18">
        <f t="shared" si="7"/>
        <v>2.4105220603851563</v>
      </c>
    </row>
    <row r="153" spans="2:13" ht="12.75">
      <c r="B153" s="4" t="s">
        <v>128</v>
      </c>
      <c r="C153" s="4" t="s">
        <v>238</v>
      </c>
      <c r="D153" s="4" t="s">
        <v>34</v>
      </c>
      <c r="E153" s="16" t="s">
        <v>15</v>
      </c>
      <c r="G153" s="60">
        <f t="shared" si="4"/>
        <v>2.6608136285547968</v>
      </c>
      <c r="H153" s="4"/>
      <c r="I153" s="60">
        <f t="shared" si="5"/>
        <v>3.1401652677898517</v>
      </c>
      <c r="J153" s="4"/>
      <c r="K153" s="60">
        <f t="shared" si="6"/>
        <v>1.4012991884520456</v>
      </c>
      <c r="M153" s="18">
        <f t="shared" si="7"/>
        <v>2.400759361598898</v>
      </c>
    </row>
    <row r="154" spans="2:13" ht="12.75">
      <c r="B154" s="4" t="s">
        <v>129</v>
      </c>
      <c r="C154" s="4" t="s">
        <v>238</v>
      </c>
      <c r="D154" s="4" t="s">
        <v>34</v>
      </c>
      <c r="E154" s="16" t="s">
        <v>15</v>
      </c>
      <c r="G154" s="60">
        <f t="shared" si="4"/>
        <v>11.577182476559612</v>
      </c>
      <c r="H154" s="4"/>
      <c r="I154" s="60">
        <f t="shared" si="5"/>
        <v>10.539597255188282</v>
      </c>
      <c r="J154" s="4"/>
      <c r="K154" s="60">
        <f t="shared" si="6"/>
        <v>6.26463166602091</v>
      </c>
      <c r="M154" s="18">
        <f t="shared" si="7"/>
        <v>9.460470465922933</v>
      </c>
    </row>
    <row r="155" spans="2:13" ht="12.75">
      <c r="B155" s="4" t="s">
        <v>130</v>
      </c>
      <c r="C155" s="4" t="s">
        <v>238</v>
      </c>
      <c r="D155" s="4" t="s">
        <v>34</v>
      </c>
      <c r="E155" s="16" t="s">
        <v>15</v>
      </c>
      <c r="G155" s="60">
        <f t="shared" si="4"/>
        <v>1.448469405743075</v>
      </c>
      <c r="H155" s="4"/>
      <c r="I155" s="60">
        <f t="shared" si="5"/>
        <v>1.1825728774442632</v>
      </c>
      <c r="J155" s="4"/>
      <c r="K155" s="60">
        <f t="shared" si="6"/>
        <v>1.045937041315187</v>
      </c>
      <c r="M155" s="18">
        <f t="shared" si="7"/>
        <v>1.225659774834175</v>
      </c>
    </row>
    <row r="156" spans="2:13" ht="12.75">
      <c r="B156" s="4" t="s">
        <v>131</v>
      </c>
      <c r="C156" s="4" t="s">
        <v>238</v>
      </c>
      <c r="D156" s="4" t="s">
        <v>34</v>
      </c>
      <c r="E156" s="16" t="s">
        <v>15</v>
      </c>
      <c r="G156" s="60">
        <f t="shared" si="4"/>
        <v>32.24694662420714</v>
      </c>
      <c r="H156" s="4"/>
      <c r="I156" s="60">
        <f t="shared" si="5"/>
        <v>29.564321936106584</v>
      </c>
      <c r="J156" s="4"/>
      <c r="K156" s="60">
        <f t="shared" si="6"/>
        <v>30.590452872090406</v>
      </c>
      <c r="M156" s="18">
        <f aca="true" t="shared" si="8" ref="M156:M161">AVERAGE(K156,I156,G156)</f>
        <v>30.800573810801378</v>
      </c>
    </row>
    <row r="157" spans="2:13" ht="12.75">
      <c r="B157" s="4" t="s">
        <v>132</v>
      </c>
      <c r="C157" s="4" t="s">
        <v>238</v>
      </c>
      <c r="D157" s="4" t="s">
        <v>34</v>
      </c>
      <c r="E157" s="16" t="s">
        <v>15</v>
      </c>
      <c r="G157" s="60">
        <f t="shared" si="4"/>
        <v>82.99623967213968</v>
      </c>
      <c r="H157" s="4" t="s">
        <v>122</v>
      </c>
      <c r="I157" s="60">
        <f t="shared" si="5"/>
        <v>8.418315398755771</v>
      </c>
      <c r="J157" s="4"/>
      <c r="K157" s="60">
        <f t="shared" si="6"/>
        <v>2.8209160133544446</v>
      </c>
      <c r="M157" s="18">
        <f t="shared" si="8"/>
        <v>31.411823694749966</v>
      </c>
    </row>
    <row r="158" spans="2:13" ht="12.75">
      <c r="B158" s="4" t="s">
        <v>133</v>
      </c>
      <c r="C158" s="4" t="s">
        <v>238</v>
      </c>
      <c r="D158" s="4" t="s">
        <v>34</v>
      </c>
      <c r="E158" s="16" t="s">
        <v>15</v>
      </c>
      <c r="G158" s="60">
        <f t="shared" si="4"/>
        <v>2.2202815708470487</v>
      </c>
      <c r="H158" s="4"/>
      <c r="I158" s="60">
        <f t="shared" si="5"/>
        <v>5.54539823886293</v>
      </c>
      <c r="J158" s="4"/>
      <c r="K158" s="60">
        <f t="shared" si="6"/>
        <v>2.5278338301487877</v>
      </c>
      <c r="M158" s="18">
        <f t="shared" si="8"/>
        <v>3.4311712132862553</v>
      </c>
    </row>
    <row r="159" spans="2:13" ht="12.75">
      <c r="B159" s="4" t="s">
        <v>134</v>
      </c>
      <c r="C159" s="4" t="s">
        <v>238</v>
      </c>
      <c r="D159" s="4" t="s">
        <v>34</v>
      </c>
      <c r="E159" s="16" t="s">
        <v>15</v>
      </c>
      <c r="G159" s="60">
        <f t="shared" si="4"/>
        <v>5.726916750200723</v>
      </c>
      <c r="H159" s="4" t="s">
        <v>122</v>
      </c>
      <c r="I159" s="60">
        <f t="shared" si="5"/>
        <v>2.8562141531492804</v>
      </c>
      <c r="J159" s="4" t="s">
        <v>122</v>
      </c>
      <c r="K159" s="60">
        <f t="shared" si="6"/>
        <v>2.69269255820197</v>
      </c>
      <c r="M159" s="18">
        <f t="shared" si="8"/>
        <v>3.7586078205173243</v>
      </c>
    </row>
    <row r="160" spans="2:13" ht="12.75">
      <c r="B160" s="4" t="s">
        <v>135</v>
      </c>
      <c r="C160" s="4" t="s">
        <v>238</v>
      </c>
      <c r="D160" s="4" t="s">
        <v>34</v>
      </c>
      <c r="E160" s="16" t="s">
        <v>15</v>
      </c>
      <c r="F160" s="4" t="s">
        <v>122</v>
      </c>
      <c r="G160" s="60">
        <f t="shared" si="4"/>
        <v>0.45286695532356475</v>
      </c>
      <c r="H160" s="4" t="s">
        <v>122</v>
      </c>
      <c r="I160" s="60">
        <f t="shared" si="5"/>
        <v>0.42592667196085754</v>
      </c>
      <c r="J160" s="4" t="s">
        <v>122</v>
      </c>
      <c r="K160" s="60">
        <f t="shared" si="6"/>
        <v>0.45427738396876766</v>
      </c>
      <c r="L160" s="14">
        <v>100</v>
      </c>
      <c r="M160" s="18">
        <f t="shared" si="8"/>
        <v>0.4443570037510633</v>
      </c>
    </row>
    <row r="161" spans="2:13" ht="12.75">
      <c r="B161" s="4" t="s">
        <v>136</v>
      </c>
      <c r="C161" s="4" t="s">
        <v>238</v>
      </c>
      <c r="D161" s="4" t="s">
        <v>34</v>
      </c>
      <c r="E161" s="16" t="s">
        <v>15</v>
      </c>
      <c r="G161" s="18">
        <f t="shared" si="4"/>
        <v>89.69232694929745</v>
      </c>
      <c r="H161" s="67"/>
      <c r="I161" s="18">
        <f t="shared" si="5"/>
        <v>36.91364490327434</v>
      </c>
      <c r="J161" s="67"/>
      <c r="K161" s="18">
        <f t="shared" si="6"/>
        <v>62.46314029570556</v>
      </c>
      <c r="M161" s="18">
        <f t="shared" si="8"/>
        <v>63.02303738275911</v>
      </c>
    </row>
    <row r="162" spans="2:11" ht="12.75">
      <c r="B162" s="4"/>
      <c r="C162" s="4"/>
      <c r="E162" s="16"/>
      <c r="G162" s="18"/>
      <c r="H162" s="67"/>
      <c r="I162" s="18"/>
      <c r="J162" s="67"/>
      <c r="K162" s="18"/>
    </row>
    <row r="163" spans="2:13" ht="12.75">
      <c r="B163" s="4" t="s">
        <v>35</v>
      </c>
      <c r="C163" s="4" t="s">
        <v>238</v>
      </c>
      <c r="D163" s="4" t="s">
        <v>34</v>
      </c>
      <c r="E163" s="16" t="s">
        <v>15</v>
      </c>
      <c r="G163" s="60">
        <f>G152+G155</f>
        <v>4.021176622756323</v>
      </c>
      <c r="I163" s="60">
        <f>I152+I155</f>
        <v>3.771538922696535</v>
      </c>
      <c r="K163" s="60">
        <f>K152+K155</f>
        <v>3.1158299602051365</v>
      </c>
      <c r="M163" s="18">
        <f>AVERAGE(K163,I163,G163)</f>
        <v>3.636181835219331</v>
      </c>
    </row>
    <row r="164" spans="2:13" ht="12.75">
      <c r="B164" s="4" t="s">
        <v>36</v>
      </c>
      <c r="C164" s="4" t="s">
        <v>238</v>
      </c>
      <c r="D164" s="4" t="s">
        <v>34</v>
      </c>
      <c r="E164" s="16" t="s">
        <v>15</v>
      </c>
      <c r="G164" s="60">
        <f>G148+G151+G153</f>
        <v>3.285135660738217</v>
      </c>
      <c r="I164" s="60">
        <f>I148+I151+I153</f>
        <v>3.454014764501401</v>
      </c>
      <c r="K164" s="60">
        <f>K148+K151+K153</f>
        <v>2.074838680731545</v>
      </c>
      <c r="M164" s="18">
        <f>AVERAGE(K164,I164,G164)</f>
        <v>2.9379963686570547</v>
      </c>
    </row>
    <row r="165" ht="12.75">
      <c r="B165" s="66"/>
    </row>
    <row r="166" spans="2:11" ht="12.75">
      <c r="B166" s="4" t="s">
        <v>158</v>
      </c>
      <c r="D166" s="4" t="s">
        <v>34</v>
      </c>
      <c r="G166" s="18">
        <f>G130*1/60*454*1000000/(G$142*0.0283)*(21-7)/(21-G$143)</f>
        <v>10.079373480353269</v>
      </c>
      <c r="I166" s="18">
        <f>I130*1/60*454*1000000/(I$142*0.0283)*(21-7)/(21-I$143)</f>
        <v>7.716789115526124</v>
      </c>
      <c r="K166" s="18">
        <f>K130*1/60*454*1000000/(K$142*0.0283)*(21-7)/(21-K$143)</f>
        <v>10.0930176841448</v>
      </c>
    </row>
    <row r="167" spans="2:11" ht="12.75">
      <c r="B167" s="4" t="s">
        <v>159</v>
      </c>
      <c r="D167" s="4" t="s">
        <v>34</v>
      </c>
      <c r="G167" s="18">
        <f>G131*1/60*454*1000000/(G$142*0.0283)*(21-7)/(21-G$143)</f>
        <v>21.991360320770774</v>
      </c>
      <c r="I167" s="18">
        <f>I131*1/60*454*1000000/(I$142*0.0283)*(21-7)/(21-I$143)</f>
        <v>15.784341372667075</v>
      </c>
      <c r="K167" s="18">
        <f>K131*1/60*454*1000000/(K$142*0.0283)*(21-7)/(21-K$143)</f>
        <v>14.269438794825406</v>
      </c>
    </row>
    <row r="168" spans="2:11" ht="12.75">
      <c r="B168" s="4" t="s">
        <v>160</v>
      </c>
      <c r="D168" s="4" t="s">
        <v>34</v>
      </c>
      <c r="G168" s="18">
        <f>G132*1/60*454*1000000/(G$142*0.0283)*(21-7)/(21-G$143)</f>
        <v>13.74460020048173</v>
      </c>
      <c r="I168" s="18">
        <f>I132*1/60*454*1000000/(I$142*0.0283)*(21-7)/(21-I$143)</f>
        <v>11.57518367328919</v>
      </c>
      <c r="K168" s="18">
        <f>K132*1/60*454*1000000/(K$142*0.0283)*(21-7)/(21-K$143)</f>
        <v>10.0930176841448</v>
      </c>
    </row>
    <row r="169" spans="2:13" ht="12.75">
      <c r="B169" s="4" t="s">
        <v>161</v>
      </c>
      <c r="D169" s="4" t="s">
        <v>34</v>
      </c>
      <c r="G169" s="18">
        <f>G133*1/60*454*1000000/(G$142*0.0283)*(21-7)/(21-G$143)</f>
        <v>45.815334001605784</v>
      </c>
      <c r="I169" s="18">
        <f>I133*1/60*454*1000000/(I$142*0.0283)*(21-7)/(21-I$143)</f>
        <v>35.07631416148239</v>
      </c>
      <c r="K169" s="18">
        <f>K133*1/60*454*1000000/(K$142*0.0283)*(21-7)/(21-K$143)</f>
        <v>34.80350925567172</v>
      </c>
      <c r="M169" s="18">
        <f>AVERAGE(K169,I169,G169)</f>
        <v>38.565052472919966</v>
      </c>
    </row>
    <row r="170" ht="12.75">
      <c r="G170" s="18"/>
    </row>
    <row r="172" spans="1:13" ht="12.75">
      <c r="A172" s="16" t="s">
        <v>61</v>
      </c>
      <c r="B172" s="13" t="s">
        <v>172</v>
      </c>
      <c r="C172" s="13" t="s">
        <v>157</v>
      </c>
      <c r="G172" s="16" t="s">
        <v>181</v>
      </c>
      <c r="H172" s="16"/>
      <c r="I172" s="16" t="s">
        <v>182</v>
      </c>
      <c r="J172" s="16"/>
      <c r="K172" s="16" t="s">
        <v>183</v>
      </c>
      <c r="M172" s="16" t="s">
        <v>180</v>
      </c>
    </row>
    <row r="173" spans="3:13" ht="12.75">
      <c r="C173" s="79"/>
      <c r="D173" s="39"/>
      <c r="E173" s="59"/>
      <c r="F173" s="14"/>
      <c r="G173" s="16"/>
      <c r="H173" s="16"/>
      <c r="I173" s="16"/>
      <c r="J173" s="16"/>
      <c r="K173" s="16"/>
      <c r="M173" s="16"/>
    </row>
    <row r="174" spans="4:9" ht="12.75">
      <c r="D174" s="17"/>
      <c r="E174" s="14"/>
      <c r="F174" s="14"/>
      <c r="I174" s="14"/>
    </row>
    <row r="176" spans="2:13" ht="12.75">
      <c r="B176" s="4" t="s">
        <v>123</v>
      </c>
      <c r="C176" s="4"/>
      <c r="D176" s="4" t="s">
        <v>28</v>
      </c>
      <c r="G176" s="58">
        <v>3.6E-05</v>
      </c>
      <c r="H176" s="58"/>
      <c r="I176" s="58">
        <v>5.55E-05</v>
      </c>
      <c r="J176" s="58"/>
      <c r="K176" s="58">
        <v>5.55E-05</v>
      </c>
      <c r="M176" s="80"/>
    </row>
    <row r="177" spans="2:13" ht="12.75">
      <c r="B177" s="4" t="s">
        <v>124</v>
      </c>
      <c r="C177" s="4"/>
      <c r="D177" s="4" t="s">
        <v>28</v>
      </c>
      <c r="F177" s="14" t="s">
        <v>122</v>
      </c>
      <c r="G177" s="58">
        <v>1.92E-05</v>
      </c>
      <c r="H177" s="14" t="s">
        <v>122</v>
      </c>
      <c r="I177" s="58">
        <v>1.93E-05</v>
      </c>
      <c r="J177" s="14" t="s">
        <v>122</v>
      </c>
      <c r="K177" s="58">
        <v>1.93E-05</v>
      </c>
      <c r="M177" s="80"/>
    </row>
    <row r="178" spans="2:13" ht="12.75">
      <c r="B178" s="4" t="s">
        <v>125</v>
      </c>
      <c r="C178" s="4"/>
      <c r="D178" s="4" t="s">
        <v>28</v>
      </c>
      <c r="G178" s="58">
        <v>5.76E-05</v>
      </c>
      <c r="H178" s="58"/>
      <c r="I178" s="58">
        <v>4.83E-05</v>
      </c>
      <c r="J178" s="58"/>
      <c r="K178" s="58">
        <v>5.79E-05</v>
      </c>
      <c r="M178" s="80"/>
    </row>
    <row r="179" spans="2:13" ht="12.75">
      <c r="B179" s="4" t="s">
        <v>126</v>
      </c>
      <c r="C179" s="4"/>
      <c r="D179" s="4" t="s">
        <v>28</v>
      </c>
      <c r="F179" s="4" t="s">
        <v>122</v>
      </c>
      <c r="G179" s="58">
        <v>4.8E-06</v>
      </c>
      <c r="H179" s="4" t="s">
        <v>122</v>
      </c>
      <c r="I179" s="58">
        <v>4.83E-06</v>
      </c>
      <c r="J179" s="4" t="s">
        <v>122</v>
      </c>
      <c r="K179" s="58">
        <v>4.83E-06</v>
      </c>
      <c r="M179" s="80"/>
    </row>
    <row r="180" spans="2:13" ht="12.75">
      <c r="B180" s="4" t="s">
        <v>127</v>
      </c>
      <c r="C180" s="4"/>
      <c r="D180" s="4" t="s">
        <v>28</v>
      </c>
      <c r="G180" s="58">
        <v>1.87E-05</v>
      </c>
      <c r="H180" s="58"/>
      <c r="I180" s="58">
        <v>2.51E-05</v>
      </c>
      <c r="J180" s="58"/>
      <c r="K180" s="58">
        <v>1.4E-05</v>
      </c>
      <c r="M180" s="80"/>
    </row>
    <row r="181" spans="2:13" ht="12.75">
      <c r="B181" s="4" t="s">
        <v>128</v>
      </c>
      <c r="C181" s="4"/>
      <c r="D181" s="4" t="s">
        <v>28</v>
      </c>
      <c r="G181" s="58">
        <v>7.2E-05</v>
      </c>
      <c r="H181" s="58"/>
      <c r="I181" s="58">
        <v>3.38E-05</v>
      </c>
      <c r="J181" s="58"/>
      <c r="K181" s="58">
        <v>6.28E-05</v>
      </c>
      <c r="M181" s="80"/>
    </row>
    <row r="182" spans="2:13" ht="12.75">
      <c r="B182" s="4" t="s">
        <v>129</v>
      </c>
      <c r="C182" s="4"/>
      <c r="D182" s="4" t="s">
        <v>28</v>
      </c>
      <c r="G182" s="58">
        <v>0.000245</v>
      </c>
      <c r="H182" s="58"/>
      <c r="I182" s="58">
        <v>0.000145</v>
      </c>
      <c r="J182" s="58"/>
      <c r="K182" s="58">
        <v>0.000193</v>
      </c>
      <c r="M182" s="80"/>
    </row>
    <row r="183" spans="2:13" ht="12.75">
      <c r="B183" s="4" t="s">
        <v>130</v>
      </c>
      <c r="C183" s="4"/>
      <c r="D183" s="4" t="s">
        <v>28</v>
      </c>
      <c r="G183" s="58">
        <v>3.55E-05</v>
      </c>
      <c r="H183" s="58"/>
      <c r="I183" s="58">
        <v>2.7E-05</v>
      </c>
      <c r="J183" s="58"/>
      <c r="K183" s="58">
        <v>3.57E-05</v>
      </c>
      <c r="M183" s="80"/>
    </row>
    <row r="184" spans="2:13" ht="12.75">
      <c r="B184" s="4" t="s">
        <v>131</v>
      </c>
      <c r="C184" s="4"/>
      <c r="D184" s="4" t="s">
        <v>28</v>
      </c>
      <c r="G184" s="58">
        <v>0.00135</v>
      </c>
      <c r="H184" s="58"/>
      <c r="I184" s="58">
        <v>0.000846</v>
      </c>
      <c r="J184" s="58"/>
      <c r="K184" s="58">
        <v>0.00103</v>
      </c>
      <c r="M184" s="80"/>
    </row>
    <row r="185" spans="2:13" ht="12.75">
      <c r="B185" s="4" t="s">
        <v>132</v>
      </c>
      <c r="C185" s="4"/>
      <c r="D185" s="4" t="s">
        <v>28</v>
      </c>
      <c r="G185" s="58">
        <v>0.000531</v>
      </c>
      <c r="H185" s="58"/>
      <c r="I185" s="58">
        <v>0.000235</v>
      </c>
      <c r="J185" s="58"/>
      <c r="K185" s="58">
        <v>0.00126</v>
      </c>
      <c r="M185" s="80"/>
    </row>
    <row r="186" spans="2:13" ht="12.75">
      <c r="B186" s="4" t="s">
        <v>133</v>
      </c>
      <c r="C186" s="4"/>
      <c r="D186" s="4" t="s">
        <v>28</v>
      </c>
      <c r="F186" s="4" t="s">
        <v>122</v>
      </c>
      <c r="G186" s="58">
        <v>2.4E-05</v>
      </c>
      <c r="H186" s="58" t="s">
        <v>122</v>
      </c>
      <c r="I186" s="58">
        <v>2.41E-05</v>
      </c>
      <c r="J186" s="58" t="s">
        <v>122</v>
      </c>
      <c r="K186" s="58">
        <v>2.41E-05</v>
      </c>
      <c r="M186" s="80"/>
    </row>
    <row r="187" spans="2:13" ht="12.75">
      <c r="B187" s="4" t="s">
        <v>134</v>
      </c>
      <c r="C187" s="4"/>
      <c r="D187" s="4" t="s">
        <v>28</v>
      </c>
      <c r="G187" s="58">
        <v>1.15E-05</v>
      </c>
      <c r="H187" s="58" t="s">
        <v>122</v>
      </c>
      <c r="I187" s="58">
        <v>9.66E-06</v>
      </c>
      <c r="J187" s="58" t="s">
        <v>122</v>
      </c>
      <c r="K187" s="58">
        <v>9.65E-06</v>
      </c>
      <c r="M187" s="80"/>
    </row>
    <row r="188" spans="2:13" ht="12.75">
      <c r="B188" s="4" t="s">
        <v>135</v>
      </c>
      <c r="C188" s="4"/>
      <c r="D188" s="4" t="s">
        <v>28</v>
      </c>
      <c r="F188" s="4" t="s">
        <v>122</v>
      </c>
      <c r="G188" s="58">
        <v>2.4E-05</v>
      </c>
      <c r="H188" s="58" t="s">
        <v>122</v>
      </c>
      <c r="I188" s="58">
        <v>2.41E-05</v>
      </c>
      <c r="J188" s="58" t="s">
        <v>122</v>
      </c>
      <c r="K188" s="58">
        <v>2.41E-05</v>
      </c>
      <c r="M188" s="80"/>
    </row>
    <row r="189" spans="2:13" ht="12.75">
      <c r="B189" s="4" t="s">
        <v>136</v>
      </c>
      <c r="C189" s="4"/>
      <c r="D189" s="4" t="s">
        <v>28</v>
      </c>
      <c r="G189" s="58">
        <v>0.00154</v>
      </c>
      <c r="H189" s="58"/>
      <c r="I189" s="58">
        <v>0.00107</v>
      </c>
      <c r="J189" s="58"/>
      <c r="K189" s="58">
        <v>0.000825</v>
      </c>
      <c r="M189" s="80"/>
    </row>
    <row r="190" spans="7:11" ht="12.75">
      <c r="G190" s="58"/>
      <c r="H190" s="58"/>
      <c r="I190" s="58"/>
      <c r="J190" s="58"/>
      <c r="K190" s="58"/>
    </row>
    <row r="191" spans="7:11" ht="12.75">
      <c r="G191" s="58"/>
      <c r="H191" s="58"/>
      <c r="I191" s="58"/>
      <c r="J191" s="58"/>
      <c r="K191" s="58"/>
    </row>
    <row r="192" spans="2:13" ht="12.75">
      <c r="B192" s="4" t="s">
        <v>59</v>
      </c>
      <c r="C192" s="4" t="s">
        <v>110</v>
      </c>
      <c r="D192" s="4" t="s">
        <v>237</v>
      </c>
      <c r="G192" s="19"/>
      <c r="H192" s="19"/>
      <c r="I192" s="20"/>
      <c r="J192" s="19"/>
      <c r="K192" s="19"/>
      <c r="M192" s="60"/>
    </row>
    <row r="193" spans="2:13" ht="12.75">
      <c r="B193" s="4" t="s">
        <v>52</v>
      </c>
      <c r="C193" s="4"/>
      <c r="D193" s="4" t="s">
        <v>17</v>
      </c>
      <c r="G193" s="19">
        <v>34493</v>
      </c>
      <c r="H193" s="19"/>
      <c r="I193" s="19">
        <v>35272</v>
      </c>
      <c r="J193" s="19"/>
      <c r="K193" s="19">
        <v>35685</v>
      </c>
      <c r="M193" s="21">
        <f>AVERAGE(G193,I193,K193)</f>
        <v>35150</v>
      </c>
    </row>
    <row r="194" spans="2:13" ht="12.75">
      <c r="B194" s="4" t="s">
        <v>56</v>
      </c>
      <c r="C194" s="4"/>
      <c r="D194" s="4" t="s">
        <v>18</v>
      </c>
      <c r="G194" s="24">
        <v>15.3</v>
      </c>
      <c r="H194" s="19"/>
      <c r="I194" s="24">
        <v>15</v>
      </c>
      <c r="J194" s="19"/>
      <c r="K194" s="24">
        <v>14.4</v>
      </c>
      <c r="M194" s="18">
        <f>AVERAGE(G194,I194,K194)</f>
        <v>14.9</v>
      </c>
    </row>
    <row r="195" spans="2:13" ht="12.75">
      <c r="B195" s="4" t="s">
        <v>57</v>
      </c>
      <c r="C195" s="4"/>
      <c r="D195" s="4" t="s">
        <v>18</v>
      </c>
      <c r="G195" s="19">
        <v>16.5</v>
      </c>
      <c r="H195" s="19"/>
      <c r="I195" s="20">
        <v>15.9</v>
      </c>
      <c r="J195" s="19"/>
      <c r="K195" s="19">
        <v>15.6</v>
      </c>
      <c r="M195" s="18">
        <f>AVERAGE(G195,I195,K195)</f>
        <v>16</v>
      </c>
    </row>
    <row r="196" spans="2:13" ht="12.75">
      <c r="B196" s="4" t="s">
        <v>51</v>
      </c>
      <c r="C196" s="4"/>
      <c r="D196" s="4" t="s">
        <v>19</v>
      </c>
      <c r="G196" s="19"/>
      <c r="H196" s="19"/>
      <c r="I196" s="20"/>
      <c r="J196" s="19"/>
      <c r="K196" s="19"/>
      <c r="M196" s="21"/>
    </row>
    <row r="197" spans="2:13" ht="12.75">
      <c r="B197" s="4"/>
      <c r="C197" s="4"/>
      <c r="G197" s="19"/>
      <c r="H197" s="19"/>
      <c r="I197" s="20"/>
      <c r="J197" s="19"/>
      <c r="K197" s="19"/>
      <c r="L197" s="16"/>
      <c r="M197" s="21"/>
    </row>
    <row r="198" spans="2:13" ht="12.75">
      <c r="B198" s="4" t="s">
        <v>59</v>
      </c>
      <c r="C198" s="4" t="s">
        <v>138</v>
      </c>
      <c r="D198" s="4" t="s">
        <v>238</v>
      </c>
      <c r="G198" s="19"/>
      <c r="H198" s="19"/>
      <c r="I198" s="20"/>
      <c r="J198" s="19"/>
      <c r="K198" s="19"/>
      <c r="M198" s="60"/>
    </row>
    <row r="199" spans="2:13" ht="12.75">
      <c r="B199" s="4" t="s">
        <v>52</v>
      </c>
      <c r="C199" s="4"/>
      <c r="D199" s="4" t="s">
        <v>17</v>
      </c>
      <c r="G199" s="19">
        <v>33199</v>
      </c>
      <c r="H199" s="19"/>
      <c r="I199" s="19">
        <v>33716</v>
      </c>
      <c r="J199" s="19"/>
      <c r="K199" s="19">
        <v>34483</v>
      </c>
      <c r="M199" s="21">
        <f>AVERAGE(G199,I199,K199)</f>
        <v>33799.333333333336</v>
      </c>
    </row>
    <row r="200" spans="2:13" ht="12.75">
      <c r="B200" s="4" t="s">
        <v>56</v>
      </c>
      <c r="C200" s="4"/>
      <c r="D200" s="4" t="s">
        <v>18</v>
      </c>
      <c r="G200" s="24">
        <v>15.3</v>
      </c>
      <c r="H200" s="19"/>
      <c r="I200" s="24">
        <v>15</v>
      </c>
      <c r="J200" s="19"/>
      <c r="K200" s="24">
        <v>14.4</v>
      </c>
      <c r="M200" s="18">
        <f>AVERAGE(G200,I200,K200)</f>
        <v>14.9</v>
      </c>
    </row>
    <row r="201" spans="2:13" ht="12.75">
      <c r="B201" s="4" t="s">
        <v>57</v>
      </c>
      <c r="C201" s="4"/>
      <c r="D201" s="4" t="s">
        <v>18</v>
      </c>
      <c r="G201" s="5">
        <v>17.4</v>
      </c>
      <c r="H201" s="19"/>
      <c r="I201" s="20">
        <v>17</v>
      </c>
      <c r="J201" s="19"/>
      <c r="K201" s="19">
        <v>16.6</v>
      </c>
      <c r="M201" s="18">
        <f>AVERAGE(G201,I201,K201)</f>
        <v>17</v>
      </c>
    </row>
    <row r="202" spans="2:13" ht="12.75">
      <c r="B202" s="4" t="s">
        <v>51</v>
      </c>
      <c r="C202" s="4"/>
      <c r="D202" s="4" t="s">
        <v>19</v>
      </c>
      <c r="G202" s="19">
        <v>138</v>
      </c>
      <c r="H202" s="19"/>
      <c r="I202" s="20">
        <v>137</v>
      </c>
      <c r="J202" s="19"/>
      <c r="K202" s="19">
        <v>136</v>
      </c>
      <c r="M202" s="18">
        <f>AVERAGE(G202,I202,K202)</f>
        <v>137</v>
      </c>
    </row>
    <row r="203" spans="2:13" ht="12.75">
      <c r="B203" s="4"/>
      <c r="C203" s="4"/>
      <c r="G203" s="19"/>
      <c r="H203" s="19"/>
      <c r="I203" s="20"/>
      <c r="J203" s="19"/>
      <c r="K203" s="19"/>
      <c r="M203" s="21"/>
    </row>
    <row r="205" spans="2:13" ht="12.75">
      <c r="B205" s="4" t="s">
        <v>123</v>
      </c>
      <c r="C205" s="4" t="s">
        <v>238</v>
      </c>
      <c r="D205" s="4" t="s">
        <v>34</v>
      </c>
      <c r="E205" s="16" t="s">
        <v>15</v>
      </c>
      <c r="G205" s="60">
        <f>G176*1/60*454*1000000/(G$199*0.0283)*(21-7)/(21-G$200)</f>
        <v>0.7121128872809162</v>
      </c>
      <c r="H205" s="58"/>
      <c r="I205" s="60">
        <f>I176*1/60*454*1000000/(I$199*0.0283)*(21-7)/(21-I$200)</f>
        <v>1.026956126704304</v>
      </c>
      <c r="J205" s="58"/>
      <c r="K205" s="60">
        <f>K176*1/60*454*1000000/(K$199*0.0283)*(21-7)/(21-K$200)</f>
        <v>0.9128306377045426</v>
      </c>
      <c r="M205" s="18">
        <f aca="true" t="shared" si="9" ref="M205:M212">AVERAGE(K205,I205,G205)</f>
        <v>0.8839665505632542</v>
      </c>
    </row>
    <row r="206" spans="2:13" ht="12.75">
      <c r="B206" s="4" t="s">
        <v>124</v>
      </c>
      <c r="C206" s="4" t="s">
        <v>238</v>
      </c>
      <c r="D206" s="4" t="s">
        <v>34</v>
      </c>
      <c r="E206" s="16" t="s">
        <v>15</v>
      </c>
      <c r="F206" s="14" t="s">
        <v>122</v>
      </c>
      <c r="G206" s="60">
        <f>G179*1/60*454*1000000/(G$199*0.0283)*(21-7)/(21-G$200)</f>
        <v>0.09494838497078881</v>
      </c>
      <c r="H206" s="14" t="s">
        <v>122</v>
      </c>
      <c r="I206" s="60">
        <f>I179*1/60*454*1000000/(I$199*0.0283)*(21-7)/(21-I$200)</f>
        <v>0.08937293859426647</v>
      </c>
      <c r="J206" s="14" t="s">
        <v>122</v>
      </c>
      <c r="K206" s="60">
        <f>K179*1/60*454*1000000/(K$199*0.0283)*(21-7)/(21-K$200)</f>
        <v>0.07944093657861155</v>
      </c>
      <c r="L206" s="14">
        <v>100</v>
      </c>
      <c r="M206" s="18">
        <f t="shared" si="9"/>
        <v>0.08792075338122228</v>
      </c>
    </row>
    <row r="207" spans="2:13" ht="12.75">
      <c r="B207" s="4" t="s">
        <v>125</v>
      </c>
      <c r="C207" s="4" t="s">
        <v>238</v>
      </c>
      <c r="D207" s="4" t="s">
        <v>34</v>
      </c>
      <c r="E207" s="16" t="s">
        <v>15</v>
      </c>
      <c r="G207" s="60">
        <f aca="true" t="shared" si="10" ref="G207:G218">G178*1/60*454*1000000/(G$199*0.0283)*(21-7)/(21-G$200)</f>
        <v>1.1393806196494656</v>
      </c>
      <c r="H207" s="58"/>
      <c r="I207" s="60">
        <f aca="true" t="shared" si="11" ref="I207:I218">I178*1/60*454*1000000/(I$199*0.0283)*(21-7)/(21-I$200)</f>
        <v>0.8937293859426646</v>
      </c>
      <c r="J207" s="58"/>
      <c r="K207" s="60">
        <f aca="true" t="shared" si="12" ref="K207:K218">K178*1/60*454*1000000/(K$199*0.0283)*(21-7)/(21-K$200)</f>
        <v>0.9523043950106846</v>
      </c>
      <c r="M207" s="18">
        <f t="shared" si="9"/>
        <v>0.9951381335342716</v>
      </c>
    </row>
    <row r="208" spans="2:13" ht="12.75">
      <c r="B208" s="4" t="s">
        <v>126</v>
      </c>
      <c r="C208" s="4" t="s">
        <v>238</v>
      </c>
      <c r="D208" s="4" t="s">
        <v>34</v>
      </c>
      <c r="E208" s="16" t="s">
        <v>15</v>
      </c>
      <c r="F208" s="4" t="s">
        <v>122</v>
      </c>
      <c r="G208" s="60">
        <f t="shared" si="10"/>
        <v>0.09494838497078881</v>
      </c>
      <c r="H208" s="4" t="s">
        <v>122</v>
      </c>
      <c r="I208" s="60">
        <f t="shared" si="11"/>
        <v>0.08937293859426647</v>
      </c>
      <c r="J208" s="4" t="s">
        <v>122</v>
      </c>
      <c r="K208" s="60">
        <f t="shared" si="12"/>
        <v>0.07944093657861155</v>
      </c>
      <c r="L208" s="14">
        <v>100</v>
      </c>
      <c r="M208" s="18">
        <f t="shared" si="9"/>
        <v>0.08792075338122228</v>
      </c>
    </row>
    <row r="209" spans="2:13" ht="12.75">
      <c r="B209" s="4" t="s">
        <v>127</v>
      </c>
      <c r="C209" s="4" t="s">
        <v>238</v>
      </c>
      <c r="D209" s="4" t="s">
        <v>34</v>
      </c>
      <c r="E209" s="16" t="s">
        <v>15</v>
      </c>
      <c r="G209" s="60">
        <f t="shared" si="10"/>
        <v>0.3699030831153648</v>
      </c>
      <c r="H209" s="58"/>
      <c r="I209" s="60">
        <f t="shared" si="11"/>
        <v>0.4644432212662708</v>
      </c>
      <c r="J209" s="58"/>
      <c r="K209" s="60">
        <f t="shared" si="12"/>
        <v>0.23026358428583055</v>
      </c>
      <c r="M209" s="18">
        <f t="shared" si="9"/>
        <v>0.3548699628891554</v>
      </c>
    </row>
    <row r="210" spans="2:13" ht="12.75">
      <c r="B210" s="4" t="s">
        <v>128</v>
      </c>
      <c r="C210" s="4" t="s">
        <v>238</v>
      </c>
      <c r="D210" s="4" t="s">
        <v>34</v>
      </c>
      <c r="E210" s="16" t="s">
        <v>15</v>
      </c>
      <c r="G210" s="60">
        <f t="shared" si="10"/>
        <v>1.4242257745618323</v>
      </c>
      <c r="H210" s="58"/>
      <c r="I210" s="60">
        <f t="shared" si="11"/>
        <v>0.6254255330199185</v>
      </c>
      <c r="J210" s="58"/>
      <c r="K210" s="60">
        <f t="shared" si="12"/>
        <v>1.0328966495107257</v>
      </c>
      <c r="M210" s="18">
        <f t="shared" si="9"/>
        <v>1.027515985697492</v>
      </c>
    </row>
    <row r="211" spans="2:13" ht="12.75">
      <c r="B211" s="4" t="s">
        <v>129</v>
      </c>
      <c r="C211" s="4" t="s">
        <v>238</v>
      </c>
      <c r="D211" s="4" t="s">
        <v>34</v>
      </c>
      <c r="E211" s="16" t="s">
        <v>15</v>
      </c>
      <c r="G211" s="60">
        <f t="shared" si="10"/>
        <v>4.846323816217345</v>
      </c>
      <c r="H211" s="58"/>
      <c r="I211" s="60">
        <f t="shared" si="11"/>
        <v>2.6830385292274603</v>
      </c>
      <c r="J211" s="58"/>
      <c r="K211" s="60">
        <f t="shared" si="12"/>
        <v>3.174347983368949</v>
      </c>
      <c r="M211" s="18">
        <f t="shared" si="9"/>
        <v>3.5679034429379186</v>
      </c>
    </row>
    <row r="212" spans="2:13" ht="12.75">
      <c r="B212" s="4" t="s">
        <v>130</v>
      </c>
      <c r="C212" s="4" t="s">
        <v>238</v>
      </c>
      <c r="D212" s="4" t="s">
        <v>34</v>
      </c>
      <c r="E212" s="16" t="s">
        <v>15</v>
      </c>
      <c r="G212" s="60">
        <f t="shared" si="10"/>
        <v>0.7022224305131255</v>
      </c>
      <c r="H212" s="58"/>
      <c r="I212" s="60">
        <f t="shared" si="11"/>
        <v>0.49960027785614775</v>
      </c>
      <c r="J212" s="58"/>
      <c r="K212" s="60">
        <f t="shared" si="12"/>
        <v>0.5871721399288679</v>
      </c>
      <c r="M212" s="18">
        <f t="shared" si="9"/>
        <v>0.5963316160993803</v>
      </c>
    </row>
    <row r="213" spans="2:13" ht="12.75">
      <c r="B213" s="4" t="s">
        <v>131</v>
      </c>
      <c r="C213" s="4" t="s">
        <v>238</v>
      </c>
      <c r="D213" s="4" t="s">
        <v>34</v>
      </c>
      <c r="E213" s="16" t="s">
        <v>15</v>
      </c>
      <c r="G213" s="60">
        <f t="shared" si="10"/>
        <v>26.704233273034355</v>
      </c>
      <c r="H213" s="58"/>
      <c r="I213" s="60">
        <f t="shared" si="11"/>
        <v>15.654142039492632</v>
      </c>
      <c r="J213" s="58"/>
      <c r="K213" s="60">
        <f t="shared" si="12"/>
        <v>16.940820843886108</v>
      </c>
      <c r="M213" s="18">
        <f aca="true" t="shared" si="13" ref="M213:M218">AVERAGE(K213,I213,G213)</f>
        <v>19.766398718804364</v>
      </c>
    </row>
    <row r="214" spans="2:13" ht="12.75">
      <c r="B214" s="4" t="s">
        <v>132</v>
      </c>
      <c r="C214" s="4" t="s">
        <v>238</v>
      </c>
      <c r="D214" s="4" t="s">
        <v>34</v>
      </c>
      <c r="E214" s="16" t="s">
        <v>15</v>
      </c>
      <c r="G214" s="60">
        <f t="shared" si="10"/>
        <v>10.50366508739351</v>
      </c>
      <c r="H214" s="58"/>
      <c r="I214" s="60">
        <f t="shared" si="11"/>
        <v>4.348372788747953</v>
      </c>
      <c r="J214" s="58"/>
      <c r="K214" s="60">
        <f t="shared" si="12"/>
        <v>20.72372258572475</v>
      </c>
      <c r="M214" s="18">
        <f t="shared" si="13"/>
        <v>11.85858682062207</v>
      </c>
    </row>
    <row r="215" spans="2:13" ht="12.75">
      <c r="B215" s="4" t="s">
        <v>133</v>
      </c>
      <c r="C215" s="4" t="s">
        <v>238</v>
      </c>
      <c r="D215" s="4" t="s">
        <v>34</v>
      </c>
      <c r="E215" s="16" t="s">
        <v>15</v>
      </c>
      <c r="F215" s="4" t="s">
        <v>122</v>
      </c>
      <c r="G215" s="60">
        <f t="shared" si="10"/>
        <v>0.4747419248539441</v>
      </c>
      <c r="H215" s="58" t="s">
        <v>122</v>
      </c>
      <c r="I215" s="60">
        <f t="shared" si="11"/>
        <v>0.4459395072715986</v>
      </c>
      <c r="J215" s="58" t="s">
        <v>122</v>
      </c>
      <c r="K215" s="60">
        <f t="shared" si="12"/>
        <v>0.3963823129491797</v>
      </c>
      <c r="L215" s="14">
        <v>100</v>
      </c>
      <c r="M215" s="18">
        <f t="shared" si="13"/>
        <v>0.4390212483582408</v>
      </c>
    </row>
    <row r="216" spans="2:13" ht="12.75">
      <c r="B216" s="4" t="s">
        <v>134</v>
      </c>
      <c r="C216" s="4" t="s">
        <v>238</v>
      </c>
      <c r="D216" s="4" t="s">
        <v>34</v>
      </c>
      <c r="E216" s="16" t="s">
        <v>15</v>
      </c>
      <c r="G216" s="60">
        <f t="shared" si="10"/>
        <v>0.22748050565918154</v>
      </c>
      <c r="H216" s="58" t="s">
        <v>122</v>
      </c>
      <c r="I216" s="60">
        <f t="shared" si="11"/>
        <v>0.17874587718853294</v>
      </c>
      <c r="J216" s="58" t="s">
        <v>122</v>
      </c>
      <c r="K216" s="60">
        <f t="shared" si="12"/>
        <v>0.15871739916844746</v>
      </c>
      <c r="M216" s="18">
        <f t="shared" si="13"/>
        <v>0.1883145940053873</v>
      </c>
    </row>
    <row r="217" spans="2:13" ht="12.75">
      <c r="B217" s="4" t="s">
        <v>135</v>
      </c>
      <c r="C217" s="4" t="s">
        <v>238</v>
      </c>
      <c r="D217" s="4" t="s">
        <v>34</v>
      </c>
      <c r="E217" s="16" t="s">
        <v>15</v>
      </c>
      <c r="F217" s="4" t="s">
        <v>122</v>
      </c>
      <c r="G217" s="60">
        <f>G188*1/60*454*1000000/(G$199*0.0283)*(21-7)/(21-G$200)</f>
        <v>0.4747419248539441</v>
      </c>
      <c r="H217" s="58" t="s">
        <v>122</v>
      </c>
      <c r="I217" s="60">
        <f t="shared" si="11"/>
        <v>0.4459395072715986</v>
      </c>
      <c r="J217" s="58" t="s">
        <v>122</v>
      </c>
      <c r="K217" s="60">
        <f t="shared" si="12"/>
        <v>0.3963823129491797</v>
      </c>
      <c r="L217" s="14">
        <v>100</v>
      </c>
      <c r="M217" s="18">
        <f t="shared" si="13"/>
        <v>0.4390212483582408</v>
      </c>
    </row>
    <row r="218" spans="2:13" ht="12.75">
      <c r="B218" s="4" t="s">
        <v>136</v>
      </c>
      <c r="C218" s="4" t="s">
        <v>238</v>
      </c>
      <c r="D218" s="4" t="s">
        <v>34</v>
      </c>
      <c r="E218" s="16" t="s">
        <v>15</v>
      </c>
      <c r="G218" s="60">
        <f t="shared" si="10"/>
        <v>30.462606844794745</v>
      </c>
      <c r="H218" s="58"/>
      <c r="I218" s="60">
        <f t="shared" si="11"/>
        <v>19.79897397429919</v>
      </c>
      <c r="J218" s="58"/>
      <c r="K218" s="60">
        <f t="shared" si="12"/>
        <v>13.569104073986445</v>
      </c>
      <c r="M218" s="18">
        <f t="shared" si="13"/>
        <v>21.276894964360128</v>
      </c>
    </row>
    <row r="219" spans="2:11" ht="12.75">
      <c r="B219" s="4"/>
      <c r="C219" s="4"/>
      <c r="E219" s="16"/>
      <c r="G219" s="60"/>
      <c r="H219" s="4"/>
      <c r="I219" s="60"/>
      <c r="J219" s="4"/>
      <c r="K219" s="60"/>
    </row>
    <row r="220" spans="2:13" ht="12.75">
      <c r="B220" s="4" t="s">
        <v>35</v>
      </c>
      <c r="C220" s="4" t="s">
        <v>238</v>
      </c>
      <c r="D220" s="4" t="s">
        <v>34</v>
      </c>
      <c r="E220" s="16" t="s">
        <v>15</v>
      </c>
      <c r="G220" s="60">
        <f>G209+G212</f>
        <v>1.0721255136284902</v>
      </c>
      <c r="I220" s="60">
        <f>I209+I212</f>
        <v>0.9640434991224185</v>
      </c>
      <c r="K220" s="60">
        <f>K209+K212</f>
        <v>0.8174357242146983</v>
      </c>
      <c r="M220" s="60">
        <f>AVERAGE(K220,I220,G220)</f>
        <v>0.9512015789885356</v>
      </c>
    </row>
    <row r="221" spans="2:13" ht="12.75">
      <c r="B221" s="4" t="s">
        <v>36</v>
      </c>
      <c r="C221" s="4" t="s">
        <v>238</v>
      </c>
      <c r="D221" s="4" t="s">
        <v>34</v>
      </c>
      <c r="E221" s="16" t="s">
        <v>15</v>
      </c>
      <c r="G221" s="60">
        <f>G205+G208+G210</f>
        <v>2.231287046813537</v>
      </c>
      <c r="I221" s="60">
        <f>I205+I208+I210</f>
        <v>1.741754598318489</v>
      </c>
      <c r="K221" s="60">
        <f>K205+K208+K210</f>
        <v>2.0251682237938797</v>
      </c>
      <c r="M221" s="60">
        <f>AVERAGE(K221,I221,G221)</f>
        <v>1.9994032896419685</v>
      </c>
    </row>
    <row r="222" ht="12.75">
      <c r="B222" s="66"/>
    </row>
    <row r="224" spans="1:13" ht="12.75">
      <c r="A224" s="16" t="s">
        <v>61</v>
      </c>
      <c r="B224" s="13" t="s">
        <v>173</v>
      </c>
      <c r="C224" s="13" t="s">
        <v>157</v>
      </c>
      <c r="G224" s="16" t="s">
        <v>181</v>
      </c>
      <c r="H224" s="16"/>
      <c r="I224" s="16" t="s">
        <v>182</v>
      </c>
      <c r="J224" s="16"/>
      <c r="K224" s="16" t="s">
        <v>183</v>
      </c>
      <c r="M224" s="16" t="s">
        <v>180</v>
      </c>
    </row>
    <row r="225" spans="3:13" ht="12.75">
      <c r="C225" s="79"/>
      <c r="D225" s="39"/>
      <c r="E225" s="59"/>
      <c r="F225" s="14"/>
      <c r="G225" s="16"/>
      <c r="H225" s="16"/>
      <c r="I225" s="16"/>
      <c r="J225" s="16"/>
      <c r="K225" s="16"/>
      <c r="M225" s="16"/>
    </row>
    <row r="226" spans="4:9" ht="12.75">
      <c r="D226" s="17"/>
      <c r="E226" s="14"/>
      <c r="F226" s="14"/>
      <c r="I226" s="14"/>
    </row>
    <row r="228" spans="2:13" ht="12.75">
      <c r="B228" s="4" t="s">
        <v>123</v>
      </c>
      <c r="C228" s="4"/>
      <c r="D228" s="4" t="s">
        <v>28</v>
      </c>
      <c r="G228" s="58">
        <v>8.99E-05</v>
      </c>
      <c r="H228" s="58"/>
      <c r="I228" s="58">
        <v>6.54E-05</v>
      </c>
      <c r="J228" s="58"/>
      <c r="K228" s="58">
        <v>5.11E-05</v>
      </c>
      <c r="M228" s="80"/>
    </row>
    <row r="229" spans="2:13" ht="12.75">
      <c r="B229" s="4" t="s">
        <v>124</v>
      </c>
      <c r="C229" s="4"/>
      <c r="D229" s="4" t="s">
        <v>28</v>
      </c>
      <c r="F229" s="14" t="s">
        <v>122</v>
      </c>
      <c r="G229" s="58">
        <v>1.94E-05</v>
      </c>
      <c r="H229" s="14" t="s">
        <v>122</v>
      </c>
      <c r="I229" s="58">
        <v>1.94E-05</v>
      </c>
      <c r="J229" s="14" t="s">
        <v>122</v>
      </c>
      <c r="K229" s="58">
        <v>1.95E-05</v>
      </c>
      <c r="M229" s="80"/>
    </row>
    <row r="230" spans="2:13" ht="12.75">
      <c r="B230" s="4" t="s">
        <v>125</v>
      </c>
      <c r="C230" s="4"/>
      <c r="D230" s="4" t="s">
        <v>28</v>
      </c>
      <c r="G230" s="58">
        <v>7.78E-05</v>
      </c>
      <c r="H230" s="58"/>
      <c r="I230" s="58">
        <v>5.33E-05</v>
      </c>
      <c r="J230" s="58"/>
      <c r="K230" s="58">
        <v>3.4E-05</v>
      </c>
      <c r="M230" s="80"/>
    </row>
    <row r="231" spans="2:13" ht="12.75">
      <c r="B231" s="4" t="s">
        <v>126</v>
      </c>
      <c r="C231" s="4"/>
      <c r="D231" s="4" t="s">
        <v>28</v>
      </c>
      <c r="F231" s="4" t="s">
        <v>122</v>
      </c>
      <c r="G231" s="58">
        <v>4.86E-06</v>
      </c>
      <c r="H231" s="4" t="s">
        <v>122</v>
      </c>
      <c r="I231" s="58">
        <v>4.85E-06</v>
      </c>
      <c r="J231" s="4" t="s">
        <v>122</v>
      </c>
      <c r="K231" s="58">
        <v>4.86E-06</v>
      </c>
      <c r="M231" s="80"/>
    </row>
    <row r="232" spans="2:13" ht="12.75">
      <c r="B232" s="4" t="s">
        <v>127</v>
      </c>
      <c r="C232" s="4"/>
      <c r="D232" s="4" t="s">
        <v>28</v>
      </c>
      <c r="G232" s="58">
        <v>1.85E-05</v>
      </c>
      <c r="H232" s="58"/>
      <c r="I232" s="58">
        <v>2.23E-05</v>
      </c>
      <c r="J232" s="58"/>
      <c r="K232" s="58">
        <v>1.95E-05</v>
      </c>
      <c r="M232" s="80"/>
    </row>
    <row r="233" spans="2:13" ht="12.75">
      <c r="B233" s="4" t="s">
        <v>128</v>
      </c>
      <c r="C233" s="4"/>
      <c r="D233" s="4" t="s">
        <v>28</v>
      </c>
      <c r="G233" s="58">
        <v>7.29E-05</v>
      </c>
      <c r="H233" s="58"/>
      <c r="I233" s="58">
        <v>5.33E-05</v>
      </c>
      <c r="J233" s="58"/>
      <c r="K233" s="58">
        <v>1.46E-05</v>
      </c>
      <c r="M233" s="80"/>
    </row>
    <row r="234" spans="2:13" ht="12.75">
      <c r="B234" s="4" t="s">
        <v>129</v>
      </c>
      <c r="C234" s="4"/>
      <c r="D234" s="4" t="s">
        <v>28</v>
      </c>
      <c r="G234" s="58">
        <v>0.000204</v>
      </c>
      <c r="H234" s="58"/>
      <c r="I234" s="58">
        <v>0.000121</v>
      </c>
      <c r="J234" s="58"/>
      <c r="K234" s="58">
        <v>4.38E-05</v>
      </c>
      <c r="M234" s="80"/>
    </row>
    <row r="235" spans="2:13" ht="12.75">
      <c r="B235" s="4" t="s">
        <v>130</v>
      </c>
      <c r="C235" s="4"/>
      <c r="D235" s="4" t="s">
        <v>28</v>
      </c>
      <c r="G235" s="58">
        <v>3.11E-05</v>
      </c>
      <c r="H235" s="58"/>
      <c r="I235" s="58">
        <v>4.56E-05</v>
      </c>
      <c r="J235" s="58"/>
      <c r="K235" s="58">
        <v>1.85E-05</v>
      </c>
      <c r="M235" s="80"/>
    </row>
    <row r="236" spans="2:13" ht="12.75">
      <c r="B236" s="4" t="s">
        <v>131</v>
      </c>
      <c r="C236" s="4"/>
      <c r="D236" s="4" t="s">
        <v>28</v>
      </c>
      <c r="G236" s="58">
        <v>0.000685</v>
      </c>
      <c r="H236" s="58"/>
      <c r="I236" s="58">
        <v>0.000633</v>
      </c>
      <c r="J236" s="58"/>
      <c r="K236" s="58">
        <v>0.000637</v>
      </c>
      <c r="M236" s="80"/>
    </row>
    <row r="237" spans="2:13" ht="12.75">
      <c r="B237" s="4" t="s">
        <v>132</v>
      </c>
      <c r="C237" s="4"/>
      <c r="D237" s="4" t="s">
        <v>28</v>
      </c>
      <c r="G237" s="58">
        <v>0.00219</v>
      </c>
      <c r="H237" s="58"/>
      <c r="I237" s="58">
        <v>0.00165</v>
      </c>
      <c r="J237" s="58"/>
      <c r="K237" s="58">
        <v>0.000354</v>
      </c>
      <c r="M237" s="80"/>
    </row>
    <row r="238" spans="2:13" ht="12.75">
      <c r="B238" s="4" t="s">
        <v>133</v>
      </c>
      <c r="C238" s="4"/>
      <c r="D238" s="4" t="s">
        <v>28</v>
      </c>
      <c r="F238" s="4" t="s">
        <v>122</v>
      </c>
      <c r="G238" s="58">
        <v>2.43E-05</v>
      </c>
      <c r="H238" s="4" t="s">
        <v>122</v>
      </c>
      <c r="I238" s="58">
        <v>2.42E-05</v>
      </c>
      <c r="J238" s="4" t="s">
        <v>122</v>
      </c>
      <c r="K238" s="58">
        <v>2.43E-05</v>
      </c>
      <c r="M238" s="80"/>
    </row>
    <row r="239" spans="2:13" ht="12.75">
      <c r="B239" s="4" t="s">
        <v>134</v>
      </c>
      <c r="C239" s="4"/>
      <c r="D239" s="4" t="s">
        <v>28</v>
      </c>
      <c r="F239" s="4" t="s">
        <v>122</v>
      </c>
      <c r="G239" s="58">
        <v>9.72E-06</v>
      </c>
      <c r="H239" s="4" t="s">
        <v>122</v>
      </c>
      <c r="I239" s="58">
        <v>9.69E-06</v>
      </c>
      <c r="J239" s="4" t="s">
        <v>122</v>
      </c>
      <c r="K239" s="58">
        <v>9.73E-06</v>
      </c>
      <c r="M239" s="80"/>
    </row>
    <row r="240" spans="2:13" ht="12.75">
      <c r="B240" s="4" t="s">
        <v>135</v>
      </c>
      <c r="C240" s="4"/>
      <c r="D240" s="4" t="s">
        <v>28</v>
      </c>
      <c r="F240" s="4" t="s">
        <v>122</v>
      </c>
      <c r="G240" s="58">
        <v>2.43E-05</v>
      </c>
      <c r="H240" s="4" t="s">
        <v>122</v>
      </c>
      <c r="I240" s="58">
        <v>2.42E-05</v>
      </c>
      <c r="J240" s="4" t="s">
        <v>122</v>
      </c>
      <c r="K240" s="58">
        <v>2.43E-05</v>
      </c>
      <c r="M240" s="80"/>
    </row>
    <row r="241" spans="2:13" ht="12.75">
      <c r="B241" s="4" t="s">
        <v>136</v>
      </c>
      <c r="C241" s="4"/>
      <c r="D241" s="4" t="s">
        <v>28</v>
      </c>
      <c r="G241" s="58">
        <v>0.000977</v>
      </c>
      <c r="H241" s="58"/>
      <c r="I241" s="58">
        <v>0.000683</v>
      </c>
      <c r="J241" s="58"/>
      <c r="K241" s="58">
        <v>0.00166</v>
      </c>
      <c r="M241" s="80"/>
    </row>
    <row r="242" spans="7:11" ht="12.75">
      <c r="G242" s="58"/>
      <c r="H242" s="58"/>
      <c r="I242" s="58"/>
      <c r="J242" s="58"/>
      <c r="K242" s="58"/>
    </row>
    <row r="243" spans="7:11" ht="12.75">
      <c r="G243" s="58"/>
      <c r="H243" s="58"/>
      <c r="I243" s="58"/>
      <c r="J243" s="58"/>
      <c r="K243" s="58"/>
    </row>
    <row r="244" spans="2:13" ht="12.75">
      <c r="B244" s="4" t="s">
        <v>59</v>
      </c>
      <c r="C244" s="4" t="s">
        <v>110</v>
      </c>
      <c r="D244" s="4" t="s">
        <v>237</v>
      </c>
      <c r="G244" s="19"/>
      <c r="H244" s="19"/>
      <c r="I244" s="20"/>
      <c r="J244" s="19"/>
      <c r="K244" s="19"/>
      <c r="M244" s="60"/>
    </row>
    <row r="245" spans="2:13" ht="12.75">
      <c r="B245" s="4" t="s">
        <v>52</v>
      </c>
      <c r="C245" s="4"/>
      <c r="D245" s="4" t="s">
        <v>17</v>
      </c>
      <c r="G245" s="19">
        <v>36193</v>
      </c>
      <c r="H245" s="19"/>
      <c r="I245" s="19">
        <v>36459</v>
      </c>
      <c r="J245" s="19"/>
      <c r="K245" s="19">
        <v>36754</v>
      </c>
      <c r="M245" s="21">
        <f>AVERAGE(G245,I245,K245)</f>
        <v>36468.666666666664</v>
      </c>
    </row>
    <row r="246" spans="2:13" ht="12.75">
      <c r="B246" s="4" t="s">
        <v>56</v>
      </c>
      <c r="C246" s="4"/>
      <c r="D246" s="4" t="s">
        <v>18</v>
      </c>
      <c r="G246" s="24">
        <v>14.6</v>
      </c>
      <c r="H246" s="19"/>
      <c r="I246" s="24">
        <v>14.3</v>
      </c>
      <c r="J246" s="19"/>
      <c r="K246" s="24">
        <v>14.3</v>
      </c>
      <c r="M246" s="18">
        <f>AVERAGE(G246,I246,K246)</f>
        <v>14.4</v>
      </c>
    </row>
    <row r="247" spans="2:13" ht="12.75">
      <c r="B247" s="4" t="s">
        <v>57</v>
      </c>
      <c r="C247" s="4"/>
      <c r="D247" s="4" t="s">
        <v>18</v>
      </c>
      <c r="G247" s="19">
        <v>14.7</v>
      </c>
      <c r="H247" s="19"/>
      <c r="I247" s="20">
        <v>14.7</v>
      </c>
      <c r="J247" s="19"/>
      <c r="K247" s="19">
        <v>14.7</v>
      </c>
      <c r="M247" s="18">
        <f>AVERAGE(G247,I247,K247)</f>
        <v>14.699999999999998</v>
      </c>
    </row>
    <row r="248" spans="2:13" ht="12.75">
      <c r="B248" s="4" t="s">
        <v>51</v>
      </c>
      <c r="C248" s="4"/>
      <c r="D248" s="4" t="s">
        <v>19</v>
      </c>
      <c r="G248" s="19"/>
      <c r="H248" s="19"/>
      <c r="I248" s="20"/>
      <c r="J248" s="19"/>
      <c r="K248" s="19"/>
      <c r="M248" s="21"/>
    </row>
    <row r="249" spans="2:13" ht="12.75">
      <c r="B249" s="4"/>
      <c r="C249" s="4"/>
      <c r="G249" s="19"/>
      <c r="H249" s="19"/>
      <c r="I249" s="20"/>
      <c r="J249" s="19"/>
      <c r="K249" s="19"/>
      <c r="L249" s="16"/>
      <c r="M249" s="21"/>
    </row>
    <row r="250" spans="2:13" ht="12.75">
      <c r="B250" s="4" t="s">
        <v>59</v>
      </c>
      <c r="C250" s="4" t="s">
        <v>138</v>
      </c>
      <c r="D250" s="4" t="s">
        <v>238</v>
      </c>
      <c r="G250" s="19"/>
      <c r="H250" s="19"/>
      <c r="I250" s="20"/>
      <c r="J250" s="19"/>
      <c r="K250" s="19"/>
      <c r="M250" s="60"/>
    </row>
    <row r="251" spans="2:13" ht="12.75">
      <c r="B251" s="4" t="s">
        <v>52</v>
      </c>
      <c r="C251" s="4"/>
      <c r="D251" s="4" t="s">
        <v>17</v>
      </c>
      <c r="G251" s="19">
        <v>34535</v>
      </c>
      <c r="H251" s="19"/>
      <c r="I251" s="19">
        <v>34721</v>
      </c>
      <c r="J251" s="19"/>
      <c r="K251" s="19">
        <v>34540</v>
      </c>
      <c r="M251" s="21">
        <f>AVERAGE(G251,I251,K251)</f>
        <v>34598.666666666664</v>
      </c>
    </row>
    <row r="252" spans="2:13" ht="12.75">
      <c r="B252" s="4" t="s">
        <v>56</v>
      </c>
      <c r="C252" s="4"/>
      <c r="D252" s="4" t="s">
        <v>18</v>
      </c>
      <c r="G252" s="24">
        <v>14.6</v>
      </c>
      <c r="H252" s="19"/>
      <c r="I252" s="24">
        <v>14.3</v>
      </c>
      <c r="J252" s="19"/>
      <c r="K252" s="24">
        <v>14.4</v>
      </c>
      <c r="M252" s="18">
        <f>AVERAGE(G252,I252,K252)</f>
        <v>14.433333333333332</v>
      </c>
    </row>
    <row r="253" spans="2:13" ht="12.75">
      <c r="B253" s="4" t="s">
        <v>57</v>
      </c>
      <c r="C253" s="4"/>
      <c r="D253" s="4" t="s">
        <v>18</v>
      </c>
      <c r="G253" s="5">
        <v>16.2</v>
      </c>
      <c r="H253" s="19"/>
      <c r="I253" s="20">
        <v>16.2</v>
      </c>
      <c r="J253" s="19"/>
      <c r="K253" s="19">
        <v>15.8</v>
      </c>
      <c r="M253" s="18">
        <f>AVERAGE(G253,I253,K253)</f>
        <v>16.066666666666666</v>
      </c>
    </row>
    <row r="254" spans="2:13" ht="12.75">
      <c r="B254" s="4" t="s">
        <v>51</v>
      </c>
      <c r="C254" s="4"/>
      <c r="D254" s="4" t="s">
        <v>19</v>
      </c>
      <c r="G254" s="19">
        <v>135</v>
      </c>
      <c r="H254" s="19"/>
      <c r="I254" s="20">
        <v>134</v>
      </c>
      <c r="J254" s="19"/>
      <c r="K254" s="19">
        <v>133</v>
      </c>
      <c r="M254" s="18">
        <f>AVERAGE(G254,I254,K254)</f>
        <v>134</v>
      </c>
    </row>
    <row r="255" spans="2:13" ht="12.75">
      <c r="B255" s="4"/>
      <c r="C255" s="4"/>
      <c r="G255" s="19"/>
      <c r="H255" s="19"/>
      <c r="I255" s="20"/>
      <c r="J255" s="19"/>
      <c r="K255" s="19"/>
      <c r="M255" s="21"/>
    </row>
    <row r="257" spans="2:13" ht="12.75">
      <c r="B257" s="4" t="s">
        <v>123</v>
      </c>
      <c r="C257" s="4" t="s">
        <v>238</v>
      </c>
      <c r="D257" s="4" t="s">
        <v>34</v>
      </c>
      <c r="E257" s="16" t="s">
        <v>15</v>
      </c>
      <c r="G257" s="60">
        <f>G228*1/60*454*1000000/(G$251*0.0283)*(21-7)/(21-G$252)</f>
        <v>1.5225321079671486</v>
      </c>
      <c r="H257" s="4"/>
      <c r="I257" s="60">
        <f>I228*1/60*454*1000000/(I$251*0.0283)*(21-7)/(21-I$252)</f>
        <v>1.0523420474503549</v>
      </c>
      <c r="J257" s="4"/>
      <c r="K257" s="60">
        <f>K228*1/60*454*1000000/(K$251*0.0283)*(21-7)/(21-K$252)</f>
        <v>0.8390751012098517</v>
      </c>
      <c r="M257" s="18">
        <f aca="true" t="shared" si="14" ref="M257:M264">AVERAGE(K257,I257,G257)</f>
        <v>1.1379830855424518</v>
      </c>
    </row>
    <row r="258" spans="2:13" ht="12.75">
      <c r="B258" s="4" t="s">
        <v>124</v>
      </c>
      <c r="C258" s="4" t="s">
        <v>238</v>
      </c>
      <c r="D258" s="4" t="s">
        <v>34</v>
      </c>
      <c r="E258" s="16" t="s">
        <v>15</v>
      </c>
      <c r="F258" s="14" t="s">
        <v>122</v>
      </c>
      <c r="G258" s="60">
        <f aca="true" t="shared" si="15" ref="G258:G270">G229*1/60*454*1000000/(G$251*0.0283)*(21-7)/(21-G$252)</f>
        <v>0.32855531584608094</v>
      </c>
      <c r="H258" s="14" t="s">
        <v>122</v>
      </c>
      <c r="I258" s="60">
        <f aca="true" t="shared" si="16" ref="I258:I270">I229*1/60*454*1000000/(I$251*0.0283)*(21-7)/(21-I$252)</f>
        <v>0.3121626256962825</v>
      </c>
      <c r="J258" s="14" t="s">
        <v>122</v>
      </c>
      <c r="K258" s="60">
        <f aca="true" t="shared" si="17" ref="K258:K270">K229*1/60*454*1000000/(K$251*0.0283)*(21-7)/(21-K$252)</f>
        <v>0.32019499948321145</v>
      </c>
      <c r="L258" s="14">
        <v>100</v>
      </c>
      <c r="M258" s="18">
        <f t="shared" si="14"/>
        <v>0.3203043136751917</v>
      </c>
    </row>
    <row r="259" spans="2:13" ht="12.75">
      <c r="B259" s="4" t="s">
        <v>125</v>
      </c>
      <c r="C259" s="4" t="s">
        <v>238</v>
      </c>
      <c r="D259" s="4" t="s">
        <v>34</v>
      </c>
      <c r="E259" s="16" t="s">
        <v>15</v>
      </c>
      <c r="G259" s="60">
        <f t="shared" si="15"/>
        <v>1.3176084315889227</v>
      </c>
      <c r="H259" s="4"/>
      <c r="I259" s="60">
        <f t="shared" si="16"/>
        <v>0.8576426778150444</v>
      </c>
      <c r="J259" s="4"/>
      <c r="K259" s="60">
        <f t="shared" si="17"/>
        <v>0.5582887170476507</v>
      </c>
      <c r="M259" s="18">
        <f t="shared" si="14"/>
        <v>0.9111799421505392</v>
      </c>
    </row>
    <row r="260" spans="2:13" ht="12.75">
      <c r="B260" s="4" t="s">
        <v>126</v>
      </c>
      <c r="C260" s="4" t="s">
        <v>238</v>
      </c>
      <c r="D260" s="4" t="s">
        <v>34</v>
      </c>
      <c r="E260" s="16" t="s">
        <v>15</v>
      </c>
      <c r="F260" s="4" t="s">
        <v>122</v>
      </c>
      <c r="G260" s="60">
        <f t="shared" si="15"/>
        <v>0.08230818737175016</v>
      </c>
      <c r="H260" s="4" t="s">
        <v>122</v>
      </c>
      <c r="I260" s="60">
        <f t="shared" si="16"/>
        <v>0.07804065642407063</v>
      </c>
      <c r="J260" s="4" t="s">
        <v>122</v>
      </c>
      <c r="K260" s="60">
        <f t="shared" si="17"/>
        <v>0.07980244602504652</v>
      </c>
      <c r="L260" s="14">
        <v>100</v>
      </c>
      <c r="M260" s="18">
        <f t="shared" si="14"/>
        <v>0.0800504299402891</v>
      </c>
    </row>
    <row r="261" spans="2:13" ht="12.75">
      <c r="B261" s="4" t="s">
        <v>127</v>
      </c>
      <c r="C261" s="4" t="s">
        <v>238</v>
      </c>
      <c r="D261" s="4" t="s">
        <v>34</v>
      </c>
      <c r="E261" s="16" t="s">
        <v>15</v>
      </c>
      <c r="G261" s="60">
        <f t="shared" si="15"/>
        <v>0.31331305892538647</v>
      </c>
      <c r="H261" s="4"/>
      <c r="I261" s="60">
        <f t="shared" si="16"/>
        <v>0.35882611098077843</v>
      </c>
      <c r="J261" s="4"/>
      <c r="K261" s="60">
        <f t="shared" si="17"/>
        <v>0.32019499948321145</v>
      </c>
      <c r="M261" s="18">
        <f t="shared" si="14"/>
        <v>0.33077805646312547</v>
      </c>
    </row>
    <row r="262" spans="2:13" ht="12.75">
      <c r="B262" s="4" t="s">
        <v>128</v>
      </c>
      <c r="C262" s="4" t="s">
        <v>238</v>
      </c>
      <c r="D262" s="4" t="s">
        <v>34</v>
      </c>
      <c r="E262" s="16" t="s">
        <v>15</v>
      </c>
      <c r="G262" s="60">
        <f t="shared" si="15"/>
        <v>1.2346228105762527</v>
      </c>
      <c r="H262" s="4"/>
      <c r="I262" s="60">
        <f t="shared" si="16"/>
        <v>0.8576426778150444</v>
      </c>
      <c r="J262" s="4"/>
      <c r="K262" s="60">
        <f t="shared" si="17"/>
        <v>0.23973574320281477</v>
      </c>
      <c r="M262" s="18">
        <f t="shared" si="14"/>
        <v>0.777333743864704</v>
      </c>
    </row>
    <row r="263" spans="2:13" ht="12.75">
      <c r="B263" s="4" t="s">
        <v>129</v>
      </c>
      <c r="C263" s="4" t="s">
        <v>238</v>
      </c>
      <c r="D263" s="4" t="s">
        <v>34</v>
      </c>
      <c r="E263" s="16" t="s">
        <v>15</v>
      </c>
      <c r="G263" s="60">
        <f t="shared" si="15"/>
        <v>3.4549115686907483</v>
      </c>
      <c r="H263" s="4"/>
      <c r="I263" s="60">
        <f t="shared" si="16"/>
        <v>1.9469936963531027</v>
      </c>
      <c r="J263" s="4"/>
      <c r="K263" s="60">
        <f t="shared" si="17"/>
        <v>0.7192072296084443</v>
      </c>
      <c r="M263" s="18">
        <f t="shared" si="14"/>
        <v>2.040370831550765</v>
      </c>
    </row>
    <row r="264" spans="2:13" ht="12.75">
      <c r="B264" s="4" t="s">
        <v>130</v>
      </c>
      <c r="C264" s="4" t="s">
        <v>238</v>
      </c>
      <c r="D264" s="4" t="s">
        <v>34</v>
      </c>
      <c r="E264" s="16" t="s">
        <v>15</v>
      </c>
      <c r="G264" s="60">
        <f t="shared" si="15"/>
        <v>0.5267046558151091</v>
      </c>
      <c r="H264" s="4"/>
      <c r="I264" s="60">
        <f t="shared" si="16"/>
        <v>0.7337430789562105</v>
      </c>
      <c r="J264" s="4"/>
      <c r="K264" s="60">
        <f t="shared" si="17"/>
        <v>0.30377474309945707</v>
      </c>
      <c r="M264" s="18">
        <f t="shared" si="14"/>
        <v>0.5214074926235922</v>
      </c>
    </row>
    <row r="265" spans="2:13" ht="12.75">
      <c r="B265" s="4" t="s">
        <v>131</v>
      </c>
      <c r="C265" s="4" t="s">
        <v>238</v>
      </c>
      <c r="D265" s="4" t="s">
        <v>34</v>
      </c>
      <c r="E265" s="16" t="s">
        <v>15</v>
      </c>
      <c r="G265" s="60">
        <f t="shared" si="15"/>
        <v>11.601051100750796</v>
      </c>
      <c r="H265" s="4"/>
      <c r="I265" s="60">
        <f>I236*1/60*454*1000000/(I$251*0.0283)*(21-7)/(21-I$252)</f>
        <v>10.185512477615816</v>
      </c>
      <c r="J265" s="4"/>
      <c r="K265" s="60">
        <f t="shared" si="17"/>
        <v>10.459703316451572</v>
      </c>
      <c r="M265" s="18">
        <f aca="true" t="shared" si="18" ref="M265:M270">AVERAGE(K265,I265,G265)</f>
        <v>10.74875563160606</v>
      </c>
    </row>
    <row r="266" spans="2:13" ht="12.75">
      <c r="B266" s="4" t="s">
        <v>132</v>
      </c>
      <c r="C266" s="4" t="s">
        <v>238</v>
      </c>
      <c r="D266" s="4" t="s">
        <v>34</v>
      </c>
      <c r="E266" s="16" t="s">
        <v>15</v>
      </c>
      <c r="G266" s="60">
        <f t="shared" si="15"/>
        <v>37.089491840356565</v>
      </c>
      <c r="H266" s="4"/>
      <c r="I266" s="60">
        <f t="shared" si="16"/>
        <v>26.549914041178678</v>
      </c>
      <c r="J266" s="4"/>
      <c r="K266" s="60">
        <f t="shared" si="17"/>
        <v>5.81277075984907</v>
      </c>
      <c r="M266" s="18">
        <f t="shared" si="18"/>
        <v>23.150725547128104</v>
      </c>
    </row>
    <row r="267" spans="2:13" ht="12.75">
      <c r="B267" s="4" t="s">
        <v>133</v>
      </c>
      <c r="C267" s="4" t="s">
        <v>238</v>
      </c>
      <c r="D267" s="4" t="s">
        <v>34</v>
      </c>
      <c r="E267" s="16" t="s">
        <v>15</v>
      </c>
      <c r="F267" s="4" t="s">
        <v>122</v>
      </c>
      <c r="G267" s="60">
        <f>G238*1/60*454*1000000/(G$251*0.0283)*(21-7)/(21-G$252)</f>
        <v>0.4115409368587509</v>
      </c>
      <c r="H267" s="4" t="s">
        <v>122</v>
      </c>
      <c r="I267" s="60">
        <f t="shared" si="16"/>
        <v>0.38939873927062046</v>
      </c>
      <c r="J267" s="4" t="s">
        <v>122</v>
      </c>
      <c r="K267" s="60">
        <f t="shared" si="17"/>
        <v>0.3990122301252328</v>
      </c>
      <c r="L267" s="14">
        <v>100</v>
      </c>
      <c r="M267" s="18">
        <f t="shared" si="18"/>
        <v>0.39998396875153475</v>
      </c>
    </row>
    <row r="268" spans="2:13" ht="12.75">
      <c r="B268" s="4" t="s">
        <v>134</v>
      </c>
      <c r="C268" s="4" t="s">
        <v>238</v>
      </c>
      <c r="D268" s="4" t="s">
        <v>34</v>
      </c>
      <c r="E268" s="16" t="s">
        <v>15</v>
      </c>
      <c r="F268" s="4" t="s">
        <v>122</v>
      </c>
      <c r="G268" s="60">
        <f t="shared" si="15"/>
        <v>0.16461637474350033</v>
      </c>
      <c r="H268" s="4" t="s">
        <v>122</v>
      </c>
      <c r="I268" s="60">
        <f t="shared" si="16"/>
        <v>0.15592040427819476</v>
      </c>
      <c r="J268" s="4" t="s">
        <v>122</v>
      </c>
      <c r="K268" s="60">
        <f t="shared" si="17"/>
        <v>0.15976909461393066</v>
      </c>
      <c r="L268" s="14">
        <v>100</v>
      </c>
      <c r="M268" s="18">
        <f t="shared" si="18"/>
        <v>0.1601019578785419</v>
      </c>
    </row>
    <row r="269" spans="2:13" ht="12.75">
      <c r="B269" s="4" t="s">
        <v>135</v>
      </c>
      <c r="C269" s="4" t="s">
        <v>238</v>
      </c>
      <c r="D269" s="4" t="s">
        <v>34</v>
      </c>
      <c r="E269" s="16" t="s">
        <v>15</v>
      </c>
      <c r="F269" s="4" t="s">
        <v>122</v>
      </c>
      <c r="G269" s="60">
        <f t="shared" si="15"/>
        <v>0.4115409368587509</v>
      </c>
      <c r="H269" s="4" t="s">
        <v>122</v>
      </c>
      <c r="I269" s="60">
        <f t="shared" si="16"/>
        <v>0.38939873927062046</v>
      </c>
      <c r="J269" s="4" t="s">
        <v>122</v>
      </c>
      <c r="K269" s="60">
        <f t="shared" si="17"/>
        <v>0.3990122301252328</v>
      </c>
      <c r="L269" s="14">
        <v>100</v>
      </c>
      <c r="M269" s="18">
        <f t="shared" si="18"/>
        <v>0.39998396875153475</v>
      </c>
    </row>
    <row r="270" spans="2:13" ht="12.75">
      <c r="B270" s="4" t="s">
        <v>136</v>
      </c>
      <c r="C270" s="4" t="s">
        <v>238</v>
      </c>
      <c r="D270" s="4" t="s">
        <v>34</v>
      </c>
      <c r="E270" s="16" t="s">
        <v>15</v>
      </c>
      <c r="G270" s="60">
        <f t="shared" si="15"/>
        <v>16.546316679465004</v>
      </c>
      <c r="H270" s="4"/>
      <c r="I270" s="60">
        <f t="shared" si="16"/>
        <v>10.990055327348504</v>
      </c>
      <c r="J270" s="4"/>
      <c r="K270" s="60">
        <f t="shared" si="17"/>
        <v>27.257625597032362</v>
      </c>
      <c r="M270" s="18">
        <f t="shared" si="18"/>
        <v>18.264665867948622</v>
      </c>
    </row>
    <row r="271" spans="2:11" ht="12.75">
      <c r="B271" s="4"/>
      <c r="C271" s="4"/>
      <c r="E271" s="16"/>
      <c r="G271" s="60"/>
      <c r="H271" s="4"/>
      <c r="I271" s="60"/>
      <c r="J271" s="4"/>
      <c r="K271" s="60"/>
    </row>
    <row r="272" spans="2:13" ht="12.75">
      <c r="B272" s="4" t="s">
        <v>35</v>
      </c>
      <c r="C272" s="4" t="s">
        <v>238</v>
      </c>
      <c r="D272" s="4" t="s">
        <v>34</v>
      </c>
      <c r="E272" s="16" t="s">
        <v>15</v>
      </c>
      <c r="G272" s="60">
        <f>G261+G264</f>
        <v>0.8400177147404955</v>
      </c>
      <c r="I272" s="60">
        <f>I261+I264</f>
        <v>1.092569189936989</v>
      </c>
      <c r="K272" s="60">
        <f>K261+K264</f>
        <v>0.6239697425826685</v>
      </c>
      <c r="M272" s="60">
        <f>AVERAGE(K272,I272,G272)</f>
        <v>0.8521855490867175</v>
      </c>
    </row>
    <row r="273" spans="2:13" ht="12.75">
      <c r="B273" s="4" t="s">
        <v>36</v>
      </c>
      <c r="C273" s="4" t="s">
        <v>238</v>
      </c>
      <c r="D273" s="4" t="s">
        <v>34</v>
      </c>
      <c r="E273" s="16" t="s">
        <v>15</v>
      </c>
      <c r="G273" s="60">
        <f>G257+G260+G262</f>
        <v>2.8394631059151516</v>
      </c>
      <c r="I273" s="60">
        <f>I257+I260+I262</f>
        <v>1.9880253816894697</v>
      </c>
      <c r="K273" s="60">
        <f>K257+K260+K262</f>
        <v>1.1586132904377129</v>
      </c>
      <c r="M273" s="60">
        <f>AVERAGE(K273,I273,G273)</f>
        <v>1.9953672593474447</v>
      </c>
    </row>
    <row r="276" spans="1:13" ht="12.75">
      <c r="A276" s="16" t="s">
        <v>61</v>
      </c>
      <c r="B276" s="13" t="s">
        <v>174</v>
      </c>
      <c r="C276" s="13" t="s">
        <v>157</v>
      </c>
      <c r="G276" s="16" t="s">
        <v>181</v>
      </c>
      <c r="H276" s="16"/>
      <c r="I276" s="16" t="s">
        <v>182</v>
      </c>
      <c r="J276" s="16"/>
      <c r="K276" s="16" t="s">
        <v>183</v>
      </c>
      <c r="M276" s="16" t="s">
        <v>180</v>
      </c>
    </row>
    <row r="277" spans="3:13" ht="12.75">
      <c r="C277" s="79"/>
      <c r="D277" s="39"/>
      <c r="E277" s="59"/>
      <c r="F277" s="14"/>
      <c r="G277" s="16"/>
      <c r="H277" s="16"/>
      <c r="I277" s="16"/>
      <c r="J277" s="16"/>
      <c r="K277" s="16"/>
      <c r="M277" s="16"/>
    </row>
    <row r="278" spans="4:9" ht="12.75">
      <c r="D278" s="17"/>
      <c r="E278" s="14"/>
      <c r="F278" s="14"/>
      <c r="I278" s="14"/>
    </row>
    <row r="280" spans="2:13" ht="12.75">
      <c r="B280" s="4" t="s">
        <v>123</v>
      </c>
      <c r="C280" s="4"/>
      <c r="D280" s="4" t="s">
        <v>28</v>
      </c>
      <c r="G280" s="58">
        <v>6.04E-05</v>
      </c>
      <c r="H280" s="58"/>
      <c r="I280" s="58">
        <v>5.08E-05</v>
      </c>
      <c r="J280" s="58"/>
      <c r="K280" s="58">
        <v>5.58E-05</v>
      </c>
      <c r="M280" s="80"/>
    </row>
    <row r="281" spans="2:13" ht="12.75">
      <c r="B281" s="4" t="s">
        <v>124</v>
      </c>
      <c r="C281" s="4"/>
      <c r="D281" s="4" t="s">
        <v>28</v>
      </c>
      <c r="F281" s="14" t="s">
        <v>122</v>
      </c>
      <c r="G281" s="58">
        <v>1.93E-05</v>
      </c>
      <c r="I281" s="58">
        <v>2.81E-05</v>
      </c>
      <c r="J281" s="14" t="s">
        <v>122</v>
      </c>
      <c r="K281" s="58">
        <v>1.94E-05</v>
      </c>
      <c r="M281" s="80"/>
    </row>
    <row r="282" spans="2:13" ht="12.75">
      <c r="B282" s="4" t="s">
        <v>125</v>
      </c>
      <c r="C282" s="4"/>
      <c r="D282" s="4" t="s">
        <v>28</v>
      </c>
      <c r="G282" s="58">
        <v>7.72E-05</v>
      </c>
      <c r="H282" s="58"/>
      <c r="I282" s="58">
        <v>0.000116</v>
      </c>
      <c r="J282" s="58"/>
      <c r="K282" s="58">
        <v>0.000116</v>
      </c>
      <c r="M282" s="80"/>
    </row>
    <row r="283" spans="2:13" ht="12.75">
      <c r="B283" s="4" t="s">
        <v>126</v>
      </c>
      <c r="C283" s="4"/>
      <c r="D283" s="4" t="s">
        <v>28</v>
      </c>
      <c r="F283" s="4" t="s">
        <v>122</v>
      </c>
      <c r="G283" s="58">
        <v>4.83E-06</v>
      </c>
      <c r="H283" s="4" t="s">
        <v>122</v>
      </c>
      <c r="I283" s="58">
        <v>4.84E-06</v>
      </c>
      <c r="J283" s="4" t="s">
        <v>122</v>
      </c>
      <c r="K283" s="58">
        <v>4.85E-06</v>
      </c>
      <c r="M283" s="80"/>
    </row>
    <row r="284" spans="2:13" ht="12.75">
      <c r="B284" s="4" t="s">
        <v>127</v>
      </c>
      <c r="C284" s="4"/>
      <c r="D284" s="4" t="s">
        <v>28</v>
      </c>
      <c r="G284" s="58">
        <v>3.38E-05</v>
      </c>
      <c r="H284" s="58"/>
      <c r="I284" s="58">
        <v>3.97E-05</v>
      </c>
      <c r="J284" s="58"/>
      <c r="K284" s="58">
        <v>0.000126</v>
      </c>
      <c r="M284" s="80"/>
    </row>
    <row r="285" spans="2:13" ht="12.75">
      <c r="B285" s="4" t="s">
        <v>128</v>
      </c>
      <c r="C285" s="4"/>
      <c r="D285" s="4" t="s">
        <v>28</v>
      </c>
      <c r="G285" s="58">
        <v>3.38E-05</v>
      </c>
      <c r="H285" s="58"/>
      <c r="I285" s="58">
        <v>0.000131</v>
      </c>
      <c r="J285" s="58"/>
      <c r="K285" s="58">
        <v>8.25E-05</v>
      </c>
      <c r="M285" s="80"/>
    </row>
    <row r="286" spans="2:13" ht="12.75">
      <c r="B286" s="4" t="s">
        <v>129</v>
      </c>
      <c r="C286" s="4"/>
      <c r="D286" s="4" t="s">
        <v>28</v>
      </c>
      <c r="G286" s="58">
        <v>0.00029</v>
      </c>
      <c r="H286" s="58"/>
      <c r="I286" s="58">
        <v>0.000266</v>
      </c>
      <c r="J286" s="58"/>
      <c r="K286" s="58">
        <v>0.000325</v>
      </c>
      <c r="M286" s="80"/>
    </row>
    <row r="287" spans="2:13" ht="12.75">
      <c r="B287" s="4" t="s">
        <v>130</v>
      </c>
      <c r="C287" s="4"/>
      <c r="D287" s="4" t="s">
        <v>28</v>
      </c>
      <c r="G287" s="58">
        <v>8.4E-05</v>
      </c>
      <c r="H287" s="58"/>
      <c r="I287" s="58">
        <v>6.97E-05</v>
      </c>
      <c r="J287" s="58"/>
      <c r="K287" s="58">
        <v>6.02E-05</v>
      </c>
      <c r="M287" s="80"/>
    </row>
    <row r="288" spans="2:13" ht="12.75">
      <c r="B288" s="4" t="s">
        <v>131</v>
      </c>
      <c r="C288" s="4"/>
      <c r="D288" s="4" t="s">
        <v>28</v>
      </c>
      <c r="G288" s="58">
        <v>0.000504</v>
      </c>
      <c r="H288" s="58"/>
      <c r="I288" s="58">
        <v>0.000983</v>
      </c>
      <c r="J288" s="58"/>
      <c r="K288" s="58">
        <v>0.00109</v>
      </c>
      <c r="M288" s="80"/>
    </row>
    <row r="289" spans="2:13" ht="12.75">
      <c r="B289" s="4" t="s">
        <v>132</v>
      </c>
      <c r="C289" s="4"/>
      <c r="D289" s="4" t="s">
        <v>28</v>
      </c>
      <c r="G289" s="58">
        <v>0.00023</v>
      </c>
      <c r="H289" s="58"/>
      <c r="I289" s="58">
        <v>0.000488</v>
      </c>
      <c r="J289" s="58"/>
      <c r="K289" s="58">
        <v>0.000683</v>
      </c>
      <c r="M289" s="80"/>
    </row>
    <row r="290" spans="2:13" ht="12.75">
      <c r="B290" s="4" t="s">
        <v>133</v>
      </c>
      <c r="C290" s="4"/>
      <c r="D290" s="4" t="s">
        <v>28</v>
      </c>
      <c r="F290" s="4" t="s">
        <v>122</v>
      </c>
      <c r="G290" s="58">
        <v>2.41E-05</v>
      </c>
      <c r="H290" s="4" t="s">
        <v>122</v>
      </c>
      <c r="I290" s="58">
        <v>2.42E-05</v>
      </c>
      <c r="J290" s="4" t="s">
        <v>122</v>
      </c>
      <c r="K290" s="58">
        <v>2.43E-05</v>
      </c>
      <c r="M290" s="80"/>
    </row>
    <row r="291" spans="2:13" ht="12.75">
      <c r="B291" s="4" t="s">
        <v>134</v>
      </c>
      <c r="C291" s="4"/>
      <c r="D291" s="4" t="s">
        <v>28</v>
      </c>
      <c r="F291" s="4" t="s">
        <v>122</v>
      </c>
      <c r="G291" s="58">
        <v>9.66E-06</v>
      </c>
      <c r="H291" s="4" t="s">
        <v>122</v>
      </c>
      <c r="I291" s="58">
        <v>9.68E-06</v>
      </c>
      <c r="J291" s="4" t="s">
        <v>122</v>
      </c>
      <c r="K291" s="58">
        <v>9.71E-06</v>
      </c>
      <c r="M291" s="80"/>
    </row>
    <row r="292" spans="2:13" ht="12.75">
      <c r="B292" s="4" t="s">
        <v>135</v>
      </c>
      <c r="C292" s="4"/>
      <c r="D292" s="4" t="s">
        <v>28</v>
      </c>
      <c r="F292" s="4" t="s">
        <v>122</v>
      </c>
      <c r="G292" s="58">
        <v>2.41E-05</v>
      </c>
      <c r="H292" s="4" t="s">
        <v>122</v>
      </c>
      <c r="I292" s="58">
        <v>2.42E-05</v>
      </c>
      <c r="J292" s="4" t="s">
        <v>122</v>
      </c>
      <c r="K292" s="58">
        <v>2.43E-05</v>
      </c>
      <c r="M292" s="80"/>
    </row>
    <row r="293" spans="2:13" ht="12.75">
      <c r="B293" s="4" t="s">
        <v>136</v>
      </c>
      <c r="C293" s="4"/>
      <c r="D293" s="4" t="s">
        <v>28</v>
      </c>
      <c r="G293" s="58">
        <v>0.00169</v>
      </c>
      <c r="H293" s="58"/>
      <c r="I293" s="58">
        <v>0.00141</v>
      </c>
      <c r="J293" s="58"/>
      <c r="K293" s="58">
        <v>0.00112</v>
      </c>
      <c r="M293" s="80"/>
    </row>
    <row r="294" spans="7:11" ht="12.75">
      <c r="G294" s="58"/>
      <c r="H294" s="58"/>
      <c r="I294" s="58"/>
      <c r="J294" s="58"/>
      <c r="K294" s="58"/>
    </row>
    <row r="295" spans="7:11" ht="12.75">
      <c r="G295" s="58"/>
      <c r="H295" s="58"/>
      <c r="I295" s="58"/>
      <c r="J295" s="58"/>
      <c r="K295" s="58"/>
    </row>
    <row r="296" spans="2:13" ht="12.75">
      <c r="B296" s="4" t="s">
        <v>59</v>
      </c>
      <c r="C296" s="4" t="s">
        <v>110</v>
      </c>
      <c r="D296" s="4" t="s">
        <v>237</v>
      </c>
      <c r="G296" s="19"/>
      <c r="H296" s="19"/>
      <c r="I296" s="20"/>
      <c r="J296" s="19"/>
      <c r="K296" s="19"/>
      <c r="M296" s="60"/>
    </row>
    <row r="297" spans="2:13" ht="12.75">
      <c r="B297" s="4" t="s">
        <v>52</v>
      </c>
      <c r="C297" s="4"/>
      <c r="D297" s="4" t="s">
        <v>17</v>
      </c>
      <c r="G297" s="19">
        <v>35259</v>
      </c>
      <c r="H297" s="19"/>
      <c r="I297" s="19">
        <v>34982</v>
      </c>
      <c r="J297" s="19"/>
      <c r="K297" s="19">
        <v>36106</v>
      </c>
      <c r="M297" s="21">
        <f>AVERAGE(G297,I297,K297)</f>
        <v>35449</v>
      </c>
    </row>
    <row r="298" spans="2:13" ht="12.75">
      <c r="B298" s="4" t="s">
        <v>56</v>
      </c>
      <c r="C298" s="4"/>
      <c r="D298" s="4" t="s">
        <v>18</v>
      </c>
      <c r="G298" s="24">
        <v>15.2</v>
      </c>
      <c r="H298" s="19"/>
      <c r="I298" s="24">
        <v>14.9</v>
      </c>
      <c r="J298" s="19"/>
      <c r="K298" s="24">
        <v>15.2</v>
      </c>
      <c r="M298" s="18">
        <f>AVERAGE(G298,I298,K298)</f>
        <v>15.1</v>
      </c>
    </row>
    <row r="299" spans="2:13" ht="12.75">
      <c r="B299" s="4" t="s">
        <v>57</v>
      </c>
      <c r="C299" s="4"/>
      <c r="D299" s="4" t="s">
        <v>18</v>
      </c>
      <c r="G299" s="19">
        <v>15.1</v>
      </c>
      <c r="H299" s="19"/>
      <c r="I299" s="20">
        <v>15.1</v>
      </c>
      <c r="J299" s="19"/>
      <c r="K299" s="19">
        <v>15.4</v>
      </c>
      <c r="M299" s="18">
        <f>AVERAGE(G299,I299,K299)</f>
        <v>15.200000000000001</v>
      </c>
    </row>
    <row r="300" spans="2:13" ht="12.75">
      <c r="B300" s="4" t="s">
        <v>51</v>
      </c>
      <c r="C300" s="4"/>
      <c r="D300" s="4" t="s">
        <v>19</v>
      </c>
      <c r="G300" s="19"/>
      <c r="H300" s="19"/>
      <c r="I300" s="20"/>
      <c r="J300" s="19"/>
      <c r="K300" s="19"/>
      <c r="M300" s="21"/>
    </row>
    <row r="301" spans="2:13" ht="12.75">
      <c r="B301" s="4"/>
      <c r="C301" s="4"/>
      <c r="G301" s="19"/>
      <c r="H301" s="19"/>
      <c r="I301" s="20"/>
      <c r="J301" s="19"/>
      <c r="K301" s="19"/>
      <c r="L301" s="16"/>
      <c r="M301" s="21"/>
    </row>
    <row r="302" spans="2:13" ht="12.75">
      <c r="B302" s="4" t="s">
        <v>59</v>
      </c>
      <c r="C302" s="4" t="s">
        <v>138</v>
      </c>
      <c r="D302" s="4" t="s">
        <v>238</v>
      </c>
      <c r="G302" s="19"/>
      <c r="H302" s="19"/>
      <c r="I302" s="20"/>
      <c r="J302" s="19"/>
      <c r="K302" s="19"/>
      <c r="M302" s="60"/>
    </row>
    <row r="303" spans="2:13" ht="12.75">
      <c r="B303" s="4" t="s">
        <v>52</v>
      </c>
      <c r="C303" s="4"/>
      <c r="D303" s="4" t="s">
        <v>17</v>
      </c>
      <c r="G303" s="19">
        <v>34840</v>
      </c>
      <c r="H303" s="19"/>
      <c r="I303" s="19">
        <v>34814</v>
      </c>
      <c r="J303" s="19"/>
      <c r="K303" s="19">
        <v>34525</v>
      </c>
      <c r="M303" s="21">
        <f>AVERAGE(G303,I303,K303)</f>
        <v>34726.333333333336</v>
      </c>
    </row>
    <row r="304" spans="2:13" ht="12.75">
      <c r="B304" s="4" t="s">
        <v>56</v>
      </c>
      <c r="C304" s="4"/>
      <c r="D304" s="4" t="s">
        <v>18</v>
      </c>
      <c r="G304" s="48">
        <v>15.2</v>
      </c>
      <c r="H304" s="6"/>
      <c r="I304" s="48">
        <v>14.9</v>
      </c>
      <c r="J304" s="6"/>
      <c r="K304" s="48">
        <v>15.2</v>
      </c>
      <c r="M304" s="18">
        <f>AVERAGE(G304,I304,K304)</f>
        <v>15.1</v>
      </c>
    </row>
    <row r="305" spans="2:13" ht="12.75">
      <c r="B305" s="4" t="s">
        <v>57</v>
      </c>
      <c r="C305" s="4"/>
      <c r="D305" s="4" t="s">
        <v>18</v>
      </c>
      <c r="G305" s="5">
        <v>15.7</v>
      </c>
      <c r="H305" s="19"/>
      <c r="I305" s="20">
        <v>15.8</v>
      </c>
      <c r="J305" s="19"/>
      <c r="K305" s="19">
        <v>16.6</v>
      </c>
      <c r="M305" s="18">
        <f>AVERAGE(G305,I305,K305)</f>
        <v>16.033333333333335</v>
      </c>
    </row>
    <row r="306" spans="2:13" ht="12.75">
      <c r="B306" s="4" t="s">
        <v>51</v>
      </c>
      <c r="C306" s="4"/>
      <c r="D306" s="4" t="s">
        <v>19</v>
      </c>
      <c r="G306" s="19">
        <v>135</v>
      </c>
      <c r="H306" s="19"/>
      <c r="I306" s="20">
        <v>137</v>
      </c>
      <c r="J306" s="19"/>
      <c r="K306" s="19">
        <v>137</v>
      </c>
      <c r="M306" s="18">
        <f>AVERAGE(G306,I306,K306)</f>
        <v>136.33333333333334</v>
      </c>
    </row>
    <row r="307" spans="2:13" ht="12.75">
      <c r="B307" s="4"/>
      <c r="C307" s="4"/>
      <c r="G307" s="19"/>
      <c r="H307" s="19"/>
      <c r="I307" s="20"/>
      <c r="J307" s="19"/>
      <c r="K307" s="19"/>
      <c r="M307" s="21"/>
    </row>
    <row r="309" spans="2:13" ht="12.75">
      <c r="B309" s="4" t="s">
        <v>123</v>
      </c>
      <c r="C309" s="4" t="s">
        <v>238</v>
      </c>
      <c r="D309" s="4" t="s">
        <v>34</v>
      </c>
      <c r="E309" s="16" t="s">
        <v>15</v>
      </c>
      <c r="G309" s="60">
        <f>G280*1/60*454*1000000/(G$303*0.0283)*(21-7)/(21-G$304)</f>
        <v>1.1188632294750296</v>
      </c>
      <c r="H309" s="4"/>
      <c r="I309" s="60">
        <f>I280*1/60*454*1000000/(I$303*0.0283)*(21-7)/(21-I$304)</f>
        <v>0.8954186895526425</v>
      </c>
      <c r="J309" s="4"/>
      <c r="K309" s="60">
        <f>K280*1/60*454*1000000/(K$303*0.0283)*(21-7)/(21-K$304)</f>
        <v>1.0430826477847321</v>
      </c>
      <c r="M309" s="18">
        <f aca="true" t="shared" si="19" ref="M309:M316">AVERAGE(K309,I309,G309)</f>
        <v>1.0191215222708012</v>
      </c>
    </row>
    <row r="310" spans="2:13" ht="12.75">
      <c r="B310" s="4" t="s">
        <v>124</v>
      </c>
      <c r="C310" s="4" t="s">
        <v>238</v>
      </c>
      <c r="D310" s="4" t="s">
        <v>34</v>
      </c>
      <c r="E310" s="16" t="s">
        <v>15</v>
      </c>
      <c r="G310" s="60">
        <f aca="true" t="shared" si="20" ref="G310:G322">G281*1/60*454*1000000/(G$303*0.0283)*(21-7)/(21-G$304)</f>
        <v>0.3575175551137098</v>
      </c>
      <c r="H310" s="4"/>
      <c r="I310" s="60">
        <f aca="true" t="shared" si="21" ref="I310:I322">I281*1/60*454*1000000/(I$303*0.0283)*(21-7)/(21-I$304)</f>
        <v>0.49530049559900113</v>
      </c>
      <c r="J310" s="4"/>
      <c r="K310" s="60">
        <f aca="true" t="shared" si="22" ref="K310:K322">K281*1/60*454*1000000/(K$303*0.0283)*(21-7)/(21-K$304)</f>
        <v>0.3626488058606416</v>
      </c>
      <c r="M310" s="18">
        <f t="shared" si="19"/>
        <v>0.4051556188577841</v>
      </c>
    </row>
    <row r="311" spans="2:13" ht="12.75">
      <c r="B311" s="4" t="s">
        <v>125</v>
      </c>
      <c r="C311" s="4" t="s">
        <v>238</v>
      </c>
      <c r="D311" s="4" t="s">
        <v>34</v>
      </c>
      <c r="E311" s="16" t="s">
        <v>15</v>
      </c>
      <c r="G311" s="60">
        <f t="shared" si="20"/>
        <v>1.4300702204548392</v>
      </c>
      <c r="H311" s="4"/>
      <c r="I311" s="60">
        <f t="shared" si="21"/>
        <v>2.044656850159577</v>
      </c>
      <c r="J311" s="4"/>
      <c r="K311" s="60">
        <f t="shared" si="22"/>
        <v>2.1684155401976506</v>
      </c>
      <c r="M311" s="18">
        <f t="shared" si="19"/>
        <v>1.8810475369373556</v>
      </c>
    </row>
    <row r="312" spans="2:13" ht="12.75">
      <c r="B312" s="4" t="s">
        <v>126</v>
      </c>
      <c r="C312" s="4" t="s">
        <v>238</v>
      </c>
      <c r="D312" s="4" t="s">
        <v>34</v>
      </c>
      <c r="E312" s="16" t="s">
        <v>15</v>
      </c>
      <c r="G312" s="60">
        <f t="shared" si="20"/>
        <v>0.08947200990669527</v>
      </c>
      <c r="H312" s="4"/>
      <c r="I312" s="60">
        <f t="shared" si="21"/>
        <v>0.08531154443769272</v>
      </c>
      <c r="J312" s="4"/>
      <c r="K312" s="60">
        <f t="shared" si="22"/>
        <v>0.0906622014651604</v>
      </c>
      <c r="M312" s="18">
        <f t="shared" si="19"/>
        <v>0.08848191860318279</v>
      </c>
    </row>
    <row r="313" spans="2:13" ht="12.75">
      <c r="B313" s="4" t="s">
        <v>127</v>
      </c>
      <c r="C313" s="4" t="s">
        <v>238</v>
      </c>
      <c r="D313" s="4" t="s">
        <v>34</v>
      </c>
      <c r="E313" s="16" t="s">
        <v>15</v>
      </c>
      <c r="G313" s="60">
        <f t="shared" si="20"/>
        <v>0.6261188270903313</v>
      </c>
      <c r="H313" s="4"/>
      <c r="I313" s="60">
        <f t="shared" si="21"/>
        <v>0.6997661806149589</v>
      </c>
      <c r="J313" s="4"/>
      <c r="K313" s="60">
        <f t="shared" si="22"/>
        <v>2.3553479143526204</v>
      </c>
      <c r="M313" s="18">
        <f t="shared" si="19"/>
        <v>1.2270776406859703</v>
      </c>
    </row>
    <row r="314" spans="2:13" ht="12.75">
      <c r="B314" s="4" t="s">
        <v>128</v>
      </c>
      <c r="C314" s="4" t="s">
        <v>238</v>
      </c>
      <c r="D314" s="4" t="s">
        <v>34</v>
      </c>
      <c r="E314" s="16" t="s">
        <v>15</v>
      </c>
      <c r="G314" s="60">
        <f t="shared" si="20"/>
        <v>0.6261188270903313</v>
      </c>
      <c r="H314" s="4"/>
      <c r="I314" s="60">
        <f t="shared" si="21"/>
        <v>2.3090521325077993</v>
      </c>
      <c r="J314" s="4"/>
      <c r="K314" s="60">
        <f t="shared" si="22"/>
        <v>1.5421920867785017</v>
      </c>
      <c r="M314" s="18">
        <f t="shared" si="19"/>
        <v>1.4924543487922108</v>
      </c>
    </row>
    <row r="315" spans="2:13" ht="12.75">
      <c r="B315" s="4" t="s">
        <v>129</v>
      </c>
      <c r="C315" s="4" t="s">
        <v>238</v>
      </c>
      <c r="D315" s="4" t="s">
        <v>34</v>
      </c>
      <c r="E315" s="16" t="s">
        <v>15</v>
      </c>
      <c r="G315" s="60">
        <f t="shared" si="20"/>
        <v>5.372025439532427</v>
      </c>
      <c r="H315" s="4"/>
      <c r="I315" s="60">
        <f t="shared" si="21"/>
        <v>4.68860967364179</v>
      </c>
      <c r="J315" s="4"/>
      <c r="K315" s="60">
        <f t="shared" si="22"/>
        <v>6.075302160036523</v>
      </c>
      <c r="M315" s="18">
        <f t="shared" si="19"/>
        <v>5.378645757736915</v>
      </c>
    </row>
    <row r="316" spans="2:13" ht="12.75">
      <c r="B316" s="4" t="s">
        <v>130</v>
      </c>
      <c r="C316" s="4" t="s">
        <v>238</v>
      </c>
      <c r="D316" s="4" t="s">
        <v>34</v>
      </c>
      <c r="E316" s="16" t="s">
        <v>15</v>
      </c>
      <c r="G316" s="60">
        <f t="shared" si="20"/>
        <v>1.5560349548990475</v>
      </c>
      <c r="H316" s="4"/>
      <c r="I316" s="60">
        <f t="shared" si="21"/>
        <v>1.2285567453114012</v>
      </c>
      <c r="J316" s="4"/>
      <c r="K316" s="60">
        <f t="shared" si="22"/>
        <v>1.125332892412919</v>
      </c>
      <c r="M316" s="18">
        <f t="shared" si="19"/>
        <v>1.3033081975411225</v>
      </c>
    </row>
    <row r="317" spans="2:13" ht="12.75">
      <c r="B317" s="4" t="s">
        <v>131</v>
      </c>
      <c r="C317" s="4" t="s">
        <v>238</v>
      </c>
      <c r="D317" s="4" t="s">
        <v>34</v>
      </c>
      <c r="E317" s="16" t="s">
        <v>15</v>
      </c>
      <c r="G317" s="60">
        <f t="shared" si="20"/>
        <v>9.336209729394286</v>
      </c>
      <c r="H317" s="4"/>
      <c r="I317" s="60">
        <f t="shared" si="21"/>
        <v>17.326704169886764</v>
      </c>
      <c r="J317" s="4"/>
      <c r="K317" s="60">
        <f t="shared" si="22"/>
        <v>20.375628782891724</v>
      </c>
      <c r="M317" s="18">
        <f aca="true" t="shared" si="23" ref="M317:M322">AVERAGE(K317,I317,G317)</f>
        <v>15.679514227390925</v>
      </c>
    </row>
    <row r="318" spans="2:13" ht="12.75">
      <c r="B318" s="4" t="s">
        <v>132</v>
      </c>
      <c r="C318" s="4" t="s">
        <v>238</v>
      </c>
      <c r="D318" s="4" t="s">
        <v>34</v>
      </c>
      <c r="E318" s="16" t="s">
        <v>15</v>
      </c>
      <c r="G318" s="60">
        <f t="shared" si="20"/>
        <v>4.260571900318822</v>
      </c>
      <c r="H318" s="4"/>
      <c r="I318" s="60">
        <f t="shared" si="21"/>
        <v>8.601659852395464</v>
      </c>
      <c r="J318" s="4"/>
      <c r="K318" s="60">
        <f t="shared" si="22"/>
        <v>12.767481154784447</v>
      </c>
      <c r="M318" s="18">
        <f t="shared" si="23"/>
        <v>8.543237635832911</v>
      </c>
    </row>
    <row r="319" spans="2:13" ht="12.75">
      <c r="B319" s="4" t="s">
        <v>133</v>
      </c>
      <c r="C319" s="4" t="s">
        <v>238</v>
      </c>
      <c r="D319" s="4" t="s">
        <v>34</v>
      </c>
      <c r="E319" s="16" t="s">
        <v>15</v>
      </c>
      <c r="G319" s="60">
        <f t="shared" si="20"/>
        <v>0.4464338382507982</v>
      </c>
      <c r="H319" s="4"/>
      <c r="I319" s="60">
        <f t="shared" si="21"/>
        <v>0.42655772218846355</v>
      </c>
      <c r="J319" s="4"/>
      <c r="K319" s="60">
        <f t="shared" si="22"/>
        <v>0.4542456691965769</v>
      </c>
      <c r="M319" s="18">
        <f t="shared" si="23"/>
        <v>0.44241240987861286</v>
      </c>
    </row>
    <row r="320" spans="2:13" ht="12.75">
      <c r="B320" s="4" t="s">
        <v>134</v>
      </c>
      <c r="C320" s="4" t="s">
        <v>238</v>
      </c>
      <c r="D320" s="4" t="s">
        <v>34</v>
      </c>
      <c r="E320" s="16" t="s">
        <v>15</v>
      </c>
      <c r="G320" s="60">
        <f t="shared" si="20"/>
        <v>0.17894401981339053</v>
      </c>
      <c r="H320" s="4"/>
      <c r="I320" s="60">
        <f t="shared" si="21"/>
        <v>0.17062308887538544</v>
      </c>
      <c r="J320" s="4"/>
      <c r="K320" s="60">
        <f t="shared" si="22"/>
        <v>0.1815113353044758</v>
      </c>
      <c r="M320" s="18">
        <f t="shared" si="23"/>
        <v>0.1770261479977506</v>
      </c>
    </row>
    <row r="321" spans="2:13" ht="12.75">
      <c r="B321" s="4" t="s">
        <v>135</v>
      </c>
      <c r="C321" s="4" t="s">
        <v>238</v>
      </c>
      <c r="D321" s="4" t="s">
        <v>34</v>
      </c>
      <c r="E321" s="16" t="s">
        <v>15</v>
      </c>
      <c r="G321" s="60">
        <f t="shared" si="20"/>
        <v>0.4464338382507982</v>
      </c>
      <c r="H321" s="4"/>
      <c r="I321" s="60">
        <f t="shared" si="21"/>
        <v>0.42655772218846355</v>
      </c>
      <c r="J321" s="4"/>
      <c r="K321" s="60">
        <f t="shared" si="22"/>
        <v>0.4542456691965769</v>
      </c>
      <c r="M321" s="18">
        <f t="shared" si="23"/>
        <v>0.44241240987861286</v>
      </c>
    </row>
    <row r="322" spans="2:13" ht="12.75">
      <c r="B322" s="4" t="s">
        <v>136</v>
      </c>
      <c r="C322" s="4" t="s">
        <v>238</v>
      </c>
      <c r="D322" s="4" t="s">
        <v>34</v>
      </c>
      <c r="E322" s="16" t="s">
        <v>15</v>
      </c>
      <c r="G322" s="60">
        <f t="shared" si="20"/>
        <v>31.30594135451656</v>
      </c>
      <c r="H322" s="4"/>
      <c r="I322" s="60">
        <f t="shared" si="21"/>
        <v>24.853156540732794</v>
      </c>
      <c r="J322" s="4"/>
      <c r="K322" s="60">
        <f t="shared" si="22"/>
        <v>20.93642590535663</v>
      </c>
      <c r="M322" s="18">
        <f t="shared" si="23"/>
        <v>25.69850793353533</v>
      </c>
    </row>
    <row r="323" spans="2:11" ht="12.75">
      <c r="B323" s="4"/>
      <c r="C323" s="4"/>
      <c r="E323" s="16"/>
      <c r="G323" s="60"/>
      <c r="H323" s="4"/>
      <c r="I323" s="60"/>
      <c r="J323" s="4"/>
      <c r="K323" s="60"/>
    </row>
    <row r="324" spans="2:13" ht="12.75">
      <c r="B324" s="4" t="s">
        <v>35</v>
      </c>
      <c r="C324" s="4" t="s">
        <v>238</v>
      </c>
      <c r="D324" s="4" t="s">
        <v>34</v>
      </c>
      <c r="E324" s="16" t="s">
        <v>15</v>
      </c>
      <c r="G324" s="60">
        <f>G313+G316</f>
        <v>2.1821537819893786</v>
      </c>
      <c r="I324" s="60">
        <f>I313+I316</f>
        <v>1.9283229259263601</v>
      </c>
      <c r="K324" s="60">
        <f>K313+K316</f>
        <v>3.4806808067655393</v>
      </c>
      <c r="M324" s="60">
        <f>AVERAGE(K324,I324,G324)</f>
        <v>2.5303858382270925</v>
      </c>
    </row>
    <row r="325" spans="2:13" ht="12.75">
      <c r="B325" s="4" t="s">
        <v>36</v>
      </c>
      <c r="C325" s="4" t="s">
        <v>238</v>
      </c>
      <c r="D325" s="4" t="s">
        <v>34</v>
      </c>
      <c r="E325" s="16" t="s">
        <v>15</v>
      </c>
      <c r="G325" s="60">
        <f>G309+G312+G314</f>
        <v>1.834454066472056</v>
      </c>
      <c r="I325" s="60">
        <f>I309+I312+I314</f>
        <v>3.2897823664981347</v>
      </c>
      <c r="K325" s="60">
        <f>K309+K312+K314</f>
        <v>2.6759369360283944</v>
      </c>
      <c r="M325" s="60">
        <f>AVERAGE(K325,I325,G325)</f>
        <v>2.600057789666195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181"/>
  <sheetViews>
    <sheetView workbookViewId="0" topLeftCell="B1">
      <selection activeCell="C1" sqref="C1"/>
    </sheetView>
  </sheetViews>
  <sheetFormatPr defaultColWidth="9.140625" defaultRowHeight="12.75"/>
  <cols>
    <col min="1" max="1" width="8.28125" style="0" hidden="1" customWidth="1"/>
    <col min="2" max="2" width="19.00390625" style="0" customWidth="1"/>
    <col min="3" max="3" width="8.28125" style="0" customWidth="1"/>
    <col min="5" max="5" width="3.28125" style="0" customWidth="1"/>
    <col min="6" max="6" width="3.00390625" style="0" bestFit="1" customWidth="1"/>
    <col min="7" max="7" width="8.7109375" style="0" customWidth="1"/>
    <col min="8" max="8" width="3.00390625" style="0" bestFit="1" customWidth="1"/>
    <col min="9" max="9" width="10.140625" style="0" customWidth="1"/>
    <col min="10" max="10" width="3.00390625" style="0" bestFit="1" customWidth="1"/>
    <col min="11" max="11" width="9.28125" style="0" customWidth="1"/>
    <col min="12" max="12" width="3.00390625" style="0" bestFit="1" customWidth="1"/>
    <col min="13" max="13" width="10.00390625" style="0" customWidth="1"/>
    <col min="14" max="14" width="3.7109375" style="0" customWidth="1"/>
    <col min="16" max="16" width="10.8515625" style="0" customWidth="1"/>
  </cols>
  <sheetData>
    <row r="1" ht="12.75">
      <c r="B1" s="2" t="s">
        <v>216</v>
      </c>
    </row>
    <row r="2" ht="12.75">
      <c r="B2" s="2"/>
    </row>
    <row r="3" ht="12.75">
      <c r="B3" s="2"/>
    </row>
    <row r="4" spans="2:15" ht="12.75">
      <c r="B4" s="2" t="s">
        <v>195</v>
      </c>
      <c r="G4" s="102" t="s">
        <v>181</v>
      </c>
      <c r="H4" s="102"/>
      <c r="I4" s="102" t="s">
        <v>182</v>
      </c>
      <c r="J4" s="102"/>
      <c r="K4" s="102" t="s">
        <v>183</v>
      </c>
      <c r="L4" s="102"/>
      <c r="M4" s="102" t="s">
        <v>201</v>
      </c>
      <c r="N4" s="102"/>
      <c r="O4" s="102" t="s">
        <v>180</v>
      </c>
    </row>
    <row r="6" spans="1:61" s="85" customFormat="1" ht="12.75">
      <c r="A6" s="85" t="s">
        <v>195</v>
      </c>
      <c r="B6" s="85" t="s">
        <v>13</v>
      </c>
      <c r="C6" s="85" t="s">
        <v>237</v>
      </c>
      <c r="D6" s="85" t="s">
        <v>14</v>
      </c>
      <c r="E6" s="85" t="s">
        <v>15</v>
      </c>
      <c r="F6" s="86" t="s">
        <v>202</v>
      </c>
      <c r="G6" s="109">
        <v>0.00850008432</v>
      </c>
      <c r="H6" s="109" t="s">
        <v>202</v>
      </c>
      <c r="I6" s="109">
        <v>0.007600075392</v>
      </c>
      <c r="J6" s="109" t="s">
        <v>202</v>
      </c>
      <c r="K6" s="109">
        <v>0.011700116064</v>
      </c>
      <c r="L6" s="109" t="s">
        <v>202</v>
      </c>
      <c r="M6" s="109">
        <v>0.00600005952</v>
      </c>
      <c r="N6" s="86" t="s">
        <v>202</v>
      </c>
      <c r="O6" s="85">
        <f>AVERAGE(G6,I6,K6,M6)</f>
        <v>0.008450083824</v>
      </c>
      <c r="P6" s="86" t="s">
        <v>202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87" customFormat="1" ht="12.75">
      <c r="A7" s="87" t="s">
        <v>195</v>
      </c>
      <c r="B7" s="87" t="s">
        <v>63</v>
      </c>
      <c r="C7" s="87" t="s">
        <v>237</v>
      </c>
      <c r="D7" s="87" t="s">
        <v>16</v>
      </c>
      <c r="E7" s="85" t="s">
        <v>15</v>
      </c>
      <c r="F7" s="86" t="s">
        <v>202</v>
      </c>
      <c r="G7" s="87">
        <v>51.245283018868</v>
      </c>
      <c r="H7" s="86" t="s">
        <v>202</v>
      </c>
      <c r="I7" s="87">
        <v>43.27272727272727</v>
      </c>
      <c r="J7" s="86" t="s">
        <v>202</v>
      </c>
      <c r="K7" s="87">
        <v>48.46153846153845</v>
      </c>
      <c r="L7" s="86" t="s">
        <v>202</v>
      </c>
      <c r="M7" s="87">
        <v>40.21818181818182</v>
      </c>
      <c r="N7" s="86" t="s">
        <v>202</v>
      </c>
      <c r="O7" s="87">
        <f>AVERAGE(G7,I7,K7,M7)</f>
        <v>45.79943264282888</v>
      </c>
      <c r="P7" s="86" t="s">
        <v>202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87" customFormat="1" ht="12.75">
      <c r="A8" s="87" t="s">
        <v>195</v>
      </c>
      <c r="B8" s="87" t="s">
        <v>25</v>
      </c>
      <c r="C8" s="87" t="s">
        <v>237</v>
      </c>
      <c r="D8" s="87" t="s">
        <v>16</v>
      </c>
      <c r="E8" s="85" t="s">
        <v>15</v>
      </c>
      <c r="F8" s="86" t="s">
        <v>202</v>
      </c>
      <c r="G8" s="87">
        <v>26.830735860769188</v>
      </c>
      <c r="H8" s="86" t="s">
        <v>202</v>
      </c>
      <c r="I8" s="87">
        <v>18.968827860734585</v>
      </c>
      <c r="J8" s="86" t="s">
        <v>202</v>
      </c>
      <c r="K8" s="87">
        <v>97.48337962793421</v>
      </c>
      <c r="L8" s="86" t="s">
        <v>202</v>
      </c>
      <c r="M8" s="87">
        <v>17.730057946364</v>
      </c>
      <c r="N8" s="86" t="s">
        <v>202</v>
      </c>
      <c r="O8" s="87">
        <f>AVERAGE(G8,I8,K8,M8)</f>
        <v>40.253250323950496</v>
      </c>
      <c r="P8" s="86" t="s">
        <v>202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87" customFormat="1" ht="12.75">
      <c r="A9" s="87" t="s">
        <v>195</v>
      </c>
      <c r="B9" s="87" t="s">
        <v>26</v>
      </c>
      <c r="C9" s="87" t="s">
        <v>237</v>
      </c>
      <c r="D9" s="87" t="s">
        <v>16</v>
      </c>
      <c r="E9" s="85" t="s">
        <v>15</v>
      </c>
      <c r="F9" s="86" t="s">
        <v>202</v>
      </c>
      <c r="G9" s="87">
        <v>0.35488899360939763</v>
      </c>
      <c r="H9" s="86" t="s">
        <v>202</v>
      </c>
      <c r="I9" s="87">
        <v>1.6337694767198554</v>
      </c>
      <c r="J9" s="86" t="s">
        <v>202</v>
      </c>
      <c r="K9" s="87">
        <v>0.3093619240660818</v>
      </c>
      <c r="L9" s="86" t="s">
        <v>202</v>
      </c>
      <c r="M9" s="87">
        <v>2.339329940300081</v>
      </c>
      <c r="N9" s="86" t="s">
        <v>202</v>
      </c>
      <c r="O9" s="87">
        <f>AVERAGE(G9,I9,K9,M9)</f>
        <v>1.159337583673854</v>
      </c>
      <c r="P9" s="86" t="s">
        <v>202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2:61" s="87" customFormat="1" ht="12.75">
      <c r="B10" s="87" t="s">
        <v>58</v>
      </c>
      <c r="C10" s="87" t="s">
        <v>237</v>
      </c>
      <c r="D10" s="87" t="s">
        <v>16</v>
      </c>
      <c r="E10" s="85" t="s">
        <v>15</v>
      </c>
      <c r="F10" s="86"/>
      <c r="G10" s="87">
        <f>G8+2*G9</f>
        <v>27.540513847987985</v>
      </c>
      <c r="H10" s="86"/>
      <c r="I10" s="87">
        <f>I8+2*I9</f>
        <v>22.236366814174296</v>
      </c>
      <c r="J10" s="86"/>
      <c r="K10" s="87">
        <f>K8+2*K9</f>
        <v>98.10210347606638</v>
      </c>
      <c r="L10" s="86"/>
      <c r="M10" s="87">
        <f>M8+2*M9</f>
        <v>22.40871782696416</v>
      </c>
      <c r="N10" s="86"/>
      <c r="O10" s="87">
        <f>AVERAGE(G10,I10,K10,M10)</f>
        <v>42.5719254912982</v>
      </c>
      <c r="P10" s="86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87" customFormat="1" ht="12.75">
      <c r="A11" s="87" t="s">
        <v>195</v>
      </c>
      <c r="B11" s="87" t="s">
        <v>124</v>
      </c>
      <c r="C11" s="87" t="s">
        <v>238</v>
      </c>
      <c r="D11" s="87" t="s">
        <v>34</v>
      </c>
      <c r="E11" s="85" t="s">
        <v>15</v>
      </c>
      <c r="F11" s="86" t="s">
        <v>202</v>
      </c>
      <c r="G11" s="87">
        <v>9.50943396226415</v>
      </c>
      <c r="H11" s="86" t="s">
        <v>202</v>
      </c>
      <c r="I11" s="87">
        <v>10.690909090909</v>
      </c>
      <c r="J11" s="86" t="s">
        <v>202</v>
      </c>
      <c r="K11" s="87">
        <v>4.3076923076923</v>
      </c>
      <c r="L11" s="86" t="s">
        <v>202</v>
      </c>
      <c r="M11" s="87">
        <v>6.618181818181818</v>
      </c>
      <c r="N11" s="86" t="s">
        <v>202</v>
      </c>
      <c r="O11" s="87">
        <f aca="true" t="shared" si="0" ref="O11:O23">AVERAGE(G11,I11,K11,M11)</f>
        <v>7.781554294761817</v>
      </c>
      <c r="P11" s="86" t="s">
        <v>202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87" customFormat="1" ht="12.75">
      <c r="A12" s="87" t="s">
        <v>195</v>
      </c>
      <c r="B12" s="87" t="s">
        <v>123</v>
      </c>
      <c r="C12" s="87" t="s">
        <v>238</v>
      </c>
      <c r="D12" s="87" t="s">
        <v>34</v>
      </c>
      <c r="E12" s="85" t="s">
        <v>15</v>
      </c>
      <c r="F12" s="86" t="s">
        <v>202</v>
      </c>
      <c r="G12" s="87">
        <v>2.1132075471698113</v>
      </c>
      <c r="H12" s="86" t="s">
        <v>122</v>
      </c>
      <c r="I12" s="87">
        <v>0.7636363636363636</v>
      </c>
      <c r="J12" s="86" t="s">
        <v>122</v>
      </c>
      <c r="K12" s="87">
        <v>0.5384615384615385</v>
      </c>
      <c r="L12" s="86" t="s">
        <v>122</v>
      </c>
      <c r="M12" s="87">
        <v>0.50909090909091</v>
      </c>
      <c r="N12" s="86" t="s">
        <v>202</v>
      </c>
      <c r="O12" s="87">
        <f t="shared" si="0"/>
        <v>0.981099089589656</v>
      </c>
      <c r="P12" s="86" t="s">
        <v>202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87" customFormat="1" ht="12.75">
      <c r="A13" s="87" t="s">
        <v>195</v>
      </c>
      <c r="B13" s="87" t="s">
        <v>125</v>
      </c>
      <c r="C13" s="87" t="s">
        <v>238</v>
      </c>
      <c r="D13" s="87" t="s">
        <v>34</v>
      </c>
      <c r="E13" s="85" t="s">
        <v>15</v>
      </c>
      <c r="F13" s="86" t="s">
        <v>122</v>
      </c>
      <c r="G13" s="87">
        <v>3.1698113207547167</v>
      </c>
      <c r="H13" s="86" t="s">
        <v>122</v>
      </c>
      <c r="I13" s="87">
        <v>3.0545454545454542</v>
      </c>
      <c r="J13" s="86" t="s">
        <v>122</v>
      </c>
      <c r="K13" s="87">
        <v>3.230769230769231</v>
      </c>
      <c r="L13" s="86" t="s">
        <v>122</v>
      </c>
      <c r="M13" s="87">
        <v>3.0545454545454542</v>
      </c>
      <c r="N13" s="86">
        <v>100</v>
      </c>
      <c r="O13" s="87">
        <f t="shared" si="0"/>
        <v>3.1274178651537143</v>
      </c>
      <c r="P13" s="86" t="s">
        <v>202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87" customFormat="1" ht="12.75">
      <c r="A14" s="87" t="s">
        <v>195</v>
      </c>
      <c r="B14" s="87" t="s">
        <v>126</v>
      </c>
      <c r="C14" s="87" t="s">
        <v>238</v>
      </c>
      <c r="D14" s="87" t="s">
        <v>34</v>
      </c>
      <c r="E14" s="85" t="s">
        <v>15</v>
      </c>
      <c r="F14" s="86" t="s">
        <v>122</v>
      </c>
      <c r="G14" s="87">
        <v>0.2641509433962264</v>
      </c>
      <c r="H14" s="86" t="s">
        <v>122</v>
      </c>
      <c r="I14" s="87">
        <v>0.2545454545454546</v>
      </c>
      <c r="J14" s="86" t="s">
        <v>122</v>
      </c>
      <c r="K14" s="87">
        <v>0.26923076923077</v>
      </c>
      <c r="L14" s="86" t="s">
        <v>122</v>
      </c>
      <c r="M14" s="87">
        <v>0.2545454545454546</v>
      </c>
      <c r="N14" s="86">
        <v>100</v>
      </c>
      <c r="O14" s="87">
        <f t="shared" si="0"/>
        <v>0.2606181554294764</v>
      </c>
      <c r="P14" s="86" t="s">
        <v>202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87" customFormat="1" ht="12.75">
      <c r="A15" s="87" t="s">
        <v>195</v>
      </c>
      <c r="B15" s="87" t="s">
        <v>127</v>
      </c>
      <c r="C15" s="87" t="s">
        <v>238</v>
      </c>
      <c r="D15" s="87" t="s">
        <v>34</v>
      </c>
      <c r="E15" s="85" t="s">
        <v>15</v>
      </c>
      <c r="F15" s="86" t="s">
        <v>202</v>
      </c>
      <c r="G15" s="87">
        <v>11.622641509434</v>
      </c>
      <c r="H15" s="86" t="s">
        <v>202</v>
      </c>
      <c r="I15" s="87">
        <v>5.6</v>
      </c>
      <c r="J15" s="86" t="s">
        <v>202</v>
      </c>
      <c r="K15" s="87">
        <v>5.653846153846154</v>
      </c>
      <c r="L15" s="86" t="s">
        <v>202</v>
      </c>
      <c r="M15" s="87">
        <v>6.872727272727273</v>
      </c>
      <c r="N15" s="86" t="s">
        <v>202</v>
      </c>
      <c r="O15" s="87">
        <f t="shared" si="0"/>
        <v>7.437303734001857</v>
      </c>
      <c r="P15" s="86" t="s">
        <v>202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87" customFormat="1" ht="12.75">
      <c r="A16" s="87" t="s">
        <v>195</v>
      </c>
      <c r="B16" s="87" t="s">
        <v>128</v>
      </c>
      <c r="C16" s="87" t="s">
        <v>238</v>
      </c>
      <c r="D16" s="87" t="s">
        <v>34</v>
      </c>
      <c r="E16" s="85" t="s">
        <v>15</v>
      </c>
      <c r="F16" s="86" t="s">
        <v>202</v>
      </c>
      <c r="G16" s="87">
        <v>20.60377358490566</v>
      </c>
      <c r="H16" s="86" t="s">
        <v>202</v>
      </c>
      <c r="I16" s="87">
        <v>162.14545454545456</v>
      </c>
      <c r="J16" s="86" t="s">
        <v>202</v>
      </c>
      <c r="K16" s="87">
        <v>26.115384615384617</v>
      </c>
      <c r="L16" s="86" t="s">
        <v>202</v>
      </c>
      <c r="M16" s="87">
        <v>22.145454545454545</v>
      </c>
      <c r="N16" s="86" t="s">
        <v>202</v>
      </c>
      <c r="O16" s="87">
        <f t="shared" si="0"/>
        <v>57.75251682279985</v>
      </c>
      <c r="P16" s="86" t="s">
        <v>202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87" customFormat="1" ht="12.75">
      <c r="A17" s="87" t="s">
        <v>195</v>
      </c>
      <c r="B17" s="87" t="s">
        <v>203</v>
      </c>
      <c r="C17" s="87" t="s">
        <v>239</v>
      </c>
      <c r="D17" s="87" t="s">
        <v>34</v>
      </c>
      <c r="E17" s="85" t="s">
        <v>15</v>
      </c>
      <c r="F17" s="86" t="s">
        <v>202</v>
      </c>
      <c r="G17" s="87">
        <v>0.6496268054725458</v>
      </c>
      <c r="H17" s="86" t="s">
        <v>202</v>
      </c>
      <c r="I17" s="87">
        <v>0.3981680804547442</v>
      </c>
      <c r="J17" s="86" t="s">
        <v>202</v>
      </c>
      <c r="K17" s="87">
        <v>0.4505118001641528</v>
      </c>
      <c r="L17" s="86" t="s">
        <v>122</v>
      </c>
      <c r="M17" s="87">
        <v>0.15092689181454</v>
      </c>
      <c r="N17" s="86" t="s">
        <v>202</v>
      </c>
      <c r="O17" s="87">
        <f t="shared" si="0"/>
        <v>0.4123083944764957</v>
      </c>
      <c r="P17" s="86" t="s">
        <v>202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87" customFormat="1" ht="12.75">
      <c r="A18" s="87" t="s">
        <v>195</v>
      </c>
      <c r="B18" s="87" t="s">
        <v>130</v>
      </c>
      <c r="C18" s="87" t="s">
        <v>238</v>
      </c>
      <c r="D18" s="87" t="s">
        <v>34</v>
      </c>
      <c r="E18" s="85" t="s">
        <v>15</v>
      </c>
      <c r="F18" s="86" t="s">
        <v>202</v>
      </c>
      <c r="G18" s="87">
        <v>3.4339622641509435</v>
      </c>
      <c r="H18" s="86" t="s">
        <v>202</v>
      </c>
      <c r="I18" s="87">
        <v>4.327272727272727</v>
      </c>
      <c r="J18" s="86" t="s">
        <v>202</v>
      </c>
      <c r="K18" s="87">
        <v>1.6153846153846154</v>
      </c>
      <c r="L18" s="86" t="s">
        <v>202</v>
      </c>
      <c r="M18" s="87">
        <v>1.7818181818181817</v>
      </c>
      <c r="N18" s="86" t="s">
        <v>202</v>
      </c>
      <c r="O18" s="87">
        <f t="shared" si="0"/>
        <v>2.7896094471566166</v>
      </c>
      <c r="P18" s="86" t="s">
        <v>202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87" customFormat="1" ht="12.75">
      <c r="A19" s="87" t="s">
        <v>195</v>
      </c>
      <c r="B19" s="87" t="s">
        <v>131</v>
      </c>
      <c r="C19" s="87" t="s">
        <v>238</v>
      </c>
      <c r="D19" s="87" t="s">
        <v>34</v>
      </c>
      <c r="E19" s="85" t="s">
        <v>15</v>
      </c>
      <c r="F19" s="86" t="s">
        <v>202</v>
      </c>
      <c r="G19" s="87">
        <v>456.9811320754717</v>
      </c>
      <c r="H19" s="86" t="s">
        <v>202</v>
      </c>
      <c r="I19" s="87">
        <v>455.6363636363636</v>
      </c>
      <c r="J19" s="86" t="s">
        <v>202</v>
      </c>
      <c r="K19" s="87">
        <v>449.61538461538464</v>
      </c>
      <c r="L19" s="86" t="s">
        <v>202</v>
      </c>
      <c r="M19" s="87">
        <v>323.27272727272725</v>
      </c>
      <c r="N19" s="86" t="s">
        <v>202</v>
      </c>
      <c r="O19" s="87">
        <f t="shared" si="0"/>
        <v>421.3764018999868</v>
      </c>
      <c r="P19" s="86" t="s">
        <v>202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87" customFormat="1" ht="12.75">
      <c r="A20" s="87" t="s">
        <v>195</v>
      </c>
      <c r="B20" s="87" t="s">
        <v>132</v>
      </c>
      <c r="C20" s="87" t="s">
        <v>238</v>
      </c>
      <c r="D20" s="87" t="s">
        <v>34</v>
      </c>
      <c r="E20" s="85" t="s">
        <v>15</v>
      </c>
      <c r="F20" s="86" t="s">
        <v>202</v>
      </c>
      <c r="G20" s="87">
        <v>6.339622641509433</v>
      </c>
      <c r="H20" s="86" t="s">
        <v>202</v>
      </c>
      <c r="I20" s="87">
        <v>133.38181818181818</v>
      </c>
      <c r="J20" s="86" t="s">
        <v>122</v>
      </c>
      <c r="K20" s="87">
        <v>3.230769230769231</v>
      </c>
      <c r="L20" s="86" t="s">
        <v>122</v>
      </c>
      <c r="M20" s="87">
        <v>3.0545454545454542</v>
      </c>
      <c r="N20" s="86" t="s">
        <v>202</v>
      </c>
      <c r="O20" s="87">
        <f t="shared" si="0"/>
        <v>36.501688877160575</v>
      </c>
      <c r="P20" s="86" t="s">
        <v>202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87" customFormat="1" ht="12.75">
      <c r="A21" s="87" t="s">
        <v>195</v>
      </c>
      <c r="B21" s="87" t="s">
        <v>133</v>
      </c>
      <c r="C21" s="87" t="s">
        <v>238</v>
      </c>
      <c r="D21" s="87" t="s">
        <v>34</v>
      </c>
      <c r="E21" s="85" t="s">
        <v>15</v>
      </c>
      <c r="F21" s="86" t="s">
        <v>122</v>
      </c>
      <c r="G21" s="87">
        <v>0.5283018867924528</v>
      </c>
      <c r="H21" s="86" t="s">
        <v>122</v>
      </c>
      <c r="I21" s="87">
        <v>0.48363636363636364</v>
      </c>
      <c r="J21" s="86" t="s">
        <v>122</v>
      </c>
      <c r="K21" s="87">
        <v>0.5384615384615385</v>
      </c>
      <c r="L21" s="86" t="s">
        <v>122</v>
      </c>
      <c r="M21" s="87">
        <v>0.50909090909091</v>
      </c>
      <c r="N21" s="86">
        <v>100</v>
      </c>
      <c r="O21" s="87">
        <f t="shared" si="0"/>
        <v>0.5148726744953163</v>
      </c>
      <c r="P21" s="86" t="s">
        <v>202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87" customFormat="1" ht="12.75">
      <c r="A22" s="87" t="s">
        <v>195</v>
      </c>
      <c r="B22" s="87" t="s">
        <v>134</v>
      </c>
      <c r="C22" s="87" t="s">
        <v>238</v>
      </c>
      <c r="D22" s="87" t="s">
        <v>34</v>
      </c>
      <c r="E22" s="85" t="s">
        <v>15</v>
      </c>
      <c r="F22" s="86" t="s">
        <v>122</v>
      </c>
      <c r="G22" s="87">
        <v>0.79245283018868</v>
      </c>
      <c r="H22" s="86" t="s">
        <v>122</v>
      </c>
      <c r="I22" s="87">
        <v>0.7636363636363636</v>
      </c>
      <c r="J22" s="86" t="s">
        <v>122</v>
      </c>
      <c r="K22" s="87">
        <v>0.8076923076923077</v>
      </c>
      <c r="L22" s="86" t="s">
        <v>122</v>
      </c>
      <c r="M22" s="87">
        <v>0.7636363636363636</v>
      </c>
      <c r="N22" s="86">
        <v>100</v>
      </c>
      <c r="O22" s="87">
        <f t="shared" si="0"/>
        <v>0.7818544662884288</v>
      </c>
      <c r="P22" s="86" t="s">
        <v>202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87" customFormat="1" ht="12.75">
      <c r="A23" s="87" t="s">
        <v>195</v>
      </c>
      <c r="B23" s="87" t="s">
        <v>135</v>
      </c>
      <c r="C23" s="87" t="s">
        <v>238</v>
      </c>
      <c r="D23" s="87" t="s">
        <v>34</v>
      </c>
      <c r="E23" s="85" t="s">
        <v>15</v>
      </c>
      <c r="F23" s="86" t="s">
        <v>202</v>
      </c>
      <c r="G23" s="87">
        <v>0.79245283018868</v>
      </c>
      <c r="H23" s="86" t="s">
        <v>122</v>
      </c>
      <c r="I23" s="87">
        <v>0.50909090909091</v>
      </c>
      <c r="J23" s="86" t="s">
        <v>122</v>
      </c>
      <c r="K23" s="87">
        <v>0.5384615384615385</v>
      </c>
      <c r="L23" s="86" t="s">
        <v>122</v>
      </c>
      <c r="M23" s="87">
        <v>0.50909090909091</v>
      </c>
      <c r="N23" s="86">
        <v>100</v>
      </c>
      <c r="O23" s="87">
        <f t="shared" si="0"/>
        <v>0.5872740467080096</v>
      </c>
      <c r="P23" s="86" t="s">
        <v>202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2:61" s="87" customFormat="1" ht="12.75">
      <c r="B24" s="87" t="s">
        <v>35</v>
      </c>
      <c r="C24" s="87" t="s">
        <v>238</v>
      </c>
      <c r="D24" s="87" t="s">
        <v>34</v>
      </c>
      <c r="E24" s="85" t="s">
        <v>15</v>
      </c>
      <c r="F24" s="86"/>
      <c r="G24" s="87">
        <f>G18+G15</f>
        <v>15.056603773584945</v>
      </c>
      <c r="H24" s="86"/>
      <c r="I24" s="87">
        <f>I18+I15</f>
        <v>9.927272727272726</v>
      </c>
      <c r="J24" s="86"/>
      <c r="K24" s="87">
        <f>K18+K15</f>
        <v>7.26923076923077</v>
      </c>
      <c r="L24" s="86"/>
      <c r="M24" s="87">
        <f>M18+M15</f>
        <v>8.654545454545454</v>
      </c>
      <c r="N24" s="86"/>
      <c r="O24" s="87">
        <f>AVERAGE(G24,I24,K24,M24)</f>
        <v>10.226913181158473</v>
      </c>
      <c r="P24" s="8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2:61" s="87" customFormat="1" ht="12.75">
      <c r="B25" s="87" t="s">
        <v>36</v>
      </c>
      <c r="C25" s="87" t="s">
        <v>238</v>
      </c>
      <c r="D25" s="87" t="s">
        <v>34</v>
      </c>
      <c r="E25" s="85" t="s">
        <v>15</v>
      </c>
      <c r="F25" s="86"/>
      <c r="G25" s="87">
        <f>G12+G14+G16</f>
        <v>22.9811320754717</v>
      </c>
      <c r="H25" s="86"/>
      <c r="I25" s="87">
        <f>I12+I14+I16</f>
        <v>163.16363636363639</v>
      </c>
      <c r="J25" s="86"/>
      <c r="K25" s="87">
        <f>K12+K14+K16</f>
        <v>26.923076923076927</v>
      </c>
      <c r="L25" s="86"/>
      <c r="M25" s="87">
        <f>M12+M14+M16</f>
        <v>22.90909090909091</v>
      </c>
      <c r="N25" s="86"/>
      <c r="O25" s="87">
        <f>AVERAGE(G25,I25,K25,M25)</f>
        <v>58.99423406781898</v>
      </c>
      <c r="P25" s="8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6:61" s="87" customFormat="1" ht="12.75">
      <c r="F26" s="86"/>
      <c r="H26" s="86"/>
      <c r="J26" s="86"/>
      <c r="L26" s="86"/>
      <c r="N26" s="86"/>
      <c r="P26" s="8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88" customFormat="1" ht="12.75">
      <c r="A27" s="88" t="s">
        <v>195</v>
      </c>
      <c r="B27" s="88" t="s">
        <v>211</v>
      </c>
      <c r="C27" s="88" t="s">
        <v>237</v>
      </c>
      <c r="D27" s="88" t="s">
        <v>18</v>
      </c>
      <c r="G27" s="86">
        <v>100</v>
      </c>
      <c r="H27" s="86"/>
      <c r="I27" s="86">
        <v>100</v>
      </c>
      <c r="J27" s="86"/>
      <c r="K27" s="86">
        <v>100</v>
      </c>
      <c r="L27" s="86"/>
      <c r="M27" s="86">
        <v>100</v>
      </c>
      <c r="N27" s="86"/>
      <c r="O27" s="86"/>
      <c r="P27" s="86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88" customFormat="1" ht="12.75">
      <c r="A28" s="88" t="s">
        <v>195</v>
      </c>
      <c r="B28" s="88" t="s">
        <v>212</v>
      </c>
      <c r="C28" s="88" t="s">
        <v>237</v>
      </c>
      <c r="D28" s="88" t="s">
        <v>18</v>
      </c>
      <c r="G28" s="86">
        <v>99.9995</v>
      </c>
      <c r="H28" s="86"/>
      <c r="I28" s="86">
        <v>100</v>
      </c>
      <c r="J28" s="86"/>
      <c r="K28" s="86">
        <v>100</v>
      </c>
      <c r="L28" s="86"/>
      <c r="M28" s="86">
        <v>99.9999</v>
      </c>
      <c r="N28" s="86"/>
      <c r="O28" s="86"/>
      <c r="P28" s="86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88" customFormat="1" ht="12.75">
      <c r="A29" s="88" t="s">
        <v>195</v>
      </c>
      <c r="B29" s="88" t="s">
        <v>121</v>
      </c>
      <c r="C29" s="88" t="s">
        <v>237</v>
      </c>
      <c r="D29" s="88" t="s">
        <v>18</v>
      </c>
      <c r="G29" s="86">
        <v>99.9986</v>
      </c>
      <c r="H29" s="86"/>
      <c r="I29" s="86">
        <v>99.9982</v>
      </c>
      <c r="J29" s="86"/>
      <c r="K29" s="86">
        <v>99.9979</v>
      </c>
      <c r="L29" s="86"/>
      <c r="M29" s="86">
        <v>99.9965</v>
      </c>
      <c r="N29" s="86"/>
      <c r="O29" s="86"/>
      <c r="P29" s="8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88" customFormat="1" ht="12.75">
      <c r="A30" s="88" t="s">
        <v>195</v>
      </c>
      <c r="B30" s="88" t="s">
        <v>213</v>
      </c>
      <c r="C30" s="88" t="s">
        <v>237</v>
      </c>
      <c r="D30" s="88" t="s">
        <v>18</v>
      </c>
      <c r="G30" s="86">
        <v>99.9982</v>
      </c>
      <c r="H30" s="86"/>
      <c r="I30" s="86">
        <v>99.9978</v>
      </c>
      <c r="J30" s="86"/>
      <c r="K30" s="86">
        <v>99.9978</v>
      </c>
      <c r="L30" s="86"/>
      <c r="M30" s="86">
        <v>99.9973</v>
      </c>
      <c r="N30" s="86"/>
      <c r="O30" s="86"/>
      <c r="P30" s="8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7:61" s="88" customFormat="1" ht="12.75">
      <c r="G31" s="86"/>
      <c r="H31" s="86"/>
      <c r="I31" s="86"/>
      <c r="J31" s="86"/>
      <c r="K31" s="86"/>
      <c r="L31" s="86"/>
      <c r="M31" s="86"/>
      <c r="N31" s="86"/>
      <c r="O31" s="86"/>
      <c r="P31" s="8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2:61" s="88" customFormat="1" ht="12.75">
      <c r="B32" s="87" t="s">
        <v>59</v>
      </c>
      <c r="C32" s="88" t="s">
        <v>205</v>
      </c>
      <c r="D32" s="88" t="s">
        <v>237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88" customFormat="1" ht="12.75">
      <c r="A33" s="88" t="s">
        <v>195</v>
      </c>
      <c r="B33" s="4" t="s">
        <v>52</v>
      </c>
      <c r="C33" s="4"/>
      <c r="D33" s="4" t="s">
        <v>17</v>
      </c>
      <c r="G33" s="86">
        <v>35805</v>
      </c>
      <c r="H33" s="86"/>
      <c r="I33" s="86">
        <v>36484</v>
      </c>
      <c r="J33" s="86"/>
      <c r="K33" s="86">
        <v>35545</v>
      </c>
      <c r="L33" s="86"/>
      <c r="M33" s="86">
        <v>36245</v>
      </c>
      <c r="N33" s="86"/>
      <c r="O33" s="86"/>
      <c r="P33" s="8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88" customFormat="1" ht="12.75">
      <c r="A34" s="88" t="s">
        <v>195</v>
      </c>
      <c r="B34" s="4" t="s">
        <v>56</v>
      </c>
      <c r="C34" s="4"/>
      <c r="D34" s="4" t="s">
        <v>18</v>
      </c>
      <c r="G34" s="86">
        <v>15.7</v>
      </c>
      <c r="H34" s="86"/>
      <c r="I34" s="86">
        <v>15.5</v>
      </c>
      <c r="J34" s="86"/>
      <c r="K34" s="86">
        <v>15.8</v>
      </c>
      <c r="L34" s="86"/>
      <c r="M34" s="86">
        <v>15.5</v>
      </c>
      <c r="N34" s="86"/>
      <c r="O34" s="86"/>
      <c r="P34" s="86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88" customFormat="1" ht="12.75">
      <c r="A35" s="88" t="s">
        <v>195</v>
      </c>
      <c r="B35" s="4" t="s">
        <v>57</v>
      </c>
      <c r="C35" s="4"/>
      <c r="D35" s="4" t="s">
        <v>18</v>
      </c>
      <c r="G35" s="86">
        <v>15.2</v>
      </c>
      <c r="H35" s="86"/>
      <c r="I35" s="86">
        <v>14.1</v>
      </c>
      <c r="J35" s="86"/>
      <c r="K35" s="86">
        <v>15.5</v>
      </c>
      <c r="L35" s="86"/>
      <c r="M35" s="86">
        <v>16</v>
      </c>
      <c r="N35" s="86"/>
      <c r="O35" s="86"/>
      <c r="P35" s="86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88" customFormat="1" ht="12.75">
      <c r="A36" s="88" t="s">
        <v>195</v>
      </c>
      <c r="B36" s="4" t="s">
        <v>51</v>
      </c>
      <c r="C36" s="4"/>
      <c r="D36" s="4" t="s">
        <v>19</v>
      </c>
      <c r="G36" s="86">
        <v>138</v>
      </c>
      <c r="H36" s="86"/>
      <c r="I36" s="86">
        <v>138</v>
      </c>
      <c r="J36" s="86"/>
      <c r="K36" s="86">
        <v>137</v>
      </c>
      <c r="L36" s="86"/>
      <c r="M36" s="86">
        <v>139</v>
      </c>
      <c r="N36" s="86"/>
      <c r="O36" s="86"/>
      <c r="P36" s="8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7:61" s="88" customFormat="1" ht="12.75">
      <c r="G37" s="86"/>
      <c r="H37" s="86"/>
      <c r="I37" s="86"/>
      <c r="J37" s="86"/>
      <c r="K37" s="86"/>
      <c r="L37" s="86"/>
      <c r="M37" s="86"/>
      <c r="N37" s="86"/>
      <c r="O37" s="86"/>
      <c r="P37" s="86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2:61" s="88" customFormat="1" ht="12.75">
      <c r="B38" s="87" t="s">
        <v>59</v>
      </c>
      <c r="C38" s="88" t="s">
        <v>138</v>
      </c>
      <c r="D38" s="88" t="s">
        <v>238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88" customFormat="1" ht="12.75">
      <c r="A39" s="88" t="s">
        <v>195</v>
      </c>
      <c r="B39" s="4" t="s">
        <v>52</v>
      </c>
      <c r="C39" s="4"/>
      <c r="D39" s="4" t="s">
        <v>17</v>
      </c>
      <c r="G39" s="86">
        <v>36865</v>
      </c>
      <c r="H39" s="86"/>
      <c r="I39" s="86">
        <v>36495</v>
      </c>
      <c r="J39" s="86"/>
      <c r="K39" s="86">
        <v>36488</v>
      </c>
      <c r="L39" s="86"/>
      <c r="M39" s="86">
        <v>36004</v>
      </c>
      <c r="N39" s="86"/>
      <c r="O39" s="86"/>
      <c r="P39" s="8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88" customFormat="1" ht="12.75">
      <c r="A40" s="88" t="s">
        <v>195</v>
      </c>
      <c r="B40" s="4" t="s">
        <v>56</v>
      </c>
      <c r="C40" s="4"/>
      <c r="D40" s="4" t="s">
        <v>18</v>
      </c>
      <c r="G40" s="86">
        <v>15.7</v>
      </c>
      <c r="H40" s="86"/>
      <c r="I40" s="86">
        <v>15.5</v>
      </c>
      <c r="J40" s="86"/>
      <c r="K40" s="86">
        <v>15.8</v>
      </c>
      <c r="L40" s="86"/>
      <c r="M40" s="86">
        <v>15.5</v>
      </c>
      <c r="N40" s="86"/>
      <c r="O40" s="86"/>
      <c r="P40" s="86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88" customFormat="1" ht="12.75">
      <c r="A41" s="88" t="s">
        <v>195</v>
      </c>
      <c r="B41" s="4" t="s">
        <v>57</v>
      </c>
      <c r="C41" s="4"/>
      <c r="D41" s="4" t="s">
        <v>18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88" customFormat="1" ht="12.75">
      <c r="A42" s="88" t="s">
        <v>195</v>
      </c>
      <c r="B42" s="4" t="s">
        <v>51</v>
      </c>
      <c r="C42" s="4"/>
      <c r="D42" s="4" t="s">
        <v>19</v>
      </c>
      <c r="G42" s="86"/>
      <c r="H42" s="86"/>
      <c r="I42" s="86"/>
      <c r="J42" s="86"/>
      <c r="K42" s="86"/>
      <c r="L42" s="86"/>
      <c r="M42" s="86"/>
      <c r="N42" s="86"/>
      <c r="O42" s="86"/>
      <c r="P42" s="86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6:61" s="87" customFormat="1" ht="12.75">
      <c r="F43" s="86"/>
      <c r="H43" s="86"/>
      <c r="J43" s="86"/>
      <c r="L43" s="86"/>
      <c r="N43" s="86"/>
      <c r="P43" s="8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2:61" s="87" customFormat="1" ht="12.75">
      <c r="B44" s="87" t="s">
        <v>59</v>
      </c>
      <c r="C44" s="88" t="s">
        <v>204</v>
      </c>
      <c r="D44" s="87" t="s">
        <v>239</v>
      </c>
      <c r="F44" s="86"/>
      <c r="H44" s="86"/>
      <c r="J44" s="86"/>
      <c r="L44" s="86"/>
      <c r="N44" s="86"/>
      <c r="P44" s="8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88" customFormat="1" ht="12.75">
      <c r="A45" s="88" t="s">
        <v>195</v>
      </c>
      <c r="B45" s="4" t="s">
        <v>52</v>
      </c>
      <c r="C45" s="4"/>
      <c r="D45" s="4" t="s">
        <v>17</v>
      </c>
      <c r="G45" s="86">
        <v>35389</v>
      </c>
      <c r="H45" s="86"/>
      <c r="I45" s="86">
        <v>34305</v>
      </c>
      <c r="J45" s="86"/>
      <c r="K45" s="86">
        <v>34302</v>
      </c>
      <c r="L45" s="86"/>
      <c r="M45" s="86">
        <v>34940</v>
      </c>
      <c r="N45" s="86"/>
      <c r="O45" s="86"/>
      <c r="P45" s="86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88" customFormat="1" ht="12.75">
      <c r="A46" s="88" t="s">
        <v>195</v>
      </c>
      <c r="B46" s="4" t="s">
        <v>56</v>
      </c>
      <c r="C46" s="4"/>
      <c r="D46" s="4" t="s">
        <v>18</v>
      </c>
      <c r="G46" s="86">
        <v>15.7</v>
      </c>
      <c r="H46" s="86"/>
      <c r="I46" s="86">
        <v>15.5</v>
      </c>
      <c r="J46" s="86"/>
      <c r="K46" s="86">
        <v>15.8</v>
      </c>
      <c r="L46" s="86"/>
      <c r="M46" s="86">
        <v>15.5</v>
      </c>
      <c r="N46" s="86"/>
      <c r="O46" s="86"/>
      <c r="P46" s="8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88" customFormat="1" ht="12.75">
      <c r="A47" s="88" t="s">
        <v>195</v>
      </c>
      <c r="B47" s="4" t="s">
        <v>57</v>
      </c>
      <c r="C47" s="4"/>
      <c r="D47" s="4" t="s">
        <v>18</v>
      </c>
      <c r="G47" s="86">
        <v>15.7</v>
      </c>
      <c r="H47" s="86"/>
      <c r="I47" s="86">
        <v>15.9</v>
      </c>
      <c r="J47" s="86"/>
      <c r="K47" s="86">
        <v>15.8</v>
      </c>
      <c r="L47" s="86"/>
      <c r="M47" s="86">
        <v>15.9</v>
      </c>
      <c r="N47" s="86"/>
      <c r="O47" s="86"/>
      <c r="P47" s="8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88" customFormat="1" ht="12.75">
      <c r="A48" s="88" t="s">
        <v>195</v>
      </c>
      <c r="B48" s="4" t="s">
        <v>51</v>
      </c>
      <c r="C48" s="4"/>
      <c r="D48" s="4" t="s">
        <v>19</v>
      </c>
      <c r="G48" s="86">
        <v>136</v>
      </c>
      <c r="H48" s="86"/>
      <c r="I48" s="86">
        <v>136</v>
      </c>
      <c r="J48" s="86"/>
      <c r="K48" s="86">
        <v>137</v>
      </c>
      <c r="L48" s="86"/>
      <c r="M48" s="86">
        <v>137</v>
      </c>
      <c r="N48" s="86"/>
      <c r="O48" s="86"/>
      <c r="P48" s="8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6:61" s="87" customFormat="1" ht="12.75">
      <c r="F49" s="86"/>
      <c r="H49" s="86"/>
      <c r="J49" s="86"/>
      <c r="L49" s="86"/>
      <c r="N49" s="86"/>
      <c r="P49" s="8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2:61" s="87" customFormat="1" ht="12.75">
      <c r="B50" s="89" t="s">
        <v>198</v>
      </c>
      <c r="F50" s="86"/>
      <c r="G50" s="102" t="s">
        <v>181</v>
      </c>
      <c r="H50" s="102"/>
      <c r="I50" s="102" t="s">
        <v>182</v>
      </c>
      <c r="J50" s="102"/>
      <c r="K50" s="102" t="s">
        <v>183</v>
      </c>
      <c r="L50" s="102"/>
      <c r="M50" s="102" t="s">
        <v>201</v>
      </c>
      <c r="N50" s="102"/>
      <c r="O50" s="102" t="s">
        <v>180</v>
      </c>
      <c r="P50" s="86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6:61" s="87" customFormat="1" ht="12.75">
      <c r="F51" s="86"/>
      <c r="H51" s="86"/>
      <c r="J51" s="86"/>
      <c r="L51" s="86"/>
      <c r="N51" s="86"/>
      <c r="P51" s="86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s="85" customFormat="1" ht="12.75">
      <c r="A52" s="85" t="s">
        <v>198</v>
      </c>
      <c r="B52" s="85" t="s">
        <v>13</v>
      </c>
      <c r="C52" s="85" t="s">
        <v>237</v>
      </c>
      <c r="D52" s="85" t="s">
        <v>14</v>
      </c>
      <c r="E52" s="85" t="s">
        <v>15</v>
      </c>
      <c r="F52" s="86" t="s">
        <v>202</v>
      </c>
      <c r="G52" s="109">
        <v>0.011200111104</v>
      </c>
      <c r="H52" s="109" t="s">
        <v>202</v>
      </c>
      <c r="I52" s="109">
        <v>0.008200081344</v>
      </c>
      <c r="J52" s="109" t="s">
        <v>202</v>
      </c>
      <c r="K52" s="109">
        <v>0.005800057536</v>
      </c>
      <c r="L52" s="109" t="s">
        <v>202</v>
      </c>
      <c r="M52" s="109">
        <v>0.015700155744</v>
      </c>
      <c r="N52" s="109" t="s">
        <v>202</v>
      </c>
      <c r="O52" s="109">
        <f>AVERAGE(G52,I52,K52,M52)</f>
        <v>0.010225101432</v>
      </c>
      <c r="P52" s="86" t="s">
        <v>202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s="87" customFormat="1" ht="12.75">
      <c r="A53" s="87" t="s">
        <v>198</v>
      </c>
      <c r="B53" s="87" t="s">
        <v>63</v>
      </c>
      <c r="C53" s="87" t="s">
        <v>237</v>
      </c>
      <c r="D53" s="87" t="s">
        <v>16</v>
      </c>
      <c r="E53" s="85" t="s">
        <v>15</v>
      </c>
      <c r="F53" s="86" t="s">
        <v>202</v>
      </c>
      <c r="G53" s="87">
        <v>48.196721311475414</v>
      </c>
      <c r="H53" s="86" t="s">
        <v>202</v>
      </c>
      <c r="I53" s="87">
        <v>43.448275862069</v>
      </c>
      <c r="J53" s="86" t="s">
        <v>202</v>
      </c>
      <c r="K53" s="87">
        <v>43.448275862069</v>
      </c>
      <c r="L53" s="86" t="s">
        <v>202</v>
      </c>
      <c r="M53" s="87">
        <v>51</v>
      </c>
      <c r="N53" s="86" t="s">
        <v>202</v>
      </c>
      <c r="O53" s="87">
        <f>AVERAGE(G53,I53,K53,M53)</f>
        <v>46.52331825890336</v>
      </c>
      <c r="P53" s="86" t="s">
        <v>202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s="87" customFormat="1" ht="12.75">
      <c r="A54" s="87" t="s">
        <v>198</v>
      </c>
      <c r="B54" s="87" t="s">
        <v>25</v>
      </c>
      <c r="C54" s="85" t="s">
        <v>237</v>
      </c>
      <c r="D54" s="87" t="s">
        <v>16</v>
      </c>
      <c r="E54" s="85" t="s">
        <v>15</v>
      </c>
      <c r="F54" s="86" t="s">
        <v>202</v>
      </c>
      <c r="G54" s="87">
        <v>21.22936492699832</v>
      </c>
      <c r="H54" s="86" t="s">
        <v>202</v>
      </c>
      <c r="I54" s="87">
        <v>32.874300070709</v>
      </c>
      <c r="J54" s="86" t="s">
        <v>202</v>
      </c>
      <c r="K54" s="87">
        <v>28.19942857934359</v>
      </c>
      <c r="L54" s="86" t="s">
        <v>202</v>
      </c>
      <c r="M54" s="87">
        <v>20.288101280411333</v>
      </c>
      <c r="N54" s="86" t="s">
        <v>202</v>
      </c>
      <c r="O54" s="87">
        <f>AVERAGE(G54,I54,K54,M54)</f>
        <v>25.647798714365557</v>
      </c>
      <c r="P54" s="86" t="s">
        <v>202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s="87" customFormat="1" ht="12.75">
      <c r="A55" s="87" t="s">
        <v>198</v>
      </c>
      <c r="B55" s="87" t="s">
        <v>26</v>
      </c>
      <c r="C55" s="85" t="s">
        <v>237</v>
      </c>
      <c r="D55" s="87" t="s">
        <v>16</v>
      </c>
      <c r="E55" s="85" t="s">
        <v>15</v>
      </c>
      <c r="F55" s="86" t="s">
        <v>202</v>
      </c>
      <c r="G55" s="87">
        <v>0.8374687853224368</v>
      </c>
      <c r="H55" s="86" t="s">
        <v>202</v>
      </c>
      <c r="I55" s="87">
        <v>0.21126026755594862</v>
      </c>
      <c r="J55" s="86" t="s">
        <v>202</v>
      </c>
      <c r="K55" s="87">
        <v>0.39760937531086</v>
      </c>
      <c r="L55" s="86" t="s">
        <v>202</v>
      </c>
      <c r="M55" s="87">
        <v>0.23876365051317602</v>
      </c>
      <c r="N55" s="86" t="s">
        <v>202</v>
      </c>
      <c r="O55" s="87">
        <f>AVERAGE(G55,I55,K55,M55)</f>
        <v>0.4212755196756054</v>
      </c>
      <c r="P55" s="86" t="s">
        <v>202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2:61" s="87" customFormat="1" ht="12.75">
      <c r="B56" s="87" t="s">
        <v>58</v>
      </c>
      <c r="C56" s="85" t="s">
        <v>237</v>
      </c>
      <c r="D56" s="87" t="s">
        <v>16</v>
      </c>
      <c r="E56" s="85" t="s">
        <v>15</v>
      </c>
      <c r="F56" s="86"/>
      <c r="G56" s="87">
        <f>G54+2*G55</f>
        <v>22.904302497643194</v>
      </c>
      <c r="H56" s="86"/>
      <c r="I56" s="87">
        <f>I54+2*I55</f>
        <v>33.2968206058209</v>
      </c>
      <c r="J56" s="86"/>
      <c r="K56" s="87">
        <f>K54+2*K55</f>
        <v>28.99464732996531</v>
      </c>
      <c r="L56" s="86"/>
      <c r="M56" s="87">
        <f>M54+2*M55</f>
        <v>20.765628581437685</v>
      </c>
      <c r="N56" s="86"/>
      <c r="O56" s="87">
        <f>AVERAGE(G56,I56,K56,M56)</f>
        <v>26.49034975371677</v>
      </c>
      <c r="P56" s="8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s="87" customFormat="1" ht="12.75">
      <c r="A57" s="87" t="s">
        <v>198</v>
      </c>
      <c r="B57" s="87" t="s">
        <v>124</v>
      </c>
      <c r="C57" s="87" t="s">
        <v>238</v>
      </c>
      <c r="D57" s="87" t="s">
        <v>34</v>
      </c>
      <c r="E57" s="85" t="s">
        <v>15</v>
      </c>
      <c r="F57" s="86" t="s">
        <v>202</v>
      </c>
      <c r="G57" s="87">
        <v>3.442622950819673</v>
      </c>
      <c r="H57" s="86" t="s">
        <v>202</v>
      </c>
      <c r="I57" s="87">
        <v>3.8620689655172407</v>
      </c>
      <c r="J57" s="86" t="s">
        <v>202</v>
      </c>
      <c r="K57" s="87">
        <v>4.103448275862068</v>
      </c>
      <c r="L57" s="86" t="s">
        <v>202</v>
      </c>
      <c r="M57" s="87">
        <v>1.5</v>
      </c>
      <c r="N57" s="86" t="s">
        <v>202</v>
      </c>
      <c r="O57" s="87">
        <f aca="true" t="shared" si="1" ref="O57:O64">AVERAGE(G57,I57,K57,M57)</f>
        <v>3.2270350480497454</v>
      </c>
      <c r="P57" s="86" t="s">
        <v>202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s="87" customFormat="1" ht="12.75">
      <c r="A58" s="87" t="s">
        <v>198</v>
      </c>
      <c r="B58" s="87" t="s">
        <v>123</v>
      </c>
      <c r="C58" s="87" t="s">
        <v>238</v>
      </c>
      <c r="D58" s="87" t="s">
        <v>34</v>
      </c>
      <c r="E58" s="85" t="s">
        <v>15</v>
      </c>
      <c r="F58" s="86" t="s">
        <v>122</v>
      </c>
      <c r="G58" s="87">
        <v>0.2295081967213115</v>
      </c>
      <c r="H58" s="86" t="s">
        <v>122</v>
      </c>
      <c r="I58" s="87">
        <v>0.24137931034482754</v>
      </c>
      <c r="J58" s="86" t="s">
        <v>122</v>
      </c>
      <c r="K58" s="87">
        <v>0.24137931034482754</v>
      </c>
      <c r="L58" s="86" t="s">
        <v>122</v>
      </c>
      <c r="M58" s="87">
        <v>0.25</v>
      </c>
      <c r="N58" s="86">
        <v>100</v>
      </c>
      <c r="O58" s="87">
        <f t="shared" si="1"/>
        <v>0.24056670435274163</v>
      </c>
      <c r="P58" s="86" t="s">
        <v>202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s="87" customFormat="1" ht="12.75">
      <c r="A59" s="87" t="s">
        <v>198</v>
      </c>
      <c r="B59" s="87" t="s">
        <v>125</v>
      </c>
      <c r="C59" s="87" t="s">
        <v>238</v>
      </c>
      <c r="D59" s="87" t="s">
        <v>34</v>
      </c>
      <c r="E59" s="85" t="s">
        <v>15</v>
      </c>
      <c r="F59" s="86" t="s">
        <v>202</v>
      </c>
      <c r="G59" s="87">
        <v>2.524590163934427</v>
      </c>
      <c r="H59" s="86" t="s">
        <v>122</v>
      </c>
      <c r="I59" s="87">
        <v>1.448275862068965</v>
      </c>
      <c r="J59" s="86" t="s">
        <v>202</v>
      </c>
      <c r="K59" s="87">
        <v>2.89655172413793</v>
      </c>
      <c r="L59" s="86" t="s">
        <v>202</v>
      </c>
      <c r="M59" s="87">
        <v>1.75</v>
      </c>
      <c r="N59" s="86" t="s">
        <v>202</v>
      </c>
      <c r="O59" s="87">
        <f t="shared" si="1"/>
        <v>2.1548544375353305</v>
      </c>
      <c r="P59" s="86" t="s">
        <v>202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s="87" customFormat="1" ht="12.75">
      <c r="A60" s="87" t="s">
        <v>198</v>
      </c>
      <c r="B60" s="87" t="s">
        <v>126</v>
      </c>
      <c r="C60" s="87" t="s">
        <v>238</v>
      </c>
      <c r="D60" s="87" t="s">
        <v>34</v>
      </c>
      <c r="E60" s="85" t="s">
        <v>15</v>
      </c>
      <c r="F60" s="86" t="s">
        <v>122</v>
      </c>
      <c r="G60" s="87">
        <v>0.2295081967213115</v>
      </c>
      <c r="H60" s="86" t="s">
        <v>122</v>
      </c>
      <c r="I60" s="87">
        <v>0.24137931034482754</v>
      </c>
      <c r="J60" s="86" t="s">
        <v>122</v>
      </c>
      <c r="K60" s="87">
        <v>0.24137931034482754</v>
      </c>
      <c r="L60" s="86" t="s">
        <v>122</v>
      </c>
      <c r="M60" s="87">
        <v>0.25</v>
      </c>
      <c r="N60" s="86">
        <v>100</v>
      </c>
      <c r="O60" s="87">
        <f t="shared" si="1"/>
        <v>0.24056670435274163</v>
      </c>
      <c r="P60" s="86" t="s">
        <v>202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s="87" customFormat="1" ht="12.75">
      <c r="A61" s="87" t="s">
        <v>198</v>
      </c>
      <c r="B61" s="87" t="s">
        <v>127</v>
      </c>
      <c r="C61" s="87" t="s">
        <v>238</v>
      </c>
      <c r="D61" s="87" t="s">
        <v>34</v>
      </c>
      <c r="E61" s="85" t="s">
        <v>15</v>
      </c>
      <c r="F61" s="86" t="s">
        <v>202</v>
      </c>
      <c r="G61" s="87">
        <v>4.1311475409836</v>
      </c>
      <c r="H61" s="86" t="s">
        <v>202</v>
      </c>
      <c r="I61" s="87">
        <v>8.448275862068964</v>
      </c>
      <c r="J61" s="86" t="s">
        <v>202</v>
      </c>
      <c r="K61" s="87">
        <v>2.89655172413793</v>
      </c>
      <c r="L61" s="86" t="s">
        <v>202</v>
      </c>
      <c r="M61" s="87">
        <v>4.5</v>
      </c>
      <c r="N61" s="86" t="s">
        <v>202</v>
      </c>
      <c r="O61" s="87">
        <f t="shared" si="1"/>
        <v>4.993993781797624</v>
      </c>
      <c r="P61" s="86" t="s">
        <v>202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s="87" customFormat="1" ht="12.75">
      <c r="A62" s="87" t="s">
        <v>198</v>
      </c>
      <c r="B62" s="87" t="s">
        <v>128</v>
      </c>
      <c r="C62" s="87" t="s">
        <v>238</v>
      </c>
      <c r="D62" s="87" t="s">
        <v>34</v>
      </c>
      <c r="E62" s="85" t="s">
        <v>15</v>
      </c>
      <c r="F62" s="86" t="s">
        <v>202</v>
      </c>
      <c r="G62" s="87">
        <v>8.950819672131148</v>
      </c>
      <c r="H62" s="86" t="s">
        <v>202</v>
      </c>
      <c r="I62" s="87">
        <v>738.6206896551722</v>
      </c>
      <c r="J62" s="86" t="s">
        <v>202</v>
      </c>
      <c r="K62" s="87">
        <v>27.275862068965512</v>
      </c>
      <c r="L62" s="86" t="s">
        <v>202</v>
      </c>
      <c r="M62" s="87">
        <v>35.75</v>
      </c>
      <c r="N62" s="86" t="s">
        <v>202</v>
      </c>
      <c r="O62" s="87">
        <f t="shared" si="1"/>
        <v>202.6493428490672</v>
      </c>
      <c r="P62" s="86" t="s">
        <v>217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s="87" customFormat="1" ht="12.75">
      <c r="A63" s="87" t="s">
        <v>198</v>
      </c>
      <c r="B63" s="87" t="s">
        <v>203</v>
      </c>
      <c r="C63" s="87" t="s">
        <v>239</v>
      </c>
      <c r="D63" s="87" t="s">
        <v>34</v>
      </c>
      <c r="E63" s="85" t="s">
        <v>15</v>
      </c>
      <c r="F63" s="86" t="s">
        <v>122</v>
      </c>
      <c r="G63" s="87">
        <v>0.137434650992404</v>
      </c>
      <c r="H63" s="86" t="s">
        <v>202</v>
      </c>
      <c r="J63" s="86" t="s">
        <v>202</v>
      </c>
      <c r="L63" s="86" t="s">
        <v>202</v>
      </c>
      <c r="M63" s="87">
        <v>0.26011348342959684</v>
      </c>
      <c r="N63" s="86" t="s">
        <v>202</v>
      </c>
      <c r="O63" s="87">
        <f t="shared" si="1"/>
        <v>0.19877406721100044</v>
      </c>
      <c r="P63" s="86" t="s">
        <v>202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61" s="87" customFormat="1" ht="12.75">
      <c r="A64" s="87" t="s">
        <v>198</v>
      </c>
      <c r="B64" s="87" t="s">
        <v>130</v>
      </c>
      <c r="C64" s="87" t="s">
        <v>238</v>
      </c>
      <c r="D64" s="87" t="s">
        <v>34</v>
      </c>
      <c r="E64" s="85" t="s">
        <v>15</v>
      </c>
      <c r="F64" s="86" t="s">
        <v>202</v>
      </c>
      <c r="G64" s="87">
        <v>3.9016393442623</v>
      </c>
      <c r="H64" s="86" t="s">
        <v>202</v>
      </c>
      <c r="I64" s="87">
        <v>3.137931034482758</v>
      </c>
      <c r="J64" s="86" t="s">
        <v>202</v>
      </c>
      <c r="K64" s="87">
        <v>1.6896551724138</v>
      </c>
      <c r="L64" s="86" t="s">
        <v>202</v>
      </c>
      <c r="M64" s="87">
        <v>1.25</v>
      </c>
      <c r="N64" s="86" t="s">
        <v>202</v>
      </c>
      <c r="O64" s="87">
        <f t="shared" si="1"/>
        <v>2.4948063877897146</v>
      </c>
      <c r="P64" s="86" t="s">
        <v>202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s="87" customFormat="1" ht="12.75">
      <c r="A65" s="87" t="s">
        <v>198</v>
      </c>
      <c r="B65" s="87" t="s">
        <v>131</v>
      </c>
      <c r="C65" s="87" t="s">
        <v>238</v>
      </c>
      <c r="D65" s="87" t="s">
        <v>34</v>
      </c>
      <c r="E65" s="85" t="s">
        <v>15</v>
      </c>
      <c r="F65" s="86" t="s">
        <v>202</v>
      </c>
      <c r="G65" s="87">
        <v>415.4098360655738</v>
      </c>
      <c r="H65" s="86" t="s">
        <v>202</v>
      </c>
      <c r="I65" s="87">
        <v>403.103448275862</v>
      </c>
      <c r="J65" s="86" t="s">
        <v>202</v>
      </c>
      <c r="K65" s="87">
        <v>666.206896551724</v>
      </c>
      <c r="L65" s="86" t="s">
        <v>202</v>
      </c>
      <c r="M65" s="87">
        <v>760</v>
      </c>
      <c r="N65" s="86" t="s">
        <v>202</v>
      </c>
      <c r="O65" s="87">
        <f aca="true" t="shared" si="2" ref="O65:O71">AVERAGE(G65,I65,K65,M65)</f>
        <v>561.1800452232899</v>
      </c>
      <c r="P65" s="86" t="s">
        <v>202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:61" s="87" customFormat="1" ht="12.75">
      <c r="A66" s="87" t="s">
        <v>198</v>
      </c>
      <c r="B66" s="87" t="s">
        <v>132</v>
      </c>
      <c r="C66" s="87" t="s">
        <v>238</v>
      </c>
      <c r="D66" s="87" t="s">
        <v>34</v>
      </c>
      <c r="E66" s="85" t="s">
        <v>15</v>
      </c>
      <c r="F66" s="86" t="s">
        <v>202</v>
      </c>
      <c r="G66" s="87">
        <v>43.14754098360657</v>
      </c>
      <c r="H66" s="86" t="s">
        <v>202</v>
      </c>
      <c r="I66" s="87">
        <v>497.2413793103447</v>
      </c>
      <c r="J66" s="86" t="s">
        <v>202</v>
      </c>
      <c r="K66" s="87">
        <v>68.31034482758619</v>
      </c>
      <c r="L66" s="86" t="s">
        <v>202</v>
      </c>
      <c r="M66" s="87">
        <v>81</v>
      </c>
      <c r="N66" s="86" t="s">
        <v>202</v>
      </c>
      <c r="O66" s="87">
        <f t="shared" si="2"/>
        <v>172.42481628038436</v>
      </c>
      <c r="P66" s="86" t="s">
        <v>202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:61" s="87" customFormat="1" ht="12.75">
      <c r="A67" s="87" t="s">
        <v>198</v>
      </c>
      <c r="B67" s="87" t="s">
        <v>133</v>
      </c>
      <c r="C67" s="87" t="s">
        <v>238</v>
      </c>
      <c r="D67" s="87" t="s">
        <v>34</v>
      </c>
      <c r="E67" s="85" t="s">
        <v>15</v>
      </c>
      <c r="F67" s="86" t="s">
        <v>202</v>
      </c>
      <c r="G67" s="87">
        <v>8.262295081967215</v>
      </c>
      <c r="H67" s="86" t="s">
        <v>202</v>
      </c>
      <c r="I67" s="87">
        <v>0.12068965517241377</v>
      </c>
      <c r="J67" s="86" t="s">
        <v>122</v>
      </c>
      <c r="K67" s="87">
        <v>0.005412503949447076</v>
      </c>
      <c r="L67" s="86" t="s">
        <v>202</v>
      </c>
      <c r="M67" s="87">
        <v>9.75</v>
      </c>
      <c r="N67" s="86" t="s">
        <v>202</v>
      </c>
      <c r="O67" s="87">
        <f t="shared" si="2"/>
        <v>4.534599310272269</v>
      </c>
      <c r="P67" s="86" t="s">
        <v>202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:61" s="87" customFormat="1" ht="12.75">
      <c r="A68" s="87" t="s">
        <v>198</v>
      </c>
      <c r="B68" s="87" t="s">
        <v>134</v>
      </c>
      <c r="C68" s="87" t="s">
        <v>238</v>
      </c>
      <c r="D68" s="87" t="s">
        <v>34</v>
      </c>
      <c r="E68" s="85" t="s">
        <v>15</v>
      </c>
      <c r="F68" s="86" t="s">
        <v>202</v>
      </c>
      <c r="G68" s="87">
        <v>0.918032786885246</v>
      </c>
      <c r="H68" s="86" t="s">
        <v>122</v>
      </c>
      <c r="I68" s="87">
        <v>0.7241379310344825</v>
      </c>
      <c r="J68" s="86" t="s">
        <v>122</v>
      </c>
      <c r="K68" s="87">
        <v>0.7241379310344825</v>
      </c>
      <c r="L68" s="86" t="s">
        <v>122</v>
      </c>
      <c r="M68" s="87">
        <v>0.75</v>
      </c>
      <c r="N68" s="86">
        <v>100</v>
      </c>
      <c r="O68" s="87">
        <f t="shared" si="2"/>
        <v>0.7790771622385528</v>
      </c>
      <c r="P68" s="86" t="s">
        <v>202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s="87" customFormat="1" ht="12.75">
      <c r="A69" s="87" t="s">
        <v>198</v>
      </c>
      <c r="B69" s="87" t="s">
        <v>135</v>
      </c>
      <c r="C69" s="87" t="s">
        <v>238</v>
      </c>
      <c r="D69" s="87" t="s">
        <v>34</v>
      </c>
      <c r="E69" s="85" t="s">
        <v>15</v>
      </c>
      <c r="F69" s="86" t="s">
        <v>202</v>
      </c>
      <c r="G69" s="87">
        <v>0.459016393442623</v>
      </c>
      <c r="H69" s="86" t="s">
        <v>202</v>
      </c>
      <c r="I69" s="87">
        <v>0.4827586206896551</v>
      </c>
      <c r="J69" s="86" t="s">
        <v>202</v>
      </c>
      <c r="K69" s="87">
        <v>0.24137931034482754</v>
      </c>
      <c r="L69" s="86" t="s">
        <v>202</v>
      </c>
      <c r="M69" s="87">
        <v>0.25</v>
      </c>
      <c r="N69" s="86" t="s">
        <v>202</v>
      </c>
      <c r="O69" s="87">
        <f t="shared" si="2"/>
        <v>0.3582885811192764</v>
      </c>
      <c r="P69" s="86" t="s">
        <v>202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2:61" s="87" customFormat="1" ht="12.75">
      <c r="B70" s="87" t="s">
        <v>35</v>
      </c>
      <c r="C70" s="87" t="s">
        <v>238</v>
      </c>
      <c r="D70" s="87" t="s">
        <v>34</v>
      </c>
      <c r="E70" s="85" t="s">
        <v>15</v>
      </c>
      <c r="F70" s="86"/>
      <c r="G70" s="87">
        <f>G64+G61</f>
        <v>8.0327868852459</v>
      </c>
      <c r="H70" s="86"/>
      <c r="I70" s="87">
        <f>I64+I61</f>
        <v>11.586206896551722</v>
      </c>
      <c r="J70" s="86"/>
      <c r="K70" s="87">
        <f>K64+K61</f>
        <v>4.58620689655173</v>
      </c>
      <c r="L70" s="86"/>
      <c r="M70" s="87">
        <f>M64+M61</f>
        <v>5.75</v>
      </c>
      <c r="N70" s="86"/>
      <c r="O70" s="87">
        <f t="shared" si="2"/>
        <v>7.488800169587337</v>
      </c>
      <c r="P70" s="86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2:61" s="87" customFormat="1" ht="12.75">
      <c r="B71" s="87" t="s">
        <v>36</v>
      </c>
      <c r="C71" s="87" t="s">
        <v>238</v>
      </c>
      <c r="D71" s="87" t="s">
        <v>34</v>
      </c>
      <c r="E71" s="85" t="s">
        <v>15</v>
      </c>
      <c r="F71" s="86"/>
      <c r="G71" s="87">
        <f>G58+G60+G62</f>
        <v>9.40983606557377</v>
      </c>
      <c r="H71" s="86"/>
      <c r="I71" s="87">
        <f>I58+I60+I62</f>
        <v>739.1034482758619</v>
      </c>
      <c r="J71" s="86"/>
      <c r="K71" s="87">
        <f>K58+K60+K62</f>
        <v>27.758620689655167</v>
      </c>
      <c r="L71" s="86"/>
      <c r="M71" s="87">
        <f>M58+M60+M62</f>
        <v>36.25</v>
      </c>
      <c r="N71" s="86"/>
      <c r="O71" s="87">
        <f t="shared" si="2"/>
        <v>203.1304762577727</v>
      </c>
      <c r="P71" s="86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6:61" s="87" customFormat="1" ht="12.75">
      <c r="F72" s="86"/>
      <c r="H72" s="86"/>
      <c r="J72" s="86"/>
      <c r="L72" s="86"/>
      <c r="N72" s="86"/>
      <c r="P72" s="86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s="88" customFormat="1" ht="12.75">
      <c r="A73" s="88" t="s">
        <v>198</v>
      </c>
      <c r="B73" s="88" t="s">
        <v>211</v>
      </c>
      <c r="C73" s="88" t="s">
        <v>237</v>
      </c>
      <c r="D73" s="88" t="s">
        <v>18</v>
      </c>
      <c r="G73" s="90">
        <v>100</v>
      </c>
      <c r="H73" s="90"/>
      <c r="I73" s="90">
        <v>100</v>
      </c>
      <c r="J73" s="90"/>
      <c r="K73" s="90">
        <v>100</v>
      </c>
      <c r="L73" s="90"/>
      <c r="M73" s="90">
        <v>100</v>
      </c>
      <c r="N73" s="86"/>
      <c r="O73" s="86"/>
      <c r="P73" s="86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1:61" s="88" customFormat="1" ht="12.75">
      <c r="A74" s="88" t="s">
        <v>198</v>
      </c>
      <c r="B74" s="88" t="s">
        <v>212</v>
      </c>
      <c r="C74" s="88" t="s">
        <v>237</v>
      </c>
      <c r="D74" s="88" t="s">
        <v>18</v>
      </c>
      <c r="G74" s="86">
        <v>100</v>
      </c>
      <c r="H74" s="86"/>
      <c r="I74" s="86">
        <v>99.9998</v>
      </c>
      <c r="J74" s="86"/>
      <c r="K74" s="86">
        <v>99.9999</v>
      </c>
      <c r="L74" s="86"/>
      <c r="M74" s="86">
        <v>99.9998</v>
      </c>
      <c r="N74" s="86"/>
      <c r="O74" s="86"/>
      <c r="P74" s="86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s="88" customFormat="1" ht="12.75">
      <c r="A75" s="88" t="s">
        <v>198</v>
      </c>
      <c r="B75" s="88" t="s">
        <v>121</v>
      </c>
      <c r="C75" s="88" t="s">
        <v>237</v>
      </c>
      <c r="D75" s="88" t="s">
        <v>18</v>
      </c>
      <c r="G75" s="86">
        <v>99.9994</v>
      </c>
      <c r="H75" s="86"/>
      <c r="I75" s="86">
        <v>99.9996</v>
      </c>
      <c r="J75" s="86"/>
      <c r="K75" s="86">
        <v>99.9995</v>
      </c>
      <c r="L75" s="86"/>
      <c r="M75" s="86">
        <v>99.9994</v>
      </c>
      <c r="N75" s="86"/>
      <c r="O75" s="86"/>
      <c r="P75" s="86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s="88" customFormat="1" ht="12.75">
      <c r="A76" s="88" t="s">
        <v>198</v>
      </c>
      <c r="B76" s="88" t="s">
        <v>213</v>
      </c>
      <c r="C76" s="88" t="s">
        <v>237</v>
      </c>
      <c r="D76" s="88" t="s">
        <v>18</v>
      </c>
      <c r="G76" s="86">
        <v>99.9995</v>
      </c>
      <c r="H76" s="86"/>
      <c r="I76" s="86">
        <v>99.9995</v>
      </c>
      <c r="J76" s="86"/>
      <c r="K76" s="86">
        <v>99.9996</v>
      </c>
      <c r="L76" s="86"/>
      <c r="M76" s="86">
        <v>99.9994</v>
      </c>
      <c r="N76" s="86"/>
      <c r="O76" s="86"/>
      <c r="P76" s="8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7:61" s="88" customFormat="1" ht="12.75">
      <c r="G77" s="86"/>
      <c r="H77" s="86"/>
      <c r="I77" s="86"/>
      <c r="J77" s="86"/>
      <c r="K77" s="86"/>
      <c r="L77" s="86"/>
      <c r="M77" s="86"/>
      <c r="N77" s="86"/>
      <c r="O77" s="86"/>
      <c r="P77" s="86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2:61" s="88" customFormat="1" ht="12.75">
      <c r="B78" s="87" t="s">
        <v>59</v>
      </c>
      <c r="C78" s="88" t="s">
        <v>205</v>
      </c>
      <c r="D78" s="88" t="s">
        <v>237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79" spans="1:61" s="88" customFormat="1" ht="12.75">
      <c r="A79" s="88" t="s">
        <v>198</v>
      </c>
      <c r="B79" s="4" t="s">
        <v>52</v>
      </c>
      <c r="C79" s="4"/>
      <c r="D79" s="4" t="s">
        <v>17</v>
      </c>
      <c r="G79" s="86">
        <v>38554</v>
      </c>
      <c r="H79" s="86"/>
      <c r="I79" s="86">
        <v>37333</v>
      </c>
      <c r="J79" s="86"/>
      <c r="K79" s="86">
        <v>35815</v>
      </c>
      <c r="L79" s="86"/>
      <c r="M79" s="86">
        <v>36113</v>
      </c>
      <c r="N79" s="86"/>
      <c r="O79" s="86"/>
      <c r="P79" s="86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s="88" customFormat="1" ht="12.75">
      <c r="A80" s="88" t="s">
        <v>198</v>
      </c>
      <c r="B80" s="4" t="s">
        <v>56</v>
      </c>
      <c r="C80" s="4"/>
      <c r="D80" s="4" t="s">
        <v>18</v>
      </c>
      <c r="G80" s="86">
        <v>14.9</v>
      </c>
      <c r="H80" s="86"/>
      <c r="I80" s="86">
        <v>15.2</v>
      </c>
      <c r="J80" s="86"/>
      <c r="K80" s="86">
        <v>15.2</v>
      </c>
      <c r="L80" s="86"/>
      <c r="M80" s="86">
        <v>15.4</v>
      </c>
      <c r="N80" s="86"/>
      <c r="O80" s="86"/>
      <c r="P80" s="86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1:61" s="88" customFormat="1" ht="12.75">
      <c r="A81" s="88" t="s">
        <v>198</v>
      </c>
      <c r="B81" s="4" t="s">
        <v>57</v>
      </c>
      <c r="C81" s="4"/>
      <c r="D81" s="4" t="s">
        <v>18</v>
      </c>
      <c r="G81" s="86">
        <v>15</v>
      </c>
      <c r="H81" s="86"/>
      <c r="I81" s="86">
        <v>14.7</v>
      </c>
      <c r="J81" s="86"/>
      <c r="K81" s="86">
        <v>15.3</v>
      </c>
      <c r="L81" s="86"/>
      <c r="M81" s="86">
        <v>14</v>
      </c>
      <c r="N81" s="86"/>
      <c r="O81" s="86"/>
      <c r="P81" s="86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  <row r="82" spans="1:61" s="88" customFormat="1" ht="12.75">
      <c r="A82" s="88" t="s">
        <v>198</v>
      </c>
      <c r="B82" s="4" t="s">
        <v>51</v>
      </c>
      <c r="C82" s="4"/>
      <c r="D82" s="4" t="s">
        <v>19</v>
      </c>
      <c r="G82" s="86">
        <v>133</v>
      </c>
      <c r="H82" s="86"/>
      <c r="I82" s="86">
        <v>132</v>
      </c>
      <c r="J82" s="86"/>
      <c r="K82" s="86">
        <v>131</v>
      </c>
      <c r="L82" s="86"/>
      <c r="M82" s="86">
        <v>129</v>
      </c>
      <c r="N82" s="86"/>
      <c r="O82" s="86"/>
      <c r="P82" s="86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</row>
    <row r="83" spans="7:61" s="88" customFormat="1" ht="12.75">
      <c r="G83" s="86"/>
      <c r="H83" s="86"/>
      <c r="I83" s="86"/>
      <c r="J83" s="86"/>
      <c r="K83" s="86"/>
      <c r="L83" s="86"/>
      <c r="M83" s="86"/>
      <c r="N83" s="86"/>
      <c r="O83" s="86"/>
      <c r="P83" s="86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2:61" s="88" customFormat="1" ht="12.75">
      <c r="B84" s="87" t="s">
        <v>59</v>
      </c>
      <c r="C84" s="88" t="s">
        <v>138</v>
      </c>
      <c r="D84" s="88" t="s">
        <v>238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</row>
    <row r="85" spans="1:61" s="88" customFormat="1" ht="12.75">
      <c r="A85" s="88" t="s">
        <v>198</v>
      </c>
      <c r="B85" s="4" t="s">
        <v>52</v>
      </c>
      <c r="C85" s="4"/>
      <c r="D85" s="4" t="s">
        <v>17</v>
      </c>
      <c r="G85" s="86">
        <v>37427</v>
      </c>
      <c r="H85" s="86"/>
      <c r="I85" s="86">
        <v>37404</v>
      </c>
      <c r="J85" s="86"/>
      <c r="K85" s="86">
        <v>37980</v>
      </c>
      <c r="L85" s="86"/>
      <c r="M85" s="86">
        <v>38032</v>
      </c>
      <c r="N85" s="86"/>
      <c r="O85" s="86"/>
      <c r="P85" s="86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1:61" s="88" customFormat="1" ht="12.75">
      <c r="A86" s="88" t="s">
        <v>198</v>
      </c>
      <c r="B86" s="4" t="s">
        <v>56</v>
      </c>
      <c r="C86" s="4"/>
      <c r="D86" s="4" t="s">
        <v>18</v>
      </c>
      <c r="G86" s="86">
        <v>14.9</v>
      </c>
      <c r="H86" s="86"/>
      <c r="I86" s="86">
        <v>15.2</v>
      </c>
      <c r="J86" s="86"/>
      <c r="K86" s="86">
        <v>15.2</v>
      </c>
      <c r="L86" s="86"/>
      <c r="M86" s="86">
        <v>15.4</v>
      </c>
      <c r="N86" s="86"/>
      <c r="O86" s="86"/>
      <c r="P86" s="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</row>
    <row r="87" spans="1:61" s="88" customFormat="1" ht="12.75">
      <c r="A87" s="88" t="s">
        <v>198</v>
      </c>
      <c r="B87" s="4" t="s">
        <v>57</v>
      </c>
      <c r="C87" s="4"/>
      <c r="D87" s="4" t="s">
        <v>18</v>
      </c>
      <c r="G87" s="86"/>
      <c r="H87" s="86"/>
      <c r="I87" s="86"/>
      <c r="J87" s="86"/>
      <c r="K87" s="86"/>
      <c r="L87" s="86"/>
      <c r="M87" s="86"/>
      <c r="N87" s="86"/>
      <c r="O87" s="86"/>
      <c r="P87" s="86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1:61" s="88" customFormat="1" ht="12.75">
      <c r="A88" s="88" t="s">
        <v>198</v>
      </c>
      <c r="B88" s="4" t="s">
        <v>51</v>
      </c>
      <c r="C88" s="4"/>
      <c r="D88" s="4" t="s">
        <v>19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6:61" s="87" customFormat="1" ht="12.75">
      <c r="F89" s="86"/>
      <c r="H89" s="86"/>
      <c r="J89" s="86"/>
      <c r="L89" s="86"/>
      <c r="N89" s="86"/>
      <c r="P89" s="86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</row>
    <row r="90" spans="2:61" s="87" customFormat="1" ht="12.75">
      <c r="B90" s="87" t="s">
        <v>59</v>
      </c>
      <c r="C90" s="88" t="s">
        <v>204</v>
      </c>
      <c r="D90" s="87" t="s">
        <v>239</v>
      </c>
      <c r="F90" s="86"/>
      <c r="H90" s="86"/>
      <c r="J90" s="86"/>
      <c r="L90" s="86"/>
      <c r="N90" s="86"/>
      <c r="P90" s="86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</row>
    <row r="91" spans="1:61" s="88" customFormat="1" ht="12.75">
      <c r="A91" s="88" t="s">
        <v>198</v>
      </c>
      <c r="B91" s="4" t="s">
        <v>52</v>
      </c>
      <c r="C91" s="4"/>
      <c r="D91" s="4" t="s">
        <v>17</v>
      </c>
      <c r="G91" s="86">
        <v>35666</v>
      </c>
      <c r="H91" s="86"/>
      <c r="I91" s="86"/>
      <c r="J91" s="86"/>
      <c r="K91" s="86"/>
      <c r="L91" s="86"/>
      <c r="M91" s="86">
        <v>35666</v>
      </c>
      <c r="N91" s="86"/>
      <c r="O91" s="86"/>
      <c r="P91" s="86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</row>
    <row r="92" spans="1:61" s="88" customFormat="1" ht="12.75">
      <c r="A92" s="88" t="s">
        <v>198</v>
      </c>
      <c r="B92" s="4" t="s">
        <v>56</v>
      </c>
      <c r="C92" s="4"/>
      <c r="D92" s="4" t="s">
        <v>18</v>
      </c>
      <c r="G92" s="86">
        <v>14.9</v>
      </c>
      <c r="H92" s="86"/>
      <c r="I92" s="86"/>
      <c r="J92" s="86"/>
      <c r="K92" s="86"/>
      <c r="L92" s="86"/>
      <c r="M92" s="86">
        <v>15.4</v>
      </c>
      <c r="N92" s="86"/>
      <c r="O92" s="86"/>
      <c r="P92" s="86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1:61" s="88" customFormat="1" ht="12.75">
      <c r="A93" s="88" t="s">
        <v>198</v>
      </c>
      <c r="B93" s="4" t="s">
        <v>57</v>
      </c>
      <c r="C93" s="4"/>
      <c r="D93" s="4" t="s">
        <v>18</v>
      </c>
      <c r="G93" s="86">
        <v>14.4</v>
      </c>
      <c r="H93" s="86"/>
      <c r="I93" s="86"/>
      <c r="J93" s="86"/>
      <c r="K93" s="86"/>
      <c r="L93" s="86"/>
      <c r="M93" s="86">
        <v>14.7</v>
      </c>
      <c r="N93" s="86"/>
      <c r="O93" s="86"/>
      <c r="P93" s="86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</row>
    <row r="94" spans="1:61" s="88" customFormat="1" ht="12.75">
      <c r="A94" s="88" t="s">
        <v>198</v>
      </c>
      <c r="B94" s="4" t="s">
        <v>51</v>
      </c>
      <c r="C94" s="4"/>
      <c r="D94" s="4" t="s">
        <v>19</v>
      </c>
      <c r="G94" s="86">
        <v>133</v>
      </c>
      <c r="H94" s="86"/>
      <c r="I94" s="86"/>
      <c r="J94" s="86"/>
      <c r="K94" s="86"/>
      <c r="L94" s="86"/>
      <c r="M94" s="86">
        <v>131</v>
      </c>
      <c r="N94" s="86"/>
      <c r="O94" s="86"/>
      <c r="P94" s="86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</row>
    <row r="95" spans="6:61" s="87" customFormat="1" ht="12.75">
      <c r="F95" s="86"/>
      <c r="H95" s="86"/>
      <c r="J95" s="86"/>
      <c r="L95" s="86"/>
      <c r="N95" s="86"/>
      <c r="P95" s="86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2:61" s="87" customFormat="1" ht="12.75">
      <c r="B96" s="89" t="s">
        <v>199</v>
      </c>
      <c r="F96" s="86"/>
      <c r="G96" s="102" t="s">
        <v>181</v>
      </c>
      <c r="H96" s="102"/>
      <c r="I96" s="102" t="s">
        <v>182</v>
      </c>
      <c r="J96" s="102"/>
      <c r="K96" s="102" t="s">
        <v>183</v>
      </c>
      <c r="L96" s="102"/>
      <c r="M96" s="102" t="s">
        <v>201</v>
      </c>
      <c r="N96" s="102"/>
      <c r="O96" s="102" t="s">
        <v>180</v>
      </c>
      <c r="P96" s="8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6:61" s="87" customFormat="1" ht="12.75">
      <c r="F97" s="86"/>
      <c r="H97" s="86"/>
      <c r="J97" s="86"/>
      <c r="L97" s="86"/>
      <c r="N97" s="86"/>
      <c r="P97" s="86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</row>
    <row r="98" spans="1:61" s="85" customFormat="1" ht="12.75">
      <c r="A98" s="85" t="s">
        <v>199</v>
      </c>
      <c r="B98" s="85" t="s">
        <v>13</v>
      </c>
      <c r="C98" s="85" t="s">
        <v>237</v>
      </c>
      <c r="D98" s="85" t="s">
        <v>14</v>
      </c>
      <c r="E98" s="85" t="s">
        <v>15</v>
      </c>
      <c r="F98" s="86" t="s">
        <v>202</v>
      </c>
      <c r="G98" s="85">
        <v>0.014200140864</v>
      </c>
      <c r="H98" s="86" t="s">
        <v>202</v>
      </c>
      <c r="I98" s="85">
        <v>0.01300012896</v>
      </c>
      <c r="J98" s="86" t="s">
        <v>202</v>
      </c>
      <c r="K98" s="85">
        <v>0.037100368032</v>
      </c>
      <c r="L98" s="86" t="s">
        <v>202</v>
      </c>
      <c r="M98" s="85">
        <v>0.025400251968</v>
      </c>
      <c r="N98" s="86" t="s">
        <v>202</v>
      </c>
      <c r="O98" s="85">
        <f>AVERAGE(G98,I98,K98,M98)</f>
        <v>0.022425222456</v>
      </c>
      <c r="P98" s="86" t="s">
        <v>202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</row>
    <row r="99" spans="1:61" s="87" customFormat="1" ht="12.75">
      <c r="A99" s="87" t="s">
        <v>199</v>
      </c>
      <c r="B99" s="87" t="s">
        <v>63</v>
      </c>
      <c r="C99" s="87" t="s">
        <v>237</v>
      </c>
      <c r="D99" s="87" t="s">
        <v>16</v>
      </c>
      <c r="E99" s="85" t="s">
        <v>15</v>
      </c>
      <c r="F99" s="86" t="s">
        <v>202</v>
      </c>
      <c r="G99" s="87">
        <v>37.333333333333336</v>
      </c>
      <c r="H99" s="86" t="s">
        <v>202</v>
      </c>
      <c r="I99" s="87">
        <v>39.70491803278689</v>
      </c>
      <c r="J99" s="86" t="s">
        <v>202</v>
      </c>
      <c r="K99" s="87">
        <v>41.548387096774185</v>
      </c>
      <c r="L99" s="86" t="s">
        <v>202</v>
      </c>
      <c r="M99" s="87">
        <v>45.07317073170731</v>
      </c>
      <c r="N99" s="86" t="s">
        <v>202</v>
      </c>
      <c r="O99" s="87">
        <f>AVERAGE(G99,I99,K99,M99)</f>
        <v>40.91495229865043</v>
      </c>
      <c r="P99" s="86" t="s">
        <v>202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1:61" s="87" customFormat="1" ht="12.75">
      <c r="A100" s="87" t="s">
        <v>199</v>
      </c>
      <c r="B100" s="87" t="s">
        <v>25</v>
      </c>
      <c r="C100" s="85" t="s">
        <v>237</v>
      </c>
      <c r="D100" s="87" t="s">
        <v>16</v>
      </c>
      <c r="E100" s="85" t="s">
        <v>15</v>
      </c>
      <c r="F100" s="86" t="s">
        <v>202</v>
      </c>
      <c r="G100" s="87">
        <v>10.143154744077</v>
      </c>
      <c r="H100" s="86" t="s">
        <v>202</v>
      </c>
      <c r="I100" s="87">
        <v>14.082245767934</v>
      </c>
      <c r="J100" s="86" t="s">
        <v>202</v>
      </c>
      <c r="K100" s="87">
        <v>12.463024133917154</v>
      </c>
      <c r="L100" s="86" t="s">
        <v>202</v>
      </c>
      <c r="M100" s="87">
        <v>14.99725765282238</v>
      </c>
      <c r="N100" s="86" t="s">
        <v>202</v>
      </c>
      <c r="O100" s="87">
        <f>AVERAGE(G100,I100,K100,M100)</f>
        <v>12.921420574687634</v>
      </c>
      <c r="P100" s="86" t="s">
        <v>202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</row>
    <row r="101" spans="1:61" s="87" customFormat="1" ht="12.75">
      <c r="A101" s="87" t="s">
        <v>199</v>
      </c>
      <c r="B101" s="87" t="s">
        <v>26</v>
      </c>
      <c r="C101" s="85" t="s">
        <v>237</v>
      </c>
      <c r="D101" s="87" t="s">
        <v>16</v>
      </c>
      <c r="E101" s="85" t="s">
        <v>15</v>
      </c>
      <c r="F101" s="86" t="s">
        <v>202</v>
      </c>
      <c r="G101" s="87">
        <v>0.3395847373080058</v>
      </c>
      <c r="H101" s="86" t="s">
        <v>202</v>
      </c>
      <c r="I101" s="87">
        <v>0.43213976541446264</v>
      </c>
      <c r="J101" s="86" t="s">
        <v>202</v>
      </c>
      <c r="K101" s="87">
        <v>0.30051915539907703</v>
      </c>
      <c r="L101" s="86" t="s">
        <v>202</v>
      </c>
      <c r="M101" s="87">
        <v>0.3304352456852967</v>
      </c>
      <c r="N101" s="86" t="s">
        <v>202</v>
      </c>
      <c r="O101" s="87">
        <f>AVERAGE(G101,I101,K101,M101)</f>
        <v>0.35066972595171053</v>
      </c>
      <c r="P101" s="86" t="s">
        <v>202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</row>
    <row r="102" spans="2:61" s="87" customFormat="1" ht="12.75">
      <c r="B102" s="87" t="s">
        <v>58</v>
      </c>
      <c r="C102" s="85" t="s">
        <v>237</v>
      </c>
      <c r="D102" s="87" t="s">
        <v>16</v>
      </c>
      <c r="E102" s="85" t="s">
        <v>15</v>
      </c>
      <c r="F102" s="86"/>
      <c r="G102" s="87">
        <f>G100+2*G101</f>
        <v>10.822324218693012</v>
      </c>
      <c r="H102" s="86"/>
      <c r="I102" s="87">
        <f>I100+2*I101</f>
        <v>14.946525298762925</v>
      </c>
      <c r="J102" s="86"/>
      <c r="K102" s="87">
        <f>K100+2*K101</f>
        <v>13.064062444715308</v>
      </c>
      <c r="L102" s="86"/>
      <c r="M102" s="87">
        <f>M100+2*M101</f>
        <v>15.658128144192974</v>
      </c>
      <c r="N102" s="86"/>
      <c r="O102" s="87">
        <f>AVERAGE(G102,I102,K102,M102)</f>
        <v>13.622760026591054</v>
      </c>
      <c r="P102" s="86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</row>
    <row r="103" spans="1:61" s="87" customFormat="1" ht="12.75">
      <c r="A103" s="87" t="s">
        <v>199</v>
      </c>
      <c r="B103" s="87" t="s">
        <v>124</v>
      </c>
      <c r="C103" s="87" t="s">
        <v>238</v>
      </c>
      <c r="D103" s="87" t="s">
        <v>34</v>
      </c>
      <c r="E103" s="85" t="s">
        <v>15</v>
      </c>
      <c r="F103" s="86" t="s">
        <v>202</v>
      </c>
      <c r="G103" s="87">
        <v>8.166666666666668</v>
      </c>
      <c r="H103" s="86" t="s">
        <v>202</v>
      </c>
      <c r="I103" s="87">
        <v>10.098360655737707</v>
      </c>
      <c r="J103" s="86" t="s">
        <v>202</v>
      </c>
      <c r="K103" s="87">
        <v>11.290322580645162</v>
      </c>
      <c r="L103" s="86" t="s">
        <v>202</v>
      </c>
      <c r="M103" s="87">
        <v>6.3739837398374</v>
      </c>
      <c r="N103" s="86" t="s">
        <v>202</v>
      </c>
      <c r="O103" s="87">
        <f aca="true" t="shared" si="3" ref="O103:O110">AVERAGE(G103,I103,K103,M103)</f>
        <v>8.982333410721735</v>
      </c>
      <c r="P103" s="86" t="s">
        <v>202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</row>
    <row r="104" spans="1:61" s="87" customFormat="1" ht="12.75">
      <c r="A104" s="87" t="s">
        <v>199</v>
      </c>
      <c r="B104" s="87" t="s">
        <v>123</v>
      </c>
      <c r="C104" s="87" t="s">
        <v>238</v>
      </c>
      <c r="D104" s="87" t="s">
        <v>34</v>
      </c>
      <c r="E104" s="85" t="s">
        <v>15</v>
      </c>
      <c r="F104" s="86" t="s">
        <v>122</v>
      </c>
      <c r="G104" s="87">
        <v>0.46666666666666673</v>
      </c>
      <c r="H104" s="86" t="s">
        <v>122</v>
      </c>
      <c r="I104" s="87">
        <v>0.459016393442623</v>
      </c>
      <c r="J104" s="86" t="s">
        <v>202</v>
      </c>
      <c r="K104" s="87">
        <v>4.064516129032259</v>
      </c>
      <c r="L104" s="86" t="s">
        <v>202</v>
      </c>
      <c r="M104" s="87">
        <v>5.6910569105691</v>
      </c>
      <c r="N104" s="86" t="s">
        <v>202</v>
      </c>
      <c r="O104" s="87">
        <f t="shared" si="3"/>
        <v>2.670314024927662</v>
      </c>
      <c r="P104" s="86" t="s">
        <v>202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</row>
    <row r="105" spans="1:61" s="87" customFormat="1" ht="12.75">
      <c r="A105" s="87" t="s">
        <v>199</v>
      </c>
      <c r="B105" s="87" t="s">
        <v>125</v>
      </c>
      <c r="C105" s="87" t="s">
        <v>238</v>
      </c>
      <c r="D105" s="87" t="s">
        <v>34</v>
      </c>
      <c r="E105" s="85" t="s">
        <v>15</v>
      </c>
      <c r="F105" s="86" t="s">
        <v>122</v>
      </c>
      <c r="G105" s="87">
        <v>2.566666666666667</v>
      </c>
      <c r="H105" s="86" t="s">
        <v>122</v>
      </c>
      <c r="I105" s="87">
        <v>2.754098360655738</v>
      </c>
      <c r="J105" s="86" t="s">
        <v>122</v>
      </c>
      <c r="K105" s="87">
        <v>2.483870967741936</v>
      </c>
      <c r="L105" s="86" t="s">
        <v>122</v>
      </c>
      <c r="M105" s="87">
        <v>2.2764227642276422</v>
      </c>
      <c r="N105" s="86">
        <v>100</v>
      </c>
      <c r="O105" s="87">
        <f t="shared" si="3"/>
        <v>2.520264689822996</v>
      </c>
      <c r="P105" s="86" t="s">
        <v>202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</row>
    <row r="106" spans="1:61" s="87" customFormat="1" ht="12.75">
      <c r="A106" s="87" t="s">
        <v>199</v>
      </c>
      <c r="B106" s="87" t="s">
        <v>126</v>
      </c>
      <c r="C106" s="87" t="s">
        <v>238</v>
      </c>
      <c r="D106" s="87" t="s">
        <v>34</v>
      </c>
      <c r="E106" s="85" t="s">
        <v>15</v>
      </c>
      <c r="F106" s="86" t="s">
        <v>122</v>
      </c>
      <c r="G106" s="87">
        <v>0.23333333333333336</v>
      </c>
      <c r="H106" s="86" t="s">
        <v>122</v>
      </c>
      <c r="I106" s="87">
        <v>0.2295081967213115</v>
      </c>
      <c r="J106" s="86" t="s">
        <v>122</v>
      </c>
      <c r="K106" s="87">
        <v>0.22580645161290325</v>
      </c>
      <c r="L106" s="86" t="s">
        <v>122</v>
      </c>
      <c r="M106" s="87">
        <v>0.22764227642276424</v>
      </c>
      <c r="N106" s="86">
        <v>100</v>
      </c>
      <c r="O106" s="87">
        <f t="shared" si="3"/>
        <v>0.2290725645225781</v>
      </c>
      <c r="P106" s="86" t="s">
        <v>202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</row>
    <row r="107" spans="1:61" s="87" customFormat="1" ht="12.75">
      <c r="A107" s="87" t="s">
        <v>199</v>
      </c>
      <c r="B107" s="87" t="s">
        <v>127</v>
      </c>
      <c r="C107" s="87" t="s">
        <v>238</v>
      </c>
      <c r="D107" s="87" t="s">
        <v>34</v>
      </c>
      <c r="E107" s="85" t="s">
        <v>15</v>
      </c>
      <c r="F107" s="86" t="s">
        <v>202</v>
      </c>
      <c r="G107" s="87">
        <v>5.833333333333334</v>
      </c>
      <c r="H107" s="86" t="s">
        <v>202</v>
      </c>
      <c r="I107" s="87">
        <v>1.377049180327869</v>
      </c>
      <c r="J107" s="86" t="s">
        <v>202</v>
      </c>
      <c r="K107" s="87">
        <v>3.387096774193549</v>
      </c>
      <c r="L107" s="86" t="s">
        <v>202</v>
      </c>
      <c r="M107" s="87">
        <v>1.821138211382114</v>
      </c>
      <c r="N107" s="86" t="s">
        <v>202</v>
      </c>
      <c r="O107" s="87">
        <f t="shared" si="3"/>
        <v>3.1046543748092166</v>
      </c>
      <c r="P107" s="86" t="s">
        <v>202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</row>
    <row r="108" spans="1:61" s="87" customFormat="1" ht="12.75">
      <c r="A108" s="87" t="s">
        <v>199</v>
      </c>
      <c r="B108" s="87" t="s">
        <v>128</v>
      </c>
      <c r="C108" s="87" t="s">
        <v>238</v>
      </c>
      <c r="D108" s="87" t="s">
        <v>34</v>
      </c>
      <c r="E108" s="85" t="s">
        <v>15</v>
      </c>
      <c r="F108" s="86" t="s">
        <v>202</v>
      </c>
      <c r="G108" s="87">
        <v>154.7</v>
      </c>
      <c r="H108" s="86" t="s">
        <v>202</v>
      </c>
      <c r="I108" s="87">
        <v>104.88524590164</v>
      </c>
      <c r="J108" s="86" t="s">
        <v>202</v>
      </c>
      <c r="K108" s="87">
        <v>65.03225806451614</v>
      </c>
      <c r="L108" s="86" t="s">
        <v>202</v>
      </c>
      <c r="M108" s="87">
        <v>111.77235772357723</v>
      </c>
      <c r="N108" s="86" t="s">
        <v>202</v>
      </c>
      <c r="O108" s="87">
        <f t="shared" si="3"/>
        <v>109.09746542243334</v>
      </c>
      <c r="P108" s="86" t="s">
        <v>202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</row>
    <row r="109" spans="1:61" s="87" customFormat="1" ht="12.75">
      <c r="A109" s="87" t="s">
        <v>199</v>
      </c>
      <c r="B109" s="87" t="s">
        <v>203</v>
      </c>
      <c r="C109" s="87" t="s">
        <v>239</v>
      </c>
      <c r="D109" s="87" t="s">
        <v>34</v>
      </c>
      <c r="E109" s="85" t="s">
        <v>15</v>
      </c>
      <c r="F109" s="86" t="s">
        <v>202</v>
      </c>
      <c r="G109" s="87">
        <v>0.15106768174519686</v>
      </c>
      <c r="H109" s="86" t="s">
        <v>202</v>
      </c>
      <c r="I109" s="87">
        <v>0.368049987713694</v>
      </c>
      <c r="J109" s="86" t="s">
        <v>202</v>
      </c>
      <c r="K109" s="87">
        <v>0.31581730387146106</v>
      </c>
      <c r="L109" s="86" t="s">
        <v>202</v>
      </c>
      <c r="M109" s="87">
        <v>0.16664228332201853</v>
      </c>
      <c r="N109" s="86" t="s">
        <v>202</v>
      </c>
      <c r="O109" s="87">
        <f t="shared" si="3"/>
        <v>0.2503943141630926</v>
      </c>
      <c r="P109" s="86" t="s">
        <v>202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1:61" s="87" customFormat="1" ht="12.75">
      <c r="A110" s="87" t="s">
        <v>199</v>
      </c>
      <c r="B110" s="87" t="s">
        <v>130</v>
      </c>
      <c r="C110" s="87" t="s">
        <v>238</v>
      </c>
      <c r="D110" s="87" t="s">
        <v>34</v>
      </c>
      <c r="E110" s="85" t="s">
        <v>15</v>
      </c>
      <c r="F110" s="86" t="s">
        <v>202</v>
      </c>
      <c r="G110" s="87">
        <v>1.1666666666666667</v>
      </c>
      <c r="H110" s="86" t="s">
        <v>202</v>
      </c>
      <c r="I110" s="87">
        <v>0.918032786885246</v>
      </c>
      <c r="J110" s="86" t="s">
        <v>202</v>
      </c>
      <c r="K110" s="87">
        <v>1.1290322580645162</v>
      </c>
      <c r="L110" s="86" t="s">
        <v>202</v>
      </c>
      <c r="M110" s="87">
        <v>1.1382113821138211</v>
      </c>
      <c r="N110" s="86" t="s">
        <v>202</v>
      </c>
      <c r="O110" s="87">
        <f t="shared" si="3"/>
        <v>1.0879857734325626</v>
      </c>
      <c r="P110" s="86" t="s">
        <v>202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</row>
    <row r="111" spans="1:61" s="87" customFormat="1" ht="12.75">
      <c r="A111" s="87" t="s">
        <v>199</v>
      </c>
      <c r="B111" s="87" t="s">
        <v>131</v>
      </c>
      <c r="C111" s="87" t="s">
        <v>238</v>
      </c>
      <c r="D111" s="87" t="s">
        <v>34</v>
      </c>
      <c r="E111" s="85" t="s">
        <v>15</v>
      </c>
      <c r="F111" s="86" t="s">
        <v>202</v>
      </c>
      <c r="G111" s="87">
        <v>431.6666666666667</v>
      </c>
      <c r="H111" s="86" t="s">
        <v>202</v>
      </c>
      <c r="I111" s="87">
        <v>461.31147540983613</v>
      </c>
      <c r="J111" s="86" t="s">
        <v>202</v>
      </c>
      <c r="K111" s="87">
        <v>483.2258064516129</v>
      </c>
      <c r="L111" s="86" t="s">
        <v>202</v>
      </c>
      <c r="M111" s="87">
        <v>498.5365853658536</v>
      </c>
      <c r="N111" s="86" t="s">
        <v>202</v>
      </c>
      <c r="O111" s="87">
        <f aca="true" t="shared" si="4" ref="O111:O117">AVERAGE(G111,I111,K111,M111)</f>
        <v>468.68513347349233</v>
      </c>
      <c r="P111" s="86" t="s">
        <v>202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</row>
    <row r="112" spans="1:61" s="87" customFormat="1" ht="12.75">
      <c r="A112" s="87" t="s">
        <v>199</v>
      </c>
      <c r="B112" s="87" t="s">
        <v>132</v>
      </c>
      <c r="C112" s="87" t="s">
        <v>238</v>
      </c>
      <c r="D112" s="87" t="s">
        <v>34</v>
      </c>
      <c r="E112" s="85" t="s">
        <v>15</v>
      </c>
      <c r="F112" s="86" t="s">
        <v>202</v>
      </c>
      <c r="G112" s="87">
        <v>64.86666666666667</v>
      </c>
      <c r="H112" s="86" t="s">
        <v>202</v>
      </c>
      <c r="I112" s="87">
        <v>51.180327868852466</v>
      </c>
      <c r="J112" s="86" t="s">
        <v>202</v>
      </c>
      <c r="K112" s="87">
        <v>34.7741935483871</v>
      </c>
      <c r="L112" s="86" t="s">
        <v>202</v>
      </c>
      <c r="M112" s="87">
        <v>49.39837398373984</v>
      </c>
      <c r="N112" s="86" t="s">
        <v>202</v>
      </c>
      <c r="O112" s="87">
        <f t="shared" si="4"/>
        <v>50.05489051691152</v>
      </c>
      <c r="P112" s="86" t="s">
        <v>202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</row>
    <row r="113" spans="1:61" s="87" customFormat="1" ht="12.75">
      <c r="A113" s="87" t="s">
        <v>199</v>
      </c>
      <c r="B113" s="87" t="s">
        <v>133</v>
      </c>
      <c r="C113" s="87" t="s">
        <v>238</v>
      </c>
      <c r="D113" s="87" t="s">
        <v>34</v>
      </c>
      <c r="E113" s="85" t="s">
        <v>15</v>
      </c>
      <c r="F113" s="86" t="s">
        <v>122</v>
      </c>
      <c r="G113" s="87">
        <v>0.9333333333333335</v>
      </c>
      <c r="H113" s="86" t="s">
        <v>122</v>
      </c>
      <c r="I113" s="87">
        <v>0.4360655737704919</v>
      </c>
      <c r="J113" s="86" t="s">
        <v>122</v>
      </c>
      <c r="K113" s="87">
        <v>0.4516129032258065</v>
      </c>
      <c r="L113" s="86" t="s">
        <v>202</v>
      </c>
      <c r="M113" s="87">
        <v>0.4552845528455285</v>
      </c>
      <c r="N113" s="86">
        <v>100</v>
      </c>
      <c r="O113" s="87">
        <f t="shared" si="4"/>
        <v>0.5690740907937901</v>
      </c>
      <c r="P113" s="86" t="s">
        <v>202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61" s="87" customFormat="1" ht="12.75">
      <c r="A114" s="87" t="s">
        <v>199</v>
      </c>
      <c r="B114" s="87" t="s">
        <v>134</v>
      </c>
      <c r="C114" s="87" t="s">
        <v>238</v>
      </c>
      <c r="D114" s="87" t="s">
        <v>34</v>
      </c>
      <c r="E114" s="85" t="s">
        <v>15</v>
      </c>
      <c r="F114" s="86" t="s">
        <v>122</v>
      </c>
      <c r="G114" s="87">
        <v>0.7</v>
      </c>
      <c r="H114" s="86" t="s">
        <v>122</v>
      </c>
      <c r="I114" s="87">
        <v>0.6885245901639345</v>
      </c>
      <c r="J114" s="86" t="s">
        <v>122</v>
      </c>
      <c r="K114" s="87">
        <v>0.67741935483871</v>
      </c>
      <c r="L114" s="86" t="s">
        <v>122</v>
      </c>
      <c r="M114" s="87">
        <v>0.6829268292682926</v>
      </c>
      <c r="N114" s="86">
        <v>100</v>
      </c>
      <c r="O114" s="87">
        <f t="shared" si="4"/>
        <v>0.6872176935677343</v>
      </c>
      <c r="P114" s="86" t="s">
        <v>202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</row>
    <row r="115" spans="1:61" s="87" customFormat="1" ht="12.75">
      <c r="A115" s="87" t="s">
        <v>199</v>
      </c>
      <c r="B115" s="87" t="s">
        <v>135</v>
      </c>
      <c r="C115" s="87" t="s">
        <v>238</v>
      </c>
      <c r="D115" s="87" t="s">
        <v>34</v>
      </c>
      <c r="E115" s="85" t="s">
        <v>15</v>
      </c>
      <c r="F115" s="86" t="s">
        <v>122</v>
      </c>
      <c r="G115" s="87">
        <v>0.46666666666666673</v>
      </c>
      <c r="H115" s="86" t="s">
        <v>122</v>
      </c>
      <c r="I115" s="87">
        <v>0.459016393442623</v>
      </c>
      <c r="J115" s="86" t="s">
        <v>122</v>
      </c>
      <c r="K115" s="87">
        <v>0.4516129032258065</v>
      </c>
      <c r="L115" s="86" t="s">
        <v>122</v>
      </c>
      <c r="M115" s="87">
        <v>0.4552845528455285</v>
      </c>
      <c r="N115" s="86">
        <v>100</v>
      </c>
      <c r="O115" s="87">
        <f t="shared" si="4"/>
        <v>0.4581451290451562</v>
      </c>
      <c r="P115" s="86" t="s">
        <v>202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</row>
    <row r="116" spans="2:61" s="87" customFormat="1" ht="12.75">
      <c r="B116" s="87" t="s">
        <v>35</v>
      </c>
      <c r="C116" s="87" t="s">
        <v>238</v>
      </c>
      <c r="D116" s="87" t="s">
        <v>34</v>
      </c>
      <c r="E116" s="85" t="s">
        <v>15</v>
      </c>
      <c r="F116" s="86"/>
      <c r="G116" s="87">
        <f>G107+G110</f>
        <v>7.000000000000001</v>
      </c>
      <c r="H116" s="86"/>
      <c r="I116" s="87">
        <f>I107+I110</f>
        <v>2.295081967213115</v>
      </c>
      <c r="J116" s="86"/>
      <c r="K116" s="87">
        <f>K107+K110</f>
        <v>4.516129032258065</v>
      </c>
      <c r="L116" s="86"/>
      <c r="M116" s="87">
        <f>M107+M110</f>
        <v>2.959349593495935</v>
      </c>
      <c r="N116" s="86"/>
      <c r="O116" s="87">
        <f t="shared" si="4"/>
        <v>4.19264014824178</v>
      </c>
      <c r="P116" s="8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</row>
    <row r="117" spans="2:61" s="87" customFormat="1" ht="12.75">
      <c r="B117" s="87" t="s">
        <v>36</v>
      </c>
      <c r="C117" s="87" t="s">
        <v>238</v>
      </c>
      <c r="D117" s="87" t="s">
        <v>34</v>
      </c>
      <c r="E117" s="85" t="s">
        <v>15</v>
      </c>
      <c r="F117" s="86"/>
      <c r="G117" s="87">
        <f>G104+G106+G108</f>
        <v>155.39999999999998</v>
      </c>
      <c r="H117" s="86"/>
      <c r="I117" s="87">
        <f>I104+I106+I108</f>
        <v>105.57377049180394</v>
      </c>
      <c r="J117" s="86"/>
      <c r="K117" s="87">
        <f>K104+K106+K108</f>
        <v>69.32258064516131</v>
      </c>
      <c r="L117" s="86"/>
      <c r="M117" s="87">
        <f>M104+M106+M108</f>
        <v>117.69105691056909</v>
      </c>
      <c r="N117" s="86"/>
      <c r="O117" s="87">
        <f t="shared" si="4"/>
        <v>111.99685201188358</v>
      </c>
      <c r="P117" s="86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</row>
    <row r="118" spans="6:61" s="87" customFormat="1" ht="12.75">
      <c r="F118" s="86"/>
      <c r="H118" s="86"/>
      <c r="J118" s="86"/>
      <c r="L118" s="86"/>
      <c r="N118" s="86"/>
      <c r="P118" s="86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</row>
    <row r="119" spans="1:61" s="88" customFormat="1" ht="12.75">
      <c r="A119" s="88" t="s">
        <v>199</v>
      </c>
      <c r="B119" s="88" t="s">
        <v>211</v>
      </c>
      <c r="C119" s="88" t="s">
        <v>237</v>
      </c>
      <c r="D119" s="88" t="s">
        <v>18</v>
      </c>
      <c r="G119" s="86">
        <v>99.9975</v>
      </c>
      <c r="H119" s="86"/>
      <c r="I119" s="86">
        <v>99.9999</v>
      </c>
      <c r="J119" s="86"/>
      <c r="K119" s="86">
        <v>99.9999</v>
      </c>
      <c r="L119" s="86"/>
      <c r="M119" s="86">
        <v>99.9998</v>
      </c>
      <c r="N119" s="86"/>
      <c r="O119" s="86"/>
      <c r="P119" s="86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</row>
    <row r="120" spans="1:61" s="88" customFormat="1" ht="12.75">
      <c r="A120" s="88" t="s">
        <v>199</v>
      </c>
      <c r="B120" s="88" t="s">
        <v>212</v>
      </c>
      <c r="C120" s="88" t="s">
        <v>237</v>
      </c>
      <c r="D120" s="88" t="s">
        <v>18</v>
      </c>
      <c r="G120" s="86">
        <v>99.9993</v>
      </c>
      <c r="H120" s="86"/>
      <c r="I120" s="86">
        <v>99.9989</v>
      </c>
      <c r="J120" s="86"/>
      <c r="K120" s="86">
        <v>99.999</v>
      </c>
      <c r="L120" s="86"/>
      <c r="M120" s="86">
        <v>99.9992</v>
      </c>
      <c r="N120" s="86"/>
      <c r="O120" s="86"/>
      <c r="P120" s="86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</row>
    <row r="121" spans="1:61" s="88" customFormat="1" ht="12.75">
      <c r="A121" s="88" t="s">
        <v>199</v>
      </c>
      <c r="B121" s="88" t="s">
        <v>121</v>
      </c>
      <c r="C121" s="88" t="s">
        <v>237</v>
      </c>
      <c r="D121" s="88" t="s">
        <v>18</v>
      </c>
      <c r="G121" s="86">
        <v>99.999</v>
      </c>
      <c r="H121" s="86"/>
      <c r="I121" s="86">
        <v>99.9985</v>
      </c>
      <c r="J121" s="86"/>
      <c r="K121" s="86">
        <v>99.9988</v>
      </c>
      <c r="L121" s="86"/>
      <c r="M121" s="86">
        <v>99.9989</v>
      </c>
      <c r="N121" s="86"/>
      <c r="O121" s="86"/>
      <c r="P121" s="86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</row>
    <row r="122" spans="1:61" s="88" customFormat="1" ht="12.75">
      <c r="A122" s="88" t="s">
        <v>199</v>
      </c>
      <c r="B122" s="88" t="s">
        <v>213</v>
      </c>
      <c r="C122" s="88" t="s">
        <v>237</v>
      </c>
      <c r="D122" s="88" t="s">
        <v>18</v>
      </c>
      <c r="G122" s="86">
        <v>99.9989</v>
      </c>
      <c r="H122" s="86"/>
      <c r="I122" s="86">
        <v>99.9986</v>
      </c>
      <c r="J122" s="86"/>
      <c r="K122" s="86">
        <v>99.9989</v>
      </c>
      <c r="L122" s="86"/>
      <c r="M122" s="86">
        <v>99.9992</v>
      </c>
      <c r="N122" s="86"/>
      <c r="O122" s="86"/>
      <c r="P122" s="86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</row>
    <row r="123" spans="7:61" s="88" customFormat="1" ht="12.75"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</row>
    <row r="124" spans="2:61" s="88" customFormat="1" ht="12.75">
      <c r="B124" s="87" t="s">
        <v>59</v>
      </c>
      <c r="C124" s="88" t="s">
        <v>205</v>
      </c>
      <c r="D124" s="88" t="s">
        <v>237</v>
      </c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</row>
    <row r="125" spans="1:61" s="88" customFormat="1" ht="12.75">
      <c r="A125" s="88" t="s">
        <v>199</v>
      </c>
      <c r="B125" s="4" t="s">
        <v>52</v>
      </c>
      <c r="C125" s="4"/>
      <c r="D125" s="4" t="s">
        <v>17</v>
      </c>
      <c r="G125" s="86">
        <v>36795</v>
      </c>
      <c r="H125" s="86"/>
      <c r="I125" s="86">
        <v>37117</v>
      </c>
      <c r="J125" s="86"/>
      <c r="K125" s="86">
        <v>36145</v>
      </c>
      <c r="L125" s="86"/>
      <c r="M125" s="86">
        <v>36532</v>
      </c>
      <c r="N125" s="86"/>
      <c r="O125" s="86"/>
      <c r="P125" s="86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</row>
    <row r="126" spans="1:61" s="88" customFormat="1" ht="12.75">
      <c r="A126" s="88" t="s">
        <v>199</v>
      </c>
      <c r="B126" s="4" t="s">
        <v>56</v>
      </c>
      <c r="C126" s="4"/>
      <c r="D126" s="4" t="s">
        <v>18</v>
      </c>
      <c r="G126" s="86">
        <v>15</v>
      </c>
      <c r="H126" s="86"/>
      <c r="I126" s="86">
        <v>14.9</v>
      </c>
      <c r="J126" s="86"/>
      <c r="K126" s="86">
        <v>14.8</v>
      </c>
      <c r="L126" s="86"/>
      <c r="M126" s="86">
        <v>15</v>
      </c>
      <c r="N126" s="86"/>
      <c r="O126" s="86"/>
      <c r="P126" s="8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</row>
    <row r="127" spans="1:61" s="88" customFormat="1" ht="12.75">
      <c r="A127" s="88" t="s">
        <v>199</v>
      </c>
      <c r="B127" s="4" t="s">
        <v>57</v>
      </c>
      <c r="C127" s="4"/>
      <c r="D127" s="4" t="s">
        <v>18</v>
      </c>
      <c r="G127" s="86">
        <v>15.1</v>
      </c>
      <c r="H127" s="86"/>
      <c r="I127" s="86">
        <v>16</v>
      </c>
      <c r="J127" s="86"/>
      <c r="K127" s="86">
        <v>15.4</v>
      </c>
      <c r="L127" s="86"/>
      <c r="M127" s="86">
        <v>16.1</v>
      </c>
      <c r="N127" s="86"/>
      <c r="O127" s="86"/>
      <c r="P127" s="86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</row>
    <row r="128" spans="1:61" s="88" customFormat="1" ht="12.75">
      <c r="A128" s="88" t="s">
        <v>199</v>
      </c>
      <c r="B128" s="4" t="s">
        <v>51</v>
      </c>
      <c r="C128" s="4"/>
      <c r="D128" s="4" t="s">
        <v>19</v>
      </c>
      <c r="G128" s="86">
        <v>135</v>
      </c>
      <c r="H128" s="86"/>
      <c r="I128" s="86">
        <v>137</v>
      </c>
      <c r="J128" s="86"/>
      <c r="K128" s="86">
        <v>145</v>
      </c>
      <c r="L128" s="86"/>
      <c r="M128" s="86">
        <v>136</v>
      </c>
      <c r="N128" s="86"/>
      <c r="O128" s="86"/>
      <c r="P128" s="86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</row>
    <row r="129" spans="7:61" s="88" customFormat="1" ht="12.75"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</row>
    <row r="130" spans="2:61" s="88" customFormat="1" ht="12.75">
      <c r="B130" s="87" t="s">
        <v>59</v>
      </c>
      <c r="C130" s="88" t="s">
        <v>138</v>
      </c>
      <c r="D130" s="88" t="s">
        <v>238</v>
      </c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</row>
    <row r="131" spans="1:61" s="88" customFormat="1" ht="12.75">
      <c r="A131" s="88" t="s">
        <v>199</v>
      </c>
      <c r="B131" s="4" t="s">
        <v>52</v>
      </c>
      <c r="C131" s="4"/>
      <c r="D131" s="4" t="s">
        <v>17</v>
      </c>
      <c r="G131" s="86">
        <v>37835</v>
      </c>
      <c r="H131" s="86"/>
      <c r="I131" s="86">
        <v>37326</v>
      </c>
      <c r="J131" s="86"/>
      <c r="K131" s="86">
        <v>37623</v>
      </c>
      <c r="L131" s="86"/>
      <c r="M131" s="86">
        <v>37183</v>
      </c>
      <c r="N131" s="86"/>
      <c r="O131" s="86"/>
      <c r="P131" s="86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</row>
    <row r="132" spans="1:61" s="88" customFormat="1" ht="12.75">
      <c r="A132" s="88" t="s">
        <v>199</v>
      </c>
      <c r="B132" s="4" t="s">
        <v>56</v>
      </c>
      <c r="C132" s="4"/>
      <c r="D132" s="4" t="s">
        <v>18</v>
      </c>
      <c r="G132" s="86">
        <v>15</v>
      </c>
      <c r="H132" s="86"/>
      <c r="I132" s="86">
        <v>14.9</v>
      </c>
      <c r="J132" s="86"/>
      <c r="K132" s="86">
        <v>14.8</v>
      </c>
      <c r="L132" s="86"/>
      <c r="M132" s="86">
        <v>14.85</v>
      </c>
      <c r="N132" s="86"/>
      <c r="O132" s="86"/>
      <c r="P132" s="86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</row>
    <row r="133" spans="1:61" s="88" customFormat="1" ht="12.75">
      <c r="A133" s="88" t="s">
        <v>199</v>
      </c>
      <c r="B133" s="4" t="s">
        <v>57</v>
      </c>
      <c r="C133" s="4"/>
      <c r="D133" s="4" t="s">
        <v>18</v>
      </c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</row>
    <row r="134" spans="1:61" s="88" customFormat="1" ht="12.75">
      <c r="A134" s="88" t="s">
        <v>199</v>
      </c>
      <c r="B134" s="4" t="s">
        <v>51</v>
      </c>
      <c r="C134" s="4"/>
      <c r="D134" s="4" t="s">
        <v>19</v>
      </c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</row>
    <row r="135" spans="6:61" s="87" customFormat="1" ht="12.75">
      <c r="F135" s="86"/>
      <c r="H135" s="86"/>
      <c r="J135" s="86"/>
      <c r="L135" s="86"/>
      <c r="N135" s="86"/>
      <c r="P135" s="86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</row>
    <row r="136" spans="2:61" s="87" customFormat="1" ht="12.75">
      <c r="B136" s="87" t="s">
        <v>59</v>
      </c>
      <c r="C136" s="88" t="s">
        <v>204</v>
      </c>
      <c r="D136" s="87" t="s">
        <v>239</v>
      </c>
      <c r="F136" s="86"/>
      <c r="H136" s="86"/>
      <c r="J136" s="86"/>
      <c r="L136" s="86"/>
      <c r="N136" s="86"/>
      <c r="P136" s="8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</row>
    <row r="137" spans="1:61" s="88" customFormat="1" ht="12.75">
      <c r="A137" s="88" t="s">
        <v>199</v>
      </c>
      <c r="B137" s="4" t="s">
        <v>52</v>
      </c>
      <c r="C137" s="4"/>
      <c r="D137" s="4" t="s">
        <v>17</v>
      </c>
      <c r="G137" s="86">
        <v>36122</v>
      </c>
      <c r="H137" s="86"/>
      <c r="I137" s="86">
        <v>35959</v>
      </c>
      <c r="J137" s="86"/>
      <c r="K137" s="86">
        <v>35313</v>
      </c>
      <c r="L137" s="86"/>
      <c r="M137" s="86">
        <v>35352</v>
      </c>
      <c r="N137" s="86"/>
      <c r="O137" s="86"/>
      <c r="P137" s="86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</row>
    <row r="138" spans="1:61" s="88" customFormat="1" ht="12.75">
      <c r="A138" s="88" t="s">
        <v>199</v>
      </c>
      <c r="B138" s="4" t="s">
        <v>56</v>
      </c>
      <c r="C138" s="4"/>
      <c r="D138" s="4" t="s">
        <v>18</v>
      </c>
      <c r="G138" s="86">
        <v>15</v>
      </c>
      <c r="H138" s="86"/>
      <c r="I138" s="86">
        <v>14.9</v>
      </c>
      <c r="J138" s="86"/>
      <c r="K138" s="86">
        <v>14.8</v>
      </c>
      <c r="L138" s="86"/>
      <c r="M138" s="86">
        <v>14.7</v>
      </c>
      <c r="N138" s="86"/>
      <c r="O138" s="86"/>
      <c r="P138" s="86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</row>
    <row r="139" spans="1:61" s="88" customFormat="1" ht="12.75">
      <c r="A139" s="88" t="s">
        <v>199</v>
      </c>
      <c r="B139" s="4" t="s">
        <v>57</v>
      </c>
      <c r="C139" s="4"/>
      <c r="D139" s="4" t="s">
        <v>18</v>
      </c>
      <c r="G139" s="86">
        <v>15.6</v>
      </c>
      <c r="H139" s="86"/>
      <c r="I139" s="86">
        <v>16.2</v>
      </c>
      <c r="J139" s="86"/>
      <c r="K139" s="86">
        <v>15.8</v>
      </c>
      <c r="L139" s="86"/>
      <c r="M139" s="86">
        <v>16.5</v>
      </c>
      <c r="N139" s="86"/>
      <c r="O139" s="86"/>
      <c r="P139" s="86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</row>
    <row r="140" spans="1:61" s="88" customFormat="1" ht="12.75">
      <c r="A140" s="88" t="s">
        <v>199</v>
      </c>
      <c r="B140" s="4" t="s">
        <v>51</v>
      </c>
      <c r="C140" s="4"/>
      <c r="D140" s="4" t="s">
        <v>19</v>
      </c>
      <c r="G140" s="86">
        <v>134</v>
      </c>
      <c r="H140" s="86"/>
      <c r="I140" s="86">
        <v>137</v>
      </c>
      <c r="J140" s="86"/>
      <c r="K140" s="86">
        <v>144</v>
      </c>
      <c r="L140" s="86"/>
      <c r="M140" s="86">
        <v>136</v>
      </c>
      <c r="N140" s="86"/>
      <c r="O140" s="86"/>
      <c r="P140" s="86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</row>
    <row r="141" spans="6:61" s="87" customFormat="1" ht="12.75">
      <c r="F141" s="86"/>
      <c r="H141" s="86"/>
      <c r="J141" s="86"/>
      <c r="L141" s="86"/>
      <c r="N141" s="86"/>
      <c r="P141" s="86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</row>
    <row r="142" spans="2:61" s="87" customFormat="1" ht="12.75">
      <c r="B142" s="89" t="s">
        <v>200</v>
      </c>
      <c r="F142" s="86"/>
      <c r="G142" s="102" t="s">
        <v>181</v>
      </c>
      <c r="H142" s="102"/>
      <c r="I142" s="102" t="s">
        <v>182</v>
      </c>
      <c r="J142" s="102"/>
      <c r="K142" s="102" t="s">
        <v>183</v>
      </c>
      <c r="L142" s="102"/>
      <c r="M142" s="102" t="s">
        <v>201</v>
      </c>
      <c r="N142" s="102"/>
      <c r="O142" s="102" t="s">
        <v>180</v>
      </c>
      <c r="P142" s="86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</row>
    <row r="143" spans="6:61" s="87" customFormat="1" ht="12.75">
      <c r="F143" s="86"/>
      <c r="H143" s="86"/>
      <c r="J143" s="86"/>
      <c r="L143" s="86"/>
      <c r="N143" s="86"/>
      <c r="P143" s="86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</row>
    <row r="144" spans="1:61" s="85" customFormat="1" ht="12.75">
      <c r="A144" s="85" t="s">
        <v>200</v>
      </c>
      <c r="B144" s="85" t="s">
        <v>13</v>
      </c>
      <c r="C144" s="85" t="s">
        <v>237</v>
      </c>
      <c r="D144" s="85" t="s">
        <v>14</v>
      </c>
      <c r="E144" s="85" t="s">
        <v>15</v>
      </c>
      <c r="F144" s="86" t="s">
        <v>202</v>
      </c>
      <c r="G144" s="109">
        <v>0.008100080352</v>
      </c>
      <c r="H144" s="109" t="s">
        <v>202</v>
      </c>
      <c r="I144" s="109">
        <v>0.005900058528</v>
      </c>
      <c r="J144" s="109" t="s">
        <v>202</v>
      </c>
      <c r="K144" s="109">
        <v>0.005600055552</v>
      </c>
      <c r="L144" s="86" t="s">
        <v>202</v>
      </c>
      <c r="N144" s="86" t="s">
        <v>202</v>
      </c>
      <c r="O144" s="85">
        <f>AVERAGE(G144,I144,K144)</f>
        <v>0.006533398144</v>
      </c>
      <c r="P144" s="86" t="s">
        <v>202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</row>
    <row r="145" spans="1:61" s="87" customFormat="1" ht="12.75">
      <c r="A145" s="87" t="s">
        <v>200</v>
      </c>
      <c r="B145" s="87" t="s">
        <v>63</v>
      </c>
      <c r="C145" s="87" t="s">
        <v>237</v>
      </c>
      <c r="D145" s="87" t="s">
        <v>16</v>
      </c>
      <c r="E145" s="85" t="s">
        <v>15</v>
      </c>
      <c r="F145" s="86" t="s">
        <v>202</v>
      </c>
      <c r="G145" s="87">
        <v>49</v>
      </c>
      <c r="H145" s="86" t="s">
        <v>202</v>
      </c>
      <c r="I145" s="87">
        <v>48.426229508196734</v>
      </c>
      <c r="J145" s="86" t="s">
        <v>202</v>
      </c>
      <c r="K145" s="87">
        <v>50.75</v>
      </c>
      <c r="L145" s="86" t="s">
        <v>202</v>
      </c>
      <c r="N145" s="86" t="s">
        <v>202</v>
      </c>
      <c r="O145" s="87">
        <f>AVERAGE(G145,I145,K145)</f>
        <v>49.392076502732245</v>
      </c>
      <c r="P145" s="86" t="s">
        <v>202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</row>
    <row r="146" spans="1:61" s="87" customFormat="1" ht="12.75">
      <c r="A146" s="87" t="s">
        <v>200</v>
      </c>
      <c r="B146" s="87" t="s">
        <v>25</v>
      </c>
      <c r="C146" s="85" t="s">
        <v>237</v>
      </c>
      <c r="D146" s="87" t="s">
        <v>16</v>
      </c>
      <c r="E146" s="85" t="s">
        <v>15</v>
      </c>
      <c r="F146" s="86" t="s">
        <v>202</v>
      </c>
      <c r="G146" s="87">
        <v>37.50353803445135</v>
      </c>
      <c r="H146" s="86" t="s">
        <v>202</v>
      </c>
      <c r="I146" s="87">
        <v>29.43790163084</v>
      </c>
      <c r="J146" s="86" t="s">
        <v>202</v>
      </c>
      <c r="K146" s="87">
        <v>25.698236113691</v>
      </c>
      <c r="L146" s="86" t="s">
        <v>202</v>
      </c>
      <c r="N146" s="86" t="s">
        <v>202</v>
      </c>
      <c r="O146" s="87">
        <f>AVERAGE(G146,I146,K146)</f>
        <v>30.87989192632745</v>
      </c>
      <c r="P146" s="86" t="s">
        <v>202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</row>
    <row r="147" spans="1:61" s="87" customFormat="1" ht="12.75">
      <c r="A147" s="87" t="s">
        <v>200</v>
      </c>
      <c r="B147" s="87" t="s">
        <v>26</v>
      </c>
      <c r="C147" s="85" t="s">
        <v>237</v>
      </c>
      <c r="D147" s="87" t="s">
        <v>16</v>
      </c>
      <c r="E147" s="85" t="s">
        <v>15</v>
      </c>
      <c r="F147" s="86" t="s">
        <v>202</v>
      </c>
      <c r="G147" s="87">
        <v>0.9886154820674337</v>
      </c>
      <c r="H147" s="86" t="s">
        <v>202</v>
      </c>
      <c r="I147" s="87">
        <v>0.25630421997505</v>
      </c>
      <c r="J147" s="86" t="s">
        <v>202</v>
      </c>
      <c r="K147" s="87">
        <v>0.7767609744225525</v>
      </c>
      <c r="L147" s="86" t="s">
        <v>202</v>
      </c>
      <c r="N147" s="86" t="s">
        <v>202</v>
      </c>
      <c r="O147" s="87">
        <f>AVERAGE(G147,I147,K147)</f>
        <v>0.6738935588216787</v>
      </c>
      <c r="P147" s="86" t="s">
        <v>202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</row>
    <row r="148" spans="2:61" s="87" customFormat="1" ht="12.75">
      <c r="B148" s="87" t="s">
        <v>58</v>
      </c>
      <c r="C148" s="85" t="s">
        <v>237</v>
      </c>
      <c r="D148" s="87" t="s">
        <v>16</v>
      </c>
      <c r="E148" s="85" t="s">
        <v>15</v>
      </c>
      <c r="F148" s="86"/>
      <c r="G148" s="87">
        <f>G146+2*G147</f>
        <v>39.48076899858622</v>
      </c>
      <c r="H148" s="86"/>
      <c r="I148" s="87">
        <f>I146+2*I147</f>
        <v>29.9505100707901</v>
      </c>
      <c r="J148" s="86"/>
      <c r="K148" s="87">
        <f>K146+2*K147</f>
        <v>27.251758062536105</v>
      </c>
      <c r="L148" s="86"/>
      <c r="N148" s="86"/>
      <c r="O148" s="87">
        <f>AVERAGE(G148,I148,K148)</f>
        <v>32.2276790439708</v>
      </c>
      <c r="P148" s="86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</row>
    <row r="149" spans="1:61" s="87" customFormat="1" ht="12.75">
      <c r="A149" s="87" t="s">
        <v>200</v>
      </c>
      <c r="B149" s="87" t="s">
        <v>124</v>
      </c>
      <c r="C149" s="87" t="s">
        <v>238</v>
      </c>
      <c r="D149" s="87" t="s">
        <v>34</v>
      </c>
      <c r="E149" s="85" t="s">
        <v>15</v>
      </c>
      <c r="F149" s="86" t="s">
        <v>202</v>
      </c>
      <c r="G149" s="87">
        <v>12.970588235294116</v>
      </c>
      <c r="H149" s="86" t="s">
        <v>202</v>
      </c>
      <c r="I149" s="87">
        <v>14.459016393442624</v>
      </c>
      <c r="J149" s="86" t="s">
        <v>202</v>
      </c>
      <c r="K149" s="87">
        <v>6</v>
      </c>
      <c r="L149" s="86" t="s">
        <v>202</v>
      </c>
      <c r="N149" s="86" t="s">
        <v>202</v>
      </c>
      <c r="O149" s="87">
        <f aca="true" t="shared" si="5" ref="O149:O156">AVERAGE(G149,I149,K149)</f>
        <v>11.143201542912246</v>
      </c>
      <c r="P149" s="86" t="s">
        <v>202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</row>
    <row r="150" spans="1:61" s="87" customFormat="1" ht="12.75">
      <c r="A150" s="87" t="s">
        <v>200</v>
      </c>
      <c r="B150" s="87" t="s">
        <v>123</v>
      </c>
      <c r="C150" s="87" t="s">
        <v>238</v>
      </c>
      <c r="D150" s="87" t="s">
        <v>34</v>
      </c>
      <c r="E150" s="85" t="s">
        <v>15</v>
      </c>
      <c r="F150" s="86" t="s">
        <v>202</v>
      </c>
      <c r="G150" s="87">
        <v>0.61764705882353</v>
      </c>
      <c r="H150" s="86" t="s">
        <v>202</v>
      </c>
      <c r="I150" s="87">
        <v>0.6885245901639345</v>
      </c>
      <c r="J150" s="86" t="s">
        <v>202</v>
      </c>
      <c r="K150" s="87">
        <v>1.5</v>
      </c>
      <c r="L150" s="86" t="s">
        <v>202</v>
      </c>
      <c r="N150" s="86" t="s">
        <v>202</v>
      </c>
      <c r="O150" s="87">
        <f t="shared" si="5"/>
        <v>0.9353905496624882</v>
      </c>
      <c r="P150" s="86" t="s">
        <v>202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</row>
    <row r="151" spans="1:61" s="87" customFormat="1" ht="12.75">
      <c r="A151" s="87" t="s">
        <v>200</v>
      </c>
      <c r="B151" s="87" t="s">
        <v>125</v>
      </c>
      <c r="C151" s="87" t="s">
        <v>238</v>
      </c>
      <c r="D151" s="87" t="s">
        <v>34</v>
      </c>
      <c r="E151" s="85" t="s">
        <v>15</v>
      </c>
      <c r="F151" s="86" t="s">
        <v>122</v>
      </c>
      <c r="G151" s="87">
        <v>2.4705882352941173</v>
      </c>
      <c r="H151" s="86" t="s">
        <v>122</v>
      </c>
      <c r="I151" s="87">
        <v>2.754098360655738</v>
      </c>
      <c r="J151" s="86" t="s">
        <v>202</v>
      </c>
      <c r="K151" s="87">
        <v>0.5</v>
      </c>
      <c r="L151" s="86" t="s">
        <v>202</v>
      </c>
      <c r="N151" s="86" t="s">
        <v>202</v>
      </c>
      <c r="O151" s="87">
        <f t="shared" si="5"/>
        <v>1.9082288653166184</v>
      </c>
      <c r="P151" s="86" t="s">
        <v>202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</row>
    <row r="152" spans="1:61" s="87" customFormat="1" ht="12.75">
      <c r="A152" s="87" t="s">
        <v>200</v>
      </c>
      <c r="B152" s="87" t="s">
        <v>126</v>
      </c>
      <c r="C152" s="87" t="s">
        <v>238</v>
      </c>
      <c r="D152" s="87" t="s">
        <v>34</v>
      </c>
      <c r="E152" s="85" t="s">
        <v>15</v>
      </c>
      <c r="F152" s="86" t="s">
        <v>122</v>
      </c>
      <c r="G152" s="87">
        <v>0.20588235294117646</v>
      </c>
      <c r="H152" s="86" t="s">
        <v>122</v>
      </c>
      <c r="I152" s="87">
        <v>0.2295081967213115</v>
      </c>
      <c r="J152" s="86" t="s">
        <v>122</v>
      </c>
      <c r="K152" s="87">
        <v>0.25</v>
      </c>
      <c r="L152" s="86" t="s">
        <v>202</v>
      </c>
      <c r="N152" s="86">
        <v>100</v>
      </c>
      <c r="O152" s="87">
        <f t="shared" si="5"/>
        <v>0.22846351655416264</v>
      </c>
      <c r="P152" s="86" t="s">
        <v>202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</row>
    <row r="153" spans="1:61" s="87" customFormat="1" ht="12.75">
      <c r="A153" s="87" t="s">
        <v>200</v>
      </c>
      <c r="B153" s="87" t="s">
        <v>127</v>
      </c>
      <c r="C153" s="87" t="s">
        <v>238</v>
      </c>
      <c r="D153" s="87" t="s">
        <v>34</v>
      </c>
      <c r="E153" s="85" t="s">
        <v>15</v>
      </c>
      <c r="F153" s="86" t="s">
        <v>202</v>
      </c>
      <c r="G153" s="87">
        <v>1.2352941176470587</v>
      </c>
      <c r="H153" s="86" t="s">
        <v>202</v>
      </c>
      <c r="I153" s="87">
        <v>1.377049180327869</v>
      </c>
      <c r="J153" s="86" t="s">
        <v>202</v>
      </c>
      <c r="K153" s="87">
        <v>4.25</v>
      </c>
      <c r="L153" s="86" t="s">
        <v>202</v>
      </c>
      <c r="N153" s="86" t="s">
        <v>202</v>
      </c>
      <c r="O153" s="87">
        <f t="shared" si="5"/>
        <v>2.2874477659916423</v>
      </c>
      <c r="P153" s="86" t="s">
        <v>202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</row>
    <row r="154" spans="1:61" s="87" customFormat="1" ht="12.75">
      <c r="A154" s="87" t="s">
        <v>200</v>
      </c>
      <c r="B154" s="87" t="s">
        <v>128</v>
      </c>
      <c r="C154" s="87" t="s">
        <v>238</v>
      </c>
      <c r="D154" s="87" t="s">
        <v>34</v>
      </c>
      <c r="E154" s="85" t="s">
        <v>15</v>
      </c>
      <c r="F154" s="86" t="s">
        <v>202</v>
      </c>
      <c r="G154" s="87">
        <v>46.735294117647</v>
      </c>
      <c r="H154" s="86" t="s">
        <v>202</v>
      </c>
      <c r="I154" s="87">
        <v>52.09836065573771</v>
      </c>
      <c r="J154" s="86" t="s">
        <v>202</v>
      </c>
      <c r="K154" s="87">
        <v>300</v>
      </c>
      <c r="L154" s="86" t="s">
        <v>202</v>
      </c>
      <c r="N154" s="86" t="s">
        <v>202</v>
      </c>
      <c r="O154" s="87">
        <f t="shared" si="5"/>
        <v>132.94455159112823</v>
      </c>
      <c r="P154" s="86" t="s">
        <v>231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</row>
    <row r="155" spans="1:61" s="87" customFormat="1" ht="12.75">
      <c r="A155" s="87" t="s">
        <v>200</v>
      </c>
      <c r="B155" s="87" t="s">
        <v>203</v>
      </c>
      <c r="C155" s="87" t="s">
        <v>239</v>
      </c>
      <c r="D155" s="87" t="s">
        <v>34</v>
      </c>
      <c r="E155" s="85" t="s">
        <v>15</v>
      </c>
      <c r="F155" s="86" t="s">
        <v>202</v>
      </c>
      <c r="G155" s="87">
        <v>0.19249697528374718</v>
      </c>
      <c r="H155" s="86" t="s">
        <v>122</v>
      </c>
      <c r="I155" s="87">
        <v>0.13856016128300247</v>
      </c>
      <c r="J155" s="86" t="s">
        <v>202</v>
      </c>
      <c r="K155" s="87">
        <v>0.23217118502759893</v>
      </c>
      <c r="L155" s="86" t="s">
        <v>202</v>
      </c>
      <c r="N155" s="86" t="s">
        <v>202</v>
      </c>
      <c r="O155" s="87">
        <f t="shared" si="5"/>
        <v>0.18774277386478286</v>
      </c>
      <c r="P155" s="86" t="s">
        <v>202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</row>
    <row r="156" spans="1:61" s="87" customFormat="1" ht="12.75">
      <c r="A156" s="87" t="s">
        <v>200</v>
      </c>
      <c r="B156" s="87" t="s">
        <v>130</v>
      </c>
      <c r="C156" s="87" t="s">
        <v>238</v>
      </c>
      <c r="D156" s="87" t="s">
        <v>34</v>
      </c>
      <c r="E156" s="85" t="s">
        <v>15</v>
      </c>
      <c r="F156" s="86" t="s">
        <v>202</v>
      </c>
      <c r="G156" s="87">
        <v>1.441176470588235</v>
      </c>
      <c r="H156" s="86" t="s">
        <v>202</v>
      </c>
      <c r="I156" s="87">
        <v>1.6065573770491806</v>
      </c>
      <c r="J156" s="86" t="s">
        <v>202</v>
      </c>
      <c r="K156" s="87">
        <v>1.75</v>
      </c>
      <c r="L156" s="86" t="s">
        <v>202</v>
      </c>
      <c r="N156" s="86" t="s">
        <v>202</v>
      </c>
      <c r="O156" s="87">
        <f t="shared" si="5"/>
        <v>1.5992446158791385</v>
      </c>
      <c r="P156" s="86" t="s">
        <v>202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</row>
    <row r="157" spans="1:61" s="87" customFormat="1" ht="12.75">
      <c r="A157" s="87" t="s">
        <v>200</v>
      </c>
      <c r="B157" s="87" t="s">
        <v>131</v>
      </c>
      <c r="C157" s="87" t="s">
        <v>238</v>
      </c>
      <c r="D157" s="87" t="s">
        <v>34</v>
      </c>
      <c r="E157" s="85" t="s">
        <v>15</v>
      </c>
      <c r="F157" s="86" t="s">
        <v>202</v>
      </c>
      <c r="G157" s="87">
        <v>471.4705882352941</v>
      </c>
      <c r="H157" s="86" t="s">
        <v>202</v>
      </c>
      <c r="I157" s="87">
        <v>498.03278688524597</v>
      </c>
      <c r="J157" s="86" t="s">
        <v>202</v>
      </c>
      <c r="K157" s="87">
        <v>510</v>
      </c>
      <c r="L157" s="86" t="s">
        <v>202</v>
      </c>
      <c r="N157" s="86" t="s">
        <v>202</v>
      </c>
      <c r="O157" s="87">
        <f aca="true" t="shared" si="6" ref="O157:O163">AVERAGE(G157,I157,K157)</f>
        <v>493.1677917068467</v>
      </c>
      <c r="P157" s="86" t="s">
        <v>202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</row>
    <row r="158" spans="1:61" s="87" customFormat="1" ht="12.75">
      <c r="A158" s="87" t="s">
        <v>200</v>
      </c>
      <c r="B158" s="87" t="s">
        <v>132</v>
      </c>
      <c r="C158" s="87" t="s">
        <v>238</v>
      </c>
      <c r="D158" s="87" t="s">
        <v>34</v>
      </c>
      <c r="E158" s="85" t="s">
        <v>15</v>
      </c>
      <c r="F158" s="86" t="s">
        <v>202</v>
      </c>
      <c r="G158" s="87">
        <v>17.705882352941174</v>
      </c>
      <c r="H158" s="86" t="s">
        <v>202</v>
      </c>
      <c r="I158" s="87">
        <v>39.016393442623</v>
      </c>
      <c r="J158" s="86" t="s">
        <v>202</v>
      </c>
      <c r="K158" s="87">
        <v>128</v>
      </c>
      <c r="L158" s="86" t="s">
        <v>202</v>
      </c>
      <c r="N158" s="86" t="s">
        <v>202</v>
      </c>
      <c r="O158" s="87">
        <f t="shared" si="6"/>
        <v>61.574091931854724</v>
      </c>
      <c r="P158" s="86" t="s">
        <v>202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</row>
    <row r="159" spans="1:61" s="87" customFormat="1" ht="12.75">
      <c r="A159" s="87" t="s">
        <v>200</v>
      </c>
      <c r="B159" s="87" t="s">
        <v>133</v>
      </c>
      <c r="C159" s="87" t="s">
        <v>238</v>
      </c>
      <c r="D159" s="87" t="s">
        <v>34</v>
      </c>
      <c r="E159" s="85" t="s">
        <v>15</v>
      </c>
      <c r="F159" s="86" t="s">
        <v>122</v>
      </c>
      <c r="G159" s="87">
        <v>0.4117647058823529</v>
      </c>
      <c r="H159" s="86" t="s">
        <v>122</v>
      </c>
      <c r="I159" s="87">
        <v>0.4360655737704919</v>
      </c>
      <c r="J159" s="86" t="s">
        <v>122</v>
      </c>
      <c r="K159" s="87">
        <v>0.5</v>
      </c>
      <c r="L159" s="86" t="s">
        <v>202</v>
      </c>
      <c r="N159" s="86">
        <v>100</v>
      </c>
      <c r="O159" s="87">
        <f t="shared" si="6"/>
        <v>0.44927675988428156</v>
      </c>
      <c r="P159" s="86" t="s">
        <v>202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</row>
    <row r="160" spans="1:61" s="87" customFormat="1" ht="12.75">
      <c r="A160" s="87" t="s">
        <v>200</v>
      </c>
      <c r="B160" s="87" t="s">
        <v>134</v>
      </c>
      <c r="C160" s="87" t="s">
        <v>238</v>
      </c>
      <c r="D160" s="87" t="s">
        <v>34</v>
      </c>
      <c r="E160" s="85" t="s">
        <v>15</v>
      </c>
      <c r="F160" s="86" t="s">
        <v>122</v>
      </c>
      <c r="G160" s="87">
        <v>0.61764705882353</v>
      </c>
      <c r="H160" s="86" t="s">
        <v>122</v>
      </c>
      <c r="I160" s="87">
        <v>0.6885245901639345</v>
      </c>
      <c r="J160" s="86" t="s">
        <v>122</v>
      </c>
      <c r="K160" s="87">
        <v>0.75</v>
      </c>
      <c r="L160" s="86" t="s">
        <v>202</v>
      </c>
      <c r="N160" s="86">
        <v>100</v>
      </c>
      <c r="O160" s="87">
        <f t="shared" si="6"/>
        <v>0.6853905496624882</v>
      </c>
      <c r="P160" s="86" t="s">
        <v>202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</row>
    <row r="161" spans="1:61" s="87" customFormat="1" ht="12.75">
      <c r="A161" s="87" t="s">
        <v>200</v>
      </c>
      <c r="B161" s="87" t="s">
        <v>135</v>
      </c>
      <c r="C161" s="87" t="s">
        <v>238</v>
      </c>
      <c r="D161" s="87" t="s">
        <v>34</v>
      </c>
      <c r="E161" s="85" t="s">
        <v>15</v>
      </c>
      <c r="F161" s="86" t="s">
        <v>122</v>
      </c>
      <c r="G161" s="87">
        <v>0.4117647058823529</v>
      </c>
      <c r="H161" s="86" t="s">
        <v>122</v>
      </c>
      <c r="I161" s="87">
        <v>0.459016393442623</v>
      </c>
      <c r="J161" s="86" t="s">
        <v>122</v>
      </c>
      <c r="K161" s="87">
        <v>0.5</v>
      </c>
      <c r="L161" s="86" t="s">
        <v>202</v>
      </c>
      <c r="N161" s="86">
        <v>100</v>
      </c>
      <c r="O161" s="87">
        <f t="shared" si="6"/>
        <v>0.4569270331083253</v>
      </c>
      <c r="P161" s="86" t="s">
        <v>202</v>
      </c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</row>
    <row r="162" spans="2:61" s="87" customFormat="1" ht="12.75">
      <c r="B162" s="87" t="s">
        <v>35</v>
      </c>
      <c r="C162" s="87" t="s">
        <v>238</v>
      </c>
      <c r="D162" s="87" t="s">
        <v>34</v>
      </c>
      <c r="E162" s="85" t="s">
        <v>15</v>
      </c>
      <c r="F162" s="86"/>
      <c r="G162" s="87">
        <f>G156+G153</f>
        <v>2.6764705882352935</v>
      </c>
      <c r="H162" s="86"/>
      <c r="I162" s="87">
        <f>I156+I153</f>
        <v>2.9836065573770494</v>
      </c>
      <c r="J162" s="86"/>
      <c r="K162" s="87">
        <f>K156+K153</f>
        <v>6</v>
      </c>
      <c r="L162" s="86"/>
      <c r="N162" s="86"/>
      <c r="O162" s="87">
        <f t="shared" si="6"/>
        <v>3.886692381870781</v>
      </c>
      <c r="P162" s="86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</row>
    <row r="163" spans="2:61" s="87" customFormat="1" ht="12.75">
      <c r="B163" s="87" t="s">
        <v>36</v>
      </c>
      <c r="C163" s="87" t="s">
        <v>238</v>
      </c>
      <c r="D163" s="87" t="s">
        <v>34</v>
      </c>
      <c r="E163" s="85" t="s">
        <v>15</v>
      </c>
      <c r="F163" s="86"/>
      <c r="G163" s="87">
        <f>G150+G152+G154</f>
        <v>47.55882352941171</v>
      </c>
      <c r="H163" s="86"/>
      <c r="I163" s="87">
        <f>I150+I152+I154</f>
        <v>53.016393442622956</v>
      </c>
      <c r="J163" s="86"/>
      <c r="K163" s="87">
        <f>K150+K152+K154</f>
        <v>301.75</v>
      </c>
      <c r="L163" s="86"/>
      <c r="N163" s="86"/>
      <c r="O163" s="87">
        <f t="shared" si="6"/>
        <v>134.1084056573449</v>
      </c>
      <c r="P163" s="86" t="s">
        <v>231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</row>
    <row r="164" spans="6:61" s="87" customFormat="1" ht="12.75">
      <c r="F164" s="86"/>
      <c r="H164" s="86"/>
      <c r="J164" s="86"/>
      <c r="L164" s="86"/>
      <c r="N164" s="86"/>
      <c r="P164" s="86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</row>
    <row r="165" spans="2:61" s="88" customFormat="1" ht="12.75">
      <c r="B165" s="87" t="s">
        <v>59</v>
      </c>
      <c r="C165" s="88" t="s">
        <v>205</v>
      </c>
      <c r="D165" s="88" t="s">
        <v>237</v>
      </c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</row>
    <row r="166" spans="1:61" s="88" customFormat="1" ht="12.75">
      <c r="A166" s="88" t="s">
        <v>200</v>
      </c>
      <c r="B166" s="4" t="s">
        <v>52</v>
      </c>
      <c r="C166" s="4"/>
      <c r="D166" s="4" t="s">
        <v>17</v>
      </c>
      <c r="G166" s="86">
        <v>34212</v>
      </c>
      <c r="H166" s="86"/>
      <c r="I166" s="86">
        <v>34135</v>
      </c>
      <c r="J166" s="86"/>
      <c r="K166" s="86">
        <v>34178</v>
      </c>
      <c r="L166" s="86"/>
      <c r="M166" s="86"/>
      <c r="N166" s="86"/>
      <c r="O166" s="86"/>
      <c r="P166" s="8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</row>
    <row r="167" spans="1:61" s="88" customFormat="1" ht="12.75">
      <c r="A167" s="88" t="s">
        <v>200</v>
      </c>
      <c r="B167" s="4" t="s">
        <v>56</v>
      </c>
      <c r="C167" s="4"/>
      <c r="D167" s="4" t="s">
        <v>18</v>
      </c>
      <c r="G167" s="86">
        <v>14.2</v>
      </c>
      <c r="H167" s="86"/>
      <c r="I167" s="86">
        <v>14.9</v>
      </c>
      <c r="J167" s="86"/>
      <c r="K167" s="86">
        <v>15.4</v>
      </c>
      <c r="L167" s="86"/>
      <c r="M167" s="86"/>
      <c r="N167" s="86"/>
      <c r="O167" s="86"/>
      <c r="P167" s="86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</row>
    <row r="168" spans="1:61" s="88" customFormat="1" ht="12.75">
      <c r="A168" s="88" t="s">
        <v>200</v>
      </c>
      <c r="B168" s="4" t="s">
        <v>57</v>
      </c>
      <c r="C168" s="4"/>
      <c r="D168" s="4" t="s">
        <v>18</v>
      </c>
      <c r="G168" s="86">
        <v>15.1</v>
      </c>
      <c r="H168" s="86"/>
      <c r="I168" s="86">
        <v>14.9</v>
      </c>
      <c r="J168" s="86"/>
      <c r="K168" s="86">
        <v>14.5</v>
      </c>
      <c r="L168" s="86"/>
      <c r="M168" s="86"/>
      <c r="N168" s="86"/>
      <c r="O168" s="86"/>
      <c r="P168" s="86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</row>
    <row r="169" spans="1:61" s="88" customFormat="1" ht="12.75">
      <c r="A169" s="88" t="s">
        <v>200</v>
      </c>
      <c r="B169" s="4" t="s">
        <v>51</v>
      </c>
      <c r="C169" s="4"/>
      <c r="D169" s="4" t="s">
        <v>19</v>
      </c>
      <c r="G169" s="86">
        <v>136</v>
      </c>
      <c r="H169" s="86"/>
      <c r="I169" s="86">
        <v>135</v>
      </c>
      <c r="J169" s="86"/>
      <c r="K169" s="86">
        <v>132</v>
      </c>
      <c r="L169" s="86"/>
      <c r="M169" s="86"/>
      <c r="N169" s="86"/>
      <c r="O169" s="86"/>
      <c r="P169" s="86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</row>
    <row r="170" spans="7:61" s="88" customFormat="1" ht="12.75"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</row>
    <row r="171" spans="2:61" s="88" customFormat="1" ht="12.75">
      <c r="B171" s="87" t="s">
        <v>59</v>
      </c>
      <c r="C171" s="88" t="s">
        <v>138</v>
      </c>
      <c r="D171" s="88" t="s">
        <v>238</v>
      </c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</row>
    <row r="172" spans="1:61" s="88" customFormat="1" ht="12.75">
      <c r="A172" s="88" t="s">
        <v>200</v>
      </c>
      <c r="B172" s="4" t="s">
        <v>52</v>
      </c>
      <c r="C172" s="4"/>
      <c r="D172" s="4" t="s">
        <v>17</v>
      </c>
      <c r="G172" s="86">
        <v>35170</v>
      </c>
      <c r="H172" s="86"/>
      <c r="I172" s="86">
        <v>35535</v>
      </c>
      <c r="J172" s="86"/>
      <c r="K172" s="86">
        <v>36136</v>
      </c>
      <c r="L172" s="86"/>
      <c r="M172" s="86"/>
      <c r="N172" s="86"/>
      <c r="O172" s="86"/>
      <c r="P172" s="86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</row>
    <row r="173" spans="1:61" s="88" customFormat="1" ht="12.75">
      <c r="A173" s="88" t="s">
        <v>200</v>
      </c>
      <c r="B173" s="4" t="s">
        <v>56</v>
      </c>
      <c r="C173" s="4"/>
      <c r="D173" s="4" t="s">
        <v>18</v>
      </c>
      <c r="G173" s="86">
        <v>14.2</v>
      </c>
      <c r="H173" s="86"/>
      <c r="I173" s="86">
        <v>14.9</v>
      </c>
      <c r="J173" s="86"/>
      <c r="K173" s="86">
        <v>15.4</v>
      </c>
      <c r="L173" s="86"/>
      <c r="M173" s="86"/>
      <c r="N173" s="86"/>
      <c r="O173" s="86"/>
      <c r="P173" s="86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</row>
    <row r="174" spans="1:61" s="88" customFormat="1" ht="12.75">
      <c r="A174" s="88" t="s">
        <v>200</v>
      </c>
      <c r="B174" s="4" t="s">
        <v>57</v>
      </c>
      <c r="C174" s="4"/>
      <c r="D174" s="4" t="s">
        <v>18</v>
      </c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</row>
    <row r="175" spans="1:61" s="88" customFormat="1" ht="12.75">
      <c r="A175" s="88" t="s">
        <v>200</v>
      </c>
      <c r="B175" s="4" t="s">
        <v>51</v>
      </c>
      <c r="C175" s="4"/>
      <c r="D175" s="4" t="s">
        <v>19</v>
      </c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</row>
    <row r="177" spans="2:4" ht="12.75">
      <c r="B177" s="87" t="s">
        <v>59</v>
      </c>
      <c r="C177" s="88" t="s">
        <v>204</v>
      </c>
      <c r="D177" t="s">
        <v>239</v>
      </c>
    </row>
    <row r="178" spans="1:61" s="88" customFormat="1" ht="12.75">
      <c r="A178" s="88" t="s">
        <v>200</v>
      </c>
      <c r="B178" s="4" t="s">
        <v>52</v>
      </c>
      <c r="C178" s="4"/>
      <c r="D178" s="4" t="s">
        <v>17</v>
      </c>
      <c r="G178" s="86">
        <v>33693</v>
      </c>
      <c r="H178" s="86"/>
      <c r="I178" s="86">
        <v>34315</v>
      </c>
      <c r="J178" s="86"/>
      <c r="K178" s="86">
        <v>34784</v>
      </c>
      <c r="L178" s="86"/>
      <c r="M178" s="86"/>
      <c r="N178" s="86"/>
      <c r="O178" s="86"/>
      <c r="P178" s="86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</row>
    <row r="179" spans="1:61" s="88" customFormat="1" ht="12.75">
      <c r="A179" s="88" t="s">
        <v>200</v>
      </c>
      <c r="B179" s="4" t="s">
        <v>56</v>
      </c>
      <c r="C179" s="4"/>
      <c r="D179" s="4" t="s">
        <v>18</v>
      </c>
      <c r="G179" s="86">
        <v>14.2</v>
      </c>
      <c r="H179" s="86"/>
      <c r="I179" s="86">
        <v>14.9</v>
      </c>
      <c r="J179" s="86"/>
      <c r="K179" s="86">
        <v>15.4</v>
      </c>
      <c r="L179" s="86"/>
      <c r="M179" s="86"/>
      <c r="N179" s="86"/>
      <c r="O179" s="86"/>
      <c r="P179" s="86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</row>
    <row r="180" spans="1:61" s="88" customFormat="1" ht="12.75">
      <c r="A180" s="88" t="s">
        <v>200</v>
      </c>
      <c r="B180" s="4" t="s">
        <v>57</v>
      </c>
      <c r="C180" s="4"/>
      <c r="D180" s="4" t="s">
        <v>18</v>
      </c>
      <c r="G180" s="86">
        <v>15.1</v>
      </c>
      <c r="H180" s="86"/>
      <c r="I180" s="86">
        <v>14.8</v>
      </c>
      <c r="J180" s="86"/>
      <c r="K180" s="86">
        <v>14.6</v>
      </c>
      <c r="L180" s="86"/>
      <c r="M180" s="86"/>
      <c r="N180" s="86"/>
      <c r="O180" s="86"/>
      <c r="P180" s="86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</row>
    <row r="181" spans="1:61" s="88" customFormat="1" ht="12.75">
      <c r="A181" s="88" t="s">
        <v>200</v>
      </c>
      <c r="B181" s="4" t="s">
        <v>51</v>
      </c>
      <c r="C181" s="4"/>
      <c r="D181" s="4" t="s">
        <v>19</v>
      </c>
      <c r="G181" s="86">
        <v>136</v>
      </c>
      <c r="H181" s="86"/>
      <c r="I181" s="86">
        <v>135</v>
      </c>
      <c r="J181" s="86"/>
      <c r="K181" s="86">
        <v>132</v>
      </c>
      <c r="L181" s="86"/>
      <c r="M181" s="86"/>
      <c r="N181" s="86"/>
      <c r="O181" s="86"/>
      <c r="P181" s="86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337"/>
  <sheetViews>
    <sheetView workbookViewId="0" topLeftCell="B1">
      <selection activeCell="C1" sqref="C1"/>
    </sheetView>
  </sheetViews>
  <sheetFormatPr defaultColWidth="9.140625" defaultRowHeight="12.75"/>
  <cols>
    <col min="1" max="1" width="2.421875" style="14" hidden="1" customWidth="1"/>
    <col min="2" max="2" width="25.421875" style="4" customWidth="1"/>
    <col min="3" max="3" width="3.8515625" style="4" customWidth="1"/>
    <col min="4" max="4" width="8.8515625" style="4" customWidth="1"/>
    <col min="5" max="5" width="2.7109375" style="14" customWidth="1"/>
    <col min="6" max="6" width="11.140625" style="19" customWidth="1"/>
    <col min="7" max="7" width="2.8515625" style="16" customWidth="1"/>
    <col min="8" max="8" width="10.7109375" style="14" customWidth="1"/>
    <col min="9" max="9" width="2.8515625" style="14" customWidth="1"/>
    <col min="10" max="10" width="10.28125" style="14" customWidth="1"/>
    <col min="11" max="11" width="2.8515625" style="14" customWidth="1"/>
    <col min="12" max="12" width="11.00390625" style="14" customWidth="1"/>
    <col min="13" max="13" width="2.421875" style="14" customWidth="1"/>
    <col min="14" max="14" width="10.28125" style="14" customWidth="1"/>
    <col min="15" max="15" width="2.421875" style="14" customWidth="1"/>
    <col min="16" max="16" width="11.00390625" style="14" customWidth="1"/>
    <col min="17" max="17" width="2.140625" style="14" customWidth="1"/>
    <col min="18" max="18" width="10.8515625" style="14" customWidth="1"/>
    <col min="19" max="19" width="1.7109375" style="14" customWidth="1"/>
    <col min="20" max="20" width="11.140625" style="14" customWidth="1"/>
    <col min="21" max="21" width="1.57421875" style="14" customWidth="1"/>
    <col min="22" max="22" width="10.28125" style="14" customWidth="1"/>
    <col min="23" max="23" width="2.421875" style="14" customWidth="1"/>
    <col min="24" max="24" width="13.28125" style="14" customWidth="1"/>
    <col min="25" max="25" width="2.28125" style="14" customWidth="1"/>
    <col min="26" max="26" width="11.8515625" style="14" customWidth="1"/>
    <col min="27" max="27" width="2.57421875" style="14" customWidth="1"/>
    <col min="28" max="28" width="12.140625" style="14" customWidth="1"/>
    <col min="29" max="29" width="2.140625" style="14" customWidth="1"/>
    <col min="30" max="30" width="9.57421875" style="14" customWidth="1"/>
    <col min="31" max="31" width="1.28515625" style="14" customWidth="1"/>
    <col min="32" max="32" width="10.28125" style="14" customWidth="1"/>
    <col min="33" max="33" width="2.140625" style="14" customWidth="1"/>
    <col min="34" max="34" width="9.421875" style="14" customWidth="1"/>
    <col min="35" max="35" width="2.421875" style="14" customWidth="1"/>
    <col min="36" max="36" width="8.8515625" style="14" customWidth="1"/>
    <col min="37" max="37" width="2.421875" style="14" customWidth="1"/>
    <col min="38" max="38" width="8.8515625" style="14" customWidth="1"/>
    <col min="39" max="39" width="2.7109375" style="14" customWidth="1"/>
    <col min="40" max="40" width="8.8515625" style="14" customWidth="1"/>
    <col min="41" max="41" width="2.00390625" style="14" customWidth="1"/>
    <col min="42" max="42" width="10.28125" style="14" customWidth="1"/>
    <col min="43" max="16384" width="8.8515625" style="14" customWidth="1"/>
  </cols>
  <sheetData>
    <row r="1" spans="2:3" ht="12.75">
      <c r="B1" s="17" t="s">
        <v>232</v>
      </c>
      <c r="C1" s="17"/>
    </row>
    <row r="4" spans="1:42" ht="12.75">
      <c r="A4" s="14" t="s">
        <v>61</v>
      </c>
      <c r="B4" s="17" t="s">
        <v>169</v>
      </c>
      <c r="C4" s="4" t="s">
        <v>60</v>
      </c>
      <c r="F4" s="16" t="s">
        <v>181</v>
      </c>
      <c r="H4" s="16" t="s">
        <v>182</v>
      </c>
      <c r="I4" s="16"/>
      <c r="J4" s="16" t="s">
        <v>183</v>
      </c>
      <c r="K4" s="19"/>
      <c r="L4" s="16" t="s">
        <v>181</v>
      </c>
      <c r="M4" s="16"/>
      <c r="N4" s="16" t="s">
        <v>182</v>
      </c>
      <c r="O4" s="16"/>
      <c r="P4" s="16" t="s">
        <v>183</v>
      </c>
      <c r="Q4" s="16"/>
      <c r="R4" s="16" t="s">
        <v>181</v>
      </c>
      <c r="S4" s="16"/>
      <c r="T4" s="16" t="s">
        <v>182</v>
      </c>
      <c r="U4" s="16"/>
      <c r="V4" s="16" t="s">
        <v>183</v>
      </c>
      <c r="W4" s="19"/>
      <c r="X4" s="16" t="s">
        <v>181</v>
      </c>
      <c r="Y4" s="16"/>
      <c r="Z4" s="16" t="s">
        <v>182</v>
      </c>
      <c r="AA4" s="16"/>
      <c r="AB4" s="16" t="s">
        <v>183</v>
      </c>
      <c r="AC4" s="17"/>
      <c r="AD4" s="16" t="s">
        <v>181</v>
      </c>
      <c r="AE4" s="16"/>
      <c r="AF4" s="16" t="s">
        <v>182</v>
      </c>
      <c r="AG4" s="16"/>
      <c r="AH4" s="16" t="s">
        <v>183</v>
      </c>
      <c r="AI4" s="17"/>
      <c r="AJ4" s="16" t="s">
        <v>181</v>
      </c>
      <c r="AK4" s="16"/>
      <c r="AL4" s="16" t="s">
        <v>182</v>
      </c>
      <c r="AM4" s="16"/>
      <c r="AN4" s="16" t="s">
        <v>183</v>
      </c>
      <c r="AP4" s="16" t="s">
        <v>180</v>
      </c>
    </row>
    <row r="5" spans="1:7" ht="12.75">
      <c r="A5" s="13"/>
      <c r="F5" s="14"/>
      <c r="G5" s="14"/>
    </row>
    <row r="6" spans="1:42" ht="12.75">
      <c r="A6" s="13"/>
      <c r="B6" s="4" t="s">
        <v>240</v>
      </c>
      <c r="F6" s="14" t="s">
        <v>270</v>
      </c>
      <c r="G6" s="14"/>
      <c r="H6" s="14" t="s">
        <v>270</v>
      </c>
      <c r="J6" s="14" t="s">
        <v>270</v>
      </c>
      <c r="L6" s="14" t="s">
        <v>272</v>
      </c>
      <c r="N6" s="14" t="s">
        <v>272</v>
      </c>
      <c r="P6" s="14" t="s">
        <v>272</v>
      </c>
      <c r="X6" s="14" t="s">
        <v>274</v>
      </c>
      <c r="Z6" s="14" t="s">
        <v>274</v>
      </c>
      <c r="AB6" s="14" t="s">
        <v>274</v>
      </c>
      <c r="AD6" s="14" t="s">
        <v>275</v>
      </c>
      <c r="AF6" s="14" t="s">
        <v>275</v>
      </c>
      <c r="AH6" s="14" t="s">
        <v>275</v>
      </c>
      <c r="AJ6" s="14" t="s">
        <v>276</v>
      </c>
      <c r="AL6" s="14" t="s">
        <v>276</v>
      </c>
      <c r="AN6" s="14" t="s">
        <v>276</v>
      </c>
      <c r="AP6" s="14" t="s">
        <v>276</v>
      </c>
    </row>
    <row r="7" spans="1:42" ht="12.75">
      <c r="A7" s="13"/>
      <c r="B7" s="4" t="s">
        <v>241</v>
      </c>
      <c r="F7" s="14" t="s">
        <v>269</v>
      </c>
      <c r="G7" s="14"/>
      <c r="H7" s="14" t="s">
        <v>269</v>
      </c>
      <c r="J7" s="14" t="s">
        <v>269</v>
      </c>
      <c r="L7" s="14" t="s">
        <v>271</v>
      </c>
      <c r="N7" s="14" t="s">
        <v>271</v>
      </c>
      <c r="P7" s="14" t="s">
        <v>271</v>
      </c>
      <c r="X7" s="14" t="s">
        <v>273</v>
      </c>
      <c r="Z7" s="14" t="s">
        <v>273</v>
      </c>
      <c r="AB7" s="14" t="s">
        <v>273</v>
      </c>
      <c r="AD7" s="14" t="s">
        <v>33</v>
      </c>
      <c r="AF7" s="14" t="s">
        <v>33</v>
      </c>
      <c r="AH7" s="14" t="s">
        <v>33</v>
      </c>
      <c r="AJ7" s="14" t="s">
        <v>66</v>
      </c>
      <c r="AL7" s="14" t="s">
        <v>66</v>
      </c>
      <c r="AN7" s="14" t="s">
        <v>66</v>
      </c>
      <c r="AP7" s="14" t="s">
        <v>66</v>
      </c>
    </row>
    <row r="8" spans="1:42" ht="12.75">
      <c r="A8" s="13"/>
      <c r="B8" s="4" t="s">
        <v>278</v>
      </c>
      <c r="F8" s="14"/>
      <c r="G8" s="14"/>
      <c r="R8" s="14" t="s">
        <v>40</v>
      </c>
      <c r="T8" s="14" t="s">
        <v>40</v>
      </c>
      <c r="V8" s="14" t="s">
        <v>40</v>
      </c>
      <c r="X8" s="14" t="s">
        <v>279</v>
      </c>
      <c r="Z8" s="14" t="s">
        <v>279</v>
      </c>
      <c r="AB8" s="14" t="s">
        <v>279</v>
      </c>
      <c r="AD8" s="14" t="s">
        <v>33</v>
      </c>
      <c r="AF8" s="14" t="s">
        <v>33</v>
      </c>
      <c r="AH8" s="14" t="s">
        <v>33</v>
      </c>
      <c r="AJ8" s="14" t="s">
        <v>66</v>
      </c>
      <c r="AL8" s="14" t="s">
        <v>66</v>
      </c>
      <c r="AN8" s="14" t="s">
        <v>66</v>
      </c>
      <c r="AP8" s="14" t="s">
        <v>66</v>
      </c>
    </row>
    <row r="9" spans="2:42" ht="12.75">
      <c r="B9" s="4" t="s">
        <v>20</v>
      </c>
      <c r="C9" s="17"/>
      <c r="D9" s="16"/>
      <c r="F9" s="113" t="s">
        <v>140</v>
      </c>
      <c r="H9" s="113" t="s">
        <v>140</v>
      </c>
      <c r="J9" s="113" t="s">
        <v>140</v>
      </c>
      <c r="L9" s="113" t="s">
        <v>141</v>
      </c>
      <c r="M9" s="16"/>
      <c r="N9" s="113" t="s">
        <v>141</v>
      </c>
      <c r="P9" s="113" t="s">
        <v>141</v>
      </c>
      <c r="Q9" s="113"/>
      <c r="R9" s="113"/>
      <c r="S9" s="113"/>
      <c r="T9" s="113"/>
      <c r="U9" s="113"/>
      <c r="V9" s="113"/>
      <c r="X9" s="97" t="s">
        <v>142</v>
      </c>
      <c r="Y9" s="97"/>
      <c r="Z9" s="97" t="s">
        <v>142</v>
      </c>
      <c r="AA9" s="97"/>
      <c r="AB9" s="97" t="s">
        <v>142</v>
      </c>
      <c r="AC9" s="97"/>
      <c r="AD9" s="97" t="s">
        <v>33</v>
      </c>
      <c r="AE9" s="97"/>
      <c r="AF9" s="97" t="s">
        <v>33</v>
      </c>
      <c r="AG9" s="97"/>
      <c r="AH9" s="97" t="s">
        <v>33</v>
      </c>
      <c r="AI9" s="97"/>
      <c r="AJ9" s="97" t="s">
        <v>66</v>
      </c>
      <c r="AK9" s="97"/>
      <c r="AL9" s="97" t="s">
        <v>66</v>
      </c>
      <c r="AM9" s="97"/>
      <c r="AN9" s="97" t="s">
        <v>66</v>
      </c>
      <c r="AP9" s="16" t="s">
        <v>66</v>
      </c>
    </row>
    <row r="10" spans="2:42" ht="12.75">
      <c r="B10" s="4" t="s">
        <v>65</v>
      </c>
      <c r="D10" s="4" t="s">
        <v>139</v>
      </c>
      <c r="F10" s="19">
        <f>13.24*60</f>
        <v>794.4</v>
      </c>
      <c r="H10" s="19">
        <f>13.28*60</f>
        <v>796.8</v>
      </c>
      <c r="J10" s="19">
        <f>13.27*60</f>
        <v>796.1999999999999</v>
      </c>
      <c r="L10" s="19">
        <v>97.4</v>
      </c>
      <c r="M10" s="16"/>
      <c r="N10" s="14">
        <v>115.1</v>
      </c>
      <c r="P10" s="14">
        <v>106.5</v>
      </c>
      <c r="X10" s="19"/>
      <c r="Y10" s="16"/>
      <c r="Z10" s="19"/>
      <c r="AB10" s="19"/>
      <c r="AC10" s="4"/>
      <c r="AD10" s="19"/>
      <c r="AE10" s="16"/>
      <c r="AJ10" s="5"/>
      <c r="AK10" s="16"/>
      <c r="AL10" s="5"/>
      <c r="AM10" s="19"/>
      <c r="AN10" s="5"/>
      <c r="AP10" s="18"/>
    </row>
    <row r="11" spans="2:42" ht="12.75">
      <c r="B11" s="4" t="s">
        <v>143</v>
      </c>
      <c r="D11" s="4" t="s">
        <v>144</v>
      </c>
      <c r="F11" s="19">
        <v>0.883</v>
      </c>
      <c r="H11" s="19">
        <v>0.888</v>
      </c>
      <c r="J11" s="19">
        <v>0.912</v>
      </c>
      <c r="L11" s="19">
        <v>0.87</v>
      </c>
      <c r="M11" s="16"/>
      <c r="N11" s="14">
        <v>0.9</v>
      </c>
      <c r="P11" s="14">
        <v>0.9</v>
      </c>
      <c r="X11" s="19"/>
      <c r="Y11" s="16"/>
      <c r="AC11" s="4"/>
      <c r="AD11" s="19"/>
      <c r="AE11" s="16"/>
      <c r="AJ11" s="5"/>
      <c r="AK11" s="16"/>
      <c r="AL11" s="5"/>
      <c r="AM11" s="19"/>
      <c r="AN11" s="5"/>
      <c r="AP11" s="18"/>
    </row>
    <row r="12" spans="2:42" ht="12.75">
      <c r="B12" s="4" t="s">
        <v>65</v>
      </c>
      <c r="D12" s="4" t="s">
        <v>28</v>
      </c>
      <c r="F12" s="7">
        <f>F11*8.32*F10</f>
        <v>5836.107264</v>
      </c>
      <c r="H12" s="7">
        <f>H11*8.32*H10</f>
        <v>5886.885888</v>
      </c>
      <c r="J12" s="7">
        <f>J11*8.32*J10</f>
        <v>6041.4382080000005</v>
      </c>
      <c r="L12" s="7">
        <f>L11*8.32*L10</f>
        <v>705.02016</v>
      </c>
      <c r="M12" s="16"/>
      <c r="N12" s="7">
        <f>N11*8.32*N10</f>
        <v>861.8688</v>
      </c>
      <c r="P12" s="7">
        <f>P11*8.32*P10</f>
        <v>797.4720000000001</v>
      </c>
      <c r="Q12" s="7"/>
      <c r="R12" s="7"/>
      <c r="S12" s="7"/>
      <c r="T12" s="7"/>
      <c r="U12" s="7"/>
      <c r="V12" s="7"/>
      <c r="X12" s="19">
        <f>22*2000</f>
        <v>44000</v>
      </c>
      <c r="Y12" s="16"/>
      <c r="Z12" s="19">
        <f>22*2000</f>
        <v>44000</v>
      </c>
      <c r="AB12" s="19">
        <f>22*2000</f>
        <v>44000</v>
      </c>
      <c r="AC12" s="4"/>
      <c r="AD12" s="19"/>
      <c r="AE12" s="16"/>
      <c r="AJ12" s="7">
        <f>F12+L12+X12+AD12</f>
        <v>50541.127424</v>
      </c>
      <c r="AK12" s="16"/>
      <c r="AL12" s="7">
        <f>H12+N12+Z12+AF12</f>
        <v>50748.754688</v>
      </c>
      <c r="AM12" s="19"/>
      <c r="AN12" s="7">
        <f>J12+P12+AB12+AH12</f>
        <v>50838.910208</v>
      </c>
      <c r="AP12" s="18"/>
    </row>
    <row r="13" spans="2:40" ht="12.75">
      <c r="B13" s="4" t="s">
        <v>21</v>
      </c>
      <c r="D13" s="4" t="s">
        <v>22</v>
      </c>
      <c r="F13" s="19">
        <v>3310</v>
      </c>
      <c r="H13" s="14">
        <v>3190</v>
      </c>
      <c r="J13" s="14">
        <v>4160</v>
      </c>
      <c r="L13" s="19">
        <v>3610</v>
      </c>
      <c r="M13" s="16"/>
      <c r="N13" s="14">
        <v>4110</v>
      </c>
      <c r="P13" s="14">
        <v>4860</v>
      </c>
      <c r="X13" s="19"/>
      <c r="Y13" s="16"/>
      <c r="AC13" s="4"/>
      <c r="AD13" s="19"/>
      <c r="AE13" s="16"/>
      <c r="AJ13" s="7"/>
      <c r="AK13" s="16"/>
      <c r="AL13" s="7"/>
      <c r="AM13" s="19"/>
      <c r="AN13" s="7"/>
    </row>
    <row r="14" spans="12:40" ht="12.75">
      <c r="L14" s="19"/>
      <c r="M14" s="16"/>
      <c r="X14" s="6"/>
      <c r="Y14" s="16"/>
      <c r="AC14" s="4"/>
      <c r="AD14" s="6"/>
      <c r="AE14" s="16"/>
      <c r="AJ14" s="72"/>
      <c r="AK14" s="114"/>
      <c r="AL14" s="72"/>
      <c r="AM14" s="40"/>
      <c r="AN14" s="72"/>
    </row>
    <row r="15" spans="2:47" ht="12.75">
      <c r="B15" s="4" t="s">
        <v>23</v>
      </c>
      <c r="D15" s="4" t="s">
        <v>18</v>
      </c>
      <c r="E15" s="16"/>
      <c r="F15" s="6">
        <v>0.75</v>
      </c>
      <c r="H15" s="14">
        <v>0.69</v>
      </c>
      <c r="I15" s="5"/>
      <c r="J15" s="14">
        <v>0.68</v>
      </c>
      <c r="K15" s="19"/>
      <c r="L15" s="5">
        <v>54.1</v>
      </c>
      <c r="M15" s="16"/>
      <c r="N15" s="14">
        <v>54.9</v>
      </c>
      <c r="O15" s="5"/>
      <c r="P15" s="14">
        <v>52.1</v>
      </c>
      <c r="W15" s="19"/>
      <c r="X15" s="19"/>
      <c r="Y15" s="16"/>
      <c r="AA15" s="5"/>
      <c r="AC15" s="4"/>
      <c r="AD15" s="19"/>
      <c r="AE15" s="16"/>
      <c r="AG15" s="5"/>
      <c r="AJ15" s="62"/>
      <c r="AK15" s="114"/>
      <c r="AL15" s="62"/>
      <c r="AM15" s="40"/>
      <c r="AN15" s="62"/>
      <c r="AO15" s="115"/>
      <c r="AP15" s="116"/>
      <c r="AQ15" s="115"/>
      <c r="AS15" s="115"/>
      <c r="AU15" s="115"/>
    </row>
    <row r="16" spans="2:47" ht="12.75">
      <c r="B16" s="4" t="s">
        <v>24</v>
      </c>
      <c r="D16" s="4" t="s">
        <v>28</v>
      </c>
      <c r="E16" s="16"/>
      <c r="F16" s="19">
        <v>8.2</v>
      </c>
      <c r="H16" s="14">
        <v>8.3</v>
      </c>
      <c r="I16" s="5"/>
      <c r="J16" s="14">
        <v>4.2</v>
      </c>
      <c r="L16" s="19">
        <v>1.2</v>
      </c>
      <c r="M16" s="16"/>
      <c r="N16" s="14">
        <v>1.4</v>
      </c>
      <c r="O16" s="5"/>
      <c r="P16" s="14">
        <v>0.6</v>
      </c>
      <c r="X16" s="6">
        <v>17.6</v>
      </c>
      <c r="Y16" s="117"/>
      <c r="Z16" s="60">
        <v>17.6</v>
      </c>
      <c r="AA16" s="6"/>
      <c r="AB16" s="60">
        <v>13.2</v>
      </c>
      <c r="AC16" s="4"/>
      <c r="AD16" s="19">
        <f>108.2+37+100.4</f>
        <v>245.6</v>
      </c>
      <c r="AE16" s="16"/>
      <c r="AF16" s="19">
        <f>108.2+37+100.4</f>
        <v>245.6</v>
      </c>
      <c r="AG16" s="5"/>
      <c r="AH16" s="19">
        <f>108.2+37+100.4</f>
        <v>245.6</v>
      </c>
      <c r="AJ16" s="5">
        <f>F16+L16+X16+AD16</f>
        <v>272.6</v>
      </c>
      <c r="AK16" s="114"/>
      <c r="AL16" s="5">
        <f>H16+N16+Z16+AF16</f>
        <v>272.9</v>
      </c>
      <c r="AM16" s="40"/>
      <c r="AN16" s="5">
        <f>J16+P16+AB16+AH16</f>
        <v>263.6</v>
      </c>
      <c r="AO16" s="115"/>
      <c r="AP16" s="115"/>
      <c r="AQ16" s="80"/>
      <c r="AS16" s="80"/>
      <c r="AU16" s="80"/>
    </row>
    <row r="17" spans="5:43" ht="12.75">
      <c r="E17" s="16"/>
      <c r="I17" s="19"/>
      <c r="L17" s="19"/>
      <c r="M17" s="16"/>
      <c r="O17" s="19"/>
      <c r="X17" s="19"/>
      <c r="Y17" s="19"/>
      <c r="AA17" s="7"/>
      <c r="AB17" s="16"/>
      <c r="AJ17" s="72"/>
      <c r="AK17" s="114"/>
      <c r="AL17" s="72"/>
      <c r="AM17" s="40"/>
      <c r="AN17" s="72"/>
      <c r="AO17" s="115"/>
      <c r="AP17" s="115"/>
      <c r="AQ17" s="115"/>
    </row>
    <row r="18" spans="2:50" ht="12.75">
      <c r="B18" s="4" t="s">
        <v>37</v>
      </c>
      <c r="D18" s="4" t="s">
        <v>17</v>
      </c>
      <c r="E18" s="16"/>
      <c r="F18" s="19">
        <f>'emiss 1'!G33</f>
        <v>29612</v>
      </c>
      <c r="H18" s="14">
        <f>'emiss 1'!I33</f>
        <v>28575</v>
      </c>
      <c r="I18" s="19"/>
      <c r="J18" s="19">
        <f>'emiss 1'!K33</f>
        <v>29102</v>
      </c>
      <c r="K18" s="16"/>
      <c r="L18" s="19">
        <f>$F18</f>
        <v>29612</v>
      </c>
      <c r="M18" s="16"/>
      <c r="N18" s="19">
        <f>$H18</f>
        <v>28575</v>
      </c>
      <c r="O18" s="19"/>
      <c r="P18" s="19">
        <f>$J18</f>
        <v>29102</v>
      </c>
      <c r="Q18" s="19"/>
      <c r="R18" s="19"/>
      <c r="S18" s="19"/>
      <c r="T18" s="19"/>
      <c r="U18" s="19"/>
      <c r="V18" s="19"/>
      <c r="W18" s="21"/>
      <c r="X18" s="19">
        <f>$F18</f>
        <v>29612</v>
      </c>
      <c r="Y18" s="16"/>
      <c r="Z18" s="19">
        <f>$H18</f>
        <v>28575</v>
      </c>
      <c r="AA18" s="19"/>
      <c r="AB18" s="19">
        <f>$J18</f>
        <v>29102</v>
      </c>
      <c r="AD18" s="19">
        <f>$F18</f>
        <v>29612</v>
      </c>
      <c r="AE18" s="16"/>
      <c r="AF18" s="19">
        <f>$H18</f>
        <v>28575</v>
      </c>
      <c r="AG18" s="19"/>
      <c r="AH18" s="19">
        <f>$J18</f>
        <v>29102</v>
      </c>
      <c r="AJ18" s="19">
        <f>$F18</f>
        <v>29612</v>
      </c>
      <c r="AK18" s="16"/>
      <c r="AL18" s="19">
        <f>$H18</f>
        <v>28575</v>
      </c>
      <c r="AM18" s="19"/>
      <c r="AN18" s="19">
        <f>$J18</f>
        <v>29102</v>
      </c>
      <c r="AP18" s="21">
        <f>AVERAGE(AJ18,AL18,AN18)</f>
        <v>29096.333333333332</v>
      </c>
      <c r="AS18" s="115"/>
      <c r="AT18" s="115"/>
      <c r="AU18" s="115"/>
      <c r="AV18" s="115"/>
      <c r="AW18" s="115"/>
      <c r="AX18" s="118"/>
    </row>
    <row r="19" spans="2:50" ht="12.75">
      <c r="B19" s="4" t="s">
        <v>38</v>
      </c>
      <c r="D19" s="4" t="s">
        <v>18</v>
      </c>
      <c r="E19" s="16"/>
      <c r="F19" s="5">
        <f>'emiss 1'!G34</f>
        <v>14.23</v>
      </c>
      <c r="G19" s="54"/>
      <c r="H19" s="18">
        <f>'emiss 1'!I34</f>
        <v>14.27</v>
      </c>
      <c r="I19" s="5"/>
      <c r="J19" s="5">
        <f>'emiss 1'!K34</f>
        <v>14.38</v>
      </c>
      <c r="K19" s="16"/>
      <c r="L19" s="5">
        <f>'emiss 1'!M34</f>
        <v>14.293333333333335</v>
      </c>
      <c r="M19" s="54"/>
      <c r="N19" s="18">
        <f>'emiss 1'!O34</f>
        <v>0</v>
      </c>
      <c r="O19" s="5"/>
      <c r="P19" s="5">
        <f>'emiss 1'!Q34</f>
        <v>0</v>
      </c>
      <c r="Q19" s="5"/>
      <c r="R19" s="5"/>
      <c r="S19" s="5"/>
      <c r="T19" s="5"/>
      <c r="U19" s="5"/>
      <c r="V19" s="5"/>
      <c r="W19" s="18"/>
      <c r="X19" s="5">
        <f>$F19</f>
        <v>14.23</v>
      </c>
      <c r="Y19" s="54"/>
      <c r="Z19" s="5">
        <f>$H19</f>
        <v>14.27</v>
      </c>
      <c r="AA19" s="5"/>
      <c r="AB19" s="5">
        <f>$J19</f>
        <v>14.38</v>
      </c>
      <c r="AD19" s="5">
        <f>$F19</f>
        <v>14.23</v>
      </c>
      <c r="AE19" s="54"/>
      <c r="AF19" s="5">
        <f>$H19</f>
        <v>14.27</v>
      </c>
      <c r="AG19" s="5"/>
      <c r="AH19" s="5">
        <f>$J19</f>
        <v>14.38</v>
      </c>
      <c r="AJ19" s="5">
        <f>$F19</f>
        <v>14.23</v>
      </c>
      <c r="AK19" s="54"/>
      <c r="AL19" s="5">
        <f>$H19</f>
        <v>14.27</v>
      </c>
      <c r="AM19" s="5"/>
      <c r="AN19" s="5">
        <f>$J19</f>
        <v>14.38</v>
      </c>
      <c r="AP19" s="18">
        <f>AVERAGE(AJ19,AL19,AN19)</f>
        <v>14.293333333333335</v>
      </c>
      <c r="AS19" s="115"/>
      <c r="AT19" s="115"/>
      <c r="AU19" s="115"/>
      <c r="AV19" s="115"/>
      <c r="AW19" s="115"/>
      <c r="AX19" s="118"/>
    </row>
    <row r="20" spans="5:50" ht="12.75">
      <c r="E20" s="16"/>
      <c r="I20" s="19"/>
      <c r="J20" s="16"/>
      <c r="K20" s="16"/>
      <c r="AB20" s="16"/>
      <c r="AS20" s="115"/>
      <c r="AT20" s="115"/>
      <c r="AU20" s="115"/>
      <c r="AV20" s="115"/>
      <c r="AW20" s="115"/>
      <c r="AX20" s="118"/>
    </row>
    <row r="21" spans="2:50" ht="12.75">
      <c r="B21" s="4" t="s">
        <v>283</v>
      </c>
      <c r="D21" s="4" t="s">
        <v>32</v>
      </c>
      <c r="E21" s="16"/>
      <c r="F21" s="5">
        <f>F12*F13/1000000</f>
        <v>19.317515043840004</v>
      </c>
      <c r="H21" s="5">
        <f>H12*H13/1000000</f>
        <v>18.77916598272</v>
      </c>
      <c r="I21" s="19"/>
      <c r="J21" s="5">
        <f>J12*J13/1000000</f>
        <v>25.13238294528</v>
      </c>
      <c r="K21" s="16"/>
      <c r="L21" s="5">
        <f>L12*L13/1000000</f>
        <v>2.5451227776</v>
      </c>
      <c r="N21" s="5">
        <f>N12*N13/1000000</f>
        <v>3.5422807679999995</v>
      </c>
      <c r="P21" s="5">
        <f>P12*P13/1000000</f>
        <v>3.8757139200000004</v>
      </c>
      <c r="Q21" s="5"/>
      <c r="R21" s="5">
        <f>F21+L21</f>
        <v>21.862637821440003</v>
      </c>
      <c r="S21" s="5"/>
      <c r="T21" s="5">
        <f>H21+N21</f>
        <v>22.32144675072</v>
      </c>
      <c r="U21" s="5"/>
      <c r="V21" s="5">
        <f>J21+P21</f>
        <v>29.00809686528</v>
      </c>
      <c r="X21" s="5"/>
      <c r="Y21" s="16"/>
      <c r="Z21" s="5"/>
      <c r="AA21" s="19"/>
      <c r="AB21" s="5"/>
      <c r="AD21" s="5"/>
      <c r="AE21" s="16"/>
      <c r="AF21" s="5"/>
      <c r="AG21" s="19"/>
      <c r="AH21" s="5"/>
      <c r="AJ21" s="5">
        <f>F21+L21</f>
        <v>21.862637821440003</v>
      </c>
      <c r="AK21" s="5"/>
      <c r="AL21" s="5">
        <f>H21+N21</f>
        <v>22.32144675072</v>
      </c>
      <c r="AN21" s="5">
        <f>J21+P21</f>
        <v>29.00809686528</v>
      </c>
      <c r="AP21" s="18">
        <f>AVERAGE(AJ21,AL21,AN21)</f>
        <v>24.39739381248</v>
      </c>
      <c r="AS21" s="115"/>
      <c r="AT21" s="115"/>
      <c r="AU21" s="115"/>
      <c r="AV21" s="115"/>
      <c r="AW21" s="115"/>
      <c r="AX21" s="118"/>
    </row>
    <row r="22" spans="2:50" ht="12.75">
      <c r="B22" s="4" t="s">
        <v>280</v>
      </c>
      <c r="D22" s="4" t="s">
        <v>32</v>
      </c>
      <c r="E22" s="16"/>
      <c r="F22" s="18"/>
      <c r="I22" s="5"/>
      <c r="J22" s="16"/>
      <c r="K22" s="16"/>
      <c r="Z22" s="5"/>
      <c r="AB22" s="54"/>
      <c r="AJ22" s="21">
        <f>AJ18/9000*(21-AJ19)/21*60</f>
        <v>63.642298412698416</v>
      </c>
      <c r="AK22" s="21"/>
      <c r="AL22" s="21">
        <f>AL18/9000*(21-AL19)/21*60</f>
        <v>61.050714285714285</v>
      </c>
      <c r="AM22" s="21"/>
      <c r="AN22" s="21">
        <f>AN18/9000*(21-AN19)/21*60</f>
        <v>61.16039365079365</v>
      </c>
      <c r="AP22" s="18">
        <f>AVERAGE(AJ22,AL22,AN22)</f>
        <v>61.95113544973545</v>
      </c>
      <c r="AS22" s="115"/>
      <c r="AT22" s="115"/>
      <c r="AU22" s="115"/>
      <c r="AV22" s="115"/>
      <c r="AW22" s="115"/>
      <c r="AX22" s="118"/>
    </row>
    <row r="23" spans="5:50" ht="12.75">
      <c r="E23" s="16"/>
      <c r="F23" s="18"/>
      <c r="I23" s="5"/>
      <c r="J23" s="16"/>
      <c r="K23" s="16"/>
      <c r="Z23" s="5"/>
      <c r="AB23" s="54"/>
      <c r="AS23" s="115"/>
      <c r="AT23" s="115"/>
      <c r="AU23" s="115"/>
      <c r="AV23" s="115"/>
      <c r="AW23" s="115"/>
      <c r="AX23" s="118"/>
    </row>
    <row r="24" spans="8:50" ht="12.75">
      <c r="H24" s="19"/>
      <c r="J24" s="19"/>
      <c r="X24" s="4"/>
      <c r="Z24" s="4"/>
      <c r="AA24" s="19"/>
      <c r="AB24" s="4"/>
      <c r="AJ24" s="16"/>
      <c r="AL24" s="16"/>
      <c r="AN24" s="16"/>
      <c r="AP24" s="16"/>
      <c r="AS24" s="115"/>
      <c r="AT24" s="115"/>
      <c r="AU24" s="115"/>
      <c r="AV24" s="115"/>
      <c r="AW24" s="115"/>
      <c r="AX24" s="38"/>
    </row>
    <row r="25" spans="2:42" ht="12.75">
      <c r="B25" s="55" t="s">
        <v>47</v>
      </c>
      <c r="C25" s="55"/>
      <c r="F25" s="16"/>
      <c r="H25" s="16"/>
      <c r="I25" s="16"/>
      <c r="J25" s="16"/>
      <c r="K25" s="19"/>
      <c r="X25" s="16"/>
      <c r="Y25" s="16"/>
      <c r="Z25" s="16"/>
      <c r="AA25" s="16"/>
      <c r="AB25" s="16"/>
      <c r="AC25" s="17"/>
      <c r="AD25" s="16"/>
      <c r="AE25" s="16"/>
      <c r="AF25" s="16"/>
      <c r="AG25" s="16"/>
      <c r="AH25" s="16"/>
      <c r="AI25" s="17"/>
      <c r="AJ25" s="16"/>
      <c r="AK25" s="16"/>
      <c r="AL25" s="16"/>
      <c r="AM25" s="19"/>
      <c r="AN25" s="16"/>
      <c r="AP25" s="16"/>
    </row>
    <row r="26" spans="2:42" ht="12.75">
      <c r="B26" s="4" t="s">
        <v>23</v>
      </c>
      <c r="D26" s="4" t="s">
        <v>39</v>
      </c>
      <c r="F26" s="7">
        <f>F$12*F15/100*1/60*454*1000/(F$18*0.0283)*(21-7)/(21-F$19)</f>
        <v>817.2864938093028</v>
      </c>
      <c r="G26" s="56"/>
      <c r="H26" s="7">
        <f>H$12*H15/100*1/60*454*1000/(H$18*0.0283)*(21-7)/(21-H$19)</f>
        <v>790.6415022938245</v>
      </c>
      <c r="I26" s="7"/>
      <c r="J26" s="7">
        <f>J$12*J15/100*1/60*454*1000/(J$18*0.0283)*(21-7)/(21-J$19)</f>
        <v>798.2053372278538</v>
      </c>
      <c r="K26" s="56"/>
      <c r="L26" s="7">
        <f>L$12*L15/100*1/60*454*1000/(L$18*0.0283)*(21-7)/(21-L$19)</f>
        <v>7189.034059059056</v>
      </c>
      <c r="M26" s="7"/>
      <c r="N26" s="7">
        <f>N$12*N15/100*1/60*454*1000/(N$18*0.0283)*(21-7)/(21-N$19)</f>
        <v>2951.577374920008</v>
      </c>
      <c r="O26" s="7"/>
      <c r="P26" s="7">
        <f>P$12*P15/100*1/60*454*1000/(P$18*0.0283)*(21-7)/(21-P$19)</f>
        <v>2544.820990530929</v>
      </c>
      <c r="Q26" s="7"/>
      <c r="R26" s="7">
        <f>SUM(L26,F26)</f>
        <v>8006.320552868358</v>
      </c>
      <c r="S26" s="7"/>
      <c r="T26" s="7">
        <f>SUM(N26,H26)</f>
        <v>3742.2188772138325</v>
      </c>
      <c r="U26" s="7"/>
      <c r="V26" s="7">
        <f>SUM(P26,J26)</f>
        <v>3343.026327758783</v>
      </c>
      <c r="W26" s="70"/>
      <c r="X26" s="5"/>
      <c r="Y26" s="16"/>
      <c r="Z26" s="5"/>
      <c r="AA26" s="5"/>
      <c r="AB26" s="5"/>
      <c r="AD26" s="5"/>
      <c r="AE26" s="16"/>
      <c r="AF26" s="5"/>
      <c r="AG26" s="5"/>
      <c r="AH26" s="5"/>
      <c r="AJ26" s="7">
        <f>F26+L26+X26+AD26</f>
        <v>8006.320552868358</v>
      </c>
      <c r="AK26" s="21"/>
      <c r="AL26" s="7">
        <f>H26+N26+Z26+AF26</f>
        <v>3742.2188772138325</v>
      </c>
      <c r="AM26" s="21"/>
      <c r="AN26" s="7">
        <f>J26+P26+AB26+AH26</f>
        <v>3343.026327758783</v>
      </c>
      <c r="AO26" s="21"/>
      <c r="AP26" s="21">
        <f>AVERAGE(AJ26,AL26,AN26)</f>
        <v>5030.521919280324</v>
      </c>
    </row>
    <row r="27" spans="2:42" ht="12.75">
      <c r="B27" s="4" t="s">
        <v>24</v>
      </c>
      <c r="D27" s="4" t="s">
        <v>34</v>
      </c>
      <c r="F27" s="7">
        <f>F16*1/60*454*1000000/(F$18*0.0283)*(21-7)/(21-F$19)</f>
        <v>153110.03142056667</v>
      </c>
      <c r="G27" s="56"/>
      <c r="H27" s="7">
        <f>H16*1/60*454*1000000/(H$18*0.0283)*(21-7)/(21-H$19)</f>
        <v>161555.96275284752</v>
      </c>
      <c r="I27" s="7"/>
      <c r="J27" s="7">
        <f>J16*1/60*454*1000000/(J$18*0.0283)*(21-7)/(21-J$19)</f>
        <v>81604.60504639284</v>
      </c>
      <c r="K27" s="56"/>
      <c r="L27" s="7">
        <f>L16*1/60*454*1000000/(L$18*0.0283)*(21-7)/(21-L$19)</f>
        <v>22617.93680467228</v>
      </c>
      <c r="M27" s="7"/>
      <c r="N27" s="7">
        <f>N16*1/60*454*1000000/(N$18*0.0283)*(21-7)/(21-N$19)</f>
        <v>8733.105456439065</v>
      </c>
      <c r="O27" s="7"/>
      <c r="P27" s="7">
        <f>P16*1/60*454*1000000/(P$18*0.0283)*(21-7)/(21-P$19)</f>
        <v>3674.9828939259905</v>
      </c>
      <c r="Q27" s="7"/>
      <c r="R27" s="7">
        <f>SUM(L27,F27)</f>
        <v>175727.96822523896</v>
      </c>
      <c r="S27" s="7"/>
      <c r="T27" s="7">
        <f>SUM(N27,H27)</f>
        <v>170289.0682092866</v>
      </c>
      <c r="U27" s="7"/>
      <c r="V27" s="7">
        <f>SUM(P27,J27)</f>
        <v>85279.58794031883</v>
      </c>
      <c r="W27" s="7"/>
      <c r="X27" s="7">
        <f>X16*1/60*454*1000000/(X$18*0.0283)*(21-7)/(21-X$19)</f>
        <v>328626.40890267974</v>
      </c>
      <c r="Y27" s="56"/>
      <c r="Z27" s="7">
        <f>Z16*1/60*454*1000000/(Z$18*0.0283)*(21-7)/(21-Z$19)</f>
        <v>342576.4993313394</v>
      </c>
      <c r="AA27" s="7"/>
      <c r="AB27" s="7">
        <f>AB16*1/60*454*1000000/(AB$18*0.0283)*(21-7)/(21-AB$19)</f>
        <v>256471.61586009178</v>
      </c>
      <c r="AC27" s="21"/>
      <c r="AD27" s="7">
        <f>AD16*1/60*454*1000000/(AD$18*0.0283)*(21-7)/(21-AD$19)</f>
        <v>4585832.160596484</v>
      </c>
      <c r="AE27" s="56"/>
      <c r="AF27" s="7">
        <f>AF16*1/60*454*1000000/(AF$18*0.0283)*(21-7)/(21-AF$19)</f>
        <v>4780499.331578234</v>
      </c>
      <c r="AG27" s="7"/>
      <c r="AH27" s="7">
        <f>AH16*1/60*454*1000000/(AH$18*0.0283)*(21-7)/(21-AH$19)</f>
        <v>4771926.428427161</v>
      </c>
      <c r="AI27" s="21"/>
      <c r="AJ27" s="7">
        <f>F27+L27+X27+AD27</f>
        <v>5090186.537724403</v>
      </c>
      <c r="AK27" s="21"/>
      <c r="AL27" s="7">
        <f>H27+N27+Z27+AF27</f>
        <v>5293364.89911886</v>
      </c>
      <c r="AM27" s="21"/>
      <c r="AN27" s="7">
        <f>J27+P27+AB27+AH27</f>
        <v>5113677.632227572</v>
      </c>
      <c r="AO27" s="21"/>
      <c r="AP27" s="21">
        <f>AVERAGE(AJ27,AL27,AN27)</f>
        <v>5165743.023023612</v>
      </c>
    </row>
    <row r="28" spans="5:28" ht="12.75">
      <c r="E28" s="16"/>
      <c r="F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AB28" s="56"/>
    </row>
    <row r="29" spans="1:22" ht="12.75">
      <c r="A29" s="115"/>
      <c r="B29" s="66"/>
      <c r="C29" s="66"/>
      <c r="D29" s="66"/>
      <c r="E29" s="115"/>
      <c r="F29" s="40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1" spans="1:42" ht="12.75">
      <c r="A31" s="14" t="s">
        <v>61</v>
      </c>
      <c r="B31" s="17" t="s">
        <v>170</v>
      </c>
      <c r="C31" s="4" t="s">
        <v>60</v>
      </c>
      <c r="F31" s="16" t="s">
        <v>181</v>
      </c>
      <c r="H31" s="16" t="s">
        <v>182</v>
      </c>
      <c r="I31" s="16"/>
      <c r="J31" s="16" t="s">
        <v>183</v>
      </c>
      <c r="K31" s="19"/>
      <c r="L31" s="16" t="s">
        <v>181</v>
      </c>
      <c r="M31" s="16"/>
      <c r="N31" s="16" t="s">
        <v>182</v>
      </c>
      <c r="O31" s="16"/>
      <c r="P31" s="16" t="s">
        <v>183</v>
      </c>
      <c r="Q31" s="16"/>
      <c r="R31" s="16" t="s">
        <v>181</v>
      </c>
      <c r="S31" s="16"/>
      <c r="T31" s="16" t="s">
        <v>182</v>
      </c>
      <c r="U31" s="16"/>
      <c r="V31" s="16" t="s">
        <v>183</v>
      </c>
      <c r="W31" s="19"/>
      <c r="X31" s="16" t="s">
        <v>181</v>
      </c>
      <c r="Y31" s="16"/>
      <c r="Z31" s="16" t="s">
        <v>182</v>
      </c>
      <c r="AA31" s="16"/>
      <c r="AB31" s="16" t="s">
        <v>183</v>
      </c>
      <c r="AC31" s="17"/>
      <c r="AD31" s="16" t="s">
        <v>181</v>
      </c>
      <c r="AE31" s="16"/>
      <c r="AF31" s="16" t="s">
        <v>182</v>
      </c>
      <c r="AG31" s="16"/>
      <c r="AH31" s="16" t="s">
        <v>183</v>
      </c>
      <c r="AI31" s="17"/>
      <c r="AJ31" s="16" t="s">
        <v>181</v>
      </c>
      <c r="AK31" s="16"/>
      <c r="AL31" s="16" t="s">
        <v>182</v>
      </c>
      <c r="AM31" s="16"/>
      <c r="AN31" s="16" t="s">
        <v>183</v>
      </c>
      <c r="AP31" s="16" t="s">
        <v>180</v>
      </c>
    </row>
    <row r="32" spans="1:7" ht="12.75">
      <c r="A32" s="13"/>
      <c r="F32" s="14"/>
      <c r="G32" s="14"/>
    </row>
    <row r="33" spans="1:42" ht="12.75">
      <c r="A33" s="13"/>
      <c r="B33" s="4" t="s">
        <v>240</v>
      </c>
      <c r="F33" s="14" t="s">
        <v>270</v>
      </c>
      <c r="G33" s="14"/>
      <c r="H33" s="14" t="s">
        <v>270</v>
      </c>
      <c r="J33" s="14" t="s">
        <v>270</v>
      </c>
      <c r="L33" s="14" t="s">
        <v>272</v>
      </c>
      <c r="N33" s="14" t="s">
        <v>272</v>
      </c>
      <c r="P33" s="14" t="s">
        <v>272</v>
      </c>
      <c r="X33" s="14" t="s">
        <v>274</v>
      </c>
      <c r="Z33" s="14" t="s">
        <v>274</v>
      </c>
      <c r="AB33" s="14" t="s">
        <v>274</v>
      </c>
      <c r="AD33" s="14" t="s">
        <v>275</v>
      </c>
      <c r="AF33" s="14" t="s">
        <v>275</v>
      </c>
      <c r="AH33" s="14" t="s">
        <v>275</v>
      </c>
      <c r="AJ33" s="14" t="s">
        <v>276</v>
      </c>
      <c r="AL33" s="14" t="s">
        <v>276</v>
      </c>
      <c r="AN33" s="14" t="s">
        <v>276</v>
      </c>
      <c r="AP33" s="14" t="s">
        <v>276</v>
      </c>
    </row>
    <row r="34" spans="1:42" ht="12.75">
      <c r="A34" s="13"/>
      <c r="B34" s="4" t="s">
        <v>241</v>
      </c>
      <c r="F34" s="14" t="s">
        <v>269</v>
      </c>
      <c r="G34" s="14"/>
      <c r="H34" s="14" t="s">
        <v>269</v>
      </c>
      <c r="J34" s="14" t="s">
        <v>269</v>
      </c>
      <c r="L34" s="14" t="s">
        <v>271</v>
      </c>
      <c r="N34" s="14" t="s">
        <v>271</v>
      </c>
      <c r="P34" s="14" t="s">
        <v>271</v>
      </c>
      <c r="X34" s="14" t="s">
        <v>273</v>
      </c>
      <c r="Z34" s="14" t="s">
        <v>273</v>
      </c>
      <c r="AB34" s="14" t="s">
        <v>273</v>
      </c>
      <c r="AD34" s="14" t="s">
        <v>33</v>
      </c>
      <c r="AF34" s="14" t="s">
        <v>33</v>
      </c>
      <c r="AH34" s="14" t="s">
        <v>33</v>
      </c>
      <c r="AJ34" s="14" t="s">
        <v>66</v>
      </c>
      <c r="AL34" s="14" t="s">
        <v>66</v>
      </c>
      <c r="AN34" s="14" t="s">
        <v>66</v>
      </c>
      <c r="AP34" s="14" t="s">
        <v>66</v>
      </c>
    </row>
    <row r="35" spans="1:42" ht="12.75">
      <c r="A35" s="13"/>
      <c r="B35" s="4" t="s">
        <v>278</v>
      </c>
      <c r="F35" s="14"/>
      <c r="G35" s="14"/>
      <c r="R35" s="14" t="s">
        <v>40</v>
      </c>
      <c r="T35" s="14" t="s">
        <v>40</v>
      </c>
      <c r="V35" s="14" t="s">
        <v>40</v>
      </c>
      <c r="X35" s="14" t="s">
        <v>279</v>
      </c>
      <c r="Z35" s="14" t="s">
        <v>279</v>
      </c>
      <c r="AB35" s="14" t="s">
        <v>279</v>
      </c>
      <c r="AD35" s="14" t="s">
        <v>33</v>
      </c>
      <c r="AF35" s="14" t="s">
        <v>33</v>
      </c>
      <c r="AH35" s="14" t="s">
        <v>33</v>
      </c>
      <c r="AJ35" s="14" t="s">
        <v>66</v>
      </c>
      <c r="AL35" s="14" t="s">
        <v>66</v>
      </c>
      <c r="AN35" s="14" t="s">
        <v>66</v>
      </c>
      <c r="AP35" s="14" t="s">
        <v>66</v>
      </c>
    </row>
    <row r="36" spans="2:42" ht="12.75">
      <c r="B36" s="4" t="s">
        <v>20</v>
      </c>
      <c r="C36" s="17"/>
      <c r="D36" s="39"/>
      <c r="F36" s="113" t="s">
        <v>140</v>
      </c>
      <c r="H36" s="113" t="s">
        <v>140</v>
      </c>
      <c r="J36" s="113" t="s">
        <v>140</v>
      </c>
      <c r="L36" s="113" t="s">
        <v>141</v>
      </c>
      <c r="M36" s="16"/>
      <c r="N36" s="113" t="s">
        <v>141</v>
      </c>
      <c r="P36" s="113" t="s">
        <v>141</v>
      </c>
      <c r="Q36" s="113"/>
      <c r="R36" s="113"/>
      <c r="S36" s="113"/>
      <c r="T36" s="113"/>
      <c r="U36" s="113"/>
      <c r="V36" s="113"/>
      <c r="X36" s="97" t="s">
        <v>142</v>
      </c>
      <c r="Y36" s="97"/>
      <c r="Z36" s="97" t="s">
        <v>142</v>
      </c>
      <c r="AA36" s="97"/>
      <c r="AB36" s="97" t="s">
        <v>142</v>
      </c>
      <c r="AC36" s="97"/>
      <c r="AD36" s="97" t="s">
        <v>33</v>
      </c>
      <c r="AE36" s="97"/>
      <c r="AF36" s="97" t="s">
        <v>33</v>
      </c>
      <c r="AG36" s="97"/>
      <c r="AH36" s="97" t="s">
        <v>33</v>
      </c>
      <c r="AI36" s="97"/>
      <c r="AJ36" s="97" t="s">
        <v>66</v>
      </c>
      <c r="AK36" s="97"/>
      <c r="AL36" s="97" t="s">
        <v>66</v>
      </c>
      <c r="AM36" s="97"/>
      <c r="AN36" s="97" t="s">
        <v>66</v>
      </c>
      <c r="AP36" s="16" t="s">
        <v>66</v>
      </c>
    </row>
    <row r="37" spans="2:42" ht="12.75">
      <c r="B37" s="4" t="s">
        <v>65</v>
      </c>
      <c r="D37" s="4" t="s">
        <v>139</v>
      </c>
      <c r="F37" s="19">
        <f>13.19*60</f>
        <v>791.4</v>
      </c>
      <c r="H37" s="19">
        <f>13.26*60</f>
        <v>795.6</v>
      </c>
      <c r="J37" s="19">
        <f>13.23*60</f>
        <v>793.8000000000001</v>
      </c>
      <c r="L37" s="19">
        <f>96.7</f>
        <v>96.7</v>
      </c>
      <c r="M37" s="16"/>
      <c r="N37" s="19">
        <f>96.7</f>
        <v>96.7</v>
      </c>
      <c r="P37" s="19">
        <f>96.7</f>
        <v>96.7</v>
      </c>
      <c r="Q37" s="19"/>
      <c r="R37" s="19"/>
      <c r="S37" s="19"/>
      <c r="T37" s="19"/>
      <c r="U37" s="19"/>
      <c r="V37" s="19"/>
      <c r="X37" s="19"/>
      <c r="Y37" s="16"/>
      <c r="Z37" s="19"/>
      <c r="AB37" s="19"/>
      <c r="AC37" s="4"/>
      <c r="AD37" s="19"/>
      <c r="AE37" s="16"/>
      <c r="AJ37" s="5"/>
      <c r="AK37" s="16"/>
      <c r="AL37" s="5"/>
      <c r="AM37" s="19"/>
      <c r="AN37" s="5"/>
      <c r="AP37" s="18"/>
    </row>
    <row r="38" spans="2:42" ht="12.75">
      <c r="B38" s="4" t="s">
        <v>143</v>
      </c>
      <c r="D38" s="4" t="s">
        <v>144</v>
      </c>
      <c r="F38" s="19">
        <v>0.901</v>
      </c>
      <c r="H38" s="19">
        <v>0.902</v>
      </c>
      <c r="J38" s="19">
        <v>0.93</v>
      </c>
      <c r="L38" s="19">
        <v>0.886</v>
      </c>
      <c r="M38" s="16"/>
      <c r="N38" s="14">
        <v>0.887</v>
      </c>
      <c r="P38" s="14">
        <v>0.892</v>
      </c>
      <c r="X38" s="19"/>
      <c r="Y38" s="16"/>
      <c r="AC38" s="4"/>
      <c r="AD38" s="19"/>
      <c r="AE38" s="16"/>
      <c r="AJ38" s="5"/>
      <c r="AK38" s="16"/>
      <c r="AL38" s="5"/>
      <c r="AM38" s="19"/>
      <c r="AN38" s="5"/>
      <c r="AP38" s="18"/>
    </row>
    <row r="39" spans="2:42" ht="12.75">
      <c r="B39" s="4" t="s">
        <v>65</v>
      </c>
      <c r="D39" s="4" t="s">
        <v>28</v>
      </c>
      <c r="F39" s="7">
        <f>F38*8.32*F37</f>
        <v>5932.587648000001</v>
      </c>
      <c r="H39" s="7">
        <f>H38*8.32*H37</f>
        <v>5970.691584</v>
      </c>
      <c r="J39" s="7">
        <f>J38*8.32*J37</f>
        <v>6142.106880000001</v>
      </c>
      <c r="L39" s="7">
        <f>L38*8.32*L37</f>
        <v>712.8259840000001</v>
      </c>
      <c r="M39" s="16"/>
      <c r="N39" s="7">
        <f>N38*8.32*N37</f>
        <v>713.630528</v>
      </c>
      <c r="P39" s="7">
        <f>P38*8.32*P37</f>
        <v>717.6532480000001</v>
      </c>
      <c r="Q39" s="7"/>
      <c r="R39" s="7"/>
      <c r="S39" s="7"/>
      <c r="T39" s="7"/>
      <c r="U39" s="7"/>
      <c r="V39" s="7"/>
      <c r="X39" s="19">
        <f>22*2000</f>
        <v>44000</v>
      </c>
      <c r="Y39" s="16"/>
      <c r="Z39" s="19">
        <f>22*2000</f>
        <v>44000</v>
      </c>
      <c r="AB39" s="19">
        <f>22*2000</f>
        <v>44000</v>
      </c>
      <c r="AC39" s="4"/>
      <c r="AD39" s="19"/>
      <c r="AE39" s="16"/>
      <c r="AJ39" s="7">
        <f>F39+L39+X39+AD39</f>
        <v>50645.413632</v>
      </c>
      <c r="AK39" s="16"/>
      <c r="AL39" s="7">
        <f>H39+N39+Z39+AF39</f>
        <v>50684.322112</v>
      </c>
      <c r="AM39" s="19"/>
      <c r="AN39" s="7">
        <f>J39+P39+AB39+AH39</f>
        <v>50859.760128</v>
      </c>
      <c r="AP39" s="18"/>
    </row>
    <row r="40" spans="2:40" ht="12.75">
      <c r="B40" s="4" t="s">
        <v>21</v>
      </c>
      <c r="D40" s="4" t="s">
        <v>22</v>
      </c>
      <c r="F40" s="19">
        <v>5480</v>
      </c>
      <c r="H40" s="14">
        <v>5560</v>
      </c>
      <c r="J40" s="14">
        <v>5810</v>
      </c>
      <c r="L40" s="19">
        <v>4260</v>
      </c>
      <c r="M40" s="16"/>
      <c r="N40" s="14">
        <v>3200</v>
      </c>
      <c r="P40" s="14">
        <v>4980</v>
      </c>
      <c r="X40" s="19"/>
      <c r="Y40" s="16"/>
      <c r="AC40" s="4"/>
      <c r="AD40" s="19"/>
      <c r="AE40" s="16"/>
      <c r="AJ40" s="7"/>
      <c r="AK40" s="16"/>
      <c r="AL40" s="7"/>
      <c r="AM40" s="19"/>
      <c r="AN40" s="7"/>
    </row>
    <row r="41" spans="12:40" ht="12.75">
      <c r="L41" s="19"/>
      <c r="M41" s="16"/>
      <c r="X41" s="6"/>
      <c r="Y41" s="16"/>
      <c r="AC41" s="4"/>
      <c r="AD41" s="6"/>
      <c r="AE41" s="16"/>
      <c r="AJ41" s="72"/>
      <c r="AK41" s="114"/>
      <c r="AL41" s="72"/>
      <c r="AM41" s="40"/>
      <c r="AN41" s="72"/>
    </row>
    <row r="42" spans="2:42" ht="12.75">
      <c r="B42" s="4" t="s">
        <v>23</v>
      </c>
      <c r="D42" s="4" t="s">
        <v>18</v>
      </c>
      <c r="E42" s="16"/>
      <c r="F42" s="6">
        <v>0.76</v>
      </c>
      <c r="H42" s="14">
        <v>0.8</v>
      </c>
      <c r="I42" s="5"/>
      <c r="J42" s="14">
        <v>0.74</v>
      </c>
      <c r="K42" s="19"/>
      <c r="L42" s="5">
        <v>52.9</v>
      </c>
      <c r="M42" s="16"/>
      <c r="N42" s="14">
        <v>55.5</v>
      </c>
      <c r="O42" s="5"/>
      <c r="P42" s="14">
        <v>47.8</v>
      </c>
      <c r="W42" s="19"/>
      <c r="X42" s="19"/>
      <c r="Y42" s="16"/>
      <c r="AA42" s="5"/>
      <c r="AC42" s="4"/>
      <c r="AD42" s="19"/>
      <c r="AE42" s="16"/>
      <c r="AG42" s="5"/>
      <c r="AJ42" s="62"/>
      <c r="AK42" s="114"/>
      <c r="AL42" s="62"/>
      <c r="AM42" s="40"/>
      <c r="AN42" s="62"/>
      <c r="AO42" s="115"/>
      <c r="AP42" s="116"/>
    </row>
    <row r="43" spans="2:42" ht="12.75">
      <c r="B43" s="4" t="s">
        <v>24</v>
      </c>
      <c r="D43" s="4" t="s">
        <v>28</v>
      </c>
      <c r="E43" s="16"/>
      <c r="F43" s="19">
        <v>2.4</v>
      </c>
      <c r="H43" s="14">
        <v>7.8</v>
      </c>
      <c r="I43" s="5"/>
      <c r="J43" s="14">
        <v>6.2</v>
      </c>
      <c r="L43" s="19">
        <v>0.5</v>
      </c>
      <c r="M43" s="16"/>
      <c r="N43" s="14">
        <v>0.5</v>
      </c>
      <c r="O43" s="5"/>
      <c r="P43" s="14">
        <v>0.5</v>
      </c>
      <c r="X43" s="6">
        <v>22</v>
      </c>
      <c r="Y43" s="117"/>
      <c r="Z43" s="60">
        <v>17.6</v>
      </c>
      <c r="AA43" s="6"/>
      <c r="AB43" s="60">
        <v>17.6</v>
      </c>
      <c r="AC43" s="4"/>
      <c r="AD43" s="19">
        <f>99.8+34.1+92.6</f>
        <v>226.5</v>
      </c>
      <c r="AE43" s="16"/>
      <c r="AF43" s="19">
        <f>108.2+37+100.4</f>
        <v>245.6</v>
      </c>
      <c r="AG43" s="5"/>
      <c r="AH43" s="19">
        <f>108.2+37+100.4</f>
        <v>245.6</v>
      </c>
      <c r="AJ43" s="5">
        <f>F43+L43+X43+AD43</f>
        <v>251.4</v>
      </c>
      <c r="AK43" s="114"/>
      <c r="AL43" s="5">
        <f>H43+N43+Z43+AF43</f>
        <v>271.5</v>
      </c>
      <c r="AM43" s="40"/>
      <c r="AN43" s="5">
        <f>J43+P43+AB43+AH43</f>
        <v>269.9</v>
      </c>
      <c r="AO43" s="115"/>
      <c r="AP43" s="115"/>
    </row>
    <row r="44" spans="5:42" ht="12.75">
      <c r="E44" s="16"/>
      <c r="I44" s="5"/>
      <c r="L44" s="19"/>
      <c r="M44" s="16"/>
      <c r="O44" s="5"/>
      <c r="X44" s="6"/>
      <c r="Y44" s="117"/>
      <c r="Z44" s="60"/>
      <c r="AA44" s="6"/>
      <c r="AB44" s="60"/>
      <c r="AC44" s="4"/>
      <c r="AD44" s="19"/>
      <c r="AE44" s="16"/>
      <c r="AF44" s="19"/>
      <c r="AG44" s="5"/>
      <c r="AH44" s="19"/>
      <c r="AJ44" s="5"/>
      <c r="AK44" s="114"/>
      <c r="AL44" s="5"/>
      <c r="AM44" s="40"/>
      <c r="AN44" s="5"/>
      <c r="AO44" s="115"/>
      <c r="AP44" s="115"/>
    </row>
    <row r="45" spans="2:42" ht="12.75">
      <c r="B45" s="4" t="s">
        <v>123</v>
      </c>
      <c r="D45" s="4" t="s">
        <v>28</v>
      </c>
      <c r="E45" s="16"/>
      <c r="F45" s="68">
        <f>0.5/2/1000000*F$39</f>
        <v>0.0014831469120000001</v>
      </c>
      <c r="H45" s="68">
        <f>0.5/1000000*H$39</f>
        <v>0.002985345792</v>
      </c>
      <c r="I45" s="5"/>
      <c r="J45" s="68">
        <f>0.5/2/1000000*J$39</f>
        <v>0.0015355267200000003</v>
      </c>
      <c r="L45" s="68">
        <f>5.5/1000000*L$39</f>
        <v>0.003920542912000001</v>
      </c>
      <c r="M45" s="16"/>
      <c r="N45" s="68">
        <f>5.8/1000000*N$39</f>
        <v>0.0041390570624</v>
      </c>
      <c r="O45" s="5"/>
      <c r="P45" s="68">
        <f>5.7/1000000*P$39</f>
        <v>0.004090623513600001</v>
      </c>
      <c r="Q45" s="68"/>
      <c r="R45" s="68"/>
      <c r="S45" s="68"/>
      <c r="T45" s="68"/>
      <c r="U45" s="68"/>
      <c r="V45" s="68"/>
      <c r="X45" s="6">
        <f>6.6/1000000*X$39</f>
        <v>0.2904</v>
      </c>
      <c r="Y45" s="117"/>
      <c r="Z45" s="6">
        <f>12.2/1000000*Z$39</f>
        <v>0.5368</v>
      </c>
      <c r="AA45" s="6"/>
      <c r="AB45" s="6">
        <f>8.2/1000000*AB$39</f>
        <v>0.36079999999999995</v>
      </c>
      <c r="AC45" s="4"/>
      <c r="AD45" s="19">
        <v>0.035</v>
      </c>
      <c r="AE45" s="16"/>
      <c r="AF45" s="19">
        <v>0.086</v>
      </c>
      <c r="AG45" s="5"/>
      <c r="AH45" s="19">
        <v>0.059</v>
      </c>
      <c r="AJ45" s="6">
        <f>F45+L45+X45+AD45</f>
        <v>0.330803689824</v>
      </c>
      <c r="AK45" s="119"/>
      <c r="AL45" s="6">
        <f>H45+N45+Z45+AF45</f>
        <v>0.6299244028544</v>
      </c>
      <c r="AM45" s="62"/>
      <c r="AN45" s="6">
        <f>J45+P45+AB45+AH45</f>
        <v>0.4254261502336</v>
      </c>
      <c r="AO45" s="115"/>
      <c r="AP45" s="115"/>
    </row>
    <row r="46" spans="2:42" ht="12.75">
      <c r="B46" s="4" t="s">
        <v>124</v>
      </c>
      <c r="D46" s="4" t="s">
        <v>28</v>
      </c>
      <c r="E46" s="16"/>
      <c r="F46" s="68">
        <f>1.4/1000000*F$39</f>
        <v>0.0083056227072</v>
      </c>
      <c r="H46" s="68">
        <f>1.7/1000000*H$39</f>
        <v>0.0101501756928</v>
      </c>
      <c r="I46" s="5"/>
      <c r="J46" s="68">
        <f>1.2/1000000*J$39</f>
        <v>0.007370528256000001</v>
      </c>
      <c r="L46" s="70">
        <f>0.6/1000000*L$39</f>
        <v>0.0004276955904</v>
      </c>
      <c r="M46" s="16"/>
      <c r="N46" s="70">
        <f>0.5/1000000*N$39</f>
        <v>0.000356815264</v>
      </c>
      <c r="O46" s="5"/>
      <c r="P46" s="70">
        <f>0.5/1000000*P$39</f>
        <v>0.000358826624</v>
      </c>
      <c r="Q46" s="70"/>
      <c r="R46" s="70"/>
      <c r="S46" s="70"/>
      <c r="T46" s="70"/>
      <c r="U46" s="70"/>
      <c r="V46" s="70"/>
      <c r="X46" s="68">
        <f>0.2/2/1000000*X$39</f>
        <v>0.0044</v>
      </c>
      <c r="Y46" s="117"/>
      <c r="Z46" s="68">
        <f>0.2/2/1000000*Z$39</f>
        <v>0.0044</v>
      </c>
      <c r="AA46" s="6"/>
      <c r="AB46" s="68">
        <f>0.2/2/1000000*AB$39</f>
        <v>0.0044</v>
      </c>
      <c r="AC46" s="4"/>
      <c r="AD46" s="19">
        <v>0.334</v>
      </c>
      <c r="AE46" s="16"/>
      <c r="AF46" s="19">
        <v>0.239</v>
      </c>
      <c r="AG46" s="5"/>
      <c r="AH46" s="19">
        <v>0.285</v>
      </c>
      <c r="AJ46" s="6">
        <f aca="true" t="shared" si="0" ref="AJ46:AJ58">F46+L46+X46+AD46</f>
        <v>0.3471333182976</v>
      </c>
      <c r="AK46" s="119"/>
      <c r="AL46" s="6">
        <f aca="true" t="shared" si="1" ref="AL46:AL58">H46+N46+Z46+AF46</f>
        <v>0.25390699095679997</v>
      </c>
      <c r="AM46" s="62"/>
      <c r="AN46" s="6">
        <f aca="true" t="shared" si="2" ref="AN46:AN58">J46+P46+AB46+AH46</f>
        <v>0.29712935488</v>
      </c>
      <c r="AO46" s="115"/>
      <c r="AP46" s="115"/>
    </row>
    <row r="47" spans="2:42" ht="12.75">
      <c r="B47" s="4" t="s">
        <v>125</v>
      </c>
      <c r="D47" s="4" t="s">
        <v>28</v>
      </c>
      <c r="E47" s="16"/>
      <c r="F47" s="68">
        <f>39.9/1000000*F$39</f>
        <v>0.23671024715520003</v>
      </c>
      <c r="H47" s="68">
        <f>33.6/1000000*H$39</f>
        <v>0.20061523722240002</v>
      </c>
      <c r="I47" s="5"/>
      <c r="J47" s="68">
        <f>30.3/1000000*J$39</f>
        <v>0.18610583846400006</v>
      </c>
      <c r="L47" s="6">
        <f>121/1000000*L$39</f>
        <v>0.08625194406400001</v>
      </c>
      <c r="M47" s="16"/>
      <c r="N47" s="6">
        <f>124/1000000*N$39</f>
        <v>0.08849018547200001</v>
      </c>
      <c r="O47" s="5"/>
      <c r="P47" s="6">
        <f>112/1000000*P$39</f>
        <v>0.080377163776</v>
      </c>
      <c r="Q47" s="6"/>
      <c r="R47" s="6"/>
      <c r="S47" s="6"/>
      <c r="T47" s="6"/>
      <c r="U47" s="6"/>
      <c r="V47" s="6"/>
      <c r="X47" s="6">
        <f>285/1000000*X$39</f>
        <v>12.54</v>
      </c>
      <c r="Y47" s="117"/>
      <c r="Z47" s="6">
        <f>203/1000000*Z$39</f>
        <v>8.932</v>
      </c>
      <c r="AA47" s="6"/>
      <c r="AB47" s="6">
        <f>291/1000000*AB$39</f>
        <v>12.804</v>
      </c>
      <c r="AC47" s="4"/>
      <c r="AD47" s="19">
        <v>16</v>
      </c>
      <c r="AE47" s="16"/>
      <c r="AF47" s="19">
        <v>16</v>
      </c>
      <c r="AG47" s="5"/>
      <c r="AH47" s="19">
        <v>16</v>
      </c>
      <c r="AJ47" s="6">
        <f t="shared" si="0"/>
        <v>28.8629621912192</v>
      </c>
      <c r="AK47" s="119"/>
      <c r="AL47" s="6">
        <f t="shared" si="1"/>
        <v>25.2211054226944</v>
      </c>
      <c r="AM47" s="62"/>
      <c r="AN47" s="6">
        <f t="shared" si="2"/>
        <v>29.07048300224</v>
      </c>
      <c r="AO47" s="115"/>
      <c r="AP47" s="115"/>
    </row>
    <row r="48" spans="2:42" ht="12.75">
      <c r="B48" s="4" t="s">
        <v>126</v>
      </c>
      <c r="D48" s="4" t="s">
        <v>28</v>
      </c>
      <c r="E48" s="16"/>
      <c r="F48" s="68">
        <f>0.2/2/1000000*F$39</f>
        <v>0.0005932587648000001</v>
      </c>
      <c r="H48" s="68">
        <f>0.2/2/1000000*H$39</f>
        <v>0.0005970691584</v>
      </c>
      <c r="I48" s="5"/>
      <c r="J48" s="68">
        <f>0.2/2/1000000*J$39</f>
        <v>0.0006142106880000002</v>
      </c>
      <c r="L48" s="70">
        <f>0.5/1000000*L$39</f>
        <v>0.000356412992</v>
      </c>
      <c r="M48" s="120"/>
      <c r="N48" s="70">
        <f>0.4/1000000*N$39</f>
        <v>0.00028545221120000004</v>
      </c>
      <c r="O48" s="70"/>
      <c r="P48" s="70">
        <f>0.5/1000000*P$39</f>
        <v>0.000358826624</v>
      </c>
      <c r="Q48" s="70"/>
      <c r="R48" s="70"/>
      <c r="S48" s="70"/>
      <c r="T48" s="70"/>
      <c r="U48" s="70"/>
      <c r="V48" s="70"/>
      <c r="X48" s="6">
        <f>1/1000000*X$39</f>
        <v>0.044</v>
      </c>
      <c r="Y48" s="117"/>
      <c r="Z48" s="6">
        <f>0.9/1000000*Z$39</f>
        <v>0.0396</v>
      </c>
      <c r="AA48" s="6"/>
      <c r="AB48" s="6">
        <f>0.9/1000000*AB$39</f>
        <v>0.0396</v>
      </c>
      <c r="AC48" s="4"/>
      <c r="AD48" s="19">
        <v>0.0057</v>
      </c>
      <c r="AE48" s="16"/>
      <c r="AF48" s="19">
        <v>0.0057</v>
      </c>
      <c r="AG48" s="5"/>
      <c r="AH48" s="19">
        <v>0.0066</v>
      </c>
      <c r="AJ48" s="6">
        <f t="shared" si="0"/>
        <v>0.05064967175679999</v>
      </c>
      <c r="AK48" s="119"/>
      <c r="AL48" s="6">
        <f t="shared" si="1"/>
        <v>0.04618252136960001</v>
      </c>
      <c r="AM48" s="62"/>
      <c r="AN48" s="6">
        <f t="shared" si="2"/>
        <v>0.047173037312</v>
      </c>
      <c r="AO48" s="115"/>
      <c r="AP48" s="115"/>
    </row>
    <row r="49" spans="2:42" ht="12.75">
      <c r="B49" s="4" t="s">
        <v>127</v>
      </c>
      <c r="D49" s="4" t="s">
        <v>28</v>
      </c>
      <c r="E49" s="16"/>
      <c r="F49" s="68">
        <f>0.6/1000000*F$39</f>
        <v>0.0035595525888</v>
      </c>
      <c r="H49" s="68">
        <f>0.7/1000000*H$39</f>
        <v>0.0041794841088</v>
      </c>
      <c r="I49" s="5"/>
      <c r="J49" s="68">
        <f>0.5/1000000*J$39</f>
        <v>0.0030710534400000006</v>
      </c>
      <c r="L49" s="69">
        <f>1.4/1000000*L$39</f>
        <v>0.0009979563776</v>
      </c>
      <c r="M49" s="121"/>
      <c r="N49" s="69">
        <f>1.2/1000000*N$39</f>
        <v>0.0008563566336</v>
      </c>
      <c r="O49" s="69"/>
      <c r="P49" s="69">
        <f>1.4/1000000*P$39</f>
        <v>0.0010047145472</v>
      </c>
      <c r="Q49" s="69"/>
      <c r="R49" s="69"/>
      <c r="S49" s="69"/>
      <c r="T49" s="69"/>
      <c r="U49" s="69"/>
      <c r="V49" s="69"/>
      <c r="X49" s="6">
        <f>0.2/1000000*X$39</f>
        <v>0.0088</v>
      </c>
      <c r="Y49" s="117"/>
      <c r="Z49" s="6">
        <f>0.8/1000000*Z$39</f>
        <v>0.0352</v>
      </c>
      <c r="AA49" s="6"/>
      <c r="AB49" s="6">
        <f>0.2/1000000*AB$39</f>
        <v>0.0088</v>
      </c>
      <c r="AC49" s="4"/>
      <c r="AD49" s="19">
        <v>0.144</v>
      </c>
      <c r="AE49" s="16"/>
      <c r="AF49" s="19">
        <v>0.144</v>
      </c>
      <c r="AG49" s="5"/>
      <c r="AH49" s="19">
        <v>0.144</v>
      </c>
      <c r="AJ49" s="6">
        <f t="shared" si="0"/>
        <v>0.1573575089664</v>
      </c>
      <c r="AK49" s="119"/>
      <c r="AL49" s="6">
        <f t="shared" si="1"/>
        <v>0.1842358407424</v>
      </c>
      <c r="AM49" s="62"/>
      <c r="AN49" s="6">
        <f t="shared" si="2"/>
        <v>0.1568757679872</v>
      </c>
      <c r="AO49" s="115"/>
      <c r="AP49" s="115"/>
    </row>
    <row r="50" spans="2:42" ht="12.75">
      <c r="B50" s="4" t="s">
        <v>128</v>
      </c>
      <c r="D50" s="4" t="s">
        <v>28</v>
      </c>
      <c r="E50" s="16"/>
      <c r="F50" s="68">
        <f>8.1/1000000*F$39</f>
        <v>0.048053959948800004</v>
      </c>
      <c r="H50" s="68">
        <f>11.8/1000000*H$39</f>
        <v>0.0704541606912</v>
      </c>
      <c r="I50" s="5"/>
      <c r="J50" s="68">
        <f>7.1/1000000*J$39</f>
        <v>0.04360895884800001</v>
      </c>
      <c r="L50" s="68">
        <f>32.3/1000000*L$39</f>
        <v>0.0230242792832</v>
      </c>
      <c r="M50" s="122"/>
      <c r="N50" s="68">
        <f>22.3/1000000*N$39</f>
        <v>0.0159139607744</v>
      </c>
      <c r="O50" s="68"/>
      <c r="P50" s="68">
        <f>21.7/1000000*P$39</f>
        <v>0.015573075481600002</v>
      </c>
      <c r="Q50" s="68"/>
      <c r="R50" s="68"/>
      <c r="S50" s="68"/>
      <c r="T50" s="68"/>
      <c r="U50" s="68"/>
      <c r="V50" s="68"/>
      <c r="X50" s="6">
        <f>25.4/1000000*X$39</f>
        <v>1.1176</v>
      </c>
      <c r="Y50" s="117"/>
      <c r="Z50" s="6">
        <f>25.2/1000000*Z$39</f>
        <v>1.1088</v>
      </c>
      <c r="AA50" s="6"/>
      <c r="AB50" s="6">
        <f>26.7/1000000*AB$39</f>
        <v>1.1747999999999998</v>
      </c>
      <c r="AC50" s="4"/>
      <c r="AD50" s="19">
        <v>2.76</v>
      </c>
      <c r="AE50" s="16"/>
      <c r="AF50" s="19">
        <v>2.75</v>
      </c>
      <c r="AG50" s="5"/>
      <c r="AH50" s="19">
        <v>1.75</v>
      </c>
      <c r="AJ50" s="6">
        <f t="shared" si="0"/>
        <v>3.9486782392319997</v>
      </c>
      <c r="AK50" s="119"/>
      <c r="AL50" s="6">
        <f t="shared" si="1"/>
        <v>3.9451681214656</v>
      </c>
      <c r="AM50" s="62"/>
      <c r="AN50" s="6">
        <f t="shared" si="2"/>
        <v>2.9839820343295997</v>
      </c>
      <c r="AO50" s="115"/>
      <c r="AP50" s="115"/>
    </row>
    <row r="51" spans="2:42" ht="12.75">
      <c r="B51" s="4" t="s">
        <v>129</v>
      </c>
      <c r="D51" s="4" t="s">
        <v>28</v>
      </c>
      <c r="E51" s="16"/>
      <c r="F51" s="68">
        <f>129/1000000*F$39</f>
        <v>0.765303806592</v>
      </c>
      <c r="H51" s="68">
        <f>129/1000000*H$39</f>
        <v>0.7702192143359999</v>
      </c>
      <c r="I51" s="5"/>
      <c r="J51" s="68">
        <f>98.6/1000000*J$39</f>
        <v>0.6056117383680001</v>
      </c>
      <c r="L51" s="68">
        <f>154/1000000*L$39</f>
        <v>0.10977520153600001</v>
      </c>
      <c r="M51" s="122"/>
      <c r="N51" s="68">
        <f>139/1000000*N$39</f>
        <v>0.099194643392</v>
      </c>
      <c r="O51" s="68"/>
      <c r="P51" s="68">
        <f>153/1000000*P$39</f>
        <v>0.10980094694400001</v>
      </c>
      <c r="Q51" s="68"/>
      <c r="R51" s="68"/>
      <c r="S51" s="68"/>
      <c r="T51" s="68"/>
      <c r="U51" s="68"/>
      <c r="V51" s="68"/>
      <c r="X51" s="6">
        <f>70.2/1000000*X$39</f>
        <v>3.0888</v>
      </c>
      <c r="Y51" s="117"/>
      <c r="Z51" s="6">
        <f>55.1/1000000*Z$39</f>
        <v>2.4244000000000003</v>
      </c>
      <c r="AA51" s="6"/>
      <c r="AB51" s="6">
        <f>56/1000000*AB$39</f>
        <v>2.464</v>
      </c>
      <c r="AC51" s="4"/>
      <c r="AD51" s="19">
        <v>1.39</v>
      </c>
      <c r="AE51" s="16"/>
      <c r="AF51" s="19">
        <v>3.66</v>
      </c>
      <c r="AG51" s="5"/>
      <c r="AH51" s="19">
        <v>2.51</v>
      </c>
      <c r="AJ51" s="6">
        <f t="shared" si="0"/>
        <v>5.353879008128</v>
      </c>
      <c r="AK51" s="119"/>
      <c r="AL51" s="6">
        <f t="shared" si="1"/>
        <v>6.953813857728001</v>
      </c>
      <c r="AM51" s="62"/>
      <c r="AN51" s="6">
        <f t="shared" si="2"/>
        <v>5.689412685312</v>
      </c>
      <c r="AO51" s="115"/>
      <c r="AP51" s="115"/>
    </row>
    <row r="52" spans="2:42" ht="12.75">
      <c r="B52" s="4" t="s">
        <v>130</v>
      </c>
      <c r="D52" s="4" t="s">
        <v>28</v>
      </c>
      <c r="E52" s="16"/>
      <c r="F52" s="68">
        <f>82.4/1000000*F$39</f>
        <v>0.4888452221952001</v>
      </c>
      <c r="H52" s="68">
        <f>66.3/1000000*H$39</f>
        <v>0.3958568520192</v>
      </c>
      <c r="I52" s="5"/>
      <c r="J52" s="68">
        <f>62.6/1000000*J$39</f>
        <v>0.3844958906880001</v>
      </c>
      <c r="L52" s="68">
        <f>160/1000000*L$39</f>
        <v>0.11405215744000002</v>
      </c>
      <c r="M52" s="122"/>
      <c r="N52" s="68">
        <f>105/1000000*N$39</f>
        <v>0.07493120544000001</v>
      </c>
      <c r="O52" s="68"/>
      <c r="P52" s="68">
        <f>97.9/1000000*P$39</f>
        <v>0.07025825297920002</v>
      </c>
      <c r="Q52" s="68"/>
      <c r="R52" s="68"/>
      <c r="S52" s="68"/>
      <c r="T52" s="68"/>
      <c r="U52" s="68"/>
      <c r="V52" s="68"/>
      <c r="X52" s="6">
        <f>20.1/1000000*X$39</f>
        <v>0.8844000000000001</v>
      </c>
      <c r="Y52" s="117"/>
      <c r="Z52" s="6">
        <f>27.9/1000000*Z$39</f>
        <v>1.2275999999999998</v>
      </c>
      <c r="AA52" s="6"/>
      <c r="AB52" s="6">
        <f>32.4/1000000*AB$39</f>
        <v>1.4256</v>
      </c>
      <c r="AC52" s="4"/>
      <c r="AD52" s="19">
        <v>1.1</v>
      </c>
      <c r="AE52" s="16"/>
      <c r="AF52" s="19">
        <v>2.11</v>
      </c>
      <c r="AG52" s="5"/>
      <c r="AH52" s="19">
        <v>1.54</v>
      </c>
      <c r="AJ52" s="6">
        <f t="shared" si="0"/>
        <v>2.5872973796352</v>
      </c>
      <c r="AK52" s="119"/>
      <c r="AL52" s="6">
        <f t="shared" si="1"/>
        <v>3.8083880574592</v>
      </c>
      <c r="AM52" s="62"/>
      <c r="AN52" s="6">
        <f t="shared" si="2"/>
        <v>3.4203541436672</v>
      </c>
      <c r="AO52" s="115"/>
      <c r="AP52" s="115"/>
    </row>
    <row r="53" spans="2:42" ht="12.75">
      <c r="B53" s="4" t="s">
        <v>131</v>
      </c>
      <c r="D53" s="4" t="s">
        <v>28</v>
      </c>
      <c r="E53" s="16"/>
      <c r="F53" s="68">
        <f>133/1000000*F$39</f>
        <v>0.7890341571840002</v>
      </c>
      <c r="H53" s="68">
        <f>972/1000000*H$39</f>
        <v>5.803512219648</v>
      </c>
      <c r="I53" s="5"/>
      <c r="J53" s="68">
        <f>106/1000000*J$39</f>
        <v>0.6510633292800001</v>
      </c>
      <c r="L53" s="70">
        <f>0.15/1000000*L$39</f>
        <v>0.0001069238976</v>
      </c>
      <c r="M53" s="120"/>
      <c r="N53" s="70">
        <f>0.12/1000000*N$39</f>
        <v>8.563566335999999E-05</v>
      </c>
      <c r="O53" s="70"/>
      <c r="P53" s="70">
        <f>0.09/1000000*P$39</f>
        <v>6.458879232E-05</v>
      </c>
      <c r="Q53" s="70"/>
      <c r="R53" s="70"/>
      <c r="S53" s="70"/>
      <c r="T53" s="70"/>
      <c r="U53" s="70"/>
      <c r="V53" s="70"/>
      <c r="X53" s="70">
        <f>0.04/2/1000000*X$39</f>
        <v>0.00088</v>
      </c>
      <c r="Y53" s="120"/>
      <c r="Z53" s="70">
        <f>0.04/2/1000000*Z$39</f>
        <v>0.00088</v>
      </c>
      <c r="AA53" s="70"/>
      <c r="AB53" s="70">
        <f>0.04/2/1000000*AB$39</f>
        <v>0.00088</v>
      </c>
      <c r="AC53" s="4"/>
      <c r="AD53" s="19">
        <v>0.108</v>
      </c>
      <c r="AE53" s="16"/>
      <c r="AF53" s="19">
        <v>0.103</v>
      </c>
      <c r="AG53" s="5"/>
      <c r="AH53" s="19">
        <v>0.107</v>
      </c>
      <c r="AJ53" s="6">
        <f t="shared" si="0"/>
        <v>0.8980210810816002</v>
      </c>
      <c r="AK53" s="119"/>
      <c r="AL53" s="6">
        <f t="shared" si="1"/>
        <v>5.90747785531136</v>
      </c>
      <c r="AM53" s="62"/>
      <c r="AN53" s="6">
        <f t="shared" si="2"/>
        <v>0.75900791807232</v>
      </c>
      <c r="AO53" s="115"/>
      <c r="AP53" s="123">
        <f>AVERAGE(AJ53:AN53)</f>
        <v>2.52150228482176</v>
      </c>
    </row>
    <row r="54" spans="2:42" ht="12.75">
      <c r="B54" s="4" t="s">
        <v>132</v>
      </c>
      <c r="D54" s="4" t="s">
        <v>28</v>
      </c>
      <c r="E54" s="16"/>
      <c r="F54" s="68">
        <f>19.8/1000000*F$39</f>
        <v>0.11746523543040001</v>
      </c>
      <c r="H54" s="68">
        <f>26.5/1000000*H$39</f>
        <v>0.158223326976</v>
      </c>
      <c r="I54" s="5"/>
      <c r="J54" s="68">
        <f>18.6/1000000*J$39</f>
        <v>0.11424318796800004</v>
      </c>
      <c r="L54" s="68">
        <f>39.8/1000000*L$39</f>
        <v>0.028370474163200002</v>
      </c>
      <c r="M54" s="122"/>
      <c r="N54" s="68">
        <f>35.6/1000000*N$39</f>
        <v>0.025405246796800004</v>
      </c>
      <c r="O54" s="68"/>
      <c r="P54" s="68">
        <f>40.5/1000000*P$39</f>
        <v>0.029064956544000004</v>
      </c>
      <c r="Q54" s="68"/>
      <c r="R54" s="68"/>
      <c r="S54" s="68"/>
      <c r="T54" s="68"/>
      <c r="U54" s="68"/>
      <c r="V54" s="68"/>
      <c r="X54" s="6">
        <f>31.7/1000000*X$39</f>
        <v>1.3947999999999998</v>
      </c>
      <c r="Y54" s="117"/>
      <c r="Z54" s="6">
        <f>38.8/1000000*Z$39</f>
        <v>1.7071999999999998</v>
      </c>
      <c r="AA54" s="6"/>
      <c r="AB54" s="6">
        <f>34.2/1000000*AB$39</f>
        <v>1.5048000000000001</v>
      </c>
      <c r="AC54" s="4"/>
      <c r="AD54" s="19">
        <v>0.81</v>
      </c>
      <c r="AE54" s="16"/>
      <c r="AF54" s="19">
        <v>2.12</v>
      </c>
      <c r="AG54" s="5"/>
      <c r="AH54" s="19">
        <v>1.49</v>
      </c>
      <c r="AJ54" s="6">
        <f t="shared" si="0"/>
        <v>2.3506357095936</v>
      </c>
      <c r="AK54" s="119"/>
      <c r="AL54" s="6">
        <f t="shared" si="1"/>
        <v>4.0108285737728</v>
      </c>
      <c r="AM54" s="62"/>
      <c r="AN54" s="6">
        <f t="shared" si="2"/>
        <v>3.1381081445120005</v>
      </c>
      <c r="AO54" s="115"/>
      <c r="AP54" s="115"/>
    </row>
    <row r="55" spans="2:42" ht="12.75">
      <c r="B55" s="4" t="s">
        <v>133</v>
      </c>
      <c r="D55" s="4" t="s">
        <v>28</v>
      </c>
      <c r="E55" s="16"/>
      <c r="F55" s="68">
        <f>1/2/1000000*F$39</f>
        <v>0.0029662938240000002</v>
      </c>
      <c r="H55" s="68">
        <f>1/2/1000000*H$39</f>
        <v>0.002985345792</v>
      </c>
      <c r="I55" s="5"/>
      <c r="J55" s="68">
        <f>1/2/1000000*J$39</f>
        <v>0.0030710534400000006</v>
      </c>
      <c r="K55" s="16"/>
      <c r="L55" s="70">
        <f>1/2/1000000*L$39</f>
        <v>0.000356412992</v>
      </c>
      <c r="M55" s="16"/>
      <c r="N55" s="70">
        <f>1/2/1000000*N$39</f>
        <v>0.000356815264</v>
      </c>
      <c r="O55" s="5"/>
      <c r="P55" s="70">
        <f>1/2/1000000*P$39</f>
        <v>0.000358826624</v>
      </c>
      <c r="Q55" s="70"/>
      <c r="R55" s="70"/>
      <c r="S55" s="70"/>
      <c r="T55" s="70"/>
      <c r="U55" s="70"/>
      <c r="V55" s="70"/>
      <c r="W55" s="16"/>
      <c r="X55" s="68">
        <f>1/2/1000000*X$39</f>
        <v>0.022</v>
      </c>
      <c r="Y55" s="16"/>
      <c r="Z55" s="68">
        <f>1/2/1000000*Z$39</f>
        <v>0.022</v>
      </c>
      <c r="AA55" s="5"/>
      <c r="AB55" s="68">
        <f>1/2/1000000*AB$39</f>
        <v>0.022</v>
      </c>
      <c r="AC55" s="4"/>
      <c r="AD55" s="19">
        <v>0.12</v>
      </c>
      <c r="AE55" s="16"/>
      <c r="AF55" s="19">
        <v>0.12</v>
      </c>
      <c r="AG55" s="5"/>
      <c r="AH55" s="19">
        <v>0.077</v>
      </c>
      <c r="AJ55" s="6">
        <f t="shared" si="0"/>
        <v>0.14532270681599999</v>
      </c>
      <c r="AK55" s="119"/>
      <c r="AL55" s="6">
        <f t="shared" si="1"/>
        <v>0.145342161056</v>
      </c>
      <c r="AM55" s="62"/>
      <c r="AN55" s="6">
        <f t="shared" si="2"/>
        <v>0.102429880064</v>
      </c>
      <c r="AO55" s="115"/>
      <c r="AP55" s="115"/>
    </row>
    <row r="56" spans="2:42" ht="12.75">
      <c r="B56" s="4" t="s">
        <v>134</v>
      </c>
      <c r="D56" s="4" t="s">
        <v>28</v>
      </c>
      <c r="E56" s="16"/>
      <c r="F56" s="68">
        <f>22.8/1000000*F$39</f>
        <v>0.13526299837440003</v>
      </c>
      <c r="H56" s="68">
        <f>19.8/1000000*H$39</f>
        <v>0.1182196933632</v>
      </c>
      <c r="I56" s="5"/>
      <c r="J56" s="68">
        <f>17/1000000*J$39</f>
        <v>0.10441581696000002</v>
      </c>
      <c r="L56" s="70">
        <f>1.48/1000000*L$39</f>
        <v>0.0010549824563200001</v>
      </c>
      <c r="M56" s="16"/>
      <c r="N56" s="70">
        <f>1.07/1000000*N$39</f>
        <v>0.0007635846649600001</v>
      </c>
      <c r="O56" s="5"/>
      <c r="P56" s="70">
        <f>1.25/1000000*P$39</f>
        <v>0.0008970665600000002</v>
      </c>
      <c r="Q56" s="70"/>
      <c r="R56" s="70"/>
      <c r="S56" s="70"/>
      <c r="T56" s="70"/>
      <c r="U56" s="70"/>
      <c r="V56" s="70"/>
      <c r="X56" s="68">
        <f>0.1/2/1000000*X$39</f>
        <v>0.0022</v>
      </c>
      <c r="Y56" s="117"/>
      <c r="Z56" s="68">
        <f>0.1/2/1000000*Z$39</f>
        <v>0.0022</v>
      </c>
      <c r="AA56" s="6"/>
      <c r="AB56" s="68">
        <f>0.1/2/1000000*AB$39</f>
        <v>0.0022</v>
      </c>
      <c r="AC56" s="4"/>
      <c r="AD56" s="19">
        <v>0.096</v>
      </c>
      <c r="AE56" s="16"/>
      <c r="AF56" s="19">
        <v>0.096</v>
      </c>
      <c r="AG56" s="5"/>
      <c r="AH56" s="19">
        <v>0.096</v>
      </c>
      <c r="AJ56" s="6">
        <f t="shared" si="0"/>
        <v>0.23451798083072004</v>
      </c>
      <c r="AK56" s="119"/>
      <c r="AL56" s="6">
        <f t="shared" si="1"/>
        <v>0.21718327802816</v>
      </c>
      <c r="AM56" s="62"/>
      <c r="AN56" s="6">
        <f t="shared" si="2"/>
        <v>0.20351288352000002</v>
      </c>
      <c r="AO56" s="115"/>
      <c r="AP56" s="115"/>
    </row>
    <row r="57" spans="2:42" ht="12.75">
      <c r="B57" s="4" t="s">
        <v>135</v>
      </c>
      <c r="D57" s="4" t="s">
        <v>28</v>
      </c>
      <c r="E57" s="16"/>
      <c r="F57" s="68">
        <f>0.2/2/1000000*F$39</f>
        <v>0.0005932587648000001</v>
      </c>
      <c r="H57" s="68">
        <f>0.2/2/1000000*H$39</f>
        <v>0.0005970691584</v>
      </c>
      <c r="I57" s="5"/>
      <c r="J57" s="68">
        <f>0.2/2/1000000*J$39</f>
        <v>0.0006142106880000002</v>
      </c>
      <c r="L57" s="70">
        <f>0.2/2/1000000*L$39</f>
        <v>7.128259840000002E-05</v>
      </c>
      <c r="M57" s="16"/>
      <c r="N57" s="70">
        <f>0.2/2/1000000*N$39</f>
        <v>7.136305280000001E-05</v>
      </c>
      <c r="O57" s="5"/>
      <c r="P57" s="70">
        <f>0.2/2/1000000*P$39</f>
        <v>7.176532480000001E-05</v>
      </c>
      <c r="Q57" s="70"/>
      <c r="R57" s="70"/>
      <c r="S57" s="70"/>
      <c r="T57" s="70"/>
      <c r="U57" s="70"/>
      <c r="V57" s="70"/>
      <c r="X57" s="68">
        <f>0.2/2/1000000*X$39</f>
        <v>0.0044</v>
      </c>
      <c r="Y57" s="16"/>
      <c r="Z57" s="68">
        <f>0.2/2/1000000*Z$39</f>
        <v>0.0044</v>
      </c>
      <c r="AA57" s="5"/>
      <c r="AB57" s="68">
        <f>0.2/2/1000000*AB$39</f>
        <v>0.0044</v>
      </c>
      <c r="AC57" s="4"/>
      <c r="AD57" s="19">
        <v>0.24</v>
      </c>
      <c r="AE57" s="16"/>
      <c r="AF57" s="19">
        <v>0.24</v>
      </c>
      <c r="AG57" s="5"/>
      <c r="AH57" s="19">
        <v>0.24</v>
      </c>
      <c r="AJ57" s="6">
        <f t="shared" si="0"/>
        <v>0.2450645413632</v>
      </c>
      <c r="AK57" s="119"/>
      <c r="AL57" s="6">
        <f t="shared" si="1"/>
        <v>0.2450684322112</v>
      </c>
      <c r="AM57" s="62"/>
      <c r="AN57" s="6">
        <f t="shared" si="2"/>
        <v>0.2450859760128</v>
      </c>
      <c r="AO57" s="115"/>
      <c r="AP57" s="115"/>
    </row>
    <row r="58" spans="2:42" ht="12.75">
      <c r="B58" s="4" t="s">
        <v>136</v>
      </c>
      <c r="D58" s="4" t="s">
        <v>28</v>
      </c>
      <c r="E58" s="16"/>
      <c r="F58" s="68">
        <f>177/1000000*F$39</f>
        <v>1.0500680136960001</v>
      </c>
      <c r="H58" s="68">
        <f>162/1000000*H$39</f>
        <v>0.9672520366080001</v>
      </c>
      <c r="I58" s="5"/>
      <c r="J58" s="68">
        <f>149/1000000*J$39</f>
        <v>0.9151739251200001</v>
      </c>
      <c r="L58" s="68">
        <f>303/1000000*L$39</f>
        <v>0.215986273152</v>
      </c>
      <c r="M58" s="122"/>
      <c r="N58" s="68">
        <f>248/1000000*N$39</f>
        <v>0.17698037094400002</v>
      </c>
      <c r="O58" s="68"/>
      <c r="P58" s="68">
        <f>268/1000000*P$39</f>
        <v>0.19233107046400003</v>
      </c>
      <c r="Q58" s="68"/>
      <c r="R58" s="68"/>
      <c r="S58" s="68"/>
      <c r="T58" s="68"/>
      <c r="U58" s="68"/>
      <c r="V58" s="68"/>
      <c r="X58" s="6">
        <f>144/1000000*X$39</f>
        <v>6.336</v>
      </c>
      <c r="Y58" s="117"/>
      <c r="Z58" s="6">
        <f>512/1000000*Z$39</f>
        <v>22.528</v>
      </c>
      <c r="AA58" s="6"/>
      <c r="AB58" s="6">
        <f>168/1000000*AB$39</f>
        <v>7.3919999999999995</v>
      </c>
      <c r="AC58" s="4"/>
      <c r="AD58" s="19">
        <v>31.9</v>
      </c>
      <c r="AE58" s="16"/>
      <c r="AF58" s="19">
        <v>33</v>
      </c>
      <c r="AG58" s="5"/>
      <c r="AH58" s="19">
        <v>33</v>
      </c>
      <c r="AJ58" s="6">
        <f t="shared" si="0"/>
        <v>39.502054286848</v>
      </c>
      <c r="AK58" s="119"/>
      <c r="AL58" s="6">
        <f t="shared" si="1"/>
        <v>56.672232407552</v>
      </c>
      <c r="AM58" s="62"/>
      <c r="AN58" s="6">
        <f t="shared" si="2"/>
        <v>41.499504995584</v>
      </c>
      <c r="AO58" s="115"/>
      <c r="AP58" s="115"/>
    </row>
    <row r="59" spans="2:42" ht="12.75">
      <c r="B59" s="4" t="s">
        <v>35</v>
      </c>
      <c r="D59" s="4" t="s">
        <v>28</v>
      </c>
      <c r="E59" s="16"/>
      <c r="F59" s="68">
        <f>F49+F52</f>
        <v>0.4924047747840001</v>
      </c>
      <c r="H59" s="68">
        <f>H49+H52</f>
        <v>0.400036336128</v>
      </c>
      <c r="I59" s="5"/>
      <c r="J59" s="68">
        <f>J49+J52</f>
        <v>0.38756694412800013</v>
      </c>
      <c r="L59" s="6">
        <f>L49+L52</f>
        <v>0.11505011381760002</v>
      </c>
      <c r="M59" s="16"/>
      <c r="N59" s="6">
        <f>N49+N52</f>
        <v>0.0757875620736</v>
      </c>
      <c r="O59" s="5"/>
      <c r="P59" s="6">
        <f>P49+P52</f>
        <v>0.07126296752640002</v>
      </c>
      <c r="Q59" s="6"/>
      <c r="R59" s="6"/>
      <c r="S59" s="6"/>
      <c r="T59" s="6"/>
      <c r="U59" s="6"/>
      <c r="V59" s="6"/>
      <c r="X59" s="6">
        <f>X49+X52</f>
        <v>0.8932000000000001</v>
      </c>
      <c r="Y59" s="117"/>
      <c r="Z59" s="6">
        <f>Z49+Z52</f>
        <v>1.2627999999999997</v>
      </c>
      <c r="AA59" s="6"/>
      <c r="AB59" s="6">
        <f>AB49+AB52</f>
        <v>1.4344</v>
      </c>
      <c r="AC59" s="4"/>
      <c r="AD59" s="6">
        <f>AD49+AD52</f>
        <v>1.244</v>
      </c>
      <c r="AE59" s="16"/>
      <c r="AF59" s="6">
        <f>AF49+AF52</f>
        <v>2.254</v>
      </c>
      <c r="AG59" s="5"/>
      <c r="AH59" s="6">
        <f>AH49+AH52</f>
        <v>1.684</v>
      </c>
      <c r="AJ59" s="6">
        <f>AJ49+AJ52</f>
        <v>2.7446548886016</v>
      </c>
      <c r="AK59" s="119"/>
      <c r="AL59" s="6">
        <f>AL49+AL52</f>
        <v>3.9926238982016</v>
      </c>
      <c r="AM59" s="62"/>
      <c r="AN59" s="6">
        <f>AN49+AN52</f>
        <v>3.5772299116544</v>
      </c>
      <c r="AO59" s="115"/>
      <c r="AP59" s="115"/>
    </row>
    <row r="60" spans="2:42" ht="12.75">
      <c r="B60" s="4" t="s">
        <v>36</v>
      </c>
      <c r="D60" s="4" t="s">
        <v>28</v>
      </c>
      <c r="E60" s="16"/>
      <c r="F60" s="68">
        <f>F45+F48+F50</f>
        <v>0.050130365625600005</v>
      </c>
      <c r="H60" s="68">
        <f>H45+H48+H50</f>
        <v>0.0740365756416</v>
      </c>
      <c r="I60" s="5"/>
      <c r="J60" s="68">
        <f>J45+J48+J50</f>
        <v>0.04575869625600001</v>
      </c>
      <c r="L60" s="6">
        <f>L45+L48+L50</f>
        <v>0.0273012351872</v>
      </c>
      <c r="M60" s="16"/>
      <c r="N60" s="6">
        <f>N45+N48+N50</f>
        <v>0.020338470048</v>
      </c>
      <c r="O60" s="5"/>
      <c r="P60" s="6">
        <f>P45+P48+P50</f>
        <v>0.020022525619200003</v>
      </c>
      <c r="Q60" s="6"/>
      <c r="R60" s="6"/>
      <c r="S60" s="6"/>
      <c r="T60" s="6"/>
      <c r="U60" s="6"/>
      <c r="V60" s="6"/>
      <c r="X60" s="6">
        <f>X45+X48+X50</f>
        <v>1.452</v>
      </c>
      <c r="Y60" s="117"/>
      <c r="Z60" s="6">
        <f>Z45+Z48+Z50</f>
        <v>1.6852</v>
      </c>
      <c r="AA60" s="6"/>
      <c r="AB60" s="6">
        <f>AB45+AB48+AB50</f>
        <v>1.5751999999999997</v>
      </c>
      <c r="AC60" s="4"/>
      <c r="AD60" s="6">
        <f>AD45+AD48+AD50</f>
        <v>2.8007</v>
      </c>
      <c r="AE60" s="16"/>
      <c r="AF60" s="6">
        <f>AF45+AF48+AF50</f>
        <v>2.8417</v>
      </c>
      <c r="AG60" s="5"/>
      <c r="AH60" s="6">
        <f>AH45+AH48+AH50</f>
        <v>1.8155999999999999</v>
      </c>
      <c r="AJ60" s="6">
        <f>AJ45+AJ48+AJ50</f>
        <v>4.3301316008128</v>
      </c>
      <c r="AK60" s="119"/>
      <c r="AL60" s="6">
        <f>AL45+AL48+AL50</f>
        <v>4.6212750456896</v>
      </c>
      <c r="AM60" s="62"/>
      <c r="AN60" s="6">
        <f>AN45+AN48+AN50</f>
        <v>3.4565812218752</v>
      </c>
      <c r="AO60" s="115"/>
      <c r="AP60" s="115"/>
    </row>
    <row r="61" spans="5:42" ht="12.75">
      <c r="E61" s="16"/>
      <c r="I61" s="5"/>
      <c r="L61" s="19"/>
      <c r="M61" s="16"/>
      <c r="O61" s="5"/>
      <c r="X61" s="6"/>
      <c r="Y61" s="117"/>
      <c r="Z61" s="60"/>
      <c r="AA61" s="6"/>
      <c r="AB61" s="60"/>
      <c r="AC61" s="4"/>
      <c r="AD61" s="19"/>
      <c r="AE61" s="16"/>
      <c r="AF61" s="19"/>
      <c r="AG61" s="5"/>
      <c r="AH61" s="19"/>
      <c r="AJ61" s="68"/>
      <c r="AK61" s="114"/>
      <c r="AL61" s="68"/>
      <c r="AM61" s="40"/>
      <c r="AN61" s="68"/>
      <c r="AO61" s="115"/>
      <c r="AP61" s="115"/>
    </row>
    <row r="62" spans="5:42" ht="12.75">
      <c r="E62" s="16"/>
      <c r="I62" s="5"/>
      <c r="L62" s="19"/>
      <c r="M62" s="16"/>
      <c r="O62" s="5"/>
      <c r="X62" s="6"/>
      <c r="Y62" s="117"/>
      <c r="Z62" s="60"/>
      <c r="AA62" s="6"/>
      <c r="AB62" s="60"/>
      <c r="AC62" s="4"/>
      <c r="AD62" s="19"/>
      <c r="AE62" s="16"/>
      <c r="AF62" s="19"/>
      <c r="AG62" s="5"/>
      <c r="AH62" s="19"/>
      <c r="AJ62" s="5"/>
      <c r="AK62" s="114"/>
      <c r="AL62" s="5"/>
      <c r="AM62" s="40"/>
      <c r="AN62" s="5"/>
      <c r="AO62" s="115"/>
      <c r="AP62" s="115"/>
    </row>
    <row r="63" spans="5:42" ht="12.75">
      <c r="E63" s="16"/>
      <c r="I63" s="19"/>
      <c r="L63" s="19"/>
      <c r="M63" s="16"/>
      <c r="O63" s="19"/>
      <c r="X63" s="19"/>
      <c r="Y63" s="19"/>
      <c r="AA63" s="7"/>
      <c r="AB63" s="16"/>
      <c r="AJ63" s="72"/>
      <c r="AK63" s="114"/>
      <c r="AL63" s="72"/>
      <c r="AM63" s="40"/>
      <c r="AN63" s="72"/>
      <c r="AO63" s="115"/>
      <c r="AP63" s="115"/>
    </row>
    <row r="64" spans="2:42" ht="12.75">
      <c r="B64" s="4" t="s">
        <v>37</v>
      </c>
      <c r="D64" s="4" t="s">
        <v>17</v>
      </c>
      <c r="E64" s="16"/>
      <c r="F64" s="7">
        <f>'emiss 1'!G84</f>
        <v>35870</v>
      </c>
      <c r="H64" s="7">
        <f>'emiss 1'!I84</f>
        <v>33752</v>
      </c>
      <c r="I64" s="19"/>
      <c r="J64" s="7">
        <f>'emiss 1'!K84</f>
        <v>33665</v>
      </c>
      <c r="K64" s="16"/>
      <c r="L64" s="19">
        <f>$F64</f>
        <v>35870</v>
      </c>
      <c r="M64" s="16"/>
      <c r="N64" s="19">
        <f>$H64</f>
        <v>33752</v>
      </c>
      <c r="O64" s="19"/>
      <c r="P64" s="19">
        <f>$J64</f>
        <v>33665</v>
      </c>
      <c r="Q64" s="19"/>
      <c r="R64" s="19"/>
      <c r="S64" s="19"/>
      <c r="T64" s="19"/>
      <c r="U64" s="19"/>
      <c r="V64" s="19"/>
      <c r="W64" s="21"/>
      <c r="X64" s="19">
        <f>$F64</f>
        <v>35870</v>
      </c>
      <c r="Y64" s="16"/>
      <c r="Z64" s="19">
        <f>$H64</f>
        <v>33752</v>
      </c>
      <c r="AA64" s="19"/>
      <c r="AB64" s="19">
        <f>$J64</f>
        <v>33665</v>
      </c>
      <c r="AD64" s="19">
        <f>$F64</f>
        <v>35870</v>
      </c>
      <c r="AE64" s="16"/>
      <c r="AF64" s="19">
        <f>$H64</f>
        <v>33752</v>
      </c>
      <c r="AG64" s="19"/>
      <c r="AH64" s="19">
        <f>$J64</f>
        <v>33665</v>
      </c>
      <c r="AJ64" s="19">
        <f>$F64</f>
        <v>35870</v>
      </c>
      <c r="AK64" s="16"/>
      <c r="AL64" s="19">
        <f>$H64</f>
        <v>33752</v>
      </c>
      <c r="AM64" s="19"/>
      <c r="AN64" s="19">
        <f>$J64</f>
        <v>33665</v>
      </c>
      <c r="AP64" s="21">
        <f>AVERAGE(AJ64,AL64,AN64)</f>
        <v>34429</v>
      </c>
    </row>
    <row r="65" spans="2:42" ht="12.75">
      <c r="B65" s="4" t="s">
        <v>38</v>
      </c>
      <c r="D65" s="4" t="s">
        <v>18</v>
      </c>
      <c r="E65" s="16"/>
      <c r="F65" s="5">
        <f>'emiss 1'!G85</f>
        <v>15.2</v>
      </c>
      <c r="G65" s="54"/>
      <c r="H65" s="5">
        <f>'emiss 1'!I85</f>
        <v>15.14</v>
      </c>
      <c r="I65" s="5"/>
      <c r="J65" s="5">
        <f>'emiss 1'!K85</f>
        <v>15.13</v>
      </c>
      <c r="K65" s="16"/>
      <c r="L65" s="19">
        <f>$F65</f>
        <v>15.2</v>
      </c>
      <c r="M65" s="16"/>
      <c r="N65" s="19">
        <f>$H65</f>
        <v>15.14</v>
      </c>
      <c r="O65" s="19"/>
      <c r="P65" s="19">
        <f>$J65</f>
        <v>15.13</v>
      </c>
      <c r="Q65" s="19"/>
      <c r="R65" s="19"/>
      <c r="S65" s="19"/>
      <c r="T65" s="19"/>
      <c r="U65" s="19"/>
      <c r="V65" s="19"/>
      <c r="W65" s="16"/>
      <c r="X65" s="19">
        <f>$F65</f>
        <v>15.2</v>
      </c>
      <c r="Y65" s="16"/>
      <c r="Z65" s="19">
        <f>$H65</f>
        <v>15.14</v>
      </c>
      <c r="AA65" s="19"/>
      <c r="AB65" s="19">
        <f>$J65</f>
        <v>15.13</v>
      </c>
      <c r="AC65" s="16"/>
      <c r="AD65" s="19">
        <f>$F65</f>
        <v>15.2</v>
      </c>
      <c r="AE65" s="16"/>
      <c r="AF65" s="19">
        <f>$H65</f>
        <v>15.14</v>
      </c>
      <c r="AG65" s="19"/>
      <c r="AH65" s="19">
        <f>$J65</f>
        <v>15.13</v>
      </c>
      <c r="AI65" s="16"/>
      <c r="AJ65" s="19">
        <f>$F65</f>
        <v>15.2</v>
      </c>
      <c r="AK65" s="16"/>
      <c r="AL65" s="19">
        <f>$H65</f>
        <v>15.14</v>
      </c>
      <c r="AM65" s="19"/>
      <c r="AN65" s="19">
        <f>$J65</f>
        <v>15.13</v>
      </c>
      <c r="AP65" s="18">
        <f>AVERAGE(AJ65,AL65,AN65)</f>
        <v>15.156666666666666</v>
      </c>
    </row>
    <row r="66" spans="5:28" ht="12.75">
      <c r="E66" s="16"/>
      <c r="I66" s="19"/>
      <c r="J66" s="16"/>
      <c r="K66" s="16"/>
      <c r="AB66" s="16"/>
    </row>
    <row r="67" spans="2:42" ht="12.75">
      <c r="B67" s="4" t="s">
        <v>283</v>
      </c>
      <c r="D67" s="4" t="s">
        <v>32</v>
      </c>
      <c r="E67" s="16"/>
      <c r="F67" s="5">
        <f>F39*F40/1000000</f>
        <v>32.51058031104</v>
      </c>
      <c r="H67" s="5">
        <f>H39*H40/1000000</f>
        <v>33.19704520704</v>
      </c>
      <c r="I67" s="19"/>
      <c r="J67" s="5">
        <f>J39*J40/1000000</f>
        <v>35.68564097280001</v>
      </c>
      <c r="K67" s="16"/>
      <c r="L67" s="5">
        <f>L39*L40/1000000</f>
        <v>3.0366386918400003</v>
      </c>
      <c r="N67" s="5">
        <f>N39*N40/1000000</f>
        <v>2.2836176896000002</v>
      </c>
      <c r="P67" s="5">
        <f>P39*P40/1000000</f>
        <v>3.5739131750400004</v>
      </c>
      <c r="Q67" s="5"/>
      <c r="R67" s="5">
        <f>F67+L67</f>
        <v>35.54721900288</v>
      </c>
      <c r="S67" s="5"/>
      <c r="T67" s="5">
        <f>H67+N67</f>
        <v>35.48066289664</v>
      </c>
      <c r="U67" s="5"/>
      <c r="V67" s="5">
        <f>J67+P67</f>
        <v>39.25955414784001</v>
      </c>
      <c r="X67" s="5">
        <f>X39*X40/1000000</f>
        <v>0</v>
      </c>
      <c r="Y67" s="16"/>
      <c r="Z67" s="5"/>
      <c r="AA67" s="19"/>
      <c r="AB67" s="5"/>
      <c r="AD67" s="5"/>
      <c r="AE67" s="16"/>
      <c r="AF67" s="5"/>
      <c r="AG67" s="19"/>
      <c r="AH67" s="5"/>
      <c r="AJ67" s="6">
        <f>F67+L67+X67+AD67</f>
        <v>35.54721900288</v>
      </c>
      <c r="AK67" s="5"/>
      <c r="AL67" s="6">
        <f>H67+N67+Z67+AF67</f>
        <v>35.48066289664</v>
      </c>
      <c r="AN67" s="6">
        <f>J67+P67+AB67+AH67</f>
        <v>39.25955414784001</v>
      </c>
      <c r="AP67" s="18">
        <f>AVERAGE(AJ67,AL67,AN67)</f>
        <v>36.762478682453334</v>
      </c>
    </row>
    <row r="68" spans="2:42" ht="12.75">
      <c r="B68" s="4" t="s">
        <v>280</v>
      </c>
      <c r="D68" s="4" t="s">
        <v>32</v>
      </c>
      <c r="E68" s="16"/>
      <c r="F68" s="18"/>
      <c r="I68" s="5"/>
      <c r="J68" s="16"/>
      <c r="K68" s="16"/>
      <c r="Z68" s="5"/>
      <c r="AB68" s="54"/>
      <c r="AJ68" s="21">
        <f>AJ64/9000*(21-AJ65)/21*60</f>
        <v>66.0463492063492</v>
      </c>
      <c r="AK68" s="21"/>
      <c r="AL68" s="21">
        <f>AL64/9000*(21-AL65)/21*60</f>
        <v>62.78943492063491</v>
      </c>
      <c r="AM68" s="21"/>
      <c r="AN68" s="21">
        <f>AN64/9000*(21-AN65)/21*60</f>
        <v>62.734460317460304</v>
      </c>
      <c r="AP68" s="18">
        <f>AVERAGE(AJ68,AL68,AN68)</f>
        <v>63.85674814814814</v>
      </c>
    </row>
    <row r="69" spans="5:28" ht="12.75">
      <c r="E69" s="16"/>
      <c r="F69" s="18"/>
      <c r="I69" s="5"/>
      <c r="J69" s="16"/>
      <c r="K69" s="16"/>
      <c r="Z69" s="5"/>
      <c r="AB69" s="54"/>
    </row>
    <row r="70" spans="8:42" ht="12.75">
      <c r="H70" s="19"/>
      <c r="J70" s="19"/>
      <c r="X70" s="4"/>
      <c r="Z70" s="4"/>
      <c r="AA70" s="19"/>
      <c r="AB70" s="4"/>
      <c r="AJ70" s="16"/>
      <c r="AL70" s="16"/>
      <c r="AN70" s="16"/>
      <c r="AP70" s="16"/>
    </row>
    <row r="71" spans="2:42" ht="12.75">
      <c r="B71" s="55" t="s">
        <v>47</v>
      </c>
      <c r="C71" s="55"/>
      <c r="F71" s="16"/>
      <c r="H71" s="16"/>
      <c r="I71" s="16"/>
      <c r="J71" s="16"/>
      <c r="K71" s="19"/>
      <c r="X71" s="16"/>
      <c r="Y71" s="16"/>
      <c r="Z71" s="16"/>
      <c r="AA71" s="16"/>
      <c r="AB71" s="16"/>
      <c r="AC71" s="17"/>
      <c r="AD71" s="16"/>
      <c r="AE71" s="16"/>
      <c r="AF71" s="16"/>
      <c r="AG71" s="16"/>
      <c r="AH71" s="16"/>
      <c r="AI71" s="17"/>
      <c r="AJ71" s="16"/>
      <c r="AK71" s="16"/>
      <c r="AL71" s="16"/>
      <c r="AM71" s="19"/>
      <c r="AN71" s="16"/>
      <c r="AP71" s="16"/>
    </row>
    <row r="72" spans="2:42" ht="12.75">
      <c r="B72" s="4" t="s">
        <v>23</v>
      </c>
      <c r="D72" s="4" t="s">
        <v>39</v>
      </c>
      <c r="F72" s="7">
        <f>F$39*F42/100*1/60*454*1000/(F$64*0.0283)*(21-7)/(21-F$65)</f>
        <v>811.2310927194853</v>
      </c>
      <c r="G72" s="56"/>
      <c r="H72" s="7">
        <f>H$39*H42/100*1/60*454*1000/(H$64*0.0283)*(21-7)/(21-H$65)</f>
        <v>903.9901523797513</v>
      </c>
      <c r="I72" s="7"/>
      <c r="J72" s="7">
        <f>J$39*J42/100*1/60*454*1000/(J$64*0.0283)*(21-7)/(21-J$65)</f>
        <v>860.9512714288608</v>
      </c>
      <c r="K72" s="56"/>
      <c r="L72" s="7">
        <f>L$39*L42/100*1/60*454*1000/(L$64*0.0283)*(21-7)/(21-L$65)</f>
        <v>6784.627786422019</v>
      </c>
      <c r="M72" s="7"/>
      <c r="N72" s="7">
        <f>N$39*N42/100*1/60*454*1000/(N$64*0.0283)*(21-7)/(21-N$65)</f>
        <v>7495.756629987051</v>
      </c>
      <c r="O72" s="7"/>
      <c r="P72" s="7">
        <f>P$39*P42/100*1/60*454*1000/(P$64*0.0283)*(21-7)/(21-P$65)</f>
        <v>6497.885195004621</v>
      </c>
      <c r="Q72" s="7"/>
      <c r="R72" s="7">
        <f>SUM(F72,L72)</f>
        <v>7595.858879141504</v>
      </c>
      <c r="S72" s="7"/>
      <c r="T72" s="7">
        <f>SUM(H72,N72)</f>
        <v>8399.746782366803</v>
      </c>
      <c r="U72" s="7"/>
      <c r="V72" s="7">
        <f>SUM(J72,P72)</f>
        <v>7358.836466433482</v>
      </c>
      <c r="W72" s="7"/>
      <c r="X72" s="7"/>
      <c r="Y72" s="56"/>
      <c r="Z72" s="7"/>
      <c r="AA72" s="7"/>
      <c r="AB72" s="7"/>
      <c r="AC72" s="21"/>
      <c r="AD72" s="7"/>
      <c r="AE72" s="56"/>
      <c r="AF72" s="7"/>
      <c r="AG72" s="7"/>
      <c r="AH72" s="7"/>
      <c r="AI72" s="21"/>
      <c r="AJ72" s="7">
        <f>F72+L72+X72+AD72</f>
        <v>7595.858879141504</v>
      </c>
      <c r="AK72" s="21"/>
      <c r="AL72" s="7">
        <f>H72+N72+Z72+AF72</f>
        <v>8399.746782366803</v>
      </c>
      <c r="AM72" s="21"/>
      <c r="AN72" s="7">
        <f>J72+P72+AB72+AH72</f>
        <v>7358.836466433482</v>
      </c>
      <c r="AO72" s="21"/>
      <c r="AP72" s="21">
        <f>AVERAGE(AJ72,AL72,AN72)</f>
        <v>7784.814042647263</v>
      </c>
    </row>
    <row r="73" spans="2:42" ht="12.75">
      <c r="B73" s="4" t="s">
        <v>24</v>
      </c>
      <c r="D73" s="4" t="s">
        <v>34</v>
      </c>
      <c r="F73" s="7">
        <f>F43*1/60*454*1000000/(F$64*0.0283)*(21-7)/(21-F$65)</f>
        <v>43181.534771343206</v>
      </c>
      <c r="G73" s="56"/>
      <c r="H73" s="7">
        <f>H43*1/60*454*1000000/(H$64*0.0283)*(21-7)/(21-H$65)</f>
        <v>147619.48195953868</v>
      </c>
      <c r="I73" s="7"/>
      <c r="J73" s="7">
        <f>J43*1/60*454*1000000/(J$64*0.0283)*(21-7)/(21-J$65)</f>
        <v>117441.3871055422</v>
      </c>
      <c r="K73" s="56"/>
      <c r="L73" s="7">
        <f>L43*1/60*454*1000000/(L$64*0.0283)*(21-7)/(21-L$65)</f>
        <v>8996.153077363168</v>
      </c>
      <c r="M73" s="7"/>
      <c r="N73" s="7">
        <f>N43*1/60*454*1000000/(N$64*0.0283)*(21-7)/(21-N$65)</f>
        <v>9462.787305098633</v>
      </c>
      <c r="O73" s="7"/>
      <c r="P73" s="7">
        <f>P43*1/60*454*1000000/(P$64*0.0283)*(21-7)/(21-P$65)</f>
        <v>9471.07960528566</v>
      </c>
      <c r="Q73" s="7"/>
      <c r="R73" s="7">
        <f aca="true" t="shared" si="3" ref="R73:V90">SUM(F73,L73)</f>
        <v>52177.68784870637</v>
      </c>
      <c r="S73" s="7"/>
      <c r="T73" s="7">
        <f t="shared" si="3"/>
        <v>157082.26926463732</v>
      </c>
      <c r="U73" s="7"/>
      <c r="V73" s="7">
        <f t="shared" si="3"/>
        <v>126912.46671082787</v>
      </c>
      <c r="W73" s="7"/>
      <c r="X73" s="7">
        <f>X43*1/60*454*1000000/(X$64*0.0283)*(21-7)/(21-X$65)</f>
        <v>395830.7354039793</v>
      </c>
      <c r="Y73" s="56"/>
      <c r="Z73" s="7">
        <f>Z43*1/60*454*1000000/(Z$64*0.0283)*(21-7)/(21-Z$65)</f>
        <v>333090.1131394719</v>
      </c>
      <c r="AA73" s="7"/>
      <c r="AB73" s="7">
        <f>AB43*1/60*454*1000000/(AB$64*0.0283)*(21-7)/(21-AB$65)</f>
        <v>333382.00210605527</v>
      </c>
      <c r="AC73" s="21"/>
      <c r="AD73" s="7">
        <f>AD43*1/60*454*1000000/(AD$64*0.0283)*(21-7)/(21-AD$65)</f>
        <v>4075257.344045515</v>
      </c>
      <c r="AE73" s="56"/>
      <c r="AF73" s="7">
        <f>AF43*1/60*454*1000000/(AF$64*0.0283)*(21-7)/(21-AF$65)</f>
        <v>4648121.124264448</v>
      </c>
      <c r="AG73" s="7"/>
      <c r="AH73" s="7">
        <f>AH43*1/60*454*1000000/(AH$64*0.0283)*(21-7)/(21-AH$65)</f>
        <v>4652194.302116316</v>
      </c>
      <c r="AI73" s="21"/>
      <c r="AJ73" s="7">
        <f>F73+L73+X73+AD73</f>
        <v>4523265.767298201</v>
      </c>
      <c r="AK73" s="21"/>
      <c r="AL73" s="7">
        <f>H73+N73+Z73+AF73</f>
        <v>5138293.506668557</v>
      </c>
      <c r="AM73" s="21"/>
      <c r="AN73" s="7">
        <f>J73+P73+AB73+AH73</f>
        <v>5112488.770933199</v>
      </c>
      <c r="AO73" s="21"/>
      <c r="AP73" s="21">
        <f>AVERAGE(AJ73,AL73,AN73)</f>
        <v>4924682.68163332</v>
      </c>
    </row>
    <row r="74" spans="5:42" ht="12.75">
      <c r="E74" s="16"/>
      <c r="F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AB74" s="56"/>
      <c r="AP74" s="58"/>
    </row>
    <row r="75" spans="2:47" ht="12.75">
      <c r="B75" s="4" t="s">
        <v>123</v>
      </c>
      <c r="D75" s="4" t="s">
        <v>34</v>
      </c>
      <c r="F75" s="7">
        <f>F45*1/60*454*1000000/(F$64*0.0283)*(21-7)/(21-F$65)</f>
        <v>26.68523331314096</v>
      </c>
      <c r="H75" s="7">
        <f>H45*1/60*454*1000000/(H$64*0.0283)*(21-7)/(21-H$65)</f>
        <v>56.499384523734456</v>
      </c>
      <c r="J75" s="7">
        <f aca="true" t="shared" si="4" ref="J75:J90">J45*1/60*454*1000000/(J$64*0.0283)*(21-7)/(21-J$65)</f>
        <v>29.086191602326373</v>
      </c>
      <c r="L75" s="7">
        <f aca="true" t="shared" si="5" ref="L75:L90">L45*1/60*454*1000000/(L$64*0.0283)*(21-7)/(21-L$65)</f>
        <v>70.53960836544631</v>
      </c>
      <c r="M75" s="16"/>
      <c r="N75" s="7">
        <f aca="true" t="shared" si="6" ref="N75:N90">N45*1/60*454*1000000/(N$64*0.0283)*(21-7)/(21-N$65)</f>
        <v>78.33403325031512</v>
      </c>
      <c r="P75" s="7">
        <f>P45*1/60*454*1000000/(P$64*0.0283)*(21-7)/(21-P$65)</f>
        <v>77.48524186511787</v>
      </c>
      <c r="Q75" s="7"/>
      <c r="R75" s="7">
        <f t="shared" si="3"/>
        <v>97.22484167858727</v>
      </c>
      <c r="S75" s="7"/>
      <c r="T75" s="7">
        <f t="shared" si="3"/>
        <v>134.83341777404956</v>
      </c>
      <c r="U75" s="7"/>
      <c r="V75" s="7">
        <f t="shared" si="3"/>
        <v>106.57143346744425</v>
      </c>
      <c r="X75" s="7">
        <f aca="true" t="shared" si="7" ref="X75:X90">X45*1/60*454*1000000/(X$64*0.0283)*(21-7)/(21-X$65)</f>
        <v>5224.965707332527</v>
      </c>
      <c r="Y75" s="16"/>
      <c r="Z75" s="7">
        <f aca="true" t="shared" si="8" ref="Z75:Z90">Z45*1/60*454*1000000/(Z$64*0.0283)*(21-7)/(21-Z$65)</f>
        <v>10159.248450753892</v>
      </c>
      <c r="AB75" s="7">
        <f>AB45*1/60*454*1000000/(AB$64*0.0283)*(21-7)/(21-AB$65)</f>
        <v>6834.331043174131</v>
      </c>
      <c r="AD75" s="7">
        <f>AD45*1/60*454*1000000/(AD$64*0.0283)*(21-7)/(21-AD$65)</f>
        <v>629.7307154154217</v>
      </c>
      <c r="AE75" s="16"/>
      <c r="AF75" s="7">
        <f aca="true" t="shared" si="9" ref="AF75:AF90">AF45*1/60*454*1000000/(AF$64*0.0283)*(21-7)/(21-AF$65)</f>
        <v>1627.5994164769645</v>
      </c>
      <c r="AH75" s="7">
        <f>AH45*1/60*454*1000000/(AH$64*0.0283)*(21-7)/(21-AH$65)</f>
        <v>1117.587393423708</v>
      </c>
      <c r="AJ75" s="7">
        <f aca="true" t="shared" si="10" ref="AJ75:AJ90">F75+L75+X75+AD75</f>
        <v>5951.921264426535</v>
      </c>
      <c r="AK75" s="124"/>
      <c r="AL75" s="7">
        <f aca="true" t="shared" si="11" ref="AL75:AL90">H75+N75+Z75+AF75</f>
        <v>11921.681285004906</v>
      </c>
      <c r="AM75" s="72"/>
      <c r="AN75" s="7">
        <f aca="true" t="shared" si="12" ref="AN75:AN89">J75+P75+AB75+AH75</f>
        <v>8058.489870065283</v>
      </c>
      <c r="AP75" s="21">
        <f aca="true" t="shared" si="13" ref="AP75:AP88">AVERAGE(AJ75,AL75,AN75)</f>
        <v>8644.030806498908</v>
      </c>
      <c r="AQ75" s="7"/>
      <c r="AR75" s="16"/>
      <c r="AS75" s="7"/>
      <c r="AU75" s="7"/>
    </row>
    <row r="76" spans="2:47" ht="12.75">
      <c r="B76" s="4" t="s">
        <v>124</v>
      </c>
      <c r="D76" s="4" t="s">
        <v>34</v>
      </c>
      <c r="F76" s="7">
        <f aca="true" t="shared" si="14" ref="F76:H90">F46*1/60*454*1000000/(F$64*0.0283)*(21-7)/(21-F$65)</f>
        <v>149.43730655358937</v>
      </c>
      <c r="H76" s="7">
        <f t="shared" si="14"/>
        <v>192.09790738069714</v>
      </c>
      <c r="J76" s="7">
        <f t="shared" si="4"/>
        <v>139.61371969116658</v>
      </c>
      <c r="L76" s="7">
        <f t="shared" si="5"/>
        <v>7.695230003503235</v>
      </c>
      <c r="M76" s="16"/>
      <c r="N76" s="7">
        <f t="shared" si="6"/>
        <v>6.752933900889234</v>
      </c>
      <c r="P76" s="7">
        <f aca="true" t="shared" si="15" ref="P76:P90">P46*1/60*454*1000000/(P$64*0.0283)*(21-7)/(21-P$65)</f>
        <v>6.796951040799812</v>
      </c>
      <c r="Q76" s="7"/>
      <c r="R76" s="7">
        <f t="shared" si="3"/>
        <v>157.1325365570926</v>
      </c>
      <c r="S76" s="7"/>
      <c r="T76" s="7">
        <f t="shared" si="3"/>
        <v>198.85084128158638</v>
      </c>
      <c r="U76" s="7"/>
      <c r="V76" s="7">
        <f t="shared" si="3"/>
        <v>146.4106707319664</v>
      </c>
      <c r="X76" s="7">
        <f t="shared" si="7"/>
        <v>79.16614708079588</v>
      </c>
      <c r="Y76" s="16"/>
      <c r="Z76" s="7">
        <f t="shared" si="8"/>
        <v>83.27252828486797</v>
      </c>
      <c r="AB76" s="7">
        <f aca="true" t="shared" si="16" ref="AB76:AB90">AB46*1/60*454*1000000/(AB$64*0.0283)*(21-7)/(21-AB$65)</f>
        <v>83.3455005265138</v>
      </c>
      <c r="AD76" s="7">
        <f aca="true" t="shared" si="17" ref="AD76:AD90">AD46*1/60*454*1000000/(AD$64*0.0283)*(21-7)/(21-AD$65)</f>
        <v>6009.430255678597</v>
      </c>
      <c r="AE76" s="16"/>
      <c r="AF76" s="7">
        <f t="shared" si="9"/>
        <v>4523.212331837147</v>
      </c>
      <c r="AH76" s="7">
        <f aca="true" t="shared" si="18" ref="AH76:AH90">AH46*1/60*454*1000000/(AH$64*0.0283)*(21-7)/(21-AH$65)</f>
        <v>5398.515375012827</v>
      </c>
      <c r="AJ76" s="7">
        <f t="shared" si="10"/>
        <v>6245.728939316486</v>
      </c>
      <c r="AK76" s="124"/>
      <c r="AL76" s="7">
        <f t="shared" si="11"/>
        <v>4805.335701403601</v>
      </c>
      <c r="AM76" s="72"/>
      <c r="AN76" s="7">
        <f t="shared" si="12"/>
        <v>5628.271546271307</v>
      </c>
      <c r="AP76" s="21">
        <f t="shared" si="13"/>
        <v>5559.778728997131</v>
      </c>
      <c r="AQ76" s="7"/>
      <c r="AR76" s="16"/>
      <c r="AS76" s="7"/>
      <c r="AU76" s="7"/>
    </row>
    <row r="77" spans="2:47" ht="12.75">
      <c r="B77" s="4" t="s">
        <v>125</v>
      </c>
      <c r="D77" s="4" t="s">
        <v>34</v>
      </c>
      <c r="F77" s="7">
        <f t="shared" si="14"/>
        <v>4258.963236777297</v>
      </c>
      <c r="H77" s="7">
        <f t="shared" si="14"/>
        <v>3796.758639994955</v>
      </c>
      <c r="J77" s="7">
        <f t="shared" si="4"/>
        <v>3525.2464222019566</v>
      </c>
      <c r="L77" s="7">
        <f t="shared" si="5"/>
        <v>1551.8713840398193</v>
      </c>
      <c r="M77" s="16"/>
      <c r="N77" s="7">
        <f t="shared" si="6"/>
        <v>1674.7276074205301</v>
      </c>
      <c r="P77" s="7">
        <f t="shared" si="15"/>
        <v>1522.5170331391578</v>
      </c>
      <c r="Q77" s="7"/>
      <c r="R77" s="7">
        <f t="shared" si="3"/>
        <v>5810.834620817117</v>
      </c>
      <c r="S77" s="7"/>
      <c r="T77" s="7">
        <f t="shared" si="3"/>
        <v>5471.486247415485</v>
      </c>
      <c r="U77" s="7"/>
      <c r="V77" s="7">
        <f t="shared" si="3"/>
        <v>5047.763455341114</v>
      </c>
      <c r="X77" s="7">
        <f t="shared" si="7"/>
        <v>225623.51918026825</v>
      </c>
      <c r="Y77" s="16"/>
      <c r="Z77" s="7">
        <f t="shared" si="8"/>
        <v>169043.23241828202</v>
      </c>
      <c r="AB77" s="7">
        <f t="shared" si="16"/>
        <v>242535.4065321552</v>
      </c>
      <c r="AD77" s="7">
        <f t="shared" si="17"/>
        <v>287876.89847562136</v>
      </c>
      <c r="AE77" s="16"/>
      <c r="AF77" s="7">
        <f t="shared" si="9"/>
        <v>302809.19376315625</v>
      </c>
      <c r="AH77" s="7">
        <f t="shared" si="18"/>
        <v>303074.54736914113</v>
      </c>
      <c r="AJ77" s="7">
        <f t="shared" si="10"/>
        <v>519311.25227670674</v>
      </c>
      <c r="AK77" s="124"/>
      <c r="AL77" s="7">
        <f t="shared" si="11"/>
        <v>477323.91242885374</v>
      </c>
      <c r="AM77" s="72"/>
      <c r="AN77" s="7">
        <f t="shared" si="12"/>
        <v>550657.7173566375</v>
      </c>
      <c r="AP77" s="21">
        <f t="shared" si="13"/>
        <v>515764.2940207327</v>
      </c>
      <c r="AQ77" s="7"/>
      <c r="AR77" s="16"/>
      <c r="AS77" s="7"/>
      <c r="AU77" s="7"/>
    </row>
    <row r="78" spans="2:47" ht="12.75">
      <c r="B78" s="4" t="s">
        <v>126</v>
      </c>
      <c r="D78" s="4" t="s">
        <v>34</v>
      </c>
      <c r="F78" s="7">
        <f t="shared" si="14"/>
        <v>10.674093325256386</v>
      </c>
      <c r="H78" s="7">
        <f t="shared" si="14"/>
        <v>11.299876904746892</v>
      </c>
      <c r="J78" s="7">
        <f t="shared" si="4"/>
        <v>11.634476640930552</v>
      </c>
      <c r="L78" s="7">
        <f t="shared" si="5"/>
        <v>6.412691669586029</v>
      </c>
      <c r="M78" s="16"/>
      <c r="N78" s="7">
        <f t="shared" si="6"/>
        <v>5.402347120711388</v>
      </c>
      <c r="P78" s="7">
        <f t="shared" si="15"/>
        <v>6.796951040799812</v>
      </c>
      <c r="Q78" s="7"/>
      <c r="R78" s="7">
        <f t="shared" si="3"/>
        <v>17.086784994842414</v>
      </c>
      <c r="S78" s="7"/>
      <c r="T78" s="7">
        <f t="shared" si="3"/>
        <v>16.70222402545828</v>
      </c>
      <c r="U78" s="7"/>
      <c r="V78" s="7">
        <f t="shared" si="3"/>
        <v>18.431427681730366</v>
      </c>
      <c r="X78" s="7">
        <f t="shared" si="7"/>
        <v>791.6614708079588</v>
      </c>
      <c r="Y78" s="16"/>
      <c r="Z78" s="7">
        <f t="shared" si="8"/>
        <v>749.4527545638118</v>
      </c>
      <c r="AB78" s="7">
        <f t="shared" si="16"/>
        <v>750.1095047386245</v>
      </c>
      <c r="AD78" s="7">
        <f t="shared" si="17"/>
        <v>102.55614508194012</v>
      </c>
      <c r="AE78" s="16"/>
      <c r="AF78" s="7">
        <f t="shared" si="9"/>
        <v>107.87577527812442</v>
      </c>
      <c r="AH78" s="7">
        <f t="shared" si="18"/>
        <v>125.01825078977073</v>
      </c>
      <c r="AJ78" s="7">
        <f t="shared" si="10"/>
        <v>911.3044008847414</v>
      </c>
      <c r="AK78" s="124"/>
      <c r="AL78" s="7">
        <f t="shared" si="11"/>
        <v>874.0307538673944</v>
      </c>
      <c r="AM78" s="72"/>
      <c r="AN78" s="7">
        <f t="shared" si="12"/>
        <v>893.5591832101256</v>
      </c>
      <c r="AP78" s="21">
        <f t="shared" si="13"/>
        <v>892.9647793207538</v>
      </c>
      <c r="AQ78" s="7"/>
      <c r="AR78" s="16"/>
      <c r="AS78" s="7"/>
      <c r="AU78" s="7"/>
    </row>
    <row r="79" spans="2:47" ht="12.75">
      <c r="B79" s="4" t="s">
        <v>127</v>
      </c>
      <c r="D79" s="4" t="s">
        <v>34</v>
      </c>
      <c r="F79" s="7">
        <f t="shared" si="14"/>
        <v>64.0445599515383</v>
      </c>
      <c r="H79" s="7">
        <f t="shared" si="14"/>
        <v>79.09913833322824</v>
      </c>
      <c r="J79" s="7">
        <f t="shared" si="4"/>
        <v>58.172383204652746</v>
      </c>
      <c r="L79" s="7">
        <f t="shared" si="5"/>
        <v>17.955536674840882</v>
      </c>
      <c r="M79" s="16"/>
      <c r="N79" s="7">
        <f t="shared" si="6"/>
        <v>16.207041362134163</v>
      </c>
      <c r="P79" s="7">
        <f t="shared" si="15"/>
        <v>19.031462914239476</v>
      </c>
      <c r="Q79" s="7"/>
      <c r="R79" s="7">
        <f t="shared" si="3"/>
        <v>82.00009662637919</v>
      </c>
      <c r="S79" s="7"/>
      <c r="T79" s="7">
        <f t="shared" si="3"/>
        <v>95.3061796953624</v>
      </c>
      <c r="U79" s="7"/>
      <c r="V79" s="7">
        <f t="shared" si="3"/>
        <v>77.20384611889222</v>
      </c>
      <c r="X79" s="7">
        <f t="shared" si="7"/>
        <v>158.33229416159176</v>
      </c>
      <c r="Y79" s="16"/>
      <c r="Z79" s="7">
        <f t="shared" si="8"/>
        <v>666.1802262789438</v>
      </c>
      <c r="AB79" s="7">
        <f t="shared" si="16"/>
        <v>166.6910010530276</v>
      </c>
      <c r="AD79" s="7">
        <f t="shared" si="17"/>
        <v>2590.892086280592</v>
      </c>
      <c r="AE79" s="16"/>
      <c r="AF79" s="7">
        <f t="shared" si="9"/>
        <v>2725.282743868406</v>
      </c>
      <c r="AH79" s="7">
        <f t="shared" si="18"/>
        <v>2727.67092632227</v>
      </c>
      <c r="AJ79" s="7">
        <f t="shared" si="10"/>
        <v>2831.224477068563</v>
      </c>
      <c r="AK79" s="124"/>
      <c r="AL79" s="7">
        <f t="shared" si="11"/>
        <v>3486.7691498427125</v>
      </c>
      <c r="AM79" s="72"/>
      <c r="AN79" s="7">
        <f t="shared" si="12"/>
        <v>2971.56577349419</v>
      </c>
      <c r="AP79" s="21">
        <f t="shared" si="13"/>
        <v>3096.519800135155</v>
      </c>
      <c r="AQ79" s="7"/>
      <c r="AR79" s="16"/>
      <c r="AS79" s="7"/>
      <c r="AU79" s="7"/>
    </row>
    <row r="80" spans="2:47" ht="12.75">
      <c r="B80" s="4" t="s">
        <v>128</v>
      </c>
      <c r="D80" s="4" t="s">
        <v>34</v>
      </c>
      <c r="F80" s="7">
        <f t="shared" si="14"/>
        <v>864.6015593457671</v>
      </c>
      <c r="H80" s="7">
        <f t="shared" si="14"/>
        <v>1333.3854747601329</v>
      </c>
      <c r="J80" s="7">
        <f t="shared" si="4"/>
        <v>826.0478415060691</v>
      </c>
      <c r="L80" s="7">
        <f t="shared" si="5"/>
        <v>414.25988185525733</v>
      </c>
      <c r="M80" s="16"/>
      <c r="N80" s="7">
        <f t="shared" si="6"/>
        <v>301.1808519796599</v>
      </c>
      <c r="P80" s="7">
        <f t="shared" si="15"/>
        <v>294.98767517071195</v>
      </c>
      <c r="Q80" s="7"/>
      <c r="R80" s="7">
        <f t="shared" si="3"/>
        <v>1278.8614412010245</v>
      </c>
      <c r="S80" s="7"/>
      <c r="T80" s="7">
        <f t="shared" si="3"/>
        <v>1634.5663267397927</v>
      </c>
      <c r="U80" s="7"/>
      <c r="V80" s="7">
        <f t="shared" si="3"/>
        <v>1121.035516676781</v>
      </c>
      <c r="X80" s="7">
        <f t="shared" si="7"/>
        <v>20108.20135852215</v>
      </c>
      <c r="Y80" s="16"/>
      <c r="Z80" s="7">
        <f t="shared" si="8"/>
        <v>20984.67712778673</v>
      </c>
      <c r="AB80" s="7">
        <f t="shared" si="16"/>
        <v>22253.248640579182</v>
      </c>
      <c r="AD80" s="7">
        <f t="shared" si="17"/>
        <v>49658.764987044684</v>
      </c>
      <c r="AE80" s="16"/>
      <c r="AF80" s="7">
        <f t="shared" si="9"/>
        <v>52045.33017804247</v>
      </c>
      <c r="AH80" s="7">
        <f t="shared" si="18"/>
        <v>33148.77861849982</v>
      </c>
      <c r="AJ80" s="7">
        <f t="shared" si="10"/>
        <v>71045.82778676786</v>
      </c>
      <c r="AK80" s="124"/>
      <c r="AL80" s="7">
        <f t="shared" si="11"/>
        <v>74664.573632569</v>
      </c>
      <c r="AM80" s="72"/>
      <c r="AN80" s="7">
        <f t="shared" si="12"/>
        <v>56523.06277575578</v>
      </c>
      <c r="AP80" s="21">
        <f t="shared" si="13"/>
        <v>67411.15473169753</v>
      </c>
      <c r="AQ80" s="7"/>
      <c r="AR80" s="16"/>
      <c r="AS80" s="7"/>
      <c r="AU80" s="7"/>
    </row>
    <row r="81" spans="2:47" ht="12.75">
      <c r="B81" s="4" t="s">
        <v>129</v>
      </c>
      <c r="D81" s="4" t="s">
        <v>34</v>
      </c>
      <c r="F81" s="7">
        <f t="shared" si="14"/>
        <v>13769.580389580733</v>
      </c>
      <c r="H81" s="7">
        <f t="shared" si="14"/>
        <v>14576.841207123487</v>
      </c>
      <c r="J81" s="7">
        <f t="shared" si="4"/>
        <v>11471.593967957522</v>
      </c>
      <c r="L81" s="7">
        <f t="shared" si="5"/>
        <v>1975.1090342324965</v>
      </c>
      <c r="M81" s="16"/>
      <c r="N81" s="7">
        <f t="shared" si="6"/>
        <v>1877.315624447207</v>
      </c>
      <c r="P81" s="7">
        <f t="shared" si="15"/>
        <v>2079.867018484743</v>
      </c>
      <c r="Q81" s="7"/>
      <c r="R81" s="7">
        <f t="shared" si="3"/>
        <v>15744.68942381323</v>
      </c>
      <c r="S81" s="7"/>
      <c r="T81" s="7">
        <f t="shared" si="3"/>
        <v>16454.156831570694</v>
      </c>
      <c r="U81" s="7"/>
      <c r="V81" s="7">
        <f t="shared" si="3"/>
        <v>13551.460986442265</v>
      </c>
      <c r="X81" s="7">
        <f t="shared" si="7"/>
        <v>55574.6352507187</v>
      </c>
      <c r="Y81" s="16"/>
      <c r="Z81" s="7">
        <f t="shared" si="8"/>
        <v>45883.16308496226</v>
      </c>
      <c r="AB81" s="7">
        <f t="shared" si="16"/>
        <v>46673.48029484773</v>
      </c>
      <c r="AD81" s="7">
        <f t="shared" si="17"/>
        <v>25009.305555069604</v>
      </c>
      <c r="AE81" s="16"/>
      <c r="AF81" s="7">
        <f t="shared" si="9"/>
        <v>69267.603073322</v>
      </c>
      <c r="AH81" s="7">
        <f t="shared" si="18"/>
        <v>47544.81961853401</v>
      </c>
      <c r="AJ81" s="7">
        <f t="shared" si="10"/>
        <v>96328.63022960153</v>
      </c>
      <c r="AK81" s="124"/>
      <c r="AL81" s="7">
        <f t="shared" si="11"/>
        <v>131604.92298985494</v>
      </c>
      <c r="AM81" s="72"/>
      <c r="AN81" s="7">
        <f t="shared" si="12"/>
        <v>107769.760899824</v>
      </c>
      <c r="AP81" s="21">
        <f t="shared" si="13"/>
        <v>111901.1047064268</v>
      </c>
      <c r="AQ81" s="7"/>
      <c r="AR81" s="16"/>
      <c r="AS81" s="7"/>
      <c r="AU81" s="7"/>
    </row>
    <row r="82" spans="2:47" ht="12.75">
      <c r="B82" s="4" t="s">
        <v>130</v>
      </c>
      <c r="D82" s="4" t="s">
        <v>34</v>
      </c>
      <c r="F82" s="7">
        <f t="shared" si="14"/>
        <v>8795.452900011262</v>
      </c>
      <c r="H82" s="7">
        <f t="shared" si="14"/>
        <v>7491.818387847187</v>
      </c>
      <c r="J82" s="7">
        <f t="shared" si="4"/>
        <v>7283.182377222525</v>
      </c>
      <c r="L82" s="7">
        <f t="shared" si="5"/>
        <v>2052.0613342675297</v>
      </c>
      <c r="M82" s="16"/>
      <c r="N82" s="7">
        <f t="shared" si="6"/>
        <v>1418.1161191867395</v>
      </c>
      <c r="P82" s="7">
        <f t="shared" si="15"/>
        <v>1330.8430137886035</v>
      </c>
      <c r="Q82" s="7"/>
      <c r="R82" s="7">
        <f t="shared" si="3"/>
        <v>10847.514234278791</v>
      </c>
      <c r="S82" s="7"/>
      <c r="T82" s="7">
        <f t="shared" si="3"/>
        <v>8909.934507033926</v>
      </c>
      <c r="U82" s="7"/>
      <c r="V82" s="7">
        <f t="shared" si="3"/>
        <v>8614.025391011128</v>
      </c>
      <c r="X82" s="7">
        <f t="shared" si="7"/>
        <v>15912.395563239974</v>
      </c>
      <c r="Y82" s="16"/>
      <c r="Z82" s="7">
        <f t="shared" si="8"/>
        <v>23233.03539147816</v>
      </c>
      <c r="AB82" s="7">
        <f t="shared" si="16"/>
        <v>27003.942170590475</v>
      </c>
      <c r="AD82" s="7">
        <f t="shared" si="17"/>
        <v>19791.53677019897</v>
      </c>
      <c r="AE82" s="16"/>
      <c r="AF82" s="7">
        <f t="shared" si="9"/>
        <v>39932.96242751623</v>
      </c>
      <c r="AH82" s="7">
        <f t="shared" si="18"/>
        <v>29170.925184279833</v>
      </c>
      <c r="AJ82" s="7">
        <f t="shared" si="10"/>
        <v>46551.446567717736</v>
      </c>
      <c r="AK82" s="124"/>
      <c r="AL82" s="7">
        <f t="shared" si="11"/>
        <v>72075.93232602831</v>
      </c>
      <c r="AM82" s="72"/>
      <c r="AN82" s="7">
        <f t="shared" si="12"/>
        <v>64788.892745881436</v>
      </c>
      <c r="AP82" s="21">
        <f t="shared" si="13"/>
        <v>61138.75721320917</v>
      </c>
      <c r="AQ82" s="7"/>
      <c r="AR82" s="16"/>
      <c r="AS82" s="7"/>
      <c r="AU82" s="7"/>
    </row>
    <row r="83" spans="2:47" ht="12.75">
      <c r="B83" s="4" t="s">
        <v>131</v>
      </c>
      <c r="D83" s="4" t="s">
        <v>34</v>
      </c>
      <c r="F83" s="7">
        <f t="shared" si="14"/>
        <v>14196.544122590993</v>
      </c>
      <c r="H83" s="7">
        <f t="shared" si="14"/>
        <v>109834.80351413974</v>
      </c>
      <c r="J83" s="7">
        <f t="shared" si="4"/>
        <v>12332.545239386383</v>
      </c>
      <c r="L83" s="7">
        <f t="shared" si="5"/>
        <v>1.9238075008758087</v>
      </c>
      <c r="M83" s="16"/>
      <c r="N83" s="7">
        <f t="shared" si="6"/>
        <v>1.6207041362134162</v>
      </c>
      <c r="P83" s="7">
        <f t="shared" si="15"/>
        <v>1.2234511873439662</v>
      </c>
      <c r="Q83" s="7"/>
      <c r="R83" s="7">
        <f t="shared" si="3"/>
        <v>14198.467930091869</v>
      </c>
      <c r="S83" s="7"/>
      <c r="T83" s="7">
        <f t="shared" si="3"/>
        <v>109836.42421827595</v>
      </c>
      <c r="U83" s="7"/>
      <c r="V83" s="7">
        <f t="shared" si="3"/>
        <v>12333.768690573728</v>
      </c>
      <c r="X83" s="7">
        <f t="shared" si="7"/>
        <v>15.833229416159176</v>
      </c>
      <c r="Y83" s="16"/>
      <c r="Z83" s="7">
        <f t="shared" si="8"/>
        <v>16.654505656973598</v>
      </c>
      <c r="AB83" s="7">
        <f t="shared" si="16"/>
        <v>16.669100105302764</v>
      </c>
      <c r="AD83" s="7">
        <f t="shared" si="17"/>
        <v>1943.169064710444</v>
      </c>
      <c r="AE83" s="16"/>
      <c r="AF83" s="7">
        <f t="shared" si="9"/>
        <v>1949.334184850318</v>
      </c>
      <c r="AH83" s="7">
        <f t="shared" si="18"/>
        <v>2026.8110355311317</v>
      </c>
      <c r="AJ83" s="7">
        <f t="shared" si="10"/>
        <v>16157.470224218472</v>
      </c>
      <c r="AK83" s="124"/>
      <c r="AL83" s="7">
        <f t="shared" si="11"/>
        <v>111802.41290878324</v>
      </c>
      <c r="AM83" s="72"/>
      <c r="AN83" s="7">
        <f t="shared" si="12"/>
        <v>14377.248826210161</v>
      </c>
      <c r="AP83" s="21">
        <f t="shared" si="13"/>
        <v>47445.71065307062</v>
      </c>
      <c r="AQ83" s="7"/>
      <c r="AR83" s="16"/>
      <c r="AS83" s="7"/>
      <c r="AU83" s="7"/>
    </row>
    <row r="84" spans="2:47" ht="12.75">
      <c r="B84" s="4" t="s">
        <v>132</v>
      </c>
      <c r="D84" s="4" t="s">
        <v>34</v>
      </c>
      <c r="F84" s="7">
        <f t="shared" si="14"/>
        <v>2113.470478400764</v>
      </c>
      <c r="H84" s="7">
        <f t="shared" si="14"/>
        <v>2994.467379757926</v>
      </c>
      <c r="J84" s="7">
        <f t="shared" si="4"/>
        <v>2164.012655213083</v>
      </c>
      <c r="L84" s="7">
        <f t="shared" si="5"/>
        <v>510.4502568990479</v>
      </c>
      <c r="M84" s="16"/>
      <c r="N84" s="7">
        <f t="shared" si="6"/>
        <v>480.80889374331366</v>
      </c>
      <c r="P84" s="7">
        <f t="shared" si="15"/>
        <v>550.5530343047849</v>
      </c>
      <c r="Q84" s="7"/>
      <c r="R84" s="7">
        <f t="shared" si="3"/>
        <v>2623.920735299812</v>
      </c>
      <c r="S84" s="7"/>
      <c r="T84" s="7">
        <f t="shared" si="3"/>
        <v>3475.2762735012398</v>
      </c>
      <c r="U84" s="7"/>
      <c r="V84" s="7">
        <f t="shared" si="3"/>
        <v>2714.5656895178677</v>
      </c>
      <c r="X84" s="7">
        <f t="shared" si="7"/>
        <v>25095.668624612284</v>
      </c>
      <c r="Y84" s="16"/>
      <c r="Z84" s="7">
        <f t="shared" si="8"/>
        <v>32309.740974528766</v>
      </c>
      <c r="AB84" s="7">
        <f t="shared" si="16"/>
        <v>28504.161180067727</v>
      </c>
      <c r="AD84" s="7">
        <f t="shared" si="17"/>
        <v>14573.767985328333</v>
      </c>
      <c r="AE84" s="16"/>
      <c r="AF84" s="7">
        <f t="shared" si="9"/>
        <v>40122.2181736182</v>
      </c>
      <c r="AH84" s="7">
        <f t="shared" si="18"/>
        <v>28223.817223751266</v>
      </c>
      <c r="AJ84" s="7">
        <f t="shared" si="10"/>
        <v>42293.35734524043</v>
      </c>
      <c r="AK84" s="124"/>
      <c r="AL84" s="7">
        <f t="shared" si="11"/>
        <v>75907.2354216482</v>
      </c>
      <c r="AM84" s="72"/>
      <c r="AN84" s="7">
        <f t="shared" si="12"/>
        <v>59442.544093336866</v>
      </c>
      <c r="AP84" s="21">
        <f t="shared" si="13"/>
        <v>59214.37895340851</v>
      </c>
      <c r="AQ84" s="7"/>
      <c r="AR84" s="16"/>
      <c r="AS84" s="7"/>
      <c r="AU84" s="7"/>
    </row>
    <row r="85" spans="2:47" ht="12.75">
      <c r="B85" s="4" t="s">
        <v>133</v>
      </c>
      <c r="D85" s="4" t="s">
        <v>34</v>
      </c>
      <c r="F85" s="7">
        <f t="shared" si="14"/>
        <v>53.37046662628192</v>
      </c>
      <c r="H85" s="7">
        <f t="shared" si="14"/>
        <v>56.499384523734456</v>
      </c>
      <c r="J85" s="7">
        <f t="shared" si="4"/>
        <v>58.172383204652746</v>
      </c>
      <c r="L85" s="7">
        <f t="shared" si="5"/>
        <v>6.412691669586029</v>
      </c>
      <c r="M85" s="16"/>
      <c r="N85" s="7">
        <f t="shared" si="6"/>
        <v>6.752933900889234</v>
      </c>
      <c r="P85" s="7">
        <f t="shared" si="15"/>
        <v>6.796951040799812</v>
      </c>
      <c r="Q85" s="7"/>
      <c r="R85" s="7">
        <f t="shared" si="3"/>
        <v>59.78315829586795</v>
      </c>
      <c r="S85" s="7"/>
      <c r="T85" s="7">
        <f t="shared" si="3"/>
        <v>63.25231842462369</v>
      </c>
      <c r="U85" s="7"/>
      <c r="V85" s="7">
        <f t="shared" si="3"/>
        <v>64.96933424545256</v>
      </c>
      <c r="X85" s="7">
        <f t="shared" si="7"/>
        <v>395.8307354039794</v>
      </c>
      <c r="Y85" s="16"/>
      <c r="Z85" s="7">
        <f t="shared" si="8"/>
        <v>416.3626414243399</v>
      </c>
      <c r="AB85" s="7">
        <f t="shared" si="16"/>
        <v>416.7275026325691</v>
      </c>
      <c r="AD85" s="7">
        <f t="shared" si="17"/>
        <v>2159.07673856716</v>
      </c>
      <c r="AE85" s="16"/>
      <c r="AF85" s="7">
        <f t="shared" si="9"/>
        <v>2271.068953223672</v>
      </c>
      <c r="AH85" s="7">
        <f t="shared" si="18"/>
        <v>1458.5462592139916</v>
      </c>
      <c r="AJ85" s="7">
        <f t="shared" si="10"/>
        <v>2614.6906322670075</v>
      </c>
      <c r="AK85" s="124"/>
      <c r="AL85" s="7">
        <f t="shared" si="11"/>
        <v>2750.6839130726357</v>
      </c>
      <c r="AM85" s="72"/>
      <c r="AN85" s="7">
        <f t="shared" si="12"/>
        <v>1940.2430960920133</v>
      </c>
      <c r="AP85" s="21">
        <f t="shared" si="13"/>
        <v>2435.2058804772187</v>
      </c>
      <c r="AQ85" s="7"/>
      <c r="AR85" s="16"/>
      <c r="AS85" s="7"/>
      <c r="AU85" s="7"/>
    </row>
    <row r="86" spans="2:47" ht="12.75">
      <c r="B86" s="4" t="s">
        <v>134</v>
      </c>
      <c r="D86" s="4" t="s">
        <v>34</v>
      </c>
      <c r="F86" s="7">
        <f t="shared" si="14"/>
        <v>2433.693278158456</v>
      </c>
      <c r="H86" s="7">
        <f t="shared" si="14"/>
        <v>2237.3756271398843</v>
      </c>
      <c r="J86" s="7">
        <f t="shared" si="4"/>
        <v>1977.8610289581939</v>
      </c>
      <c r="L86" s="7">
        <f t="shared" si="5"/>
        <v>18.981567341974642</v>
      </c>
      <c r="M86" s="16"/>
      <c r="N86" s="7">
        <f t="shared" si="6"/>
        <v>14.451278547902964</v>
      </c>
      <c r="P86" s="7">
        <f t="shared" si="15"/>
        <v>16.992377601999536</v>
      </c>
      <c r="Q86" s="7"/>
      <c r="R86" s="7">
        <f t="shared" si="3"/>
        <v>2452.674845500431</v>
      </c>
      <c r="S86" s="7"/>
      <c r="T86" s="7">
        <f t="shared" si="3"/>
        <v>2251.826905687787</v>
      </c>
      <c r="U86" s="7"/>
      <c r="V86" s="7">
        <f t="shared" si="3"/>
        <v>1994.8534065601934</v>
      </c>
      <c r="X86" s="7">
        <f t="shared" si="7"/>
        <v>39.58307354039794</v>
      </c>
      <c r="Y86" s="16"/>
      <c r="Z86" s="7">
        <f t="shared" si="8"/>
        <v>41.63626414243399</v>
      </c>
      <c r="AB86" s="7">
        <f t="shared" si="16"/>
        <v>41.6727502632569</v>
      </c>
      <c r="AD86" s="7">
        <f t="shared" si="17"/>
        <v>1727.2613908537282</v>
      </c>
      <c r="AE86" s="16"/>
      <c r="AF86" s="7">
        <f t="shared" si="9"/>
        <v>1816.8551625789376</v>
      </c>
      <c r="AH86" s="7">
        <f t="shared" si="18"/>
        <v>1818.4472842148468</v>
      </c>
      <c r="AJ86" s="7">
        <f t="shared" si="10"/>
        <v>4219.5193098945565</v>
      </c>
      <c r="AK86" s="124"/>
      <c r="AL86" s="7">
        <f t="shared" si="11"/>
        <v>4110.318332409159</v>
      </c>
      <c r="AM86" s="72"/>
      <c r="AN86" s="7">
        <f t="shared" si="12"/>
        <v>3854.973441038297</v>
      </c>
      <c r="AP86" s="21">
        <f t="shared" si="13"/>
        <v>4061.6036944473376</v>
      </c>
      <c r="AQ86" s="7"/>
      <c r="AR86" s="16"/>
      <c r="AS86" s="7"/>
      <c r="AU86" s="7"/>
    </row>
    <row r="87" spans="2:47" ht="12.75">
      <c r="B87" s="4" t="s">
        <v>135</v>
      </c>
      <c r="D87" s="4" t="s">
        <v>34</v>
      </c>
      <c r="F87" s="7">
        <f t="shared" si="14"/>
        <v>10.674093325256386</v>
      </c>
      <c r="H87" s="7">
        <f t="shared" si="14"/>
        <v>11.299876904746892</v>
      </c>
      <c r="J87" s="7">
        <f t="shared" si="4"/>
        <v>11.634476640930552</v>
      </c>
      <c r="L87" s="7">
        <f t="shared" si="5"/>
        <v>1.2825383339172058</v>
      </c>
      <c r="M87" s="16"/>
      <c r="N87" s="7">
        <f t="shared" si="6"/>
        <v>1.350586780177847</v>
      </c>
      <c r="P87" s="7">
        <f t="shared" si="15"/>
        <v>1.3593902081599623</v>
      </c>
      <c r="Q87" s="7"/>
      <c r="R87" s="7">
        <f t="shared" si="3"/>
        <v>11.956631659173592</v>
      </c>
      <c r="S87" s="7"/>
      <c r="T87" s="7">
        <f t="shared" si="3"/>
        <v>12.65046368492474</v>
      </c>
      <c r="U87" s="7"/>
      <c r="V87" s="7">
        <f t="shared" si="3"/>
        <v>12.993866849090514</v>
      </c>
      <c r="X87" s="7">
        <f t="shared" si="7"/>
        <v>79.16614708079588</v>
      </c>
      <c r="Y87" s="16"/>
      <c r="Z87" s="7">
        <f t="shared" si="8"/>
        <v>83.27252828486797</v>
      </c>
      <c r="AB87" s="7">
        <f t="shared" si="16"/>
        <v>83.3455005265138</v>
      </c>
      <c r="AD87" s="7">
        <f t="shared" si="17"/>
        <v>4318.15347713432</v>
      </c>
      <c r="AE87" s="16"/>
      <c r="AF87" s="7">
        <f t="shared" si="9"/>
        <v>4542.137906447344</v>
      </c>
      <c r="AH87" s="7">
        <f t="shared" si="18"/>
        <v>4546.118210537117</v>
      </c>
      <c r="AJ87" s="7">
        <f t="shared" si="10"/>
        <v>4409.27625587429</v>
      </c>
      <c r="AK87" s="124"/>
      <c r="AL87" s="7">
        <f t="shared" si="11"/>
        <v>4638.060898417137</v>
      </c>
      <c r="AM87" s="72"/>
      <c r="AN87" s="7">
        <f t="shared" si="12"/>
        <v>4642.457577912722</v>
      </c>
      <c r="AP87" s="21">
        <f t="shared" si="13"/>
        <v>4563.264910734716</v>
      </c>
      <c r="AQ87" s="7"/>
      <c r="AR87" s="16"/>
      <c r="AS87" s="7"/>
      <c r="AU87" s="7"/>
    </row>
    <row r="88" spans="2:47" ht="12.75">
      <c r="B88" s="4" t="s">
        <v>136</v>
      </c>
      <c r="D88" s="4" t="s">
        <v>34</v>
      </c>
      <c r="F88" s="7">
        <f t="shared" si="14"/>
        <v>18893.145185703797</v>
      </c>
      <c r="H88" s="7">
        <f t="shared" si="14"/>
        <v>18305.80058568996</v>
      </c>
      <c r="J88" s="7">
        <f t="shared" si="4"/>
        <v>17335.370194986517</v>
      </c>
      <c r="L88" s="7">
        <f t="shared" si="5"/>
        <v>3886.0911517691334</v>
      </c>
      <c r="M88" s="16"/>
      <c r="N88" s="7">
        <f t="shared" si="6"/>
        <v>3349.4552148410603</v>
      </c>
      <c r="P88" s="7">
        <f t="shared" si="15"/>
        <v>3643.1657578687</v>
      </c>
      <c r="Q88" s="7"/>
      <c r="R88" s="7">
        <f t="shared" si="3"/>
        <v>22779.236337472932</v>
      </c>
      <c r="S88" s="7"/>
      <c r="T88" s="7">
        <f t="shared" si="3"/>
        <v>21655.25580053102</v>
      </c>
      <c r="U88" s="7"/>
      <c r="V88" s="7">
        <f t="shared" si="3"/>
        <v>20978.535952855218</v>
      </c>
      <c r="X88" s="7">
        <f t="shared" si="7"/>
        <v>113999.25179634607</v>
      </c>
      <c r="Y88" s="16"/>
      <c r="Z88" s="7">
        <f t="shared" si="8"/>
        <v>426355.3448185241</v>
      </c>
      <c r="AB88" s="7">
        <f t="shared" si="16"/>
        <v>140020.44088454318</v>
      </c>
      <c r="AD88" s="7">
        <f t="shared" si="17"/>
        <v>573954.56633577</v>
      </c>
      <c r="AE88" s="16"/>
      <c r="AF88" s="7">
        <f t="shared" si="9"/>
        <v>624543.96213651</v>
      </c>
      <c r="AH88" s="7">
        <f t="shared" si="18"/>
        <v>625091.2539488537</v>
      </c>
      <c r="AJ88" s="7">
        <f t="shared" si="10"/>
        <v>710733.0544695889</v>
      </c>
      <c r="AK88" s="124"/>
      <c r="AL88" s="7">
        <f t="shared" si="11"/>
        <v>1072554.5627555652</v>
      </c>
      <c r="AM88" s="72"/>
      <c r="AN88" s="7">
        <f t="shared" si="12"/>
        <v>786090.2307862521</v>
      </c>
      <c r="AP88" s="21">
        <f t="shared" si="13"/>
        <v>856459.2826704687</v>
      </c>
      <c r="AQ88" s="7"/>
      <c r="AR88" s="16"/>
      <c r="AS88" s="7"/>
      <c r="AU88" s="7"/>
    </row>
    <row r="89" spans="2:47" ht="12.75">
      <c r="B89" s="4" t="s">
        <v>35</v>
      </c>
      <c r="D89" s="4" t="s">
        <v>34</v>
      </c>
      <c r="F89" s="7">
        <f t="shared" si="14"/>
        <v>8859.4974599628</v>
      </c>
      <c r="H89" s="7">
        <f t="shared" si="14"/>
        <v>7570.917526180416</v>
      </c>
      <c r="J89" s="7">
        <f t="shared" si="4"/>
        <v>7341.354760427179</v>
      </c>
      <c r="L89" s="7">
        <f t="shared" si="5"/>
        <v>2070.01687094237</v>
      </c>
      <c r="M89" s="16"/>
      <c r="N89" s="7">
        <f t="shared" si="6"/>
        <v>1434.3231605488736</v>
      </c>
      <c r="P89" s="7">
        <f t="shared" si="15"/>
        <v>1349.874476702843</v>
      </c>
      <c r="Q89" s="7"/>
      <c r="R89" s="7">
        <f t="shared" si="3"/>
        <v>10929.514330905171</v>
      </c>
      <c r="S89" s="7"/>
      <c r="T89" s="7">
        <f t="shared" si="3"/>
        <v>9005.240686729288</v>
      </c>
      <c r="U89" s="7"/>
      <c r="V89" s="7">
        <f t="shared" si="3"/>
        <v>8691.229237130021</v>
      </c>
      <c r="X89" s="7">
        <f t="shared" si="7"/>
        <v>16070.727857401565</v>
      </c>
      <c r="Y89" s="16"/>
      <c r="Z89" s="7">
        <f t="shared" si="8"/>
        <v>23899.2156177571</v>
      </c>
      <c r="AB89" s="7">
        <f t="shared" si="16"/>
        <v>27170.633171643505</v>
      </c>
      <c r="AD89" s="7">
        <f t="shared" si="17"/>
        <v>22382.428856479564</v>
      </c>
      <c r="AE89" s="16"/>
      <c r="AF89" s="7">
        <f t="shared" si="9"/>
        <v>42658.24517138463</v>
      </c>
      <c r="AH89" s="7">
        <f t="shared" si="18"/>
        <v>31898.596110602106</v>
      </c>
      <c r="AJ89" s="7">
        <f t="shared" si="10"/>
        <v>49382.6710447863</v>
      </c>
      <c r="AK89" s="124"/>
      <c r="AL89" s="7">
        <f t="shared" si="11"/>
        <v>75562.70147587103</v>
      </c>
      <c r="AM89" s="72"/>
      <c r="AN89" s="7">
        <f t="shared" si="12"/>
        <v>67760.45851937562</v>
      </c>
      <c r="AP89" s="21">
        <f>AVERAGE(AJ89,AL89,AN89)</f>
        <v>64235.27701334432</v>
      </c>
      <c r="AQ89" s="7"/>
      <c r="AR89" s="16"/>
      <c r="AS89" s="7"/>
      <c r="AU89" s="7"/>
    </row>
    <row r="90" spans="2:47" ht="12.75">
      <c r="B90" s="4" t="s">
        <v>36</v>
      </c>
      <c r="D90" s="4" t="s">
        <v>34</v>
      </c>
      <c r="F90" s="7">
        <f t="shared" si="14"/>
        <v>901.9608859841644</v>
      </c>
      <c r="H90" s="7">
        <f t="shared" si="14"/>
        <v>1401.1847361886144</v>
      </c>
      <c r="J90" s="7">
        <f t="shared" si="4"/>
        <v>866.7685097493261</v>
      </c>
      <c r="L90" s="7">
        <f t="shared" si="5"/>
        <v>491.21218189028974</v>
      </c>
      <c r="M90" s="16"/>
      <c r="N90" s="7">
        <f t="shared" si="6"/>
        <v>384.91723235068645</v>
      </c>
      <c r="P90" s="7">
        <f t="shared" si="15"/>
        <v>379.26986807662956</v>
      </c>
      <c r="Q90" s="7"/>
      <c r="R90" s="7">
        <f t="shared" si="3"/>
        <v>1393.173067874454</v>
      </c>
      <c r="S90" s="7"/>
      <c r="T90" s="7">
        <f t="shared" si="3"/>
        <v>1786.1019685393007</v>
      </c>
      <c r="U90" s="7"/>
      <c r="V90" s="7">
        <f t="shared" si="3"/>
        <v>1246.0383778259556</v>
      </c>
      <c r="X90" s="7">
        <f t="shared" si="7"/>
        <v>26124.828536662637</v>
      </c>
      <c r="Y90" s="16"/>
      <c r="Z90" s="7">
        <f t="shared" si="8"/>
        <v>31893.378333104432</v>
      </c>
      <c r="AB90" s="7">
        <f t="shared" si="16"/>
        <v>29837.689188491942</v>
      </c>
      <c r="AD90" s="7">
        <f t="shared" si="17"/>
        <v>50391.05184754205</v>
      </c>
      <c r="AE90" s="16"/>
      <c r="AF90" s="7">
        <f t="shared" si="9"/>
        <v>53780.80536979758</v>
      </c>
      <c r="AH90" s="7">
        <f t="shared" si="18"/>
        <v>34391.38426271329</v>
      </c>
      <c r="AJ90" s="7">
        <f t="shared" si="10"/>
        <v>77909.05345207914</v>
      </c>
      <c r="AK90" s="124"/>
      <c r="AL90" s="7">
        <f t="shared" si="11"/>
        <v>87460.28567144132</v>
      </c>
      <c r="AM90" s="72"/>
      <c r="AN90" s="7">
        <f>J90+P90+AB90+AH90</f>
        <v>65475.111829031186</v>
      </c>
      <c r="AP90" s="21">
        <f>AVERAGE(AJ90,AL90,AN90)</f>
        <v>76948.15031751723</v>
      </c>
      <c r="AQ90" s="7"/>
      <c r="AR90" s="16"/>
      <c r="AS90" s="7"/>
      <c r="AU90" s="7"/>
    </row>
    <row r="93" spans="1:42" ht="12.75">
      <c r="A93" s="14" t="s">
        <v>61</v>
      </c>
      <c r="B93" s="17" t="s">
        <v>171</v>
      </c>
      <c r="C93" s="4" t="s">
        <v>157</v>
      </c>
      <c r="F93" s="16" t="s">
        <v>181</v>
      </c>
      <c r="H93" s="16" t="s">
        <v>182</v>
      </c>
      <c r="I93" s="16"/>
      <c r="J93" s="16" t="s">
        <v>183</v>
      </c>
      <c r="K93" s="19"/>
      <c r="L93" s="16" t="s">
        <v>181</v>
      </c>
      <c r="M93" s="16"/>
      <c r="N93" s="16" t="s">
        <v>182</v>
      </c>
      <c r="O93" s="16"/>
      <c r="P93" s="16" t="s">
        <v>183</v>
      </c>
      <c r="Q93" s="16"/>
      <c r="R93" s="16" t="s">
        <v>181</v>
      </c>
      <c r="S93" s="16"/>
      <c r="T93" s="16" t="s">
        <v>182</v>
      </c>
      <c r="U93" s="16"/>
      <c r="V93" s="16" t="s">
        <v>183</v>
      </c>
      <c r="W93" s="19"/>
      <c r="X93" s="16" t="s">
        <v>181</v>
      </c>
      <c r="Y93" s="16"/>
      <c r="Z93" s="16" t="s">
        <v>182</v>
      </c>
      <c r="AA93" s="16"/>
      <c r="AB93" s="16" t="s">
        <v>183</v>
      </c>
      <c r="AC93" s="17"/>
      <c r="AD93" s="16" t="s">
        <v>181</v>
      </c>
      <c r="AE93" s="16"/>
      <c r="AF93" s="16" t="s">
        <v>182</v>
      </c>
      <c r="AG93" s="16"/>
      <c r="AH93" s="16" t="s">
        <v>183</v>
      </c>
      <c r="AI93" s="17"/>
      <c r="AJ93" s="16" t="s">
        <v>181</v>
      </c>
      <c r="AK93" s="16"/>
      <c r="AL93" s="16" t="s">
        <v>182</v>
      </c>
      <c r="AM93" s="16"/>
      <c r="AN93" s="16" t="s">
        <v>183</v>
      </c>
      <c r="AP93" s="16" t="s">
        <v>180</v>
      </c>
    </row>
    <row r="94" spans="1:7" ht="12.75">
      <c r="A94" s="13"/>
      <c r="F94" s="14"/>
      <c r="G94" s="14"/>
    </row>
    <row r="95" spans="1:42" ht="12.75">
      <c r="A95" s="13"/>
      <c r="B95" s="4" t="s">
        <v>240</v>
      </c>
      <c r="F95" s="14" t="s">
        <v>270</v>
      </c>
      <c r="G95" s="14"/>
      <c r="H95" s="14" t="s">
        <v>270</v>
      </c>
      <c r="J95" s="14" t="s">
        <v>270</v>
      </c>
      <c r="L95" s="14" t="s">
        <v>272</v>
      </c>
      <c r="N95" s="14" t="s">
        <v>272</v>
      </c>
      <c r="P95" s="14" t="s">
        <v>272</v>
      </c>
      <c r="X95" s="14" t="s">
        <v>274</v>
      </c>
      <c r="Z95" s="14" t="s">
        <v>274</v>
      </c>
      <c r="AB95" s="14" t="s">
        <v>274</v>
      </c>
      <c r="AD95" s="14" t="s">
        <v>275</v>
      </c>
      <c r="AF95" s="14" t="s">
        <v>275</v>
      </c>
      <c r="AH95" s="14" t="s">
        <v>275</v>
      </c>
      <c r="AJ95" s="14" t="s">
        <v>276</v>
      </c>
      <c r="AL95" s="14" t="s">
        <v>276</v>
      </c>
      <c r="AN95" s="14" t="s">
        <v>276</v>
      </c>
      <c r="AP95" s="14" t="s">
        <v>276</v>
      </c>
    </row>
    <row r="96" spans="1:42" ht="12.75">
      <c r="A96" s="13"/>
      <c r="B96" s="4" t="s">
        <v>241</v>
      </c>
      <c r="F96" s="14" t="s">
        <v>269</v>
      </c>
      <c r="G96" s="14"/>
      <c r="H96" s="14" t="s">
        <v>269</v>
      </c>
      <c r="J96" s="14" t="s">
        <v>269</v>
      </c>
      <c r="L96" s="14" t="s">
        <v>271</v>
      </c>
      <c r="N96" s="14" t="s">
        <v>271</v>
      </c>
      <c r="P96" s="14" t="s">
        <v>271</v>
      </c>
      <c r="X96" s="14" t="s">
        <v>273</v>
      </c>
      <c r="Z96" s="14" t="s">
        <v>273</v>
      </c>
      <c r="AB96" s="14" t="s">
        <v>273</v>
      </c>
      <c r="AD96" s="14" t="s">
        <v>33</v>
      </c>
      <c r="AF96" s="14" t="s">
        <v>33</v>
      </c>
      <c r="AH96" s="14" t="s">
        <v>33</v>
      </c>
      <c r="AJ96" s="14" t="s">
        <v>66</v>
      </c>
      <c r="AL96" s="14" t="s">
        <v>66</v>
      </c>
      <c r="AN96" s="14" t="s">
        <v>66</v>
      </c>
      <c r="AP96" s="14" t="s">
        <v>66</v>
      </c>
    </row>
    <row r="97" spans="1:42" ht="12.75">
      <c r="A97" s="13"/>
      <c r="B97" s="4" t="s">
        <v>278</v>
      </c>
      <c r="F97" s="14"/>
      <c r="G97" s="14"/>
      <c r="R97" s="14" t="s">
        <v>40</v>
      </c>
      <c r="T97" s="14" t="s">
        <v>40</v>
      </c>
      <c r="V97" s="14" t="s">
        <v>40</v>
      </c>
      <c r="X97" s="14" t="s">
        <v>279</v>
      </c>
      <c r="Z97" s="14" t="s">
        <v>279</v>
      </c>
      <c r="AB97" s="14" t="s">
        <v>279</v>
      </c>
      <c r="AD97" s="14" t="s">
        <v>33</v>
      </c>
      <c r="AF97" s="14" t="s">
        <v>33</v>
      </c>
      <c r="AH97" s="14" t="s">
        <v>33</v>
      </c>
      <c r="AJ97" s="14" t="s">
        <v>66</v>
      </c>
      <c r="AL97" s="14" t="s">
        <v>66</v>
      </c>
      <c r="AN97" s="14" t="s">
        <v>66</v>
      </c>
      <c r="AP97" s="14" t="s">
        <v>66</v>
      </c>
    </row>
    <row r="98" spans="2:42" ht="12.75">
      <c r="B98" s="4" t="s">
        <v>20</v>
      </c>
      <c r="C98" s="99"/>
      <c r="D98" s="39"/>
      <c r="F98" s="113" t="s">
        <v>140</v>
      </c>
      <c r="H98" s="113" t="s">
        <v>140</v>
      </c>
      <c r="J98" s="113" t="s">
        <v>140</v>
      </c>
      <c r="L98" s="113" t="s">
        <v>141</v>
      </c>
      <c r="M98" s="16"/>
      <c r="N98" s="113" t="s">
        <v>141</v>
      </c>
      <c r="P98" s="113" t="s">
        <v>141</v>
      </c>
      <c r="Q98" s="113"/>
      <c r="R98" s="113"/>
      <c r="S98" s="113"/>
      <c r="T98" s="113"/>
      <c r="U98" s="113"/>
      <c r="V98" s="113"/>
      <c r="X98" s="97" t="s">
        <v>142</v>
      </c>
      <c r="Y98" s="97"/>
      <c r="Z98" s="97" t="s">
        <v>142</v>
      </c>
      <c r="AA98" s="97"/>
      <c r="AB98" s="97" t="s">
        <v>142</v>
      </c>
      <c r="AC98" s="97"/>
      <c r="AD98" s="97" t="s">
        <v>33</v>
      </c>
      <c r="AE98" s="97"/>
      <c r="AF98" s="97" t="s">
        <v>33</v>
      </c>
      <c r="AG98" s="97"/>
      <c r="AH98" s="97" t="s">
        <v>33</v>
      </c>
      <c r="AI98" s="97"/>
      <c r="AJ98" s="97" t="s">
        <v>66</v>
      </c>
      <c r="AK98" s="97"/>
      <c r="AL98" s="97" t="s">
        <v>66</v>
      </c>
      <c r="AM98" s="97"/>
      <c r="AN98" s="97" t="s">
        <v>66</v>
      </c>
      <c r="AP98" s="16" t="s">
        <v>66</v>
      </c>
    </row>
    <row r="99" spans="2:42" ht="12.75">
      <c r="B99" s="4" t="s">
        <v>65</v>
      </c>
      <c r="D99" s="4" t="s">
        <v>139</v>
      </c>
      <c r="F99" s="19">
        <f>13.79*60</f>
        <v>827.4</v>
      </c>
      <c r="H99" s="19">
        <f>13.19*60</f>
        <v>791.4</v>
      </c>
      <c r="J99" s="19">
        <f>13.67*60</f>
        <v>820.2</v>
      </c>
      <c r="L99" s="19">
        <v>114.6</v>
      </c>
      <c r="M99" s="16"/>
      <c r="N99" s="14">
        <v>90.6</v>
      </c>
      <c r="P99" s="14">
        <v>111.6</v>
      </c>
      <c r="X99" s="19"/>
      <c r="Y99" s="16"/>
      <c r="Z99" s="19"/>
      <c r="AB99" s="19"/>
      <c r="AC99" s="4"/>
      <c r="AD99" s="19"/>
      <c r="AE99" s="16"/>
      <c r="AJ99" s="5"/>
      <c r="AK99" s="16"/>
      <c r="AL99" s="5"/>
      <c r="AM99" s="19"/>
      <c r="AN99" s="5"/>
      <c r="AP99" s="18"/>
    </row>
    <row r="100" spans="2:42" ht="12.75">
      <c r="B100" s="4" t="s">
        <v>143</v>
      </c>
      <c r="D100" s="4" t="s">
        <v>144</v>
      </c>
      <c r="F100" s="19">
        <v>0.917</v>
      </c>
      <c r="H100" s="19">
        <v>0.922</v>
      </c>
      <c r="J100" s="19">
        <v>0.93</v>
      </c>
      <c r="L100" s="19">
        <v>0.779</v>
      </c>
      <c r="M100" s="16"/>
      <c r="N100" s="14">
        <v>0.729</v>
      </c>
      <c r="P100" s="14">
        <v>0.806</v>
      </c>
      <c r="X100" s="19"/>
      <c r="Y100" s="16"/>
      <c r="AC100" s="4"/>
      <c r="AD100" s="19"/>
      <c r="AE100" s="16"/>
      <c r="AJ100" s="5"/>
      <c r="AK100" s="16"/>
      <c r="AL100" s="5"/>
      <c r="AM100" s="19"/>
      <c r="AN100" s="5"/>
      <c r="AP100" s="18"/>
    </row>
    <row r="101" spans="2:42" ht="12.75">
      <c r="B101" s="4" t="s">
        <v>65</v>
      </c>
      <c r="D101" s="4" t="s">
        <v>28</v>
      </c>
      <c r="F101" s="7">
        <f>F100*8.32*F99</f>
        <v>6312.598656</v>
      </c>
      <c r="H101" s="7">
        <f>H100*8.32*H99</f>
        <v>6070.861056000001</v>
      </c>
      <c r="J101" s="7">
        <f>J100*8.32*J99</f>
        <v>6346.37952</v>
      </c>
      <c r="L101" s="7">
        <f>L100*8.32*L99</f>
        <v>742.7546880000001</v>
      </c>
      <c r="M101" s="16"/>
      <c r="N101" s="7">
        <f>N100*8.32*N99</f>
        <v>549.514368</v>
      </c>
      <c r="P101" s="7">
        <f>P100*8.32*P99</f>
        <v>748.380672</v>
      </c>
      <c r="Q101" s="7"/>
      <c r="R101" s="7"/>
      <c r="S101" s="7"/>
      <c r="T101" s="7"/>
      <c r="U101" s="7"/>
      <c r="V101" s="7"/>
      <c r="X101" s="19">
        <f>21.92*2000</f>
        <v>43840</v>
      </c>
      <c r="Y101" s="16"/>
      <c r="Z101" s="19">
        <f>21.99*2000</f>
        <v>43980</v>
      </c>
      <c r="AB101" s="19">
        <f>21.69*2000</f>
        <v>43380</v>
      </c>
      <c r="AC101" s="4"/>
      <c r="AD101" s="19"/>
      <c r="AE101" s="16"/>
      <c r="AJ101" s="7">
        <f>F101+L101+X101+AD101</f>
        <v>50895.353344</v>
      </c>
      <c r="AK101" s="16"/>
      <c r="AL101" s="7">
        <f>H101+N101+Z101+AF101</f>
        <v>50600.375424</v>
      </c>
      <c r="AM101" s="19"/>
      <c r="AN101" s="7">
        <f>J101+P101+AB101+AH101</f>
        <v>50474.760192</v>
      </c>
      <c r="AP101" s="18"/>
    </row>
    <row r="102" spans="2:40" ht="12.75">
      <c r="B102" s="4" t="s">
        <v>21</v>
      </c>
      <c r="D102" s="4" t="s">
        <v>22</v>
      </c>
      <c r="F102" s="19">
        <v>7940</v>
      </c>
      <c r="H102" s="14">
        <v>7560</v>
      </c>
      <c r="J102" s="14">
        <v>6890</v>
      </c>
      <c r="L102" s="19">
        <v>5840</v>
      </c>
      <c r="M102" s="16"/>
      <c r="N102" s="14">
        <v>5650</v>
      </c>
      <c r="P102" s="14">
        <v>5400</v>
      </c>
      <c r="X102" s="19"/>
      <c r="Y102" s="16"/>
      <c r="AC102" s="4"/>
      <c r="AD102" s="19"/>
      <c r="AE102" s="16"/>
      <c r="AJ102" s="7"/>
      <c r="AK102" s="16"/>
      <c r="AL102" s="7"/>
      <c r="AM102" s="19"/>
      <c r="AN102" s="7"/>
    </row>
    <row r="103" spans="12:40" ht="12.75">
      <c r="L103" s="19"/>
      <c r="M103" s="16"/>
      <c r="X103" s="6"/>
      <c r="Y103" s="16"/>
      <c r="AC103" s="4"/>
      <c r="AD103" s="6"/>
      <c r="AE103" s="16"/>
      <c r="AJ103" s="72"/>
      <c r="AK103" s="114"/>
      <c r="AL103" s="72"/>
      <c r="AM103" s="40"/>
      <c r="AN103" s="72"/>
    </row>
    <row r="104" spans="2:42" ht="12.75">
      <c r="B104" s="4" t="s">
        <v>23</v>
      </c>
      <c r="D104" s="4" t="s">
        <v>18</v>
      </c>
      <c r="E104" s="16"/>
      <c r="F104" s="6">
        <v>1.62</v>
      </c>
      <c r="H104" s="14">
        <v>2.04</v>
      </c>
      <c r="I104" s="5"/>
      <c r="J104" s="14">
        <v>1.03</v>
      </c>
      <c r="K104" s="19"/>
      <c r="L104" s="5">
        <v>41.4</v>
      </c>
      <c r="M104" s="16"/>
      <c r="N104" s="14">
        <v>42.9</v>
      </c>
      <c r="O104" s="5"/>
      <c r="P104" s="14">
        <v>40.7</v>
      </c>
      <c r="W104" s="19"/>
      <c r="X104" s="19"/>
      <c r="Y104" s="16"/>
      <c r="AA104" s="5"/>
      <c r="AC104" s="4"/>
      <c r="AD104" s="19"/>
      <c r="AE104" s="16"/>
      <c r="AG104" s="5"/>
      <c r="AJ104" s="62"/>
      <c r="AK104" s="114"/>
      <c r="AL104" s="62"/>
      <c r="AM104" s="40"/>
      <c r="AN104" s="62"/>
      <c r="AO104" s="115"/>
      <c r="AP104" s="116"/>
    </row>
    <row r="105" spans="2:42" ht="12.75">
      <c r="B105" s="4" t="s">
        <v>24</v>
      </c>
      <c r="D105" s="4" t="s">
        <v>28</v>
      </c>
      <c r="E105" s="16"/>
      <c r="F105" s="19">
        <v>91.8</v>
      </c>
      <c r="H105" s="14">
        <v>94.9</v>
      </c>
      <c r="I105" s="5"/>
      <c r="J105" s="14">
        <v>126.6</v>
      </c>
      <c r="L105" s="19">
        <v>0.25</v>
      </c>
      <c r="M105" s="16"/>
      <c r="N105" s="14">
        <v>0.12</v>
      </c>
      <c r="O105" s="5"/>
      <c r="P105" s="14">
        <v>0.18</v>
      </c>
      <c r="X105" s="6">
        <v>22.8</v>
      </c>
      <c r="Y105" s="117"/>
      <c r="Z105" s="60">
        <v>5.3</v>
      </c>
      <c r="AA105" s="6"/>
      <c r="AB105" s="60">
        <v>2.2</v>
      </c>
      <c r="AC105" s="4"/>
      <c r="AD105" s="19"/>
      <c r="AE105" s="16"/>
      <c r="AF105" s="19"/>
      <c r="AG105" s="5"/>
      <c r="AH105" s="19"/>
      <c r="AJ105" s="5">
        <f>F105+L105+X105+AD105</f>
        <v>114.85</v>
      </c>
      <c r="AK105" s="114"/>
      <c r="AL105" s="5">
        <f>H105+N105+Z105+AF105</f>
        <v>100.32000000000001</v>
      </c>
      <c r="AM105" s="40"/>
      <c r="AN105" s="5">
        <f>J105+P105+AB105+AH105</f>
        <v>128.98</v>
      </c>
      <c r="AO105" s="115"/>
      <c r="AP105" s="115"/>
    </row>
    <row r="106" spans="5:42" ht="12.75">
      <c r="E106" s="16"/>
      <c r="I106" s="5"/>
      <c r="L106" s="19"/>
      <c r="M106" s="16"/>
      <c r="O106" s="5"/>
      <c r="X106" s="6"/>
      <c r="Y106" s="117"/>
      <c r="Z106" s="60"/>
      <c r="AA106" s="6"/>
      <c r="AB106" s="60"/>
      <c r="AC106" s="4"/>
      <c r="AD106" s="19"/>
      <c r="AE106" s="16"/>
      <c r="AF106" s="19"/>
      <c r="AG106" s="5"/>
      <c r="AH106" s="19"/>
      <c r="AJ106" s="5"/>
      <c r="AK106" s="114"/>
      <c r="AL106" s="5"/>
      <c r="AM106" s="40"/>
      <c r="AN106" s="5"/>
      <c r="AO106" s="115"/>
      <c r="AP106" s="115"/>
    </row>
    <row r="107" spans="2:42" ht="12.75">
      <c r="B107" s="4" t="s">
        <v>123</v>
      </c>
      <c r="D107" s="4" t="s">
        <v>28</v>
      </c>
      <c r="E107" s="16"/>
      <c r="F107" s="68">
        <f>0.7/1000000*F$101</f>
        <v>0.0044188190592</v>
      </c>
      <c r="G107" s="122"/>
      <c r="H107" s="68">
        <f>0.7/1000000*H$101</f>
        <v>0.004249602739200001</v>
      </c>
      <c r="I107" s="68"/>
      <c r="J107" s="68">
        <f>0.5/1000000*J$101</f>
        <v>0.00317318976</v>
      </c>
      <c r="L107" s="68">
        <f>5/2/1000000*L$101</f>
        <v>0.0018568867200000005</v>
      </c>
      <c r="M107" s="16"/>
      <c r="N107" s="68">
        <f>5/2/1000000*N$101</f>
        <v>0.00137378592</v>
      </c>
      <c r="O107" s="5"/>
      <c r="P107" s="68">
        <f>5/2/1000000*P$101</f>
        <v>0.0018709516800000001</v>
      </c>
      <c r="Q107" s="68"/>
      <c r="R107" s="68"/>
      <c r="S107" s="68"/>
      <c r="T107" s="68"/>
      <c r="U107" s="68"/>
      <c r="V107" s="68"/>
      <c r="X107" s="68">
        <f>25/2/1000000*X$101</f>
        <v>0.548</v>
      </c>
      <c r="Y107" s="117"/>
      <c r="Z107" s="68">
        <f>25/2/1000000*Z$101</f>
        <v>0.5497500000000001</v>
      </c>
      <c r="AA107" s="6"/>
      <c r="AB107" s="68">
        <f>25/2/1000000*AB$101</f>
        <v>0.54225</v>
      </c>
      <c r="AC107" s="4"/>
      <c r="AD107" s="19">
        <v>0.068</v>
      </c>
      <c r="AE107" s="16"/>
      <c r="AF107" s="19">
        <v>0.063</v>
      </c>
      <c r="AG107" s="5"/>
      <c r="AH107" s="19">
        <v>0.067</v>
      </c>
      <c r="AJ107" s="6">
        <f>F107+L107+X107+AD107</f>
        <v>0.6222757057792001</v>
      </c>
      <c r="AK107" s="119"/>
      <c r="AL107" s="6">
        <f>H107+N107+Z107+AF107</f>
        <v>0.6183733886592</v>
      </c>
      <c r="AM107" s="62"/>
      <c r="AN107" s="6">
        <f>J107+P107+AB107+AH107</f>
        <v>0.61429414144</v>
      </c>
      <c r="AO107" s="115"/>
      <c r="AP107" s="115"/>
    </row>
    <row r="108" spans="2:42" ht="12.75">
      <c r="B108" s="4" t="s">
        <v>124</v>
      </c>
      <c r="D108" s="4" t="s">
        <v>28</v>
      </c>
      <c r="E108" s="16"/>
      <c r="F108" s="68">
        <f>1.7/1000000*F$101</f>
        <v>0.0107314177152</v>
      </c>
      <c r="G108" s="122"/>
      <c r="H108" s="68">
        <f>1.5/1000000*H$101</f>
        <v>0.009106291584000002</v>
      </c>
      <c r="I108" s="68"/>
      <c r="J108" s="68">
        <f>2.4/1000000*J$101</f>
        <v>0.015231310848</v>
      </c>
      <c r="L108" s="68">
        <f>2/2/1000000*L$101</f>
        <v>0.000742754688</v>
      </c>
      <c r="M108" s="16"/>
      <c r="N108" s="68">
        <f>2/2/1000000*N$101</f>
        <v>0.000549514368</v>
      </c>
      <c r="O108" s="5"/>
      <c r="P108" s="68">
        <f>2/2/1000000*P$101</f>
        <v>0.000748380672</v>
      </c>
      <c r="Q108" s="68"/>
      <c r="R108" s="68"/>
      <c r="S108" s="68"/>
      <c r="T108" s="68"/>
      <c r="U108" s="68"/>
      <c r="V108" s="68"/>
      <c r="X108" s="68">
        <f>10/2/1000000*X$101</f>
        <v>0.2192</v>
      </c>
      <c r="Y108" s="117"/>
      <c r="Z108" s="68">
        <f>10/2/1000000*Z$101</f>
        <v>0.2199</v>
      </c>
      <c r="AA108" s="6"/>
      <c r="AB108" s="68">
        <f>10/2/1000000*AB$101</f>
        <v>0.2169</v>
      </c>
      <c r="AC108" s="4"/>
      <c r="AD108" s="19">
        <v>0.305</v>
      </c>
      <c r="AE108" s="16"/>
      <c r="AF108" s="19">
        <v>0.205</v>
      </c>
      <c r="AG108" s="5"/>
      <c r="AH108" s="19">
        <v>0.196</v>
      </c>
      <c r="AJ108" s="6">
        <f aca="true" t="shared" si="19" ref="AJ108:AJ120">F108+L108+X108+AD108</f>
        <v>0.5356741724032</v>
      </c>
      <c r="AK108" s="119"/>
      <c r="AL108" s="6">
        <f aca="true" t="shared" si="20" ref="AL108:AL120">H108+N108+Z108+AF108</f>
        <v>0.434555805952</v>
      </c>
      <c r="AM108" s="62"/>
      <c r="AN108" s="6">
        <f aca="true" t="shared" si="21" ref="AN108:AN120">J108+P108+AB108+AH108</f>
        <v>0.42887969152000005</v>
      </c>
      <c r="AO108" s="115"/>
      <c r="AP108" s="115"/>
    </row>
    <row r="109" spans="2:42" ht="12.75">
      <c r="B109" s="4" t="s">
        <v>125</v>
      </c>
      <c r="D109" s="4" t="s">
        <v>28</v>
      </c>
      <c r="E109" s="16"/>
      <c r="F109" s="6">
        <f>65.4/1000000*F$101</f>
        <v>0.41284395210240005</v>
      </c>
      <c r="G109" s="117"/>
      <c r="H109" s="6">
        <f>57.7/1000000*H$101</f>
        <v>0.3502886829312</v>
      </c>
      <c r="I109" s="6"/>
      <c r="J109" s="6">
        <f>48.6/1000000*J$101</f>
        <v>0.30843404467200003</v>
      </c>
      <c r="L109" s="6">
        <f>33/1000000*L$101</f>
        <v>0.024510904704000004</v>
      </c>
      <c r="M109" s="16"/>
      <c r="N109" s="6">
        <f>38.6/1000000*N$101</f>
        <v>0.0212112546048</v>
      </c>
      <c r="O109" s="5"/>
      <c r="P109" s="6">
        <f>25.8/1000000*P$101</f>
        <v>0.0193082213376</v>
      </c>
      <c r="Q109" s="6"/>
      <c r="R109" s="6"/>
      <c r="S109" s="6"/>
      <c r="T109" s="6"/>
      <c r="U109" s="6"/>
      <c r="V109" s="6"/>
      <c r="X109" s="6">
        <f>315/1000000*X$101</f>
        <v>13.809600000000001</v>
      </c>
      <c r="Y109" s="117"/>
      <c r="Z109" s="6">
        <f>309/1000000*Z$101</f>
        <v>13.58982</v>
      </c>
      <c r="AA109" s="6"/>
      <c r="AB109" s="6">
        <f>261/1000000*AB$101</f>
        <v>11.32218</v>
      </c>
      <c r="AC109" s="4"/>
      <c r="AD109" s="19">
        <v>16.1</v>
      </c>
      <c r="AE109" s="16"/>
      <c r="AF109" s="19">
        <v>16.1</v>
      </c>
      <c r="AG109" s="5"/>
      <c r="AH109" s="19">
        <v>16</v>
      </c>
      <c r="AJ109" s="6">
        <f t="shared" si="19"/>
        <v>30.346954856806402</v>
      </c>
      <c r="AK109" s="119"/>
      <c r="AL109" s="6">
        <f t="shared" si="20"/>
        <v>30.061319937536002</v>
      </c>
      <c r="AM109" s="62"/>
      <c r="AN109" s="6">
        <f t="shared" si="21"/>
        <v>27.6499222660096</v>
      </c>
      <c r="AO109" s="115"/>
      <c r="AP109" s="115"/>
    </row>
    <row r="110" spans="2:42" ht="12.75">
      <c r="B110" s="4" t="s">
        <v>126</v>
      </c>
      <c r="D110" s="4" t="s">
        <v>28</v>
      </c>
      <c r="E110" s="16"/>
      <c r="F110" s="69">
        <f>0.2/2/1000000*F$101</f>
        <v>0.0006312598656000001</v>
      </c>
      <c r="G110" s="121"/>
      <c r="H110" s="69">
        <f>0.2/2/1000000*H$101</f>
        <v>0.0006070861056000002</v>
      </c>
      <c r="I110" s="69"/>
      <c r="J110" s="69">
        <f>0.2/2/1000000*J$101</f>
        <v>0.0006346379520000001</v>
      </c>
      <c r="L110" s="69">
        <f>2/2/1000000*L$101</f>
        <v>0.000742754688</v>
      </c>
      <c r="M110" s="121"/>
      <c r="N110" s="69">
        <f>2/2/1000000*N$101</f>
        <v>0.000549514368</v>
      </c>
      <c r="O110" s="69"/>
      <c r="P110" s="69">
        <f>2/2/1000000*P$101</f>
        <v>0.000748380672</v>
      </c>
      <c r="Q110" s="69"/>
      <c r="R110" s="69"/>
      <c r="S110" s="69"/>
      <c r="T110" s="69"/>
      <c r="U110" s="69"/>
      <c r="V110" s="69"/>
      <c r="X110" s="69">
        <f>10/2/1000000*X$101</f>
        <v>0.2192</v>
      </c>
      <c r="Y110" s="117"/>
      <c r="Z110" s="69">
        <f>10/2/1000000*Z$101</f>
        <v>0.2199</v>
      </c>
      <c r="AA110" s="6"/>
      <c r="AB110" s="69">
        <f>10/2/1000000*AB$101</f>
        <v>0.2169</v>
      </c>
      <c r="AC110" s="4"/>
      <c r="AD110" s="19">
        <v>0.0087</v>
      </c>
      <c r="AE110" s="16"/>
      <c r="AF110" s="19">
        <v>0.0052</v>
      </c>
      <c r="AG110" s="5"/>
      <c r="AH110" s="19">
        <v>0.0057</v>
      </c>
      <c r="AJ110" s="6">
        <f t="shared" si="19"/>
        <v>0.22927401455360003</v>
      </c>
      <c r="AK110" s="119"/>
      <c r="AL110" s="6">
        <f t="shared" si="20"/>
        <v>0.22625660047360002</v>
      </c>
      <c r="AM110" s="62"/>
      <c r="AN110" s="6">
        <f t="shared" si="21"/>
        <v>0.22398301862400002</v>
      </c>
      <c r="AO110" s="115"/>
      <c r="AP110" s="115"/>
    </row>
    <row r="111" spans="2:42" ht="12.75">
      <c r="B111" s="4" t="s">
        <v>127</v>
      </c>
      <c r="D111" s="4" t="s">
        <v>28</v>
      </c>
      <c r="E111" s="16"/>
      <c r="F111" s="6">
        <f>1.6/1000000*F$101</f>
        <v>0.010100157849600002</v>
      </c>
      <c r="G111" s="117"/>
      <c r="H111" s="6">
        <f>1.4/1000000*H$101</f>
        <v>0.008499205478400001</v>
      </c>
      <c r="I111" s="6"/>
      <c r="J111" s="6">
        <f>1.1/1000000*J$101</f>
        <v>0.006981017472000001</v>
      </c>
      <c r="L111" s="69">
        <f>1/2/1000000*L$101</f>
        <v>0.000371377344</v>
      </c>
      <c r="M111" s="16"/>
      <c r="N111" s="69">
        <f>1/2/1000000*N$101</f>
        <v>0.000274757184</v>
      </c>
      <c r="O111" s="5"/>
      <c r="P111" s="69">
        <f>1/2/1000000*P$101</f>
        <v>0.000374190336</v>
      </c>
      <c r="Q111" s="69"/>
      <c r="R111" s="69"/>
      <c r="S111" s="69"/>
      <c r="T111" s="69"/>
      <c r="U111" s="69"/>
      <c r="V111" s="69"/>
      <c r="X111" s="69">
        <f>5/2/1000000*X$101</f>
        <v>0.1096</v>
      </c>
      <c r="Y111" s="117"/>
      <c r="Z111" s="69">
        <f>5/2/1000000*Z$101</f>
        <v>0.10995</v>
      </c>
      <c r="AA111" s="6"/>
      <c r="AB111" s="69">
        <f>5/2/1000000*AB$101</f>
        <v>0.10845</v>
      </c>
      <c r="AC111" s="4"/>
      <c r="AD111" s="19">
        <v>0.165</v>
      </c>
      <c r="AE111" s="16"/>
      <c r="AF111" s="19">
        <v>0.132</v>
      </c>
      <c r="AG111" s="5"/>
      <c r="AH111" s="19">
        <v>0.144</v>
      </c>
      <c r="AJ111" s="6">
        <f t="shared" si="19"/>
        <v>0.2850715351936</v>
      </c>
      <c r="AK111" s="119"/>
      <c r="AL111" s="6">
        <f t="shared" si="20"/>
        <v>0.25072396266240005</v>
      </c>
      <c r="AM111" s="62"/>
      <c r="AN111" s="6">
        <f t="shared" si="21"/>
        <v>0.259805207808</v>
      </c>
      <c r="AO111" s="115"/>
      <c r="AP111" s="115"/>
    </row>
    <row r="112" spans="2:42" ht="12.75">
      <c r="B112" s="4" t="s">
        <v>128</v>
      </c>
      <c r="D112" s="4" t="s">
        <v>28</v>
      </c>
      <c r="E112" s="16"/>
      <c r="F112" s="6">
        <f>15.7/1000000*F$101</f>
        <v>0.09910779889919999</v>
      </c>
      <c r="G112" s="117"/>
      <c r="H112" s="6">
        <f>13.9/1000000*H$101</f>
        <v>0.08438496867840001</v>
      </c>
      <c r="I112" s="6"/>
      <c r="J112" s="6">
        <f>10.2/1000000*J$101</f>
        <v>0.06473307110399999</v>
      </c>
      <c r="L112" s="68">
        <f>5/1000000*L$101</f>
        <v>0.003713773440000001</v>
      </c>
      <c r="M112" s="16"/>
      <c r="N112" s="68">
        <f>5/1000000*N$101</f>
        <v>0.00274757184</v>
      </c>
      <c r="O112" s="5"/>
      <c r="P112" s="68">
        <f>5/2/1000000*P$101</f>
        <v>0.0018709516800000001</v>
      </c>
      <c r="Q112" s="68"/>
      <c r="R112" s="68"/>
      <c r="S112" s="68"/>
      <c r="T112" s="68"/>
      <c r="U112" s="68"/>
      <c r="V112" s="68"/>
      <c r="X112" s="68">
        <f>28.4/1000000*X$101</f>
        <v>1.245056</v>
      </c>
      <c r="Y112" s="117"/>
      <c r="Z112" s="68">
        <f>26.5/1000000*Z$101</f>
        <v>1.16547</v>
      </c>
      <c r="AA112" s="6"/>
      <c r="AB112" s="68">
        <f>26.6/1000000*AB$101</f>
        <v>1.1539080000000002</v>
      </c>
      <c r="AC112" s="4"/>
      <c r="AD112" s="19">
        <v>2.47</v>
      </c>
      <c r="AE112" s="16"/>
      <c r="AF112" s="19">
        <v>2.26</v>
      </c>
      <c r="AG112" s="5"/>
      <c r="AH112" s="19">
        <v>2.47</v>
      </c>
      <c r="AJ112" s="6">
        <f t="shared" si="19"/>
        <v>3.8178775723392</v>
      </c>
      <c r="AK112" s="119"/>
      <c r="AL112" s="6">
        <f t="shared" si="20"/>
        <v>3.5126025405184</v>
      </c>
      <c r="AM112" s="62"/>
      <c r="AN112" s="6">
        <f t="shared" si="21"/>
        <v>3.6905120227840005</v>
      </c>
      <c r="AO112" s="115"/>
      <c r="AP112" s="115"/>
    </row>
    <row r="113" spans="2:42" ht="12.75">
      <c r="B113" s="4" t="s">
        <v>129</v>
      </c>
      <c r="D113" s="4" t="s">
        <v>28</v>
      </c>
      <c r="E113" s="16"/>
      <c r="F113" s="6">
        <f>238/1000000*F$101</f>
        <v>1.5023984801280001</v>
      </c>
      <c r="G113" s="117"/>
      <c r="H113" s="6">
        <f>205/1000000*H$101</f>
        <v>1.2445265164800001</v>
      </c>
      <c r="I113" s="6"/>
      <c r="J113" s="6">
        <f>166/1000000*J$101</f>
        <v>1.05349900032</v>
      </c>
      <c r="L113" s="6">
        <f>199/1000000*L$101</f>
        <v>0.14780818291200004</v>
      </c>
      <c r="M113" s="16"/>
      <c r="N113" s="6">
        <f>190/1000000*N$101</f>
        <v>0.10440772992</v>
      </c>
      <c r="O113" s="5"/>
      <c r="P113" s="6">
        <f>140/1000000*P$101</f>
        <v>0.10477329408</v>
      </c>
      <c r="Q113" s="6"/>
      <c r="R113" s="6"/>
      <c r="S113" s="6"/>
      <c r="T113" s="6"/>
      <c r="U113" s="6"/>
      <c r="V113" s="6"/>
      <c r="X113" s="6">
        <f>100/1000000*X$101</f>
        <v>4.384</v>
      </c>
      <c r="Y113" s="117"/>
      <c r="Z113" s="6">
        <f>80.5/1000000*Z$101</f>
        <v>3.5403900000000004</v>
      </c>
      <c r="AA113" s="6"/>
      <c r="AB113" s="6">
        <f>66.1/1000000*AB$101</f>
        <v>2.867418</v>
      </c>
      <c r="AC113" s="4"/>
      <c r="AD113" s="19">
        <v>5.61</v>
      </c>
      <c r="AE113" s="16"/>
      <c r="AF113" s="19">
        <v>4.47</v>
      </c>
      <c r="AG113" s="5"/>
      <c r="AH113" s="19">
        <v>4.8</v>
      </c>
      <c r="AJ113" s="6">
        <f t="shared" si="19"/>
        <v>11.644206663040002</v>
      </c>
      <c r="AK113" s="119"/>
      <c r="AL113" s="6">
        <f t="shared" si="20"/>
        <v>9.3593242464</v>
      </c>
      <c r="AM113" s="62"/>
      <c r="AN113" s="6">
        <f t="shared" si="21"/>
        <v>8.8256902944</v>
      </c>
      <c r="AO113" s="115"/>
      <c r="AP113" s="115"/>
    </row>
    <row r="114" spans="2:42" ht="12.75">
      <c r="B114" s="4" t="s">
        <v>130</v>
      </c>
      <c r="D114" s="4" t="s">
        <v>28</v>
      </c>
      <c r="E114" s="16"/>
      <c r="F114" s="6">
        <f>43/1000000*F$101</f>
        <v>0.271441742208</v>
      </c>
      <c r="G114" s="117"/>
      <c r="H114" s="6">
        <f>36.4/1000000*H$101</f>
        <v>0.2209793424384</v>
      </c>
      <c r="I114" s="6"/>
      <c r="J114" s="6">
        <f>30.8/1000000*J$101</f>
        <v>0.19546848921600005</v>
      </c>
      <c r="L114" s="6">
        <f>8.2/1000000*L$101</f>
        <v>0.006090588441600001</v>
      </c>
      <c r="M114" s="16"/>
      <c r="N114" s="6">
        <f>8.7/1000000*N$101</f>
        <v>0.0047807750016</v>
      </c>
      <c r="O114" s="5"/>
      <c r="P114" s="6">
        <f>7.4/1000000*P$101</f>
        <v>0.0055380169728</v>
      </c>
      <c r="Q114" s="6"/>
      <c r="R114" s="6"/>
      <c r="S114" s="6"/>
      <c r="T114" s="6"/>
      <c r="U114" s="6"/>
      <c r="V114" s="6"/>
      <c r="X114" s="6">
        <f>26/1000000*X$101</f>
        <v>1.13984</v>
      </c>
      <c r="Y114" s="117"/>
      <c r="Z114" s="6">
        <f>25.8/1000000*Z$101</f>
        <v>1.134684</v>
      </c>
      <c r="AA114" s="6"/>
      <c r="AB114" s="6">
        <f>26.7/1000000*AB$101</f>
        <v>1.1582459999999999</v>
      </c>
      <c r="AC114" s="4"/>
      <c r="AD114" s="19">
        <v>3.84</v>
      </c>
      <c r="AE114" s="16"/>
      <c r="AF114" s="19">
        <v>3.57</v>
      </c>
      <c r="AG114" s="5"/>
      <c r="AH114" s="19">
        <v>3.87</v>
      </c>
      <c r="AJ114" s="6">
        <f t="shared" si="19"/>
        <v>5.2573723306496</v>
      </c>
      <c r="AK114" s="119"/>
      <c r="AL114" s="6">
        <f t="shared" si="20"/>
        <v>4.93044411744</v>
      </c>
      <c r="AM114" s="62"/>
      <c r="AN114" s="6">
        <f t="shared" si="21"/>
        <v>5.2292525061888</v>
      </c>
      <c r="AO114" s="115"/>
      <c r="AP114" s="115"/>
    </row>
    <row r="115" spans="2:42" ht="12.75">
      <c r="B115" s="4" t="s">
        <v>131</v>
      </c>
      <c r="D115" s="4" t="s">
        <v>28</v>
      </c>
      <c r="E115" s="16"/>
      <c r="F115" s="70">
        <f>0.04/2/1000000*F$101</f>
        <v>0.00012625197312</v>
      </c>
      <c r="G115" s="120"/>
      <c r="H115" s="70">
        <f>0.04/2/1000000*H$101</f>
        <v>0.00012141722112000002</v>
      </c>
      <c r="I115" s="70"/>
      <c r="J115" s="70">
        <f>0.04/2/1000000*J$101</f>
        <v>0.0001269275904</v>
      </c>
      <c r="L115" s="70">
        <f>0.04/2/1000000*L$101</f>
        <v>1.4855093760000002E-05</v>
      </c>
      <c r="M115" s="120"/>
      <c r="N115" s="70">
        <f>0.04/2/1000000*N$101</f>
        <v>1.099028736E-05</v>
      </c>
      <c r="O115" s="70"/>
      <c r="P115" s="70">
        <f>0.04/2/1000000*P$101</f>
        <v>1.496761344E-05</v>
      </c>
      <c r="Q115" s="70"/>
      <c r="R115" s="70"/>
      <c r="S115" s="70"/>
      <c r="T115" s="70"/>
      <c r="U115" s="70"/>
      <c r="V115" s="70"/>
      <c r="X115" s="70">
        <f>0.04/2/1000000*X$101</f>
        <v>0.0008768000000000001</v>
      </c>
      <c r="Y115" s="117"/>
      <c r="Z115" s="70">
        <f>0.04/1000000*Z$101</f>
        <v>0.0017592</v>
      </c>
      <c r="AA115" s="6"/>
      <c r="AB115" s="70">
        <f>0.04/1000000*AB$101</f>
        <v>0.0017352000000000001</v>
      </c>
      <c r="AC115" s="4"/>
      <c r="AD115" s="19">
        <v>0.0078</v>
      </c>
      <c r="AE115" s="16"/>
      <c r="AF115" s="19">
        <v>0.0078</v>
      </c>
      <c r="AG115" s="5"/>
      <c r="AH115" s="19">
        <v>0.0078</v>
      </c>
      <c r="AJ115" s="69">
        <f t="shared" si="19"/>
        <v>0.00881790706688</v>
      </c>
      <c r="AK115" s="125"/>
      <c r="AL115" s="69">
        <f t="shared" si="20"/>
        <v>0.009691607508479999</v>
      </c>
      <c r="AM115" s="71"/>
      <c r="AN115" s="69">
        <f t="shared" si="21"/>
        <v>0.00967709520384</v>
      </c>
      <c r="AO115" s="115"/>
      <c r="AP115" s="115"/>
    </row>
    <row r="116" spans="2:42" ht="12.75">
      <c r="B116" s="4" t="s">
        <v>132</v>
      </c>
      <c r="D116" s="4" t="s">
        <v>28</v>
      </c>
      <c r="E116" s="16"/>
      <c r="F116" s="6">
        <f>51.3/1000000*F$101</f>
        <v>0.32383631105280003</v>
      </c>
      <c r="G116" s="117"/>
      <c r="H116" s="6">
        <f>49.4/1000000*H$101</f>
        <v>0.29990053616640006</v>
      </c>
      <c r="I116" s="6"/>
      <c r="J116" s="6">
        <f>34.9/1000000*J$101</f>
        <v>0.22148864524800002</v>
      </c>
      <c r="L116" s="6">
        <f>26.2/1000000*L$101</f>
        <v>0.019460172825600003</v>
      </c>
      <c r="M116" s="16"/>
      <c r="N116" s="6">
        <f>26.9/1000000*N$101</f>
        <v>0.0147819364992</v>
      </c>
      <c r="O116" s="5"/>
      <c r="P116" s="6">
        <f>19.2/1000000*P$101</f>
        <v>0.0143689089024</v>
      </c>
      <c r="Q116" s="6"/>
      <c r="R116" s="6"/>
      <c r="S116" s="6"/>
      <c r="T116" s="6"/>
      <c r="U116" s="6"/>
      <c r="V116" s="6"/>
      <c r="X116" s="6">
        <f>41.3/1000000*X$101</f>
        <v>1.8105919999999998</v>
      </c>
      <c r="Y116" s="117"/>
      <c r="Z116" s="6">
        <f>42.9/1000000*Z$101</f>
        <v>1.886742</v>
      </c>
      <c r="AA116" s="6"/>
      <c r="AB116" s="6">
        <f>44.2/1000000*AB$101</f>
        <v>1.917396</v>
      </c>
      <c r="AC116" s="4"/>
      <c r="AD116" s="19">
        <v>2.88</v>
      </c>
      <c r="AE116" s="16"/>
      <c r="AF116" s="19">
        <v>2.68</v>
      </c>
      <c r="AG116" s="5"/>
      <c r="AH116" s="19">
        <v>2.88</v>
      </c>
      <c r="AJ116" s="6">
        <f t="shared" si="19"/>
        <v>5.0338884838784</v>
      </c>
      <c r="AK116" s="119"/>
      <c r="AL116" s="6">
        <f t="shared" si="20"/>
        <v>4.8814244726656</v>
      </c>
      <c r="AM116" s="62"/>
      <c r="AN116" s="6">
        <f t="shared" si="21"/>
        <v>5.0332535541504</v>
      </c>
      <c r="AO116" s="115"/>
      <c r="AP116" s="115"/>
    </row>
    <row r="117" spans="2:42" ht="12.75">
      <c r="B117" s="4" t="s">
        <v>133</v>
      </c>
      <c r="D117" s="4" t="s">
        <v>28</v>
      </c>
      <c r="E117" s="16"/>
      <c r="F117" s="68">
        <f>1/2/1000000*F$101</f>
        <v>0.003156299328</v>
      </c>
      <c r="G117" s="117"/>
      <c r="H117" s="68">
        <f>1/2/1000000*H$101</f>
        <v>0.003035430528</v>
      </c>
      <c r="I117" s="6"/>
      <c r="J117" s="68">
        <f>1/2/1000000*J$101</f>
        <v>0.00317318976</v>
      </c>
      <c r="K117" s="16"/>
      <c r="L117" s="68">
        <f>10/2/1000000*L$101</f>
        <v>0.003713773440000001</v>
      </c>
      <c r="M117" s="16"/>
      <c r="N117" s="68">
        <f>10/2/1000000*N$101</f>
        <v>0.00274757184</v>
      </c>
      <c r="O117" s="5"/>
      <c r="P117" s="68">
        <f>10/2/1000000*P$101</f>
        <v>0.0037419033600000003</v>
      </c>
      <c r="Q117" s="68"/>
      <c r="R117" s="68"/>
      <c r="S117" s="68"/>
      <c r="T117" s="68"/>
      <c r="U117" s="68"/>
      <c r="V117" s="68"/>
      <c r="W117" s="16"/>
      <c r="X117" s="68">
        <f>50/2/1000000*X$101</f>
        <v>1.096</v>
      </c>
      <c r="Y117" s="16"/>
      <c r="Z117" s="68">
        <f>50/2/1000000*Z$101</f>
        <v>1.0995000000000001</v>
      </c>
      <c r="AA117" s="5"/>
      <c r="AB117" s="68">
        <f>50/2/1000000*AB$101</f>
        <v>1.0845</v>
      </c>
      <c r="AC117" s="4"/>
      <c r="AD117" s="19">
        <v>0.12</v>
      </c>
      <c r="AE117" s="16"/>
      <c r="AF117" s="19">
        <v>0.11</v>
      </c>
      <c r="AG117" s="5"/>
      <c r="AH117" s="19">
        <v>0.12</v>
      </c>
      <c r="AJ117" s="6">
        <f t="shared" si="19"/>
        <v>1.222870072768</v>
      </c>
      <c r="AK117" s="119"/>
      <c r="AL117" s="6">
        <f t="shared" si="20"/>
        <v>1.2152830023680001</v>
      </c>
      <c r="AM117" s="62"/>
      <c r="AN117" s="6">
        <f t="shared" si="21"/>
        <v>1.2114150931199998</v>
      </c>
      <c r="AO117" s="115"/>
      <c r="AP117" s="115"/>
    </row>
    <row r="118" spans="2:42" ht="12.75">
      <c r="B118" s="4" t="s">
        <v>134</v>
      </c>
      <c r="D118" s="4" t="s">
        <v>28</v>
      </c>
      <c r="E118" s="16"/>
      <c r="F118" s="68">
        <f>1/2/1000000*F$101</f>
        <v>0.003156299328</v>
      </c>
      <c r="G118" s="117"/>
      <c r="H118" s="68">
        <f>1/2/1000000*H$101</f>
        <v>0.003035430528</v>
      </c>
      <c r="I118" s="6"/>
      <c r="J118" s="68">
        <f>1/2/1000000*J$101</f>
        <v>0.00317318976</v>
      </c>
      <c r="L118" s="70">
        <f>1/2/1000000*L$101</f>
        <v>0.000371377344</v>
      </c>
      <c r="M118" s="16"/>
      <c r="N118" s="70">
        <f>1/2/1000000*N$101</f>
        <v>0.000274757184</v>
      </c>
      <c r="O118" s="5"/>
      <c r="P118" s="70">
        <f>1/2/1000000*P$101</f>
        <v>0.000374190336</v>
      </c>
      <c r="Q118" s="70"/>
      <c r="R118" s="70"/>
      <c r="S118" s="70"/>
      <c r="T118" s="70"/>
      <c r="U118" s="70"/>
      <c r="V118" s="70"/>
      <c r="X118" s="6">
        <f>5/2/1000000*X$101</f>
        <v>0.1096</v>
      </c>
      <c r="Y118" s="117"/>
      <c r="Z118" s="6">
        <f>5/2/1000000*Z$101</f>
        <v>0.10995</v>
      </c>
      <c r="AA118" s="6"/>
      <c r="AB118" s="6">
        <f>5/2/1000000*AB$101</f>
        <v>0.10845</v>
      </c>
      <c r="AC118" s="4"/>
      <c r="AD118" s="19">
        <v>0.096</v>
      </c>
      <c r="AE118" s="16"/>
      <c r="AF118" s="19">
        <v>0.096</v>
      </c>
      <c r="AG118" s="5"/>
      <c r="AH118" s="19">
        <v>0.096</v>
      </c>
      <c r="AJ118" s="6">
        <f t="shared" si="19"/>
        <v>0.209127676672</v>
      </c>
      <c r="AK118" s="119"/>
      <c r="AL118" s="6">
        <f t="shared" si="20"/>
        <v>0.209260187712</v>
      </c>
      <c r="AM118" s="62"/>
      <c r="AN118" s="6">
        <f t="shared" si="21"/>
        <v>0.207997380096</v>
      </c>
      <c r="AO118" s="115"/>
      <c r="AP118" s="115"/>
    </row>
    <row r="119" spans="2:42" ht="12.75">
      <c r="B119" s="4" t="s">
        <v>135</v>
      </c>
      <c r="D119" s="4" t="s">
        <v>28</v>
      </c>
      <c r="E119" s="16"/>
      <c r="F119" s="68">
        <f>0.2/2/1000000*F$101</f>
        <v>0.0006312598656000001</v>
      </c>
      <c r="G119" s="117"/>
      <c r="H119" s="68">
        <f>0.2/2/1000000*H$101</f>
        <v>0.0006070861056000002</v>
      </c>
      <c r="I119" s="6"/>
      <c r="J119" s="68">
        <f>0.2/2/1000000*J$101</f>
        <v>0.0006346379520000001</v>
      </c>
      <c r="L119" s="68">
        <f>2/2/1000000*L$101</f>
        <v>0.000742754688</v>
      </c>
      <c r="M119" s="16"/>
      <c r="N119" s="68">
        <f>2/2/1000000*N$101</f>
        <v>0.000549514368</v>
      </c>
      <c r="O119" s="5"/>
      <c r="P119" s="68">
        <f>2/2/1000000*P$101</f>
        <v>0.000748380672</v>
      </c>
      <c r="Q119" s="68"/>
      <c r="R119" s="68"/>
      <c r="S119" s="68"/>
      <c r="T119" s="68"/>
      <c r="U119" s="68"/>
      <c r="V119" s="68"/>
      <c r="X119" s="68">
        <f>10/2/1000000*X$101</f>
        <v>0.2192</v>
      </c>
      <c r="Y119" s="16"/>
      <c r="Z119" s="68">
        <f>10/2/1000000*Z$101</f>
        <v>0.2199</v>
      </c>
      <c r="AA119" s="5"/>
      <c r="AB119" s="68">
        <f>10/2/1000000*AB$101</f>
        <v>0.2169</v>
      </c>
      <c r="AC119" s="4"/>
      <c r="AD119" s="19">
        <v>0.24</v>
      </c>
      <c r="AE119" s="16"/>
      <c r="AF119" s="19">
        <v>0.24</v>
      </c>
      <c r="AG119" s="5"/>
      <c r="AH119" s="19">
        <v>0.24</v>
      </c>
      <c r="AJ119" s="6">
        <f t="shared" si="19"/>
        <v>0.46057401455360003</v>
      </c>
      <c r="AK119" s="119"/>
      <c r="AL119" s="6">
        <f t="shared" si="20"/>
        <v>0.4610566004736</v>
      </c>
      <c r="AM119" s="62"/>
      <c r="AN119" s="6">
        <f t="shared" si="21"/>
        <v>0.458283018624</v>
      </c>
      <c r="AO119" s="115"/>
      <c r="AP119" s="115"/>
    </row>
    <row r="120" spans="2:42" ht="12.75">
      <c r="B120" s="4" t="s">
        <v>136</v>
      </c>
      <c r="D120" s="4" t="s">
        <v>28</v>
      </c>
      <c r="E120" s="16"/>
      <c r="F120" s="6">
        <f>361/1000000*F$101</f>
        <v>2.278848114816</v>
      </c>
      <c r="G120" s="117"/>
      <c r="H120" s="6">
        <f>313/1000000*H$101</f>
        <v>1.9001795105280004</v>
      </c>
      <c r="I120" s="6"/>
      <c r="J120" s="6">
        <f>269/1000000*J$101</f>
        <v>1.70717609088</v>
      </c>
      <c r="L120" s="6">
        <f>115/1000000*L$101</f>
        <v>0.08541678912000002</v>
      </c>
      <c r="M120" s="16"/>
      <c r="N120" s="6">
        <f>120/1000000*N$101</f>
        <v>0.06594172416</v>
      </c>
      <c r="O120" s="5"/>
      <c r="P120" s="6">
        <f>86.7/1000000*P$101</f>
        <v>0.0648846042624</v>
      </c>
      <c r="Q120" s="6"/>
      <c r="R120" s="6"/>
      <c r="S120" s="6"/>
      <c r="T120" s="6"/>
      <c r="U120" s="6"/>
      <c r="V120" s="6"/>
      <c r="X120" s="6">
        <f>357/1000000*X$101</f>
        <v>15.65088</v>
      </c>
      <c r="Y120" s="117"/>
      <c r="Z120" s="6">
        <f>169/1000000*Z$101</f>
        <v>7.432619999999999</v>
      </c>
      <c r="AA120" s="6"/>
      <c r="AB120" s="6">
        <f>168/1000000*AB$101</f>
        <v>7.287839999999999</v>
      </c>
      <c r="AC120" s="4"/>
      <c r="AD120" s="19">
        <v>33</v>
      </c>
      <c r="AE120" s="16"/>
      <c r="AF120" s="19">
        <v>29.6</v>
      </c>
      <c r="AG120" s="5"/>
      <c r="AH120" s="19">
        <v>33</v>
      </c>
      <c r="AJ120" s="6">
        <f t="shared" si="19"/>
        <v>51.015144903936005</v>
      </c>
      <c r="AK120" s="119"/>
      <c r="AL120" s="6">
        <f t="shared" si="20"/>
        <v>38.998741234688</v>
      </c>
      <c r="AM120" s="62"/>
      <c r="AN120" s="6">
        <f t="shared" si="21"/>
        <v>42.0599006951424</v>
      </c>
      <c r="AO120" s="115"/>
      <c r="AP120" s="115"/>
    </row>
    <row r="121" spans="2:42" ht="12.75">
      <c r="B121" s="4" t="s">
        <v>35</v>
      </c>
      <c r="D121" s="4" t="s">
        <v>28</v>
      </c>
      <c r="E121" s="16"/>
      <c r="F121" s="6">
        <f>F111+F114</f>
        <v>0.2815419000576</v>
      </c>
      <c r="H121" s="6">
        <f>H111+H114</f>
        <v>0.2294785479168</v>
      </c>
      <c r="I121" s="5"/>
      <c r="J121" s="6">
        <f>J111+J114</f>
        <v>0.20244950668800005</v>
      </c>
      <c r="L121" s="6">
        <f>L111+L114</f>
        <v>0.006461965785600001</v>
      </c>
      <c r="M121" s="16"/>
      <c r="N121" s="6">
        <f>N111+N114</f>
        <v>0.0050555321855999995</v>
      </c>
      <c r="O121" s="5"/>
      <c r="P121" s="6">
        <f>P111+P114</f>
        <v>0.0059122073088</v>
      </c>
      <c r="Q121" s="6"/>
      <c r="R121" s="6"/>
      <c r="S121" s="6"/>
      <c r="T121" s="6"/>
      <c r="U121" s="6"/>
      <c r="V121" s="6"/>
      <c r="X121" s="6">
        <f>X111+X114</f>
        <v>1.2494399999999999</v>
      </c>
      <c r="Y121" s="16"/>
      <c r="Z121" s="6">
        <f>Z111+Z114</f>
        <v>1.244634</v>
      </c>
      <c r="AA121" s="5"/>
      <c r="AB121" s="6">
        <f>AB111+AB114</f>
        <v>1.2666959999999998</v>
      </c>
      <c r="AC121" s="4"/>
      <c r="AD121" s="6">
        <f>AD111+AD114</f>
        <v>4.005</v>
      </c>
      <c r="AE121" s="16"/>
      <c r="AF121" s="6">
        <f>AF111+AF114</f>
        <v>3.702</v>
      </c>
      <c r="AG121" s="5"/>
      <c r="AH121" s="6">
        <f>AH111+AH114</f>
        <v>4.014</v>
      </c>
      <c r="AJ121" s="6">
        <f>AJ111+AJ114</f>
        <v>5.5424438658432</v>
      </c>
      <c r="AK121" s="16"/>
      <c r="AL121" s="6">
        <f>AL111+AL114</f>
        <v>5.181168080102401</v>
      </c>
      <c r="AM121" s="5"/>
      <c r="AN121" s="6">
        <f>AN111+AN114</f>
        <v>5.4890577139968</v>
      </c>
      <c r="AO121" s="115"/>
      <c r="AP121" s="115"/>
    </row>
    <row r="122" spans="2:42" ht="12.75">
      <c r="B122" s="4" t="s">
        <v>36</v>
      </c>
      <c r="D122" s="4" t="s">
        <v>28</v>
      </c>
      <c r="E122" s="16"/>
      <c r="F122" s="6">
        <f>F107+F110+F112</f>
        <v>0.10415787782399999</v>
      </c>
      <c r="H122" s="6">
        <f>H107+H110+H112</f>
        <v>0.08924165752320001</v>
      </c>
      <c r="I122" s="5"/>
      <c r="J122" s="6">
        <f>J107+J110+J112</f>
        <v>0.06854089881599999</v>
      </c>
      <c r="L122" s="6">
        <f>L107+L110+L112</f>
        <v>0.006313414848000002</v>
      </c>
      <c r="M122" s="16"/>
      <c r="N122" s="6">
        <f>N107+N110+N112</f>
        <v>0.004670872128</v>
      </c>
      <c r="O122" s="5"/>
      <c r="P122" s="6">
        <f>P107+P110+P112</f>
        <v>0.0044902840320000005</v>
      </c>
      <c r="Q122" s="6"/>
      <c r="R122" s="6"/>
      <c r="S122" s="6"/>
      <c r="T122" s="6"/>
      <c r="U122" s="6"/>
      <c r="V122" s="6"/>
      <c r="X122" s="6">
        <f>X107+X110+X112</f>
        <v>2.012256</v>
      </c>
      <c r="Y122" s="16"/>
      <c r="Z122" s="6">
        <f>Z107+Z110+Z112</f>
        <v>1.93512</v>
      </c>
      <c r="AA122" s="5"/>
      <c r="AB122" s="6">
        <f>AB107+AB110+AB112</f>
        <v>1.9130580000000001</v>
      </c>
      <c r="AC122" s="4"/>
      <c r="AD122" s="6">
        <f>AD107+AD110+AD112</f>
        <v>2.5467000000000004</v>
      </c>
      <c r="AE122" s="16"/>
      <c r="AF122" s="6">
        <f>AF107+AF110+AF112</f>
        <v>2.3282</v>
      </c>
      <c r="AG122" s="5"/>
      <c r="AH122" s="6">
        <f>AH107+AH110+AH112</f>
        <v>2.5427000000000004</v>
      </c>
      <c r="AJ122" s="6">
        <f>AJ107+AJ110+AJ112</f>
        <v>4.669427292672</v>
      </c>
      <c r="AK122" s="16"/>
      <c r="AL122" s="6">
        <f>AL107+AL110+AL112</f>
        <v>4.3572325296512</v>
      </c>
      <c r="AM122" s="5"/>
      <c r="AN122" s="6">
        <f>AN107+AN110+AN112</f>
        <v>4.5287891828480005</v>
      </c>
      <c r="AO122" s="115"/>
      <c r="AP122" s="115"/>
    </row>
    <row r="123" spans="5:42" ht="12.75">
      <c r="E123" s="16"/>
      <c r="I123" s="5"/>
      <c r="L123" s="19"/>
      <c r="M123" s="16"/>
      <c r="O123" s="5"/>
      <c r="X123" s="6"/>
      <c r="Y123" s="117"/>
      <c r="Z123" s="60"/>
      <c r="AA123" s="6"/>
      <c r="AB123" s="60"/>
      <c r="AC123" s="4"/>
      <c r="AD123" s="19"/>
      <c r="AE123" s="16"/>
      <c r="AF123" s="19"/>
      <c r="AG123" s="5"/>
      <c r="AH123" s="19"/>
      <c r="AJ123" s="68"/>
      <c r="AK123" s="114"/>
      <c r="AL123" s="68"/>
      <c r="AM123" s="40"/>
      <c r="AN123" s="68"/>
      <c r="AO123" s="115"/>
      <c r="AP123" s="115"/>
    </row>
    <row r="124" spans="5:42" ht="12.75">
      <c r="E124" s="16"/>
      <c r="I124" s="5"/>
      <c r="L124" s="19"/>
      <c r="M124" s="16"/>
      <c r="O124" s="5"/>
      <c r="X124" s="6"/>
      <c r="Y124" s="117"/>
      <c r="Z124" s="60"/>
      <c r="AA124" s="6"/>
      <c r="AB124" s="60"/>
      <c r="AC124" s="4"/>
      <c r="AD124" s="19"/>
      <c r="AE124" s="16"/>
      <c r="AF124" s="19"/>
      <c r="AG124" s="5"/>
      <c r="AH124" s="19"/>
      <c r="AJ124" s="5"/>
      <c r="AK124" s="114"/>
      <c r="AL124" s="5"/>
      <c r="AM124" s="40"/>
      <c r="AN124" s="5"/>
      <c r="AO124" s="115"/>
      <c r="AP124" s="115"/>
    </row>
    <row r="125" spans="5:42" ht="12.75">
      <c r="E125" s="16"/>
      <c r="I125" s="19"/>
      <c r="L125" s="19"/>
      <c r="M125" s="16"/>
      <c r="O125" s="19"/>
      <c r="X125" s="19"/>
      <c r="Y125" s="19"/>
      <c r="AA125" s="7"/>
      <c r="AB125" s="16"/>
      <c r="AJ125" s="72"/>
      <c r="AK125" s="114"/>
      <c r="AL125" s="72"/>
      <c r="AM125" s="40"/>
      <c r="AN125" s="72"/>
      <c r="AO125" s="115"/>
      <c r="AP125" s="115"/>
    </row>
    <row r="126" spans="2:42" ht="12.75">
      <c r="B126" s="4" t="s">
        <v>37</v>
      </c>
      <c r="D126" s="4" t="s">
        <v>17</v>
      </c>
      <c r="E126" s="16"/>
      <c r="F126" s="7">
        <f>'emiss 1'!G142</f>
        <v>32681</v>
      </c>
      <c r="H126" s="7">
        <f>'emiss 1'!I142</f>
        <v>32015</v>
      </c>
      <c r="I126" s="19"/>
      <c r="J126" s="7">
        <f>'emiss 1'!K142</f>
        <v>29193</v>
      </c>
      <c r="K126" s="16"/>
      <c r="L126" s="19">
        <f>$F126</f>
        <v>32681</v>
      </c>
      <c r="M126" s="16"/>
      <c r="N126" s="19">
        <f>$H126</f>
        <v>32015</v>
      </c>
      <c r="O126" s="19"/>
      <c r="P126" s="19">
        <f>$J126</f>
        <v>29193</v>
      </c>
      <c r="Q126" s="19"/>
      <c r="R126" s="19"/>
      <c r="S126" s="19"/>
      <c r="T126" s="19"/>
      <c r="U126" s="19"/>
      <c r="V126" s="19"/>
      <c r="W126" s="21"/>
      <c r="X126" s="19">
        <f>$F126</f>
        <v>32681</v>
      </c>
      <c r="Y126" s="16"/>
      <c r="Z126" s="19">
        <f>$H126</f>
        <v>32015</v>
      </c>
      <c r="AA126" s="19"/>
      <c r="AB126" s="19">
        <f>$J126</f>
        <v>29193</v>
      </c>
      <c r="AD126" s="19">
        <f>$F126</f>
        <v>32681</v>
      </c>
      <c r="AE126" s="16"/>
      <c r="AF126" s="19">
        <f>$H126</f>
        <v>32015</v>
      </c>
      <c r="AG126" s="19"/>
      <c r="AH126" s="19">
        <f>$J126</f>
        <v>29193</v>
      </c>
      <c r="AJ126" s="19">
        <f>$F126</f>
        <v>32681</v>
      </c>
      <c r="AK126" s="16"/>
      <c r="AL126" s="19">
        <f>$H126</f>
        <v>32015</v>
      </c>
      <c r="AM126" s="19"/>
      <c r="AN126" s="19">
        <f>$J126</f>
        <v>29193</v>
      </c>
      <c r="AP126" s="21">
        <f>AVERAGE(AJ126,AL126,AN126)</f>
        <v>31296.333333333332</v>
      </c>
    </row>
    <row r="127" spans="2:42" ht="12.75">
      <c r="B127" s="4" t="s">
        <v>38</v>
      </c>
      <c r="D127" s="4" t="s">
        <v>18</v>
      </c>
      <c r="E127" s="16"/>
      <c r="F127" s="5">
        <f>'emiss 1'!G143</f>
        <v>14.5</v>
      </c>
      <c r="G127" s="54"/>
      <c r="H127" s="5">
        <f>'emiss 1'!I143</f>
        <v>14</v>
      </c>
      <c r="I127" s="5"/>
      <c r="J127" s="5">
        <f>'emiss 1'!K143</f>
        <v>14</v>
      </c>
      <c r="K127" s="16"/>
      <c r="L127" s="19">
        <f>$F127</f>
        <v>14.5</v>
      </c>
      <c r="M127" s="16"/>
      <c r="N127" s="19">
        <f>$H127</f>
        <v>14</v>
      </c>
      <c r="O127" s="19"/>
      <c r="P127" s="19">
        <f>$J127</f>
        <v>14</v>
      </c>
      <c r="Q127" s="19"/>
      <c r="R127" s="19"/>
      <c r="S127" s="19"/>
      <c r="T127" s="19"/>
      <c r="U127" s="19"/>
      <c r="V127" s="19"/>
      <c r="W127" s="16"/>
      <c r="X127" s="19">
        <f>$F127</f>
        <v>14.5</v>
      </c>
      <c r="Y127" s="16"/>
      <c r="Z127" s="19">
        <f>$H127</f>
        <v>14</v>
      </c>
      <c r="AA127" s="19"/>
      <c r="AB127" s="19">
        <f>$J127</f>
        <v>14</v>
      </c>
      <c r="AC127" s="16"/>
      <c r="AD127" s="19">
        <f>$F127</f>
        <v>14.5</v>
      </c>
      <c r="AE127" s="16"/>
      <c r="AF127" s="19">
        <f>$H127</f>
        <v>14</v>
      </c>
      <c r="AG127" s="19"/>
      <c r="AH127" s="19">
        <f>$J127</f>
        <v>14</v>
      </c>
      <c r="AI127" s="16"/>
      <c r="AJ127" s="19">
        <f>$F127</f>
        <v>14.5</v>
      </c>
      <c r="AK127" s="16"/>
      <c r="AL127" s="19">
        <f>$H127</f>
        <v>14</v>
      </c>
      <c r="AM127" s="19"/>
      <c r="AN127" s="19">
        <f>$J127</f>
        <v>14</v>
      </c>
      <c r="AP127" s="18">
        <f>AVERAGE(AJ127,AL127,AN127)</f>
        <v>14.166666666666666</v>
      </c>
    </row>
    <row r="128" spans="5:28" ht="12.75">
      <c r="E128" s="16"/>
      <c r="I128" s="19"/>
      <c r="J128" s="16"/>
      <c r="K128" s="16"/>
      <c r="AB128" s="16"/>
    </row>
    <row r="129" spans="2:42" ht="12.75">
      <c r="B129" s="4" t="s">
        <v>283</v>
      </c>
      <c r="D129" s="4" t="s">
        <v>32</v>
      </c>
      <c r="E129" s="16"/>
      <c r="F129" s="5">
        <f>F101*F102/1000000</f>
        <v>50.12203332864</v>
      </c>
      <c r="H129" s="5">
        <f>H101*H102/1000000</f>
        <v>45.89570958336</v>
      </c>
      <c r="I129" s="19"/>
      <c r="J129" s="5">
        <f>J101*J102/1000000</f>
        <v>43.7265548928</v>
      </c>
      <c r="K129" s="16"/>
      <c r="L129" s="5">
        <f>L101*L102/1000000</f>
        <v>4.337687377920001</v>
      </c>
      <c r="N129" s="5">
        <f>N101*N102/1000000</f>
        <v>3.1047561792000002</v>
      </c>
      <c r="P129" s="5">
        <f>P101*P102/1000000</f>
        <v>4.0412556288</v>
      </c>
      <c r="Q129" s="5"/>
      <c r="R129" s="5"/>
      <c r="S129" s="5"/>
      <c r="T129" s="5"/>
      <c r="U129" s="5"/>
      <c r="V129" s="5"/>
      <c r="X129" s="5"/>
      <c r="Y129" s="16"/>
      <c r="Z129" s="5"/>
      <c r="AA129" s="19"/>
      <c r="AB129" s="5"/>
      <c r="AD129" s="5"/>
      <c r="AE129" s="16"/>
      <c r="AF129" s="5"/>
      <c r="AG129" s="19"/>
      <c r="AH129" s="5"/>
      <c r="AJ129" s="6">
        <f>F129+L129+X129+AD129</f>
        <v>54.45972070656</v>
      </c>
      <c r="AK129" s="5"/>
      <c r="AL129" s="6">
        <f>H129+N129+Z129+AF129</f>
        <v>49.000465762560005</v>
      </c>
      <c r="AN129" s="6">
        <f>J129+P129+AB129+AH129</f>
        <v>47.767810521600005</v>
      </c>
      <c r="AP129" s="6">
        <f>L129+R129+AD129+AJ129</f>
        <v>58.79740808448</v>
      </c>
    </row>
    <row r="130" spans="2:42" ht="12.75">
      <c r="B130" s="4" t="s">
        <v>280</v>
      </c>
      <c r="D130" s="4" t="s">
        <v>32</v>
      </c>
      <c r="E130" s="16"/>
      <c r="F130" s="18"/>
      <c r="I130" s="5"/>
      <c r="J130" s="16"/>
      <c r="K130" s="16"/>
      <c r="Z130" s="5"/>
      <c r="AB130" s="54"/>
      <c r="AJ130" s="21">
        <f>AJ126/9000*(21-AJ127)/21*60</f>
        <v>67.43698412698413</v>
      </c>
      <c r="AK130" s="21"/>
      <c r="AL130" s="21">
        <f>AL126/9000*(21-AL127)/21*60</f>
        <v>71.14444444444445</v>
      </c>
      <c r="AM130" s="21"/>
      <c r="AN130" s="21">
        <f>AN126/9000*(21-AN127)/21*60</f>
        <v>64.87333333333332</v>
      </c>
      <c r="AP130" s="18">
        <f>AVERAGE(AJ130,AL130,AN130)</f>
        <v>67.81825396825396</v>
      </c>
    </row>
    <row r="131" spans="5:28" ht="12.75">
      <c r="E131" s="16"/>
      <c r="F131" s="18"/>
      <c r="I131" s="5"/>
      <c r="J131" s="16"/>
      <c r="K131" s="16"/>
      <c r="Z131" s="5"/>
      <c r="AB131" s="54"/>
    </row>
    <row r="132" spans="8:42" ht="12.75">
      <c r="H132" s="19"/>
      <c r="J132" s="19"/>
      <c r="X132" s="4"/>
      <c r="Z132" s="4"/>
      <c r="AA132" s="19"/>
      <c r="AB132" s="4"/>
      <c r="AJ132" s="16"/>
      <c r="AL132" s="16"/>
      <c r="AN132" s="16"/>
      <c r="AP132" s="16"/>
    </row>
    <row r="133" spans="2:42" ht="12.75">
      <c r="B133" s="55" t="s">
        <v>47</v>
      </c>
      <c r="C133" s="55"/>
      <c r="F133" s="16"/>
      <c r="H133" s="16"/>
      <c r="I133" s="16"/>
      <c r="J133" s="16"/>
      <c r="K133" s="19"/>
      <c r="X133" s="16"/>
      <c r="Y133" s="16"/>
      <c r="Z133" s="16"/>
      <c r="AA133" s="16"/>
      <c r="AB133" s="16"/>
      <c r="AC133" s="17"/>
      <c r="AD133" s="16"/>
      <c r="AE133" s="16"/>
      <c r="AF133" s="16"/>
      <c r="AG133" s="16"/>
      <c r="AH133" s="16"/>
      <c r="AI133" s="17"/>
      <c r="AJ133" s="16"/>
      <c r="AK133" s="16"/>
      <c r="AL133" s="16"/>
      <c r="AM133" s="19"/>
      <c r="AN133" s="16"/>
      <c r="AP133" s="16"/>
    </row>
    <row r="134" spans="2:42" ht="12.75">
      <c r="B134" s="4" t="s">
        <v>23</v>
      </c>
      <c r="D134" s="4" t="s">
        <v>39</v>
      </c>
      <c r="F134" s="7">
        <f>F101*F104/100*1/60*454*1000/(F$126*0.0283)*(21-7)/(21-F$127)</f>
        <v>1802.0245448662267</v>
      </c>
      <c r="G134" s="56"/>
      <c r="H134" s="7">
        <f>H101*H104/100*1/60*454*1000/(H$126*0.0283)*(21-7)/(21-H$127)</f>
        <v>2068.593316415086</v>
      </c>
      <c r="I134" s="7"/>
      <c r="J134" s="7">
        <f>J101*J104/100*1/60*454*1000/(J$126*0.0283)*(21-7)/(21-J$127)</f>
        <v>1197.3819300802909</v>
      </c>
      <c r="K134" s="56"/>
      <c r="L134" s="7">
        <f>L101*L104/100*1/60*454*1000/(L$126*0.0283)*(21-7)/(21-L$127)</f>
        <v>5418.55207783042</v>
      </c>
      <c r="M134" s="7"/>
      <c r="N134" s="7">
        <f>N101*N104/100*1/60*454*1000/(N$126*0.0283)*(21-7)/(21-N$127)</f>
        <v>3937.5946013927887</v>
      </c>
      <c r="O134" s="7"/>
      <c r="P134" s="7">
        <f>P101*P104/100*1/60*454*1000/(P$126*0.0283)*(21-7)/(21-P$127)</f>
        <v>5579.385986000081</v>
      </c>
      <c r="Q134" s="7"/>
      <c r="R134" s="7">
        <f>SUM(L134,F134)</f>
        <v>7220.576622696646</v>
      </c>
      <c r="S134" s="7"/>
      <c r="T134" s="7">
        <f>SUM(N134,H134)</f>
        <v>6006.187917807874</v>
      </c>
      <c r="U134" s="7"/>
      <c r="V134" s="7">
        <f>SUM(P134,J134)</f>
        <v>6776.767916080372</v>
      </c>
      <c r="W134" s="70"/>
      <c r="X134" s="7"/>
      <c r="Y134" s="16"/>
      <c r="Z134" s="7"/>
      <c r="AA134" s="5"/>
      <c r="AB134" s="7"/>
      <c r="AD134" s="7"/>
      <c r="AE134" s="16"/>
      <c r="AF134" s="7"/>
      <c r="AG134" s="5"/>
      <c r="AH134" s="7"/>
      <c r="AJ134" s="70">
        <f>F134+L134+X134+AD134</f>
        <v>7220.576622696646</v>
      </c>
      <c r="AL134" s="70">
        <f>H134+N134+Z134+AF134</f>
        <v>6006.187917807874</v>
      </c>
      <c r="AN134" s="70">
        <f>J134+P134+AB134+AH134</f>
        <v>6776.767916080372</v>
      </c>
      <c r="AP134" s="21">
        <f>AVERAGE(AJ134,AL134,AN134)</f>
        <v>6667.844152194964</v>
      </c>
    </row>
    <row r="135" spans="2:42" ht="12.75">
      <c r="B135" s="4" t="s">
        <v>24</v>
      </c>
      <c r="D135" s="4" t="s">
        <v>34</v>
      </c>
      <c r="F135" s="61">
        <f>F105*1/60*454*1000000/(F$126*0.0283)*(21-7)/(21-F$127)</f>
        <v>1617633.71590285</v>
      </c>
      <c r="G135" s="98"/>
      <c r="H135" s="61">
        <f>H105*1/60*454*1000000/(H$18*0.0283)*(21-7)/(21-H$19)</f>
        <v>1847188.0560536424</v>
      </c>
      <c r="I135" s="61"/>
      <c r="J135" s="61">
        <f>J105*1/60*454*1000000/(J$18*0.0283)*(21-7)/(21-J$19)</f>
        <v>2459795.9521126985</v>
      </c>
      <c r="K135" s="98"/>
      <c r="L135" s="61">
        <f>L105*1/60*454*1000000/(L$18*0.0283)*(21-7)/(21-L$19)</f>
        <v>4712.070167640059</v>
      </c>
      <c r="M135" s="61"/>
      <c r="N135" s="61">
        <f>N105*1/60*454*1000000/(N$18*0.0283)*(21-7)/(21-N$19)</f>
        <v>748.5518962662059</v>
      </c>
      <c r="O135" s="61"/>
      <c r="P135" s="61">
        <f>P105*1/60*454*1000000/(P$18*0.0283)*(21-7)/(21-P$19)</f>
        <v>1102.4948681777971</v>
      </c>
      <c r="Q135" s="61"/>
      <c r="R135" s="7">
        <f aca="true" t="shared" si="22" ref="R135:V152">SUM(L135,F135)</f>
        <v>1622345.78607049</v>
      </c>
      <c r="S135" s="61"/>
      <c r="T135" s="7">
        <f t="shared" si="22"/>
        <v>1847936.6079499086</v>
      </c>
      <c r="U135" s="61"/>
      <c r="V135" s="7">
        <f t="shared" si="22"/>
        <v>2460898.4469808764</v>
      </c>
      <c r="W135" s="61"/>
      <c r="X135" s="61">
        <f>X105*1/60*454*1000000/(X$18*0.0283)*(21-7)/(21-X$19)</f>
        <v>425720.5751693805</v>
      </c>
      <c r="Y135" s="98"/>
      <c r="Z135" s="61">
        <f>Z105*1/60*454*1000000/(Z$18*0.0283)*(21-7)/(21-Z$19)</f>
        <v>103162.24127591467</v>
      </c>
      <c r="AA135" s="61"/>
      <c r="AB135" s="61">
        <f>AB105*1/60*454*1000000/(AB$18*0.0283)*(21-7)/(21-AB$19)</f>
        <v>42745.2693100153</v>
      </c>
      <c r="AC135" s="126"/>
      <c r="AD135" s="61">
        <f>AD105*1/60*454*1000000/(AD$18*0.0283)*(21-7)/(21-AD$19)</f>
        <v>0</v>
      </c>
      <c r="AE135" s="98"/>
      <c r="AF135" s="61">
        <f>AF105*1/60*454*1000000/(AF$18*0.0283)*(21-7)/(21-AF$19)</f>
        <v>0</v>
      </c>
      <c r="AG135" s="61"/>
      <c r="AH135" s="61">
        <f>AH105*1/60*454*1000000/(AH$18*0.0283)*(21-7)/(21-AH$19)</f>
        <v>0</v>
      </c>
      <c r="AI135" s="58"/>
      <c r="AJ135" s="70">
        <f>F135+L135+X135+AD135</f>
        <v>2048066.3612398705</v>
      </c>
      <c r="AL135" s="70">
        <f>H135+N135+Z135+AF135</f>
        <v>1951098.8492258233</v>
      </c>
      <c r="AN135" s="70">
        <f>J135+P135+AB135+AH135</f>
        <v>2503643.7162908916</v>
      </c>
      <c r="AP135" s="21">
        <f>AVERAGE(AJ135,AL135,AN135)</f>
        <v>2167602.975585528</v>
      </c>
    </row>
    <row r="136" spans="5:42" ht="12.75">
      <c r="E136" s="16"/>
      <c r="F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AB136" s="56"/>
      <c r="AP136" s="21"/>
    </row>
    <row r="137" spans="2:42" ht="12.75">
      <c r="B137" s="4" t="s">
        <v>123</v>
      </c>
      <c r="D137" s="4" t="s">
        <v>34</v>
      </c>
      <c r="F137" s="7">
        <f>F107*1/60*454*1000000/(F$126*0.0283)*(21-7)/(21-F$127)</f>
        <v>77.8652581115036</v>
      </c>
      <c r="H137" s="7">
        <f>H107*1/60*454*1000000/(H$126*0.0283)*(21-7)/(21-H$127)</f>
        <v>70.98114321032159</v>
      </c>
      <c r="J137" s="7">
        <f aca="true" t="shared" si="23" ref="J137:J152">J107*1/60*454*1000000/(J$126*0.0283)*(21-7)/(21-J$127)</f>
        <v>58.12533641166459</v>
      </c>
      <c r="L137" s="7">
        <f aca="true" t="shared" si="24" ref="L137:L152">L107*1/60*454*1000000/(L$126*0.0283)*(21-7)/(21-L$127)</f>
        <v>32.72072510767163</v>
      </c>
      <c r="M137" s="16"/>
      <c r="N137" s="7">
        <f aca="true" t="shared" si="25" ref="N137:N152">N107*1/60*454*1000000/(N$126*0.0283)*(21-7)/(21-N$127)</f>
        <v>22.94635548597196</v>
      </c>
      <c r="P137" s="7">
        <f aca="true" t="shared" si="26" ref="P137:P152">P107*1/60*454*1000000/(P$126*0.0283)*(21-7)/(21-P$127)</f>
        <v>34.271412690418195</v>
      </c>
      <c r="Q137" s="7"/>
      <c r="R137" s="7">
        <f t="shared" si="22"/>
        <v>110.58598321917523</v>
      </c>
      <c r="S137" s="7"/>
      <c r="T137" s="7">
        <f t="shared" si="22"/>
        <v>93.92749869629355</v>
      </c>
      <c r="U137" s="7"/>
      <c r="V137" s="7">
        <f t="shared" si="22"/>
        <v>92.3967491020828</v>
      </c>
      <c r="X137" s="7">
        <f aca="true" t="shared" si="27" ref="X137:X152">X107*1/60*454*1000000/(X$126*0.0283)*(21-7)/(21-X$127)</f>
        <v>9656.46270495383</v>
      </c>
      <c r="Y137" s="16"/>
      <c r="Z137" s="7">
        <f aca="true" t="shared" si="28" ref="Z137:Z152">Z107*1/60*454*1000000/(Z$126*0.0283)*(21-7)/(21-Z$127)</f>
        <v>9182.477957273784</v>
      </c>
      <c r="AB137" s="7">
        <f aca="true" t="shared" si="29" ref="AB137:AB152">AB107*1/60*454*1000000/(AB$126*0.0283)*(21-7)/(21-AB$127)</f>
        <v>9932.738365204206</v>
      </c>
      <c r="AD137" s="7">
        <f aca="true" t="shared" si="30" ref="AD137:AD152">AD107*1/60*454*1000000/(AD$126*0.0283)*(21-7)/(21-AD$127)</f>
        <v>1198.2471969650742</v>
      </c>
      <c r="AE137" s="16"/>
      <c r="AF137" s="7">
        <f aca="true" t="shared" si="31" ref="AF137:AF152">AF107*1/60*454*1000000/(AF$126*0.0283)*(21-7)/(21-AF$127)</f>
        <v>1052.2894248444716</v>
      </c>
      <c r="AH137" s="7">
        <f aca="true" t="shared" si="32" ref="AH137:AH152">AH107*1/60*454*1000000/(AH$126*0.0283)*(21-7)/(21-AH$127)</f>
        <v>1227.2816421736873</v>
      </c>
      <c r="AJ137" s="7">
        <f aca="true" t="shared" si="33" ref="AJ137:AJ152">F137+L137+X137+AD137</f>
        <v>10965.295885138079</v>
      </c>
      <c r="AK137" s="21"/>
      <c r="AL137" s="7">
        <f aca="true" t="shared" si="34" ref="AL137:AL152">H137+N137+Z137+AF137</f>
        <v>10328.69488081455</v>
      </c>
      <c r="AM137" s="21"/>
      <c r="AN137" s="7">
        <f aca="true" t="shared" si="35" ref="AN137:AN152">J137+P137+AB137+AH137</f>
        <v>11252.416756479977</v>
      </c>
      <c r="AP137" s="21">
        <f aca="true" t="shared" si="36" ref="AP137:AP150">AVERAGE(AJ137,AL137,AN137)</f>
        <v>10848.802507477536</v>
      </c>
    </row>
    <row r="138" spans="2:42" ht="12.75">
      <c r="B138" s="4" t="s">
        <v>124</v>
      </c>
      <c r="D138" s="4" t="s">
        <v>34</v>
      </c>
      <c r="F138" s="7">
        <f aca="true" t="shared" si="37" ref="F138:H152">F108*1/60*454*1000000/(F$126*0.0283)*(21-7)/(21-F$127)</f>
        <v>189.10134112793733</v>
      </c>
      <c r="H138" s="7">
        <f t="shared" si="37"/>
        <v>152.10244973640343</v>
      </c>
      <c r="J138" s="7">
        <f t="shared" si="23"/>
        <v>279.00161477599005</v>
      </c>
      <c r="L138" s="7">
        <f t="shared" si="24"/>
        <v>13.08829004306865</v>
      </c>
      <c r="M138" s="16"/>
      <c r="N138" s="7">
        <f t="shared" si="25"/>
        <v>9.178542194388783</v>
      </c>
      <c r="P138" s="7">
        <f t="shared" si="26"/>
        <v>13.708565076167275</v>
      </c>
      <c r="Q138" s="7"/>
      <c r="R138" s="7">
        <f t="shared" si="22"/>
        <v>202.18963117100597</v>
      </c>
      <c r="S138" s="7"/>
      <c r="T138" s="7">
        <f t="shared" si="22"/>
        <v>161.2809919307922</v>
      </c>
      <c r="U138" s="7"/>
      <c r="V138" s="7">
        <f t="shared" si="22"/>
        <v>292.71017985215735</v>
      </c>
      <c r="X138" s="7">
        <f t="shared" si="27"/>
        <v>3862.585081981533</v>
      </c>
      <c r="Y138" s="16"/>
      <c r="Z138" s="7">
        <f t="shared" si="28"/>
        <v>3672.9911829095136</v>
      </c>
      <c r="AB138" s="7">
        <f t="shared" si="29"/>
        <v>3973.0953460816822</v>
      </c>
      <c r="AD138" s="7">
        <f t="shared" si="30"/>
        <v>5374.491104034523</v>
      </c>
      <c r="AE138" s="16"/>
      <c r="AF138" s="7">
        <f t="shared" si="31"/>
        <v>3424.1163824304235</v>
      </c>
      <c r="AH138" s="7">
        <f t="shared" si="32"/>
        <v>3590.2567442692934</v>
      </c>
      <c r="AJ138" s="7">
        <f t="shared" si="33"/>
        <v>9439.265817187063</v>
      </c>
      <c r="AK138" s="21"/>
      <c r="AL138" s="7">
        <f t="shared" si="34"/>
        <v>7258.3885572707295</v>
      </c>
      <c r="AM138" s="21"/>
      <c r="AN138" s="7">
        <f t="shared" si="35"/>
        <v>7856.062270203133</v>
      </c>
      <c r="AP138" s="21">
        <f t="shared" si="36"/>
        <v>8184.572214886975</v>
      </c>
    </row>
    <row r="139" spans="2:42" ht="12.75">
      <c r="B139" s="4" t="s">
        <v>125</v>
      </c>
      <c r="D139" s="4" t="s">
        <v>34</v>
      </c>
      <c r="F139" s="7">
        <f t="shared" si="37"/>
        <v>7274.839829274765</v>
      </c>
      <c r="H139" s="7">
        <f t="shared" si="37"/>
        <v>5850.87423319365</v>
      </c>
      <c r="J139" s="7">
        <f t="shared" si="23"/>
        <v>5649.7826992138</v>
      </c>
      <c r="L139" s="7">
        <f t="shared" si="24"/>
        <v>431.9135714212654</v>
      </c>
      <c r="M139" s="16"/>
      <c r="N139" s="7">
        <f t="shared" si="25"/>
        <v>354.29172870340705</v>
      </c>
      <c r="P139" s="7">
        <f t="shared" si="26"/>
        <v>353.6809789651157</v>
      </c>
      <c r="Q139" s="7"/>
      <c r="R139" s="7">
        <f t="shared" si="22"/>
        <v>7706.75340069603</v>
      </c>
      <c r="S139" s="7"/>
      <c r="T139" s="7">
        <f t="shared" si="22"/>
        <v>6205.165961897057</v>
      </c>
      <c r="U139" s="7"/>
      <c r="V139" s="7">
        <f t="shared" si="22"/>
        <v>6003.463678178916</v>
      </c>
      <c r="X139" s="7">
        <f t="shared" si="27"/>
        <v>243342.86016483657</v>
      </c>
      <c r="Y139" s="16"/>
      <c r="Z139" s="7">
        <f t="shared" si="28"/>
        <v>226990.8551038079</v>
      </c>
      <c r="AB139" s="7">
        <f t="shared" si="29"/>
        <v>207395.57706546382</v>
      </c>
      <c r="AD139" s="7">
        <f t="shared" si="30"/>
        <v>283702.6451637897</v>
      </c>
      <c r="AE139" s="16"/>
      <c r="AF139" s="7">
        <f t="shared" si="31"/>
        <v>268918.40857136506</v>
      </c>
      <c r="AH139" s="7">
        <f t="shared" si="32"/>
        <v>293082.1832056566</v>
      </c>
      <c r="AJ139" s="7">
        <f t="shared" si="33"/>
        <v>534752.2587293223</v>
      </c>
      <c r="AK139" s="21"/>
      <c r="AL139" s="7">
        <f t="shared" si="34"/>
        <v>502114.42963707005</v>
      </c>
      <c r="AM139" s="21"/>
      <c r="AN139" s="7">
        <f t="shared" si="35"/>
        <v>506481.2239492993</v>
      </c>
      <c r="AP139" s="21">
        <f t="shared" si="36"/>
        <v>514449.3041052306</v>
      </c>
    </row>
    <row r="140" spans="2:42" ht="12.75">
      <c r="B140" s="4" t="s">
        <v>126</v>
      </c>
      <c r="D140" s="4" t="s">
        <v>34</v>
      </c>
      <c r="F140" s="7">
        <f t="shared" si="37"/>
        <v>11.123608301643374</v>
      </c>
      <c r="H140" s="7">
        <f t="shared" si="37"/>
        <v>10.140163315760224</v>
      </c>
      <c r="J140" s="7">
        <f t="shared" si="23"/>
        <v>11.625067282332923</v>
      </c>
      <c r="L140" s="7">
        <f t="shared" si="24"/>
        <v>13.08829004306865</v>
      </c>
      <c r="M140" s="16"/>
      <c r="N140" s="7">
        <f t="shared" si="25"/>
        <v>9.178542194388783</v>
      </c>
      <c r="P140" s="7">
        <f t="shared" si="26"/>
        <v>13.708565076167275</v>
      </c>
      <c r="Q140" s="7"/>
      <c r="R140" s="7">
        <f t="shared" si="22"/>
        <v>24.211898344712026</v>
      </c>
      <c r="S140" s="7"/>
      <c r="T140" s="7">
        <f t="shared" si="22"/>
        <v>19.31870551014901</v>
      </c>
      <c r="U140" s="7"/>
      <c r="V140" s="7">
        <f t="shared" si="22"/>
        <v>25.333632358500196</v>
      </c>
      <c r="X140" s="7">
        <f t="shared" si="27"/>
        <v>3862.585081981533</v>
      </c>
      <c r="Y140" s="16"/>
      <c r="Z140" s="7">
        <f t="shared" si="28"/>
        <v>3672.9911829095136</v>
      </c>
      <c r="AB140" s="7">
        <f t="shared" si="29"/>
        <v>3973.0953460816822</v>
      </c>
      <c r="AD140" s="7">
        <f t="shared" si="30"/>
        <v>153.30515608229624</v>
      </c>
      <c r="AE140" s="16"/>
      <c r="AF140" s="7">
        <f t="shared" si="31"/>
        <v>86.85563506652782</v>
      </c>
      <c r="AH140" s="7">
        <f t="shared" si="32"/>
        <v>104.41052776701517</v>
      </c>
      <c r="AJ140" s="7">
        <f t="shared" si="33"/>
        <v>4040.102136408542</v>
      </c>
      <c r="AK140" s="21"/>
      <c r="AL140" s="7">
        <f t="shared" si="34"/>
        <v>3779.16552348619</v>
      </c>
      <c r="AM140" s="21"/>
      <c r="AN140" s="7">
        <f t="shared" si="35"/>
        <v>4102.839506207198</v>
      </c>
      <c r="AP140" s="21">
        <f t="shared" si="36"/>
        <v>3974.035722033977</v>
      </c>
    </row>
    <row r="141" spans="2:42" ht="12.75">
      <c r="B141" s="4" t="s">
        <v>127</v>
      </c>
      <c r="D141" s="4" t="s">
        <v>34</v>
      </c>
      <c r="F141" s="7">
        <f t="shared" si="37"/>
        <v>177.977732826294</v>
      </c>
      <c r="H141" s="7">
        <f t="shared" si="37"/>
        <v>141.96228642064318</v>
      </c>
      <c r="J141" s="7">
        <f t="shared" si="23"/>
        <v>127.87574010566212</v>
      </c>
      <c r="L141" s="7">
        <f t="shared" si="24"/>
        <v>6.544145021534325</v>
      </c>
      <c r="M141" s="16"/>
      <c r="N141" s="7">
        <f t="shared" si="25"/>
        <v>4.589271097194391</v>
      </c>
      <c r="P141" s="7">
        <f t="shared" si="26"/>
        <v>6.854282538083638</v>
      </c>
      <c r="Q141" s="7"/>
      <c r="R141" s="7">
        <f t="shared" si="22"/>
        <v>184.5218778478283</v>
      </c>
      <c r="S141" s="7"/>
      <c r="T141" s="7">
        <f t="shared" si="22"/>
        <v>146.55155751783758</v>
      </c>
      <c r="U141" s="7"/>
      <c r="V141" s="7">
        <f t="shared" si="22"/>
        <v>134.73002264374577</v>
      </c>
      <c r="X141" s="7">
        <f t="shared" si="27"/>
        <v>1931.2925409907666</v>
      </c>
      <c r="Y141" s="16"/>
      <c r="Z141" s="7">
        <f t="shared" si="28"/>
        <v>1836.4955914547568</v>
      </c>
      <c r="AB141" s="7">
        <f t="shared" si="29"/>
        <v>1986.5476730408411</v>
      </c>
      <c r="AD141" s="7">
        <f t="shared" si="30"/>
        <v>2907.511580871136</v>
      </c>
      <c r="AE141" s="16"/>
      <c r="AF141" s="7">
        <f t="shared" si="31"/>
        <v>2204.7968901503214</v>
      </c>
      <c r="AH141" s="7">
        <f t="shared" si="32"/>
        <v>2637.739648850909</v>
      </c>
      <c r="AJ141" s="7">
        <f t="shared" si="33"/>
        <v>5023.325999709731</v>
      </c>
      <c r="AK141" s="21"/>
      <c r="AL141" s="7">
        <f t="shared" si="34"/>
        <v>4187.844039122916</v>
      </c>
      <c r="AM141" s="21"/>
      <c r="AN141" s="7">
        <f t="shared" si="35"/>
        <v>4759.017344535496</v>
      </c>
      <c r="AP141" s="21">
        <f t="shared" si="36"/>
        <v>4656.729127789381</v>
      </c>
    </row>
    <row r="142" spans="2:42" ht="12.75">
      <c r="B142" s="4" t="s">
        <v>128</v>
      </c>
      <c r="D142" s="4" t="s">
        <v>34</v>
      </c>
      <c r="F142" s="7">
        <f t="shared" si="37"/>
        <v>1746.4065033580093</v>
      </c>
      <c r="H142" s="7">
        <f t="shared" si="37"/>
        <v>1409.4827008906711</v>
      </c>
      <c r="J142" s="7">
        <f t="shared" si="23"/>
        <v>1185.7568627979576</v>
      </c>
      <c r="L142" s="7">
        <f t="shared" si="24"/>
        <v>65.44145021534327</v>
      </c>
      <c r="M142" s="16"/>
      <c r="N142" s="7">
        <f t="shared" si="25"/>
        <v>45.89271097194392</v>
      </c>
      <c r="P142" s="7">
        <f t="shared" si="26"/>
        <v>34.271412690418195</v>
      </c>
      <c r="Q142" s="7"/>
      <c r="R142" s="7">
        <f t="shared" si="22"/>
        <v>1811.8479535733527</v>
      </c>
      <c r="S142" s="7"/>
      <c r="T142" s="7">
        <f t="shared" si="22"/>
        <v>1455.375411862615</v>
      </c>
      <c r="U142" s="7"/>
      <c r="V142" s="7">
        <f t="shared" si="22"/>
        <v>1220.0282754883758</v>
      </c>
      <c r="X142" s="7">
        <f t="shared" si="27"/>
        <v>21939.483265655108</v>
      </c>
      <c r="Y142" s="16"/>
      <c r="Z142" s="7">
        <f t="shared" si="28"/>
        <v>19466.85326942042</v>
      </c>
      <c r="AB142" s="7">
        <f t="shared" si="29"/>
        <v>21136.86724115456</v>
      </c>
      <c r="AD142" s="7">
        <f t="shared" si="30"/>
        <v>43524.56730152549</v>
      </c>
      <c r="AE142" s="16"/>
      <c r="AF142" s="7">
        <f t="shared" si="31"/>
        <v>37748.79524045247</v>
      </c>
      <c r="AH142" s="7">
        <f t="shared" si="32"/>
        <v>45244.56203237324</v>
      </c>
      <c r="AJ142" s="7">
        <f t="shared" si="33"/>
        <v>67275.89852075395</v>
      </c>
      <c r="AK142" s="21"/>
      <c r="AL142" s="7">
        <f t="shared" si="34"/>
        <v>58671.023921735505</v>
      </c>
      <c r="AM142" s="21"/>
      <c r="AN142" s="7">
        <f t="shared" si="35"/>
        <v>67601.45754901617</v>
      </c>
      <c r="AP142" s="21">
        <f t="shared" si="36"/>
        <v>64516.1266638352</v>
      </c>
    </row>
    <row r="143" spans="2:42" ht="12.75">
      <c r="B143" s="4" t="s">
        <v>129</v>
      </c>
      <c r="D143" s="4" t="s">
        <v>34</v>
      </c>
      <c r="F143" s="7">
        <f t="shared" si="37"/>
        <v>26474.187757911226</v>
      </c>
      <c r="H143" s="7">
        <f t="shared" si="37"/>
        <v>20787.334797308467</v>
      </c>
      <c r="J143" s="7">
        <f t="shared" si="23"/>
        <v>19297.61168867264</v>
      </c>
      <c r="L143" s="7">
        <f t="shared" si="24"/>
        <v>2604.5697185706613</v>
      </c>
      <c r="M143" s="16"/>
      <c r="N143" s="7">
        <f t="shared" si="25"/>
        <v>1743.9230169338687</v>
      </c>
      <c r="P143" s="7">
        <f t="shared" si="26"/>
        <v>1919.1991106634184</v>
      </c>
      <c r="Q143" s="7"/>
      <c r="R143" s="7">
        <f t="shared" si="22"/>
        <v>29078.757476481886</v>
      </c>
      <c r="S143" s="7"/>
      <c r="T143" s="7">
        <f t="shared" si="22"/>
        <v>22531.257814242337</v>
      </c>
      <c r="U143" s="7"/>
      <c r="V143" s="7">
        <f t="shared" si="22"/>
        <v>21216.81079933606</v>
      </c>
      <c r="X143" s="7">
        <f t="shared" si="27"/>
        <v>77251.70163963064</v>
      </c>
      <c r="Y143" s="16"/>
      <c r="Z143" s="7">
        <f t="shared" si="28"/>
        <v>59135.158044843156</v>
      </c>
      <c r="AB143" s="7">
        <f t="shared" si="29"/>
        <v>52524.32047519984</v>
      </c>
      <c r="AD143" s="7">
        <f t="shared" si="30"/>
        <v>98855.39374961861</v>
      </c>
      <c r="AE143" s="16"/>
      <c r="AF143" s="7">
        <f t="shared" si="31"/>
        <v>74662.4401437268</v>
      </c>
      <c r="AH143" s="7">
        <f t="shared" si="32"/>
        <v>87924.65496169699</v>
      </c>
      <c r="AJ143" s="7">
        <f t="shared" si="33"/>
        <v>205185.85286573114</v>
      </c>
      <c r="AK143" s="21"/>
      <c r="AL143" s="7">
        <f t="shared" si="34"/>
        <v>156328.85600281227</v>
      </c>
      <c r="AM143" s="21"/>
      <c r="AN143" s="7">
        <f t="shared" si="35"/>
        <v>161665.7862362329</v>
      </c>
      <c r="AP143" s="21">
        <f t="shared" si="36"/>
        <v>174393.49836825876</v>
      </c>
    </row>
    <row r="144" spans="2:42" ht="12.75">
      <c r="B144" s="4" t="s">
        <v>130</v>
      </c>
      <c r="D144" s="4" t="s">
        <v>34</v>
      </c>
      <c r="F144" s="7">
        <f t="shared" si="37"/>
        <v>4783.151569706651</v>
      </c>
      <c r="H144" s="7">
        <f t="shared" si="37"/>
        <v>3691.019446936722</v>
      </c>
      <c r="J144" s="7">
        <f t="shared" si="23"/>
        <v>3580.52072295854</v>
      </c>
      <c r="L144" s="7">
        <f t="shared" si="24"/>
        <v>107.32397835316296</v>
      </c>
      <c r="M144" s="16"/>
      <c r="N144" s="7">
        <f t="shared" si="25"/>
        <v>79.85331709118243</v>
      </c>
      <c r="P144" s="7">
        <f t="shared" si="26"/>
        <v>101.44338156363786</v>
      </c>
      <c r="Q144" s="7"/>
      <c r="R144" s="7">
        <f t="shared" si="22"/>
        <v>4890.475548059813</v>
      </c>
      <c r="S144" s="7"/>
      <c r="T144" s="7">
        <f t="shared" si="22"/>
        <v>3770.8727640279044</v>
      </c>
      <c r="U144" s="7"/>
      <c r="V144" s="7">
        <f t="shared" si="22"/>
        <v>3681.964104522178</v>
      </c>
      <c r="X144" s="7">
        <f t="shared" si="27"/>
        <v>20085.44242630397</v>
      </c>
      <c r="Y144" s="16"/>
      <c r="Z144" s="7">
        <f t="shared" si="28"/>
        <v>18952.63450381309</v>
      </c>
      <c r="AB144" s="7">
        <f t="shared" si="29"/>
        <v>21216.32914807618</v>
      </c>
      <c r="AD144" s="7">
        <f t="shared" si="30"/>
        <v>67665.72406391006</v>
      </c>
      <c r="AE144" s="16"/>
      <c r="AF144" s="7">
        <f t="shared" si="31"/>
        <v>59629.73407452005</v>
      </c>
      <c r="AH144" s="7">
        <f t="shared" si="32"/>
        <v>70889.25306286819</v>
      </c>
      <c r="AJ144" s="7">
        <f t="shared" si="33"/>
        <v>92641.64203827384</v>
      </c>
      <c r="AK144" s="21"/>
      <c r="AL144" s="7">
        <f t="shared" si="34"/>
        <v>82353.24134236104</v>
      </c>
      <c r="AM144" s="21"/>
      <c r="AN144" s="7">
        <f t="shared" si="35"/>
        <v>95787.54631546655</v>
      </c>
      <c r="AP144" s="21">
        <f t="shared" si="36"/>
        <v>90260.80989870049</v>
      </c>
    </row>
    <row r="145" spans="2:42" ht="12.75">
      <c r="B145" s="4" t="s">
        <v>131</v>
      </c>
      <c r="D145" s="4" t="s">
        <v>34</v>
      </c>
      <c r="F145" s="7">
        <f t="shared" si="37"/>
        <v>2.2247216603286746</v>
      </c>
      <c r="H145" s="7">
        <f t="shared" si="37"/>
        <v>2.028032663152045</v>
      </c>
      <c r="J145" s="7">
        <f t="shared" si="23"/>
        <v>2.3250134564665834</v>
      </c>
      <c r="L145" s="7">
        <f t="shared" si="24"/>
        <v>0.26176580086137297</v>
      </c>
      <c r="M145" s="16"/>
      <c r="N145" s="7">
        <f t="shared" si="25"/>
        <v>0.18357084388777567</v>
      </c>
      <c r="P145" s="7">
        <f t="shared" si="26"/>
        <v>0.27417130152334546</v>
      </c>
      <c r="Q145" s="7"/>
      <c r="R145" s="7">
        <f t="shared" si="22"/>
        <v>2.4864874611900474</v>
      </c>
      <c r="S145" s="7"/>
      <c r="T145" s="7">
        <f t="shared" si="22"/>
        <v>2.2116035070398206</v>
      </c>
      <c r="U145" s="7"/>
      <c r="V145" s="7">
        <f t="shared" si="22"/>
        <v>2.5991847579899288</v>
      </c>
      <c r="X145" s="7">
        <f t="shared" si="27"/>
        <v>15.450340327926131</v>
      </c>
      <c r="Y145" s="16"/>
      <c r="Z145" s="7">
        <f t="shared" si="28"/>
        <v>29.383929463276104</v>
      </c>
      <c r="AB145" s="7">
        <f t="shared" si="29"/>
        <v>31.78476276865346</v>
      </c>
      <c r="AD145" s="7">
        <f t="shared" si="30"/>
        <v>137.4460020048173</v>
      </c>
      <c r="AE145" s="16"/>
      <c r="AF145" s="7">
        <f t="shared" si="31"/>
        <v>130.2834525997917</v>
      </c>
      <c r="AH145" s="7">
        <f t="shared" si="32"/>
        <v>142.87756431275758</v>
      </c>
      <c r="AJ145" s="7">
        <f t="shared" si="33"/>
        <v>155.38282979393347</v>
      </c>
      <c r="AK145" s="21"/>
      <c r="AL145" s="7">
        <f t="shared" si="34"/>
        <v>161.87898557010763</v>
      </c>
      <c r="AM145" s="21"/>
      <c r="AN145" s="7">
        <f t="shared" si="35"/>
        <v>177.26151183940098</v>
      </c>
      <c r="AP145" s="21">
        <f t="shared" si="36"/>
        <v>164.84110906781405</v>
      </c>
    </row>
    <row r="146" spans="2:42" ht="12.75">
      <c r="B146" s="4" t="s">
        <v>132</v>
      </c>
      <c r="D146" s="4" t="s">
        <v>34</v>
      </c>
      <c r="F146" s="7">
        <f t="shared" si="37"/>
        <v>5706.41105874305</v>
      </c>
      <c r="H146" s="7">
        <f t="shared" si="37"/>
        <v>5009.240677985552</v>
      </c>
      <c r="J146" s="7">
        <f t="shared" si="23"/>
        <v>4057.148481534189</v>
      </c>
      <c r="L146" s="7">
        <f t="shared" si="24"/>
        <v>342.9131991283987</v>
      </c>
      <c r="M146" s="16"/>
      <c r="N146" s="7">
        <f t="shared" si="25"/>
        <v>246.9027850290583</v>
      </c>
      <c r="P146" s="7">
        <f t="shared" si="26"/>
        <v>263.2044494624117</v>
      </c>
      <c r="Q146" s="7"/>
      <c r="R146" s="7">
        <f t="shared" si="22"/>
        <v>6049.324257871448</v>
      </c>
      <c r="S146" s="7"/>
      <c r="T146" s="7">
        <f t="shared" si="22"/>
        <v>5256.1434630146105</v>
      </c>
      <c r="U146" s="7"/>
      <c r="V146" s="7">
        <f t="shared" si="22"/>
        <v>4320.352930996601</v>
      </c>
      <c r="X146" s="7">
        <f t="shared" si="27"/>
        <v>31904.952777167455</v>
      </c>
      <c r="Y146" s="16"/>
      <c r="Z146" s="7">
        <f t="shared" si="28"/>
        <v>31514.264349363624</v>
      </c>
      <c r="AB146" s="7">
        <f t="shared" si="29"/>
        <v>35122.16285936207</v>
      </c>
      <c r="AD146" s="7">
        <f t="shared" si="30"/>
        <v>50749.29304793255</v>
      </c>
      <c r="AE146" s="16"/>
      <c r="AF146" s="7">
        <f t="shared" si="31"/>
        <v>44764.05807274896</v>
      </c>
      <c r="AH146" s="7">
        <f t="shared" si="32"/>
        <v>52754.79297701819</v>
      </c>
      <c r="AJ146" s="7">
        <f t="shared" si="33"/>
        <v>88703.57008297145</v>
      </c>
      <c r="AK146" s="21"/>
      <c r="AL146" s="7">
        <f t="shared" si="34"/>
        <v>81534.4658851272</v>
      </c>
      <c r="AM146" s="21"/>
      <c r="AN146" s="7">
        <f t="shared" si="35"/>
        <v>92197.30876737686</v>
      </c>
      <c r="AP146" s="21">
        <f t="shared" si="36"/>
        <v>87478.44824515849</v>
      </c>
    </row>
    <row r="147" spans="2:42" ht="12.75">
      <c r="B147" s="4" t="s">
        <v>133</v>
      </c>
      <c r="D147" s="4" t="s">
        <v>34</v>
      </c>
      <c r="F147" s="7">
        <f t="shared" si="37"/>
        <v>55.61804150821686</v>
      </c>
      <c r="H147" s="7">
        <f t="shared" si="37"/>
        <v>50.70081657880113</v>
      </c>
      <c r="J147" s="7">
        <f t="shared" si="23"/>
        <v>58.12533641166459</v>
      </c>
      <c r="L147" s="7">
        <f t="shared" si="24"/>
        <v>65.44145021534327</v>
      </c>
      <c r="M147" s="16"/>
      <c r="N147" s="7">
        <f t="shared" si="25"/>
        <v>45.89271097194392</v>
      </c>
      <c r="P147" s="7">
        <f t="shared" si="26"/>
        <v>68.54282538083639</v>
      </c>
      <c r="Q147" s="7"/>
      <c r="R147" s="7">
        <f t="shared" si="22"/>
        <v>121.05949172356013</v>
      </c>
      <c r="S147" s="7"/>
      <c r="T147" s="7">
        <f t="shared" si="22"/>
        <v>96.59352755074505</v>
      </c>
      <c r="U147" s="7"/>
      <c r="V147" s="7">
        <f t="shared" si="22"/>
        <v>126.66816179250098</v>
      </c>
      <c r="X147" s="7">
        <f t="shared" si="27"/>
        <v>19312.92540990766</v>
      </c>
      <c r="Y147" s="16"/>
      <c r="Z147" s="7">
        <f t="shared" si="28"/>
        <v>18364.95591454757</v>
      </c>
      <c r="AB147" s="7">
        <f t="shared" si="29"/>
        <v>19865.476730408413</v>
      </c>
      <c r="AD147" s="7">
        <f t="shared" si="30"/>
        <v>2114.5538769971895</v>
      </c>
      <c r="AE147" s="16"/>
      <c r="AF147" s="7">
        <f t="shared" si="31"/>
        <v>1837.3307417919348</v>
      </c>
      <c r="AH147" s="7">
        <f t="shared" si="32"/>
        <v>2198.1163740424245</v>
      </c>
      <c r="AJ147" s="7">
        <f t="shared" si="33"/>
        <v>21548.538778628412</v>
      </c>
      <c r="AK147" s="21"/>
      <c r="AL147" s="7">
        <f t="shared" si="34"/>
        <v>20298.880183890247</v>
      </c>
      <c r="AM147" s="21"/>
      <c r="AN147" s="7">
        <f t="shared" si="35"/>
        <v>22190.26126624334</v>
      </c>
      <c r="AP147" s="21">
        <f t="shared" si="36"/>
        <v>21345.89340958733</v>
      </c>
    </row>
    <row r="148" spans="2:42" ht="12.75">
      <c r="B148" s="4" t="s">
        <v>134</v>
      </c>
      <c r="D148" s="4" t="s">
        <v>34</v>
      </c>
      <c r="F148" s="7">
        <f t="shared" si="37"/>
        <v>55.61804150821686</v>
      </c>
      <c r="H148" s="7">
        <f t="shared" si="37"/>
        <v>50.70081657880113</v>
      </c>
      <c r="J148" s="7">
        <f t="shared" si="23"/>
        <v>58.12533641166459</v>
      </c>
      <c r="L148" s="7">
        <f t="shared" si="24"/>
        <v>6.544145021534325</v>
      </c>
      <c r="M148" s="16"/>
      <c r="N148" s="7">
        <f t="shared" si="25"/>
        <v>4.589271097194391</v>
      </c>
      <c r="P148" s="7">
        <f t="shared" si="26"/>
        <v>6.854282538083638</v>
      </c>
      <c r="Q148" s="7"/>
      <c r="R148" s="7">
        <f t="shared" si="22"/>
        <v>62.16218652975119</v>
      </c>
      <c r="S148" s="7"/>
      <c r="T148" s="7">
        <f t="shared" si="22"/>
        <v>55.29008767599552</v>
      </c>
      <c r="U148" s="7"/>
      <c r="V148" s="7">
        <f t="shared" si="22"/>
        <v>64.97961894974823</v>
      </c>
      <c r="X148" s="7">
        <f t="shared" si="27"/>
        <v>1931.2925409907666</v>
      </c>
      <c r="Y148" s="16"/>
      <c r="Z148" s="7">
        <f t="shared" si="28"/>
        <v>1836.4955914547568</v>
      </c>
      <c r="AB148" s="7">
        <f t="shared" si="29"/>
        <v>1986.5476730408411</v>
      </c>
      <c r="AD148" s="7">
        <f t="shared" si="30"/>
        <v>1691.6431015977514</v>
      </c>
      <c r="AE148" s="16"/>
      <c r="AF148" s="7">
        <f t="shared" si="31"/>
        <v>1603.488647382052</v>
      </c>
      <c r="AH148" s="7">
        <f t="shared" si="32"/>
        <v>1758.4930992339396</v>
      </c>
      <c r="AJ148" s="7">
        <f t="shared" si="33"/>
        <v>3685.097829118269</v>
      </c>
      <c r="AK148" s="21"/>
      <c r="AL148" s="7">
        <f t="shared" si="34"/>
        <v>3495.2743265128042</v>
      </c>
      <c r="AM148" s="21"/>
      <c r="AN148" s="7">
        <f t="shared" si="35"/>
        <v>3810.020391224529</v>
      </c>
      <c r="AP148" s="21">
        <f t="shared" si="36"/>
        <v>3663.464182285201</v>
      </c>
    </row>
    <row r="149" spans="2:42" ht="12.75">
      <c r="B149" s="4" t="s">
        <v>135</v>
      </c>
      <c r="D149" s="4" t="s">
        <v>34</v>
      </c>
      <c r="F149" s="7">
        <f t="shared" si="37"/>
        <v>11.123608301643374</v>
      </c>
      <c r="H149" s="7">
        <f t="shared" si="37"/>
        <v>10.140163315760224</v>
      </c>
      <c r="J149" s="7">
        <f t="shared" si="23"/>
        <v>11.625067282332923</v>
      </c>
      <c r="L149" s="7">
        <f t="shared" si="24"/>
        <v>13.08829004306865</v>
      </c>
      <c r="M149" s="16"/>
      <c r="N149" s="7">
        <f t="shared" si="25"/>
        <v>9.178542194388783</v>
      </c>
      <c r="P149" s="7">
        <f t="shared" si="26"/>
        <v>13.708565076167275</v>
      </c>
      <c r="Q149" s="7"/>
      <c r="R149" s="7">
        <f t="shared" si="22"/>
        <v>24.211898344712026</v>
      </c>
      <c r="S149" s="7"/>
      <c r="T149" s="7">
        <f t="shared" si="22"/>
        <v>19.31870551014901</v>
      </c>
      <c r="U149" s="7"/>
      <c r="V149" s="7">
        <f t="shared" si="22"/>
        <v>25.333632358500196</v>
      </c>
      <c r="X149" s="7">
        <f t="shared" si="27"/>
        <v>3862.585081981533</v>
      </c>
      <c r="Y149" s="16"/>
      <c r="Z149" s="7">
        <f t="shared" si="28"/>
        <v>3672.9911829095136</v>
      </c>
      <c r="AB149" s="7">
        <f t="shared" si="29"/>
        <v>3973.0953460816822</v>
      </c>
      <c r="AD149" s="7">
        <f t="shared" si="30"/>
        <v>4229.107753994379</v>
      </c>
      <c r="AE149" s="16"/>
      <c r="AF149" s="7">
        <f t="shared" si="31"/>
        <v>4008.7216184551303</v>
      </c>
      <c r="AH149" s="7">
        <f t="shared" si="32"/>
        <v>4396.232748084849</v>
      </c>
      <c r="AJ149" s="7">
        <f t="shared" si="33"/>
        <v>8115.904734320624</v>
      </c>
      <c r="AK149" s="21"/>
      <c r="AL149" s="7">
        <f t="shared" si="34"/>
        <v>7701.031506874793</v>
      </c>
      <c r="AM149" s="21"/>
      <c r="AN149" s="7">
        <f t="shared" si="35"/>
        <v>8394.661726525032</v>
      </c>
      <c r="AP149" s="21">
        <f t="shared" si="36"/>
        <v>8070.532655906816</v>
      </c>
    </row>
    <row r="150" spans="2:42" ht="12.75">
      <c r="B150" s="4" t="s">
        <v>136</v>
      </c>
      <c r="D150" s="4" t="s">
        <v>34</v>
      </c>
      <c r="F150" s="7">
        <f t="shared" si="37"/>
        <v>40156.22596893257</v>
      </c>
      <c r="H150" s="7">
        <f t="shared" si="37"/>
        <v>31738.711178329508</v>
      </c>
      <c r="J150" s="7">
        <f t="shared" si="23"/>
        <v>31271.430989475553</v>
      </c>
      <c r="L150" s="7">
        <f t="shared" si="24"/>
        <v>1505.153354952895</v>
      </c>
      <c r="M150" s="16"/>
      <c r="N150" s="7">
        <f t="shared" si="25"/>
        <v>1101.425063326654</v>
      </c>
      <c r="P150" s="7">
        <f t="shared" si="26"/>
        <v>1188.5325921037027</v>
      </c>
      <c r="Q150" s="7"/>
      <c r="R150" s="7">
        <f t="shared" si="22"/>
        <v>41661.37932388547</v>
      </c>
      <c r="S150" s="7"/>
      <c r="T150" s="7">
        <f t="shared" si="22"/>
        <v>32840.13624165616</v>
      </c>
      <c r="U150" s="7"/>
      <c r="V150" s="7">
        <f t="shared" si="22"/>
        <v>32459.963581579257</v>
      </c>
      <c r="X150" s="7">
        <f t="shared" si="27"/>
        <v>275788.5748534815</v>
      </c>
      <c r="Y150" s="16"/>
      <c r="Z150" s="7">
        <f t="shared" si="28"/>
        <v>124147.10198234153</v>
      </c>
      <c r="AB150" s="7">
        <f t="shared" si="29"/>
        <v>133496.00362834454</v>
      </c>
      <c r="AD150" s="7">
        <f t="shared" si="30"/>
        <v>581502.3161742272</v>
      </c>
      <c r="AE150" s="16"/>
      <c r="AF150" s="7">
        <f t="shared" si="31"/>
        <v>494408.99960946606</v>
      </c>
      <c r="AH150" s="7">
        <f t="shared" si="32"/>
        <v>604482.0028616668</v>
      </c>
      <c r="AJ150" s="7">
        <f t="shared" si="33"/>
        <v>898952.2703515941</v>
      </c>
      <c r="AK150" s="21"/>
      <c r="AL150" s="7">
        <f t="shared" si="34"/>
        <v>651396.2378334638</v>
      </c>
      <c r="AM150" s="21"/>
      <c r="AN150" s="7">
        <f t="shared" si="35"/>
        <v>770437.9700715906</v>
      </c>
      <c r="AP150" s="21">
        <f t="shared" si="36"/>
        <v>773595.4927522162</v>
      </c>
    </row>
    <row r="151" spans="2:42" ht="12.75">
      <c r="B151" s="4" t="s">
        <v>35</v>
      </c>
      <c r="D151" s="4" t="s">
        <v>34</v>
      </c>
      <c r="F151" s="7">
        <f t="shared" si="37"/>
        <v>4961.129302532944</v>
      </c>
      <c r="H151" s="7">
        <f t="shared" si="37"/>
        <v>3832.981733357365</v>
      </c>
      <c r="J151" s="7">
        <f t="shared" si="23"/>
        <v>3708.3964630642026</v>
      </c>
      <c r="L151" s="7">
        <f t="shared" si="24"/>
        <v>113.86812337469725</v>
      </c>
      <c r="M151" s="16"/>
      <c r="N151" s="7">
        <f t="shared" si="25"/>
        <v>84.44258818837679</v>
      </c>
      <c r="P151" s="7">
        <f t="shared" si="26"/>
        <v>108.29766410172148</v>
      </c>
      <c r="Q151" s="7"/>
      <c r="R151" s="7">
        <f t="shared" si="22"/>
        <v>5074.997425907642</v>
      </c>
      <c r="S151" s="7"/>
      <c r="T151" s="7">
        <f t="shared" si="22"/>
        <v>3917.424321545742</v>
      </c>
      <c r="U151" s="7"/>
      <c r="V151" s="7">
        <f t="shared" si="22"/>
        <v>3816.6941271659243</v>
      </c>
      <c r="X151" s="7">
        <f t="shared" si="27"/>
        <v>22016.734967294735</v>
      </c>
      <c r="Y151" s="16"/>
      <c r="Z151" s="7">
        <f t="shared" si="28"/>
        <v>20789.130095267843</v>
      </c>
      <c r="AB151" s="7">
        <f t="shared" si="29"/>
        <v>23202.876821117028</v>
      </c>
      <c r="AD151" s="7">
        <f t="shared" si="30"/>
        <v>70573.23564478119</v>
      </c>
      <c r="AE151" s="16"/>
      <c r="AF151" s="7">
        <f t="shared" si="31"/>
        <v>61834.530964670375</v>
      </c>
      <c r="AH151" s="7">
        <f t="shared" si="32"/>
        <v>73526.99271171911</v>
      </c>
      <c r="AJ151" s="7">
        <f t="shared" si="33"/>
        <v>97664.96803798356</v>
      </c>
      <c r="AK151" s="21"/>
      <c r="AL151" s="7">
        <f t="shared" si="34"/>
        <v>86541.08538148396</v>
      </c>
      <c r="AM151" s="21"/>
      <c r="AN151" s="7">
        <f t="shared" si="35"/>
        <v>100546.56366000207</v>
      </c>
      <c r="AP151" s="21">
        <f>AVERAGE(AJ151,AL151,AN151)</f>
        <v>94917.53902648987</v>
      </c>
    </row>
    <row r="152" spans="2:42" ht="12.75">
      <c r="B152" s="4" t="s">
        <v>36</v>
      </c>
      <c r="D152" s="4" t="s">
        <v>34</v>
      </c>
      <c r="F152" s="7">
        <f t="shared" si="37"/>
        <v>1835.395369771156</v>
      </c>
      <c r="H152" s="7">
        <f t="shared" si="37"/>
        <v>1490.6040074167533</v>
      </c>
      <c r="J152" s="7">
        <f t="shared" si="23"/>
        <v>1255.507266491955</v>
      </c>
      <c r="L152" s="7">
        <f t="shared" si="24"/>
        <v>111.25046536608355</v>
      </c>
      <c r="M152" s="16"/>
      <c r="N152" s="7">
        <f t="shared" si="25"/>
        <v>78.01760865230465</v>
      </c>
      <c r="P152" s="7">
        <f t="shared" si="26"/>
        <v>82.25139045700367</v>
      </c>
      <c r="Q152" s="7"/>
      <c r="R152" s="7">
        <f t="shared" si="22"/>
        <v>1946.6458351372396</v>
      </c>
      <c r="S152" s="7"/>
      <c r="T152" s="7">
        <f t="shared" si="22"/>
        <v>1568.621616069058</v>
      </c>
      <c r="U152" s="7"/>
      <c r="V152" s="7">
        <f t="shared" si="22"/>
        <v>1337.7586569489588</v>
      </c>
      <c r="X152" s="7">
        <f t="shared" si="27"/>
        <v>35458.53105259046</v>
      </c>
      <c r="Y152" s="16"/>
      <c r="Z152" s="7">
        <f t="shared" si="28"/>
        <v>32322.32240960371</v>
      </c>
      <c r="AB152" s="7">
        <f t="shared" si="29"/>
        <v>35042.70095244044</v>
      </c>
      <c r="AD152" s="7">
        <f t="shared" si="30"/>
        <v>44876.11965457287</v>
      </c>
      <c r="AE152" s="16"/>
      <c r="AF152" s="7">
        <f t="shared" si="31"/>
        <v>38887.940300363465</v>
      </c>
      <c r="AH152" s="7">
        <f t="shared" si="32"/>
        <v>46576.25420231395</v>
      </c>
      <c r="AJ152" s="7">
        <f t="shared" si="33"/>
        <v>82281.29654230057</v>
      </c>
      <c r="AK152" s="21"/>
      <c r="AL152" s="7">
        <f t="shared" si="34"/>
        <v>72778.88432603623</v>
      </c>
      <c r="AM152" s="21"/>
      <c r="AN152" s="7">
        <f t="shared" si="35"/>
        <v>82956.71381170335</v>
      </c>
      <c r="AP152" s="21">
        <f>AVERAGE(AJ152,AL152,AN152)</f>
        <v>79338.96489334673</v>
      </c>
    </row>
    <row r="154" spans="6:7" ht="12.75">
      <c r="F154" s="14"/>
      <c r="G154" s="14"/>
    </row>
    <row r="155" spans="1:42" ht="12.75">
      <c r="A155" s="14" t="s">
        <v>61</v>
      </c>
      <c r="B155" s="17" t="s">
        <v>172</v>
      </c>
      <c r="C155" s="4" t="s">
        <v>157</v>
      </c>
      <c r="F155" s="16" t="s">
        <v>181</v>
      </c>
      <c r="H155" s="16" t="s">
        <v>182</v>
      </c>
      <c r="I155" s="16"/>
      <c r="J155" s="16" t="s">
        <v>183</v>
      </c>
      <c r="K155" s="19"/>
      <c r="L155" s="16" t="s">
        <v>181</v>
      </c>
      <c r="M155" s="16"/>
      <c r="N155" s="16" t="s">
        <v>182</v>
      </c>
      <c r="O155" s="16"/>
      <c r="P155" s="16" t="s">
        <v>183</v>
      </c>
      <c r="Q155" s="16"/>
      <c r="R155" s="16" t="s">
        <v>181</v>
      </c>
      <c r="S155" s="16"/>
      <c r="T155" s="16" t="s">
        <v>182</v>
      </c>
      <c r="U155" s="16"/>
      <c r="V155" s="16" t="s">
        <v>183</v>
      </c>
      <c r="W155" s="19"/>
      <c r="X155" s="16" t="s">
        <v>181</v>
      </c>
      <c r="Y155" s="16"/>
      <c r="Z155" s="16" t="s">
        <v>182</v>
      </c>
      <c r="AA155" s="16"/>
      <c r="AB155" s="16" t="s">
        <v>183</v>
      </c>
      <c r="AC155" s="17"/>
      <c r="AD155" s="16" t="s">
        <v>181</v>
      </c>
      <c r="AE155" s="16"/>
      <c r="AF155" s="16" t="s">
        <v>182</v>
      </c>
      <c r="AG155" s="16"/>
      <c r="AH155" s="16" t="s">
        <v>183</v>
      </c>
      <c r="AI155" s="17"/>
      <c r="AJ155" s="16" t="s">
        <v>181</v>
      </c>
      <c r="AK155" s="16"/>
      <c r="AL155" s="16" t="s">
        <v>182</v>
      </c>
      <c r="AM155" s="16"/>
      <c r="AN155" s="16" t="s">
        <v>183</v>
      </c>
      <c r="AP155" s="16" t="s">
        <v>180</v>
      </c>
    </row>
    <row r="156" spans="1:7" ht="12.75">
      <c r="A156" s="13"/>
      <c r="F156" s="14"/>
      <c r="G156" s="14"/>
    </row>
    <row r="157" spans="1:42" ht="12.75">
      <c r="A157" s="13"/>
      <c r="B157" s="4" t="s">
        <v>240</v>
      </c>
      <c r="F157" s="14" t="s">
        <v>270</v>
      </c>
      <c r="G157" s="14"/>
      <c r="H157" s="14" t="s">
        <v>270</v>
      </c>
      <c r="J157" s="14" t="s">
        <v>270</v>
      </c>
      <c r="L157" s="14" t="s">
        <v>272</v>
      </c>
      <c r="N157" s="14" t="s">
        <v>272</v>
      </c>
      <c r="P157" s="14" t="s">
        <v>272</v>
      </c>
      <c r="X157" s="14" t="s">
        <v>274</v>
      </c>
      <c r="Z157" s="14" t="s">
        <v>274</v>
      </c>
      <c r="AB157" s="14" t="s">
        <v>274</v>
      </c>
      <c r="AD157" s="14" t="s">
        <v>275</v>
      </c>
      <c r="AF157" s="14" t="s">
        <v>275</v>
      </c>
      <c r="AH157" s="14" t="s">
        <v>275</v>
      </c>
      <c r="AJ157" s="14" t="s">
        <v>276</v>
      </c>
      <c r="AL157" s="14" t="s">
        <v>276</v>
      </c>
      <c r="AN157" s="14" t="s">
        <v>276</v>
      </c>
      <c r="AP157" s="14" t="s">
        <v>276</v>
      </c>
    </row>
    <row r="158" spans="1:42" ht="12.75">
      <c r="A158" s="13"/>
      <c r="B158" s="4" t="s">
        <v>241</v>
      </c>
      <c r="F158" s="14" t="s">
        <v>269</v>
      </c>
      <c r="G158" s="14"/>
      <c r="H158" s="14" t="s">
        <v>269</v>
      </c>
      <c r="J158" s="14" t="s">
        <v>269</v>
      </c>
      <c r="L158" s="14" t="s">
        <v>271</v>
      </c>
      <c r="N158" s="14" t="s">
        <v>271</v>
      </c>
      <c r="P158" s="14" t="s">
        <v>271</v>
      </c>
      <c r="X158" s="14" t="s">
        <v>273</v>
      </c>
      <c r="Z158" s="14" t="s">
        <v>273</v>
      </c>
      <c r="AB158" s="14" t="s">
        <v>273</v>
      </c>
      <c r="AD158" s="14" t="s">
        <v>33</v>
      </c>
      <c r="AF158" s="14" t="s">
        <v>33</v>
      </c>
      <c r="AH158" s="14" t="s">
        <v>33</v>
      </c>
      <c r="AJ158" s="14" t="s">
        <v>66</v>
      </c>
      <c r="AL158" s="14" t="s">
        <v>66</v>
      </c>
      <c r="AN158" s="14" t="s">
        <v>66</v>
      </c>
      <c r="AP158" s="14" t="s">
        <v>66</v>
      </c>
    </row>
    <row r="159" spans="1:42" ht="12.75">
      <c r="A159" s="13"/>
      <c r="B159" s="4" t="s">
        <v>278</v>
      </c>
      <c r="F159" s="14"/>
      <c r="G159" s="14"/>
      <c r="R159" s="14" t="s">
        <v>40</v>
      </c>
      <c r="T159" s="14" t="s">
        <v>40</v>
      </c>
      <c r="V159" s="14" t="s">
        <v>40</v>
      </c>
      <c r="X159" s="14" t="s">
        <v>279</v>
      </c>
      <c r="Z159" s="14" t="s">
        <v>279</v>
      </c>
      <c r="AB159" s="14" t="s">
        <v>279</v>
      </c>
      <c r="AD159" s="14" t="s">
        <v>33</v>
      </c>
      <c r="AF159" s="14" t="s">
        <v>33</v>
      </c>
      <c r="AH159" s="14" t="s">
        <v>33</v>
      </c>
      <c r="AJ159" s="14" t="s">
        <v>66</v>
      </c>
      <c r="AL159" s="14" t="s">
        <v>66</v>
      </c>
      <c r="AN159" s="14" t="s">
        <v>66</v>
      </c>
      <c r="AP159" s="14" t="s">
        <v>66</v>
      </c>
    </row>
    <row r="160" spans="2:42" ht="12.75">
      <c r="B160" s="4" t="s">
        <v>20</v>
      </c>
      <c r="C160" s="17"/>
      <c r="D160" s="39"/>
      <c r="F160" s="113" t="s">
        <v>140</v>
      </c>
      <c r="H160" s="113" t="s">
        <v>140</v>
      </c>
      <c r="J160" s="113" t="s">
        <v>140</v>
      </c>
      <c r="L160" s="113" t="s">
        <v>141</v>
      </c>
      <c r="M160" s="16"/>
      <c r="N160" s="113" t="s">
        <v>141</v>
      </c>
      <c r="P160" s="113" t="s">
        <v>141</v>
      </c>
      <c r="Q160" s="113"/>
      <c r="R160" s="113"/>
      <c r="S160" s="113"/>
      <c r="T160" s="113"/>
      <c r="U160" s="113"/>
      <c r="V160" s="113"/>
      <c r="X160" s="97" t="s">
        <v>142</v>
      </c>
      <c r="Y160" s="97"/>
      <c r="Z160" s="97" t="s">
        <v>142</v>
      </c>
      <c r="AA160" s="97"/>
      <c r="AB160" s="97" t="s">
        <v>142</v>
      </c>
      <c r="AC160" s="97"/>
      <c r="AD160" s="97" t="s">
        <v>33</v>
      </c>
      <c r="AE160" s="97"/>
      <c r="AF160" s="97" t="s">
        <v>33</v>
      </c>
      <c r="AG160" s="97"/>
      <c r="AH160" s="97" t="s">
        <v>33</v>
      </c>
      <c r="AI160" s="97"/>
      <c r="AJ160" s="97" t="s">
        <v>66</v>
      </c>
      <c r="AK160" s="97"/>
      <c r="AL160" s="97" t="s">
        <v>66</v>
      </c>
      <c r="AM160" s="97"/>
      <c r="AN160" s="97" t="s">
        <v>66</v>
      </c>
      <c r="AP160" s="16" t="s">
        <v>66</v>
      </c>
    </row>
    <row r="161" spans="2:42" ht="12.75">
      <c r="B161" s="4" t="s">
        <v>65</v>
      </c>
      <c r="D161" s="4" t="s">
        <v>139</v>
      </c>
      <c r="F161" s="19">
        <f>10.2*60</f>
        <v>612</v>
      </c>
      <c r="H161" s="19">
        <f>10.22*60</f>
        <v>613.2</v>
      </c>
      <c r="J161" s="19">
        <f>10.2*60</f>
        <v>612</v>
      </c>
      <c r="L161" s="19"/>
      <c r="M161" s="16"/>
      <c r="N161" s="19"/>
      <c r="P161" s="19"/>
      <c r="Q161" s="19"/>
      <c r="R161" s="19"/>
      <c r="S161" s="19"/>
      <c r="T161" s="19"/>
      <c r="U161" s="19"/>
      <c r="V161" s="19"/>
      <c r="X161" s="19"/>
      <c r="Y161" s="16"/>
      <c r="Z161" s="19"/>
      <c r="AB161" s="19"/>
      <c r="AC161" s="4"/>
      <c r="AD161" s="19"/>
      <c r="AE161" s="16"/>
      <c r="AJ161" s="5"/>
      <c r="AK161" s="16"/>
      <c r="AL161" s="5"/>
      <c r="AM161" s="19"/>
      <c r="AN161" s="5"/>
      <c r="AP161" s="18"/>
    </row>
    <row r="162" spans="2:42" ht="12.75">
      <c r="B162" s="4" t="s">
        <v>143</v>
      </c>
      <c r="D162" s="4" t="s">
        <v>144</v>
      </c>
      <c r="F162" s="19">
        <v>0.911</v>
      </c>
      <c r="H162" s="14">
        <v>0.923</v>
      </c>
      <c r="J162" s="14">
        <v>0.923</v>
      </c>
      <c r="L162" s="19"/>
      <c r="M162" s="16"/>
      <c r="X162" s="19"/>
      <c r="Y162" s="16"/>
      <c r="AC162" s="4"/>
      <c r="AD162" s="19"/>
      <c r="AE162" s="16"/>
      <c r="AJ162" s="5"/>
      <c r="AK162" s="16"/>
      <c r="AL162" s="5"/>
      <c r="AM162" s="19"/>
      <c r="AN162" s="5"/>
      <c r="AP162" s="18"/>
    </row>
    <row r="163" spans="2:42" ht="12.75">
      <c r="B163" s="4" t="s">
        <v>65</v>
      </c>
      <c r="D163" s="4" t="s">
        <v>28</v>
      </c>
      <c r="F163" s="7">
        <f>F162*8.32*F161</f>
        <v>4638.6662400000005</v>
      </c>
      <c r="H163" s="7">
        <f>H162*8.32*H161</f>
        <v>4708.983552000001</v>
      </c>
      <c r="J163" s="7">
        <f>J162*8.32*J161</f>
        <v>4699.76832</v>
      </c>
      <c r="L163" s="7"/>
      <c r="M163" s="16"/>
      <c r="N163" s="7"/>
      <c r="P163" s="7"/>
      <c r="Q163" s="7"/>
      <c r="R163" s="7"/>
      <c r="S163" s="7"/>
      <c r="T163" s="7"/>
      <c r="U163" s="7"/>
      <c r="V163" s="7"/>
      <c r="X163" s="19">
        <f>21.35*2000</f>
        <v>42700</v>
      </c>
      <c r="Y163" s="16"/>
      <c r="Z163" s="19">
        <f>21.98*2000</f>
        <v>43960</v>
      </c>
      <c r="AB163" s="19">
        <f>22.01*2000</f>
        <v>44020</v>
      </c>
      <c r="AC163" s="4"/>
      <c r="AD163" s="19"/>
      <c r="AE163" s="16"/>
      <c r="AJ163" s="7">
        <f>F163+L163+X163+AD163</f>
        <v>47338.66624</v>
      </c>
      <c r="AK163" s="16"/>
      <c r="AL163" s="7">
        <f>H163+N163+Z163+AF163</f>
        <v>48668.983552</v>
      </c>
      <c r="AM163" s="19"/>
      <c r="AN163" s="7">
        <f>J163+P163+AB163+AH163</f>
        <v>48719.76832</v>
      </c>
      <c r="AP163" s="18"/>
    </row>
    <row r="164" spans="2:40" ht="12.75">
      <c r="B164" s="4" t="s">
        <v>21</v>
      </c>
      <c r="D164" s="4" t="s">
        <v>22</v>
      </c>
      <c r="F164" s="19">
        <v>4500</v>
      </c>
      <c r="H164" s="14">
        <v>10000</v>
      </c>
      <c r="J164" s="14">
        <v>11000</v>
      </c>
      <c r="L164" s="19"/>
      <c r="M164" s="16"/>
      <c r="X164" s="19"/>
      <c r="Y164" s="16"/>
      <c r="AC164" s="4"/>
      <c r="AD164" s="19"/>
      <c r="AE164" s="16"/>
      <c r="AJ164" s="7"/>
      <c r="AK164" s="16"/>
      <c r="AL164" s="7"/>
      <c r="AM164" s="19"/>
      <c r="AN164" s="7"/>
    </row>
    <row r="165" spans="12:40" ht="12.75">
      <c r="L165" s="19"/>
      <c r="M165" s="16"/>
      <c r="X165" s="6"/>
      <c r="Y165" s="16"/>
      <c r="AC165" s="4"/>
      <c r="AD165" s="6"/>
      <c r="AE165" s="16"/>
      <c r="AJ165" s="72"/>
      <c r="AK165" s="114"/>
      <c r="AL165" s="72"/>
      <c r="AM165" s="40"/>
      <c r="AN165" s="72"/>
    </row>
    <row r="166" spans="2:42" ht="12.75">
      <c r="B166" s="4" t="s">
        <v>23</v>
      </c>
      <c r="D166" s="4" t="s">
        <v>18</v>
      </c>
      <c r="E166" s="16"/>
      <c r="F166" s="6">
        <v>1.5</v>
      </c>
      <c r="H166" s="14">
        <v>1.9</v>
      </c>
      <c r="I166" s="5"/>
      <c r="J166" s="14">
        <v>1.9</v>
      </c>
      <c r="K166" s="19"/>
      <c r="L166" s="5"/>
      <c r="M166" s="16"/>
      <c r="O166" s="5"/>
      <c r="W166" s="19"/>
      <c r="X166" s="19"/>
      <c r="Y166" s="16"/>
      <c r="AA166" s="5"/>
      <c r="AC166" s="4"/>
      <c r="AD166" s="19"/>
      <c r="AE166" s="16"/>
      <c r="AG166" s="5"/>
      <c r="AJ166" s="62"/>
      <c r="AK166" s="114"/>
      <c r="AL166" s="62"/>
      <c r="AM166" s="40"/>
      <c r="AN166" s="62"/>
      <c r="AO166" s="115"/>
      <c r="AP166" s="116"/>
    </row>
    <row r="167" spans="2:42" ht="12.75">
      <c r="B167" s="4" t="s">
        <v>24</v>
      </c>
      <c r="D167" s="4" t="s">
        <v>28</v>
      </c>
      <c r="E167" s="16"/>
      <c r="F167" s="19">
        <v>120.9</v>
      </c>
      <c r="H167" s="14">
        <v>80.3</v>
      </c>
      <c r="I167" s="5"/>
      <c r="J167" s="14">
        <v>84.8</v>
      </c>
      <c r="L167" s="19"/>
      <c r="M167" s="16"/>
      <c r="O167" s="5"/>
      <c r="X167" s="6">
        <v>1.3</v>
      </c>
      <c r="Y167" s="117"/>
      <c r="Z167" s="60">
        <v>2.2</v>
      </c>
      <c r="AA167" s="6"/>
      <c r="AB167" s="60">
        <v>1.4</v>
      </c>
      <c r="AC167" s="4"/>
      <c r="AD167" s="19"/>
      <c r="AE167" s="16"/>
      <c r="AF167" s="19"/>
      <c r="AG167" s="5"/>
      <c r="AH167" s="19"/>
      <c r="AJ167" s="5">
        <f>F167+L167+X167+AD167</f>
        <v>122.2</v>
      </c>
      <c r="AK167" s="114"/>
      <c r="AL167" s="5">
        <f>H167+N167+Z167+AF167</f>
        <v>82.5</v>
      </c>
      <c r="AM167" s="40"/>
      <c r="AN167" s="5">
        <f>J167+P167+AB167+AH167</f>
        <v>86.2</v>
      </c>
      <c r="AO167" s="115"/>
      <c r="AP167" s="127">
        <f>AVERAGE(AJ167,AL167,AN167)</f>
        <v>96.96666666666665</v>
      </c>
    </row>
    <row r="168" spans="5:42" ht="12.75">
      <c r="E168" s="16"/>
      <c r="I168" s="5"/>
      <c r="L168" s="19"/>
      <c r="M168" s="16"/>
      <c r="O168" s="5"/>
      <c r="X168" s="6"/>
      <c r="Y168" s="117"/>
      <c r="Z168" s="60"/>
      <c r="AA168" s="6"/>
      <c r="AB168" s="60"/>
      <c r="AC168" s="4"/>
      <c r="AD168" s="19"/>
      <c r="AE168" s="16"/>
      <c r="AF168" s="19"/>
      <c r="AG168" s="5"/>
      <c r="AH168" s="19"/>
      <c r="AJ168" s="5"/>
      <c r="AK168" s="114"/>
      <c r="AL168" s="5"/>
      <c r="AM168" s="40"/>
      <c r="AN168" s="5"/>
      <c r="AO168" s="115"/>
      <c r="AP168" s="115"/>
    </row>
    <row r="169" spans="2:42" ht="12.75">
      <c r="B169" s="4" t="s">
        <v>123</v>
      </c>
      <c r="D169" s="4" t="s">
        <v>28</v>
      </c>
      <c r="E169" s="16"/>
      <c r="F169" s="68">
        <v>0.13</v>
      </c>
      <c r="G169" s="122"/>
      <c r="H169" s="68">
        <v>0.09</v>
      </c>
      <c r="I169" s="68"/>
      <c r="J169" s="68">
        <v>0.094</v>
      </c>
      <c r="L169" s="68"/>
      <c r="M169" s="16"/>
      <c r="N169" s="68"/>
      <c r="O169" s="5"/>
      <c r="P169" s="68"/>
      <c r="Q169" s="68"/>
      <c r="R169" s="68"/>
      <c r="S169" s="68"/>
      <c r="T169" s="68"/>
      <c r="U169" s="68"/>
      <c r="V169" s="68"/>
      <c r="X169" s="68">
        <v>0.56</v>
      </c>
      <c r="Y169" s="117"/>
      <c r="Z169" s="68">
        <v>0.26</v>
      </c>
      <c r="AA169" s="6"/>
      <c r="AB169" s="68">
        <v>0.48</v>
      </c>
      <c r="AC169" s="4"/>
      <c r="AD169" s="19"/>
      <c r="AE169" s="16"/>
      <c r="AF169" s="19"/>
      <c r="AG169" s="5"/>
      <c r="AH169" s="19"/>
      <c r="AJ169" s="6">
        <f>F169+L169+X169+AD169</f>
        <v>0.6900000000000001</v>
      </c>
      <c r="AK169" s="119"/>
      <c r="AL169" s="6">
        <f>H169+N169+Z169+AF169</f>
        <v>0.35</v>
      </c>
      <c r="AM169" s="62"/>
      <c r="AN169" s="6">
        <f>J169+P169+AB169+AH169</f>
        <v>0.574</v>
      </c>
      <c r="AO169" s="115"/>
      <c r="AP169" s="115"/>
    </row>
    <row r="170" spans="2:42" ht="12.75">
      <c r="B170" s="4" t="s">
        <v>124</v>
      </c>
      <c r="D170" s="4" t="s">
        <v>28</v>
      </c>
      <c r="E170" s="16"/>
      <c r="F170" s="68">
        <v>0.112</v>
      </c>
      <c r="G170" s="122"/>
      <c r="H170" s="68">
        <v>0.099</v>
      </c>
      <c r="I170" s="68"/>
      <c r="J170" s="68">
        <v>0.123</v>
      </c>
      <c r="L170" s="68"/>
      <c r="M170" s="16"/>
      <c r="N170" s="68"/>
      <c r="O170" s="5"/>
      <c r="P170" s="68"/>
      <c r="Q170" s="68"/>
      <c r="R170" s="68"/>
      <c r="S170" s="68"/>
      <c r="T170" s="68"/>
      <c r="U170" s="68"/>
      <c r="V170" s="68"/>
      <c r="X170" s="68">
        <v>0.04</v>
      </c>
      <c r="Y170" s="117"/>
      <c r="Z170" s="68">
        <v>0.04</v>
      </c>
      <c r="AA170" s="6"/>
      <c r="AB170" s="68">
        <v>0.04</v>
      </c>
      <c r="AC170" s="4"/>
      <c r="AD170" s="19"/>
      <c r="AE170" s="16"/>
      <c r="AF170" s="19"/>
      <c r="AG170" s="5"/>
      <c r="AH170" s="19"/>
      <c r="AJ170" s="6">
        <f aca="true" t="shared" si="38" ref="AJ170:AJ182">F170+L170+X170+AD170</f>
        <v>0.152</v>
      </c>
      <c r="AK170" s="119"/>
      <c r="AL170" s="6">
        <f aca="true" t="shared" si="39" ref="AL170:AL182">H170+N170+Z170+AF170</f>
        <v>0.139</v>
      </c>
      <c r="AM170" s="62"/>
      <c r="AN170" s="6">
        <f aca="true" t="shared" si="40" ref="AN170:AN182">J170+P170+AB170+AH170</f>
        <v>0.163</v>
      </c>
      <c r="AO170" s="115"/>
      <c r="AP170" s="115"/>
    </row>
    <row r="171" spans="2:42" ht="12.75">
      <c r="B171" s="4" t="s">
        <v>125</v>
      </c>
      <c r="D171" s="4" t="s">
        <v>28</v>
      </c>
      <c r="E171" s="16"/>
      <c r="F171" s="6">
        <v>0.51</v>
      </c>
      <c r="G171" s="117"/>
      <c r="H171" s="6">
        <v>0.43</v>
      </c>
      <c r="I171" s="6"/>
      <c r="J171" s="6">
        <v>0.52</v>
      </c>
      <c r="L171" s="6"/>
      <c r="M171" s="16"/>
      <c r="N171" s="6"/>
      <c r="O171" s="5"/>
      <c r="P171" s="6"/>
      <c r="Q171" s="6"/>
      <c r="R171" s="6"/>
      <c r="S171" s="6"/>
      <c r="T171" s="6"/>
      <c r="U171" s="6"/>
      <c r="V171" s="6"/>
      <c r="X171" s="6">
        <v>7.69</v>
      </c>
      <c r="Y171" s="117"/>
      <c r="Z171" s="6">
        <v>7.03</v>
      </c>
      <c r="AA171" s="6"/>
      <c r="AB171" s="6">
        <v>6.6</v>
      </c>
      <c r="AC171" s="4"/>
      <c r="AD171" s="19"/>
      <c r="AE171" s="16"/>
      <c r="AF171" s="19"/>
      <c r="AG171" s="5"/>
      <c r="AH171" s="19"/>
      <c r="AJ171" s="6">
        <f t="shared" si="38"/>
        <v>8.200000000000001</v>
      </c>
      <c r="AK171" s="119"/>
      <c r="AL171" s="6">
        <f t="shared" si="39"/>
        <v>7.46</v>
      </c>
      <c r="AM171" s="62"/>
      <c r="AN171" s="6">
        <f t="shared" si="40"/>
        <v>7.119999999999999</v>
      </c>
      <c r="AO171" s="115"/>
      <c r="AP171" s="115"/>
    </row>
    <row r="172" spans="2:42" ht="12.75">
      <c r="B172" s="4" t="s">
        <v>126</v>
      </c>
      <c r="D172" s="4" t="s">
        <v>28</v>
      </c>
      <c r="E172" s="16"/>
      <c r="F172" s="69">
        <v>0.007</v>
      </c>
      <c r="G172" s="121"/>
      <c r="H172" s="69">
        <v>0.005</v>
      </c>
      <c r="I172" s="69"/>
      <c r="J172" s="69">
        <v>0.006</v>
      </c>
      <c r="L172" s="69"/>
      <c r="M172" s="121"/>
      <c r="N172" s="69"/>
      <c r="O172" s="69"/>
      <c r="P172" s="69"/>
      <c r="Q172" s="69"/>
      <c r="R172" s="69"/>
      <c r="S172" s="69"/>
      <c r="T172" s="69"/>
      <c r="U172" s="69"/>
      <c r="V172" s="69"/>
      <c r="X172" s="68">
        <v>0.04</v>
      </c>
      <c r="Y172" s="122"/>
      <c r="Z172" s="68">
        <v>0.04</v>
      </c>
      <c r="AA172" s="68"/>
      <c r="AB172" s="68">
        <v>0.04</v>
      </c>
      <c r="AC172" s="4"/>
      <c r="AD172" s="19"/>
      <c r="AE172" s="16"/>
      <c r="AF172" s="19"/>
      <c r="AG172" s="5"/>
      <c r="AH172" s="19"/>
      <c r="AJ172" s="6">
        <f t="shared" si="38"/>
        <v>0.047</v>
      </c>
      <c r="AK172" s="119"/>
      <c r="AL172" s="6">
        <f t="shared" si="39"/>
        <v>0.045</v>
      </c>
      <c r="AM172" s="62"/>
      <c r="AN172" s="6">
        <f t="shared" si="40"/>
        <v>0.046</v>
      </c>
      <c r="AO172" s="115"/>
      <c r="AP172" s="115"/>
    </row>
    <row r="173" spans="2:42" ht="12.75">
      <c r="B173" s="4" t="s">
        <v>127</v>
      </c>
      <c r="D173" s="4" t="s">
        <v>28</v>
      </c>
      <c r="E173" s="16"/>
      <c r="F173" s="68">
        <v>0.163</v>
      </c>
      <c r="G173" s="117"/>
      <c r="H173" s="68">
        <v>0.146</v>
      </c>
      <c r="I173" s="6"/>
      <c r="J173" s="68">
        <v>0.17</v>
      </c>
      <c r="L173" s="69"/>
      <c r="M173" s="16"/>
      <c r="N173" s="69"/>
      <c r="O173" s="5"/>
      <c r="P173" s="69"/>
      <c r="Q173" s="69"/>
      <c r="R173" s="69"/>
      <c r="S173" s="69"/>
      <c r="T173" s="69"/>
      <c r="U173" s="69"/>
      <c r="V173" s="69"/>
      <c r="X173" s="69">
        <v>0.02</v>
      </c>
      <c r="Y173" s="117"/>
      <c r="Z173" s="69">
        <v>0.02</v>
      </c>
      <c r="AA173" s="6"/>
      <c r="AB173" s="69">
        <v>0.02</v>
      </c>
      <c r="AC173" s="4"/>
      <c r="AD173" s="19"/>
      <c r="AE173" s="16"/>
      <c r="AF173" s="19"/>
      <c r="AG173" s="5"/>
      <c r="AH173" s="19"/>
      <c r="AJ173" s="6">
        <f t="shared" si="38"/>
        <v>0.183</v>
      </c>
      <c r="AK173" s="119"/>
      <c r="AL173" s="6">
        <f t="shared" si="39"/>
        <v>0.16599999999999998</v>
      </c>
      <c r="AM173" s="62"/>
      <c r="AN173" s="6">
        <f t="shared" si="40"/>
        <v>0.19</v>
      </c>
      <c r="AO173" s="115"/>
      <c r="AP173" s="115"/>
    </row>
    <row r="174" spans="2:42" ht="12.75">
      <c r="B174" s="4" t="s">
        <v>128</v>
      </c>
      <c r="D174" s="4" t="s">
        <v>28</v>
      </c>
      <c r="E174" s="16"/>
      <c r="F174" s="6">
        <v>0.2</v>
      </c>
      <c r="G174" s="117"/>
      <c r="H174" s="6">
        <v>0.175</v>
      </c>
      <c r="I174" s="6"/>
      <c r="J174" s="6">
        <v>0.203</v>
      </c>
      <c r="L174" s="68"/>
      <c r="M174" s="16"/>
      <c r="N174" s="68"/>
      <c r="O174" s="5"/>
      <c r="P174" s="68"/>
      <c r="Q174" s="68"/>
      <c r="R174" s="68"/>
      <c r="S174" s="68"/>
      <c r="T174" s="68"/>
      <c r="U174" s="68"/>
      <c r="V174" s="68"/>
      <c r="X174" s="68">
        <v>1.24</v>
      </c>
      <c r="Y174" s="117"/>
      <c r="Z174" s="68">
        <v>1.27</v>
      </c>
      <c r="AA174" s="6"/>
      <c r="AB174" s="68">
        <v>1.1</v>
      </c>
      <c r="AC174" s="4"/>
      <c r="AD174" s="19">
        <v>2.8</v>
      </c>
      <c r="AE174" s="16"/>
      <c r="AF174" s="19">
        <v>2.8</v>
      </c>
      <c r="AG174" s="5"/>
      <c r="AH174" s="19">
        <v>2.81</v>
      </c>
      <c r="AJ174" s="6">
        <f t="shared" si="38"/>
        <v>4.24</v>
      </c>
      <c r="AK174" s="119"/>
      <c r="AL174" s="6">
        <f t="shared" si="39"/>
        <v>4.245</v>
      </c>
      <c r="AM174" s="62"/>
      <c r="AN174" s="6">
        <f t="shared" si="40"/>
        <v>4.113</v>
      </c>
      <c r="AO174" s="115"/>
      <c r="AP174" s="115"/>
    </row>
    <row r="175" spans="2:42" ht="12.75">
      <c r="B175" s="4" t="s">
        <v>129</v>
      </c>
      <c r="D175" s="4" t="s">
        <v>28</v>
      </c>
      <c r="E175" s="16"/>
      <c r="F175" s="6">
        <v>4.65</v>
      </c>
      <c r="G175" s="117"/>
      <c r="H175" s="6">
        <v>4.39</v>
      </c>
      <c r="I175" s="6"/>
      <c r="J175" s="6">
        <v>5.18</v>
      </c>
      <c r="L175" s="6"/>
      <c r="M175" s="16"/>
      <c r="N175" s="6"/>
      <c r="O175" s="5"/>
      <c r="P175" s="6"/>
      <c r="Q175" s="6"/>
      <c r="R175" s="6"/>
      <c r="S175" s="6"/>
      <c r="T175" s="6"/>
      <c r="U175" s="6"/>
      <c r="V175" s="6"/>
      <c r="X175" s="6">
        <v>2.35</v>
      </c>
      <c r="Y175" s="117"/>
      <c r="Z175" s="6">
        <v>2.42</v>
      </c>
      <c r="AA175" s="6"/>
      <c r="AB175" s="6">
        <v>2.99</v>
      </c>
      <c r="AC175" s="4"/>
      <c r="AD175" s="19"/>
      <c r="AE175" s="16"/>
      <c r="AF175" s="19"/>
      <c r="AG175" s="5"/>
      <c r="AH175" s="19"/>
      <c r="AJ175" s="6">
        <f t="shared" si="38"/>
        <v>7</v>
      </c>
      <c r="AK175" s="119"/>
      <c r="AL175" s="6">
        <f t="shared" si="39"/>
        <v>6.81</v>
      </c>
      <c r="AM175" s="62"/>
      <c r="AN175" s="6">
        <f t="shared" si="40"/>
        <v>8.17</v>
      </c>
      <c r="AO175" s="115"/>
      <c r="AP175" s="115"/>
    </row>
    <row r="176" spans="2:42" ht="12.75">
      <c r="B176" s="4" t="s">
        <v>130</v>
      </c>
      <c r="D176" s="4" t="s">
        <v>28</v>
      </c>
      <c r="E176" s="16"/>
      <c r="F176" s="6">
        <v>2.28</v>
      </c>
      <c r="G176" s="117"/>
      <c r="H176" s="6">
        <v>1.79</v>
      </c>
      <c r="I176" s="6"/>
      <c r="J176" s="6">
        <v>1.98</v>
      </c>
      <c r="L176" s="6"/>
      <c r="M176" s="16"/>
      <c r="N176" s="6"/>
      <c r="O176" s="5"/>
      <c r="P176" s="6"/>
      <c r="Q176" s="6"/>
      <c r="R176" s="6"/>
      <c r="S176" s="6"/>
      <c r="T176" s="6"/>
      <c r="U176" s="6"/>
      <c r="V176" s="6"/>
      <c r="X176" s="6">
        <v>1.07</v>
      </c>
      <c r="Y176" s="117"/>
      <c r="Z176" s="6">
        <v>1.1</v>
      </c>
      <c r="AA176" s="6"/>
      <c r="AB176" s="6">
        <v>1.32</v>
      </c>
      <c r="AC176" s="4"/>
      <c r="AD176" s="19"/>
      <c r="AE176" s="16"/>
      <c r="AF176" s="19"/>
      <c r="AG176" s="5"/>
      <c r="AH176" s="19"/>
      <c r="AJ176" s="6">
        <f t="shared" si="38"/>
        <v>3.3499999999999996</v>
      </c>
      <c r="AK176" s="119"/>
      <c r="AL176" s="6">
        <f t="shared" si="39"/>
        <v>2.89</v>
      </c>
      <c r="AM176" s="62"/>
      <c r="AN176" s="6">
        <f t="shared" si="40"/>
        <v>3.3</v>
      </c>
      <c r="AO176" s="115"/>
      <c r="AP176" s="115"/>
    </row>
    <row r="177" spans="2:42" ht="12.75">
      <c r="B177" s="4" t="s">
        <v>131</v>
      </c>
      <c r="D177" s="4" t="s">
        <v>28</v>
      </c>
      <c r="E177" s="16"/>
      <c r="F177" s="70">
        <v>0.0033</v>
      </c>
      <c r="G177" s="120"/>
      <c r="H177" s="70">
        <v>0.003</v>
      </c>
      <c r="I177" s="70"/>
      <c r="J177" s="70">
        <v>0.0033</v>
      </c>
      <c r="L177" s="70"/>
      <c r="M177" s="120"/>
      <c r="N177" s="70"/>
      <c r="O177" s="70"/>
      <c r="P177" s="70"/>
      <c r="Q177" s="70"/>
      <c r="R177" s="70"/>
      <c r="S177" s="70"/>
      <c r="T177" s="70"/>
      <c r="U177" s="70"/>
      <c r="V177" s="70"/>
      <c r="X177" s="70">
        <v>0.002</v>
      </c>
      <c r="Y177" s="117"/>
      <c r="Z177" s="70">
        <v>0.0018</v>
      </c>
      <c r="AA177" s="6"/>
      <c r="AB177" s="70">
        <v>0.0026</v>
      </c>
      <c r="AC177" s="4"/>
      <c r="AD177" s="19"/>
      <c r="AE177" s="16"/>
      <c r="AF177" s="19"/>
      <c r="AG177" s="5"/>
      <c r="AH177" s="19"/>
      <c r="AJ177" s="69">
        <f t="shared" si="38"/>
        <v>0.0053</v>
      </c>
      <c r="AK177" s="125"/>
      <c r="AL177" s="69">
        <f t="shared" si="39"/>
        <v>0.0048000000000000004</v>
      </c>
      <c r="AM177" s="71"/>
      <c r="AN177" s="69">
        <f t="shared" si="40"/>
        <v>0.0059</v>
      </c>
      <c r="AO177" s="115"/>
      <c r="AP177" s="115"/>
    </row>
    <row r="178" spans="2:42" ht="12.75">
      <c r="B178" s="4" t="s">
        <v>132</v>
      </c>
      <c r="D178" s="4" t="s">
        <v>28</v>
      </c>
      <c r="E178" s="16"/>
      <c r="F178" s="6">
        <v>3.26</v>
      </c>
      <c r="G178" s="117"/>
      <c r="H178" s="6">
        <v>2.83</v>
      </c>
      <c r="I178" s="6"/>
      <c r="J178" s="6">
        <v>3.16</v>
      </c>
      <c r="L178" s="6"/>
      <c r="M178" s="16"/>
      <c r="N178" s="6"/>
      <c r="O178" s="5"/>
      <c r="P178" s="6"/>
      <c r="Q178" s="6"/>
      <c r="R178" s="6"/>
      <c r="S178" s="6"/>
      <c r="T178" s="6"/>
      <c r="U178" s="6"/>
      <c r="V178" s="6"/>
      <c r="X178" s="6">
        <v>1.79</v>
      </c>
      <c r="Y178" s="117"/>
      <c r="Z178" s="6">
        <v>1.89</v>
      </c>
      <c r="AA178" s="6"/>
      <c r="AB178" s="6">
        <v>1.85</v>
      </c>
      <c r="AC178" s="4"/>
      <c r="AD178" s="19"/>
      <c r="AE178" s="16"/>
      <c r="AF178" s="19"/>
      <c r="AG178" s="5"/>
      <c r="AH178" s="19"/>
      <c r="AJ178" s="6">
        <f t="shared" si="38"/>
        <v>5.05</v>
      </c>
      <c r="AK178" s="119"/>
      <c r="AL178" s="6">
        <f t="shared" si="39"/>
        <v>4.72</v>
      </c>
      <c r="AM178" s="62"/>
      <c r="AN178" s="6">
        <f t="shared" si="40"/>
        <v>5.01</v>
      </c>
      <c r="AO178" s="115"/>
      <c r="AP178" s="115"/>
    </row>
    <row r="179" spans="2:42" ht="12.75">
      <c r="B179" s="4" t="s">
        <v>133</v>
      </c>
      <c r="D179" s="4" t="s">
        <v>28</v>
      </c>
      <c r="E179" s="16"/>
      <c r="F179" s="68">
        <v>0.09</v>
      </c>
      <c r="G179" s="117"/>
      <c r="H179" s="68">
        <v>0.09</v>
      </c>
      <c r="I179" s="6"/>
      <c r="J179" s="68">
        <v>0.09</v>
      </c>
      <c r="K179" s="16"/>
      <c r="L179" s="68"/>
      <c r="M179" s="16"/>
      <c r="N179" s="68"/>
      <c r="O179" s="5"/>
      <c r="P179" s="68"/>
      <c r="Q179" s="68"/>
      <c r="R179" s="68"/>
      <c r="S179" s="68"/>
      <c r="T179" s="68"/>
      <c r="U179" s="68"/>
      <c r="V179" s="68"/>
      <c r="W179" s="16"/>
      <c r="X179" s="68">
        <v>0.21</v>
      </c>
      <c r="Y179" s="16"/>
      <c r="Z179" s="68">
        <v>0.22</v>
      </c>
      <c r="AA179" s="5"/>
      <c r="AB179" s="68">
        <v>0.22</v>
      </c>
      <c r="AC179" s="4"/>
      <c r="AD179" s="19"/>
      <c r="AE179" s="16"/>
      <c r="AF179" s="19"/>
      <c r="AG179" s="5"/>
      <c r="AH179" s="19"/>
      <c r="AJ179" s="6">
        <f t="shared" si="38"/>
        <v>0.3</v>
      </c>
      <c r="AK179" s="119"/>
      <c r="AL179" s="6">
        <f t="shared" si="39"/>
        <v>0.31</v>
      </c>
      <c r="AM179" s="62"/>
      <c r="AN179" s="6">
        <f t="shared" si="40"/>
        <v>0.31</v>
      </c>
      <c r="AO179" s="115"/>
      <c r="AP179" s="115"/>
    </row>
    <row r="180" spans="2:42" ht="12.75">
      <c r="B180" s="4" t="s">
        <v>134</v>
      </c>
      <c r="D180" s="4" t="s">
        <v>28</v>
      </c>
      <c r="E180" s="16"/>
      <c r="F180" s="68">
        <v>0.074</v>
      </c>
      <c r="G180" s="117"/>
      <c r="H180" s="68">
        <v>0.061</v>
      </c>
      <c r="I180" s="6"/>
      <c r="J180" s="68">
        <v>0.066</v>
      </c>
      <c r="L180" s="70"/>
      <c r="M180" s="16"/>
      <c r="N180" s="70"/>
      <c r="O180" s="5"/>
      <c r="P180" s="70"/>
      <c r="Q180" s="70"/>
      <c r="R180" s="70"/>
      <c r="S180" s="70"/>
      <c r="T180" s="70"/>
      <c r="U180" s="70"/>
      <c r="V180" s="70"/>
      <c r="X180" s="6">
        <v>0.02</v>
      </c>
      <c r="Y180" s="117"/>
      <c r="Z180" s="6">
        <v>0.02</v>
      </c>
      <c r="AA180" s="6"/>
      <c r="AB180" s="6">
        <v>0.02</v>
      </c>
      <c r="AC180" s="4"/>
      <c r="AD180" s="19"/>
      <c r="AE180" s="16"/>
      <c r="AF180" s="19"/>
      <c r="AG180" s="5"/>
      <c r="AH180" s="19"/>
      <c r="AJ180" s="6">
        <f t="shared" si="38"/>
        <v>0.094</v>
      </c>
      <c r="AK180" s="119"/>
      <c r="AL180" s="6">
        <f t="shared" si="39"/>
        <v>0.081</v>
      </c>
      <c r="AM180" s="62"/>
      <c r="AN180" s="6">
        <f t="shared" si="40"/>
        <v>0.08600000000000001</v>
      </c>
      <c r="AO180" s="115"/>
      <c r="AP180" s="115"/>
    </row>
    <row r="181" spans="2:42" ht="12.75">
      <c r="B181" s="4" t="s">
        <v>135</v>
      </c>
      <c r="D181" s="4" t="s">
        <v>28</v>
      </c>
      <c r="E181" s="16"/>
      <c r="F181" s="68">
        <v>0.163</v>
      </c>
      <c r="G181" s="117"/>
      <c r="H181" s="68">
        <v>0.113</v>
      </c>
      <c r="I181" s="6"/>
      <c r="J181" s="68">
        <v>0.118</v>
      </c>
      <c r="L181" s="68"/>
      <c r="M181" s="16"/>
      <c r="N181" s="68"/>
      <c r="O181" s="5"/>
      <c r="P181" s="68"/>
      <c r="Q181" s="68"/>
      <c r="R181" s="68"/>
      <c r="S181" s="68"/>
      <c r="T181" s="68"/>
      <c r="U181" s="68"/>
      <c r="V181" s="68"/>
      <c r="X181" s="68">
        <v>0.04</v>
      </c>
      <c r="Y181" s="16"/>
      <c r="Z181" s="68">
        <v>0.04</v>
      </c>
      <c r="AA181" s="5"/>
      <c r="AB181" s="68">
        <v>0.04</v>
      </c>
      <c r="AC181" s="4"/>
      <c r="AD181" s="19"/>
      <c r="AE181" s="16"/>
      <c r="AF181" s="19"/>
      <c r="AG181" s="5"/>
      <c r="AH181" s="19"/>
      <c r="AJ181" s="6">
        <f t="shared" si="38"/>
        <v>0.203</v>
      </c>
      <c r="AK181" s="119"/>
      <c r="AL181" s="6">
        <f t="shared" si="39"/>
        <v>0.153</v>
      </c>
      <c r="AM181" s="62"/>
      <c r="AN181" s="6">
        <f t="shared" si="40"/>
        <v>0.158</v>
      </c>
      <c r="AO181" s="115"/>
      <c r="AP181" s="115"/>
    </row>
    <row r="182" spans="2:42" ht="12.75">
      <c r="B182" s="4" t="s">
        <v>136</v>
      </c>
      <c r="D182" s="4" t="s">
        <v>28</v>
      </c>
      <c r="E182" s="16"/>
      <c r="F182" s="6">
        <v>5.58</v>
      </c>
      <c r="G182" s="117"/>
      <c r="H182" s="6">
        <v>4.72</v>
      </c>
      <c r="I182" s="6"/>
      <c r="J182" s="6">
        <v>5.18</v>
      </c>
      <c r="L182" s="6"/>
      <c r="M182" s="16"/>
      <c r="N182" s="6"/>
      <c r="O182" s="5"/>
      <c r="P182" s="6"/>
      <c r="Q182" s="6"/>
      <c r="R182" s="6"/>
      <c r="S182" s="6"/>
      <c r="T182" s="6"/>
      <c r="U182" s="6"/>
      <c r="V182" s="6"/>
      <c r="X182" s="6">
        <v>12.81</v>
      </c>
      <c r="Y182" s="117"/>
      <c r="Z182" s="6">
        <v>5.28</v>
      </c>
      <c r="AA182" s="6"/>
      <c r="AB182" s="6">
        <v>4.84</v>
      </c>
      <c r="AC182" s="4"/>
      <c r="AD182" s="19"/>
      <c r="AE182" s="16"/>
      <c r="AF182" s="19"/>
      <c r="AG182" s="5"/>
      <c r="AH182" s="19"/>
      <c r="AJ182" s="6">
        <f t="shared" si="38"/>
        <v>18.39</v>
      </c>
      <c r="AK182" s="119"/>
      <c r="AL182" s="6">
        <f t="shared" si="39"/>
        <v>10</v>
      </c>
      <c r="AM182" s="62"/>
      <c r="AN182" s="6">
        <f t="shared" si="40"/>
        <v>10.02</v>
      </c>
      <c r="AO182" s="115"/>
      <c r="AP182" s="115"/>
    </row>
    <row r="183" spans="2:42" ht="12.75">
      <c r="B183" s="4" t="s">
        <v>35</v>
      </c>
      <c r="D183" s="4" t="s">
        <v>28</v>
      </c>
      <c r="E183" s="16"/>
      <c r="F183" s="6">
        <f>F173+F176</f>
        <v>2.4429999999999996</v>
      </c>
      <c r="H183" s="6">
        <f>H173+H176</f>
        <v>1.936</v>
      </c>
      <c r="I183" s="5"/>
      <c r="J183" s="6">
        <f>J173+J176</f>
        <v>2.15</v>
      </c>
      <c r="L183" s="6"/>
      <c r="M183" s="16"/>
      <c r="N183" s="6"/>
      <c r="O183" s="5"/>
      <c r="P183" s="6"/>
      <c r="Q183" s="6"/>
      <c r="R183" s="6"/>
      <c r="S183" s="6"/>
      <c r="T183" s="6"/>
      <c r="U183" s="6"/>
      <c r="V183" s="6"/>
      <c r="X183" s="6">
        <f>X173+X176</f>
        <v>1.09</v>
      </c>
      <c r="Y183" s="16"/>
      <c r="Z183" s="6">
        <f>Z173+Z176</f>
        <v>1.12</v>
      </c>
      <c r="AA183" s="5"/>
      <c r="AB183" s="6">
        <f>AB173+AB176</f>
        <v>1.34</v>
      </c>
      <c r="AC183" s="4"/>
      <c r="AD183" s="6">
        <f>AD173+AD176</f>
        <v>0</v>
      </c>
      <c r="AE183" s="16"/>
      <c r="AF183" s="6">
        <f>AF173+AF176</f>
        <v>0</v>
      </c>
      <c r="AG183" s="5"/>
      <c r="AH183" s="6">
        <f>AH173+AH176</f>
        <v>0</v>
      </c>
      <c r="AJ183" s="6">
        <f>AJ173+AJ176</f>
        <v>3.5329999999999995</v>
      </c>
      <c r="AK183" s="16"/>
      <c r="AL183" s="6">
        <f>AL173+AL176</f>
        <v>3.056</v>
      </c>
      <c r="AM183" s="5"/>
      <c r="AN183" s="6">
        <f>AN173+AN176</f>
        <v>3.4899999999999998</v>
      </c>
      <c r="AO183" s="115"/>
      <c r="AP183" s="115"/>
    </row>
    <row r="184" spans="2:42" ht="12.75">
      <c r="B184" s="4" t="s">
        <v>36</v>
      </c>
      <c r="D184" s="4" t="s">
        <v>28</v>
      </c>
      <c r="E184" s="16"/>
      <c r="F184" s="6">
        <f>F169+F172+F174</f>
        <v>0.337</v>
      </c>
      <c r="H184" s="6">
        <f>H169+H172+H174</f>
        <v>0.27</v>
      </c>
      <c r="I184" s="5"/>
      <c r="J184" s="6">
        <f>J169+J172+J174</f>
        <v>0.30300000000000005</v>
      </c>
      <c r="L184" s="6"/>
      <c r="M184" s="16"/>
      <c r="N184" s="6"/>
      <c r="O184" s="5"/>
      <c r="P184" s="6"/>
      <c r="Q184" s="6"/>
      <c r="R184" s="6"/>
      <c r="S184" s="6"/>
      <c r="T184" s="6"/>
      <c r="U184" s="6"/>
      <c r="V184" s="6"/>
      <c r="X184" s="6">
        <f>X169+X172+X174</f>
        <v>1.84</v>
      </c>
      <c r="Y184" s="16"/>
      <c r="Z184" s="6">
        <f>Z169+Z172+Z174</f>
        <v>1.57</v>
      </c>
      <c r="AA184" s="5"/>
      <c r="AB184" s="6">
        <f>AB169+AB172+AB174</f>
        <v>1.62</v>
      </c>
      <c r="AC184" s="4"/>
      <c r="AD184" s="6">
        <f>AD169+AD172+AD174</f>
        <v>2.8</v>
      </c>
      <c r="AE184" s="16"/>
      <c r="AF184" s="6">
        <f>AF169+AF172+AF174</f>
        <v>2.8</v>
      </c>
      <c r="AG184" s="5"/>
      <c r="AH184" s="6">
        <f>AH169+AH172+AH174</f>
        <v>2.81</v>
      </c>
      <c r="AJ184" s="6">
        <f>AJ169+AJ172+AJ174</f>
        <v>4.977</v>
      </c>
      <c r="AK184" s="16"/>
      <c r="AL184" s="6">
        <f>AL169+AL172+AL174</f>
        <v>4.64</v>
      </c>
      <c r="AM184" s="5"/>
      <c r="AN184" s="6">
        <f>AN169+AN172+AN174</f>
        <v>4.7330000000000005</v>
      </c>
      <c r="AO184" s="115"/>
      <c r="AP184" s="115"/>
    </row>
    <row r="185" spans="5:42" ht="12.75">
      <c r="E185" s="16"/>
      <c r="I185" s="5"/>
      <c r="L185" s="19"/>
      <c r="M185" s="16"/>
      <c r="O185" s="5"/>
      <c r="X185" s="6"/>
      <c r="Y185" s="117"/>
      <c r="Z185" s="60"/>
      <c r="AA185" s="6"/>
      <c r="AB185" s="60"/>
      <c r="AC185" s="4"/>
      <c r="AD185" s="19"/>
      <c r="AE185" s="16"/>
      <c r="AF185" s="19"/>
      <c r="AG185" s="5"/>
      <c r="AH185" s="19"/>
      <c r="AJ185" s="68"/>
      <c r="AK185" s="114"/>
      <c r="AL185" s="68"/>
      <c r="AM185" s="40"/>
      <c r="AN185" s="68"/>
      <c r="AO185" s="115"/>
      <c r="AP185" s="115"/>
    </row>
    <row r="186" spans="5:42" ht="12.75">
      <c r="E186" s="16"/>
      <c r="I186" s="5"/>
      <c r="L186" s="19"/>
      <c r="M186" s="16"/>
      <c r="O186" s="5"/>
      <c r="X186" s="6"/>
      <c r="Y186" s="117"/>
      <c r="Z186" s="60"/>
      <c r="AA186" s="6"/>
      <c r="AB186" s="60"/>
      <c r="AC186" s="4"/>
      <c r="AD186" s="19"/>
      <c r="AE186" s="16"/>
      <c r="AF186" s="19"/>
      <c r="AG186" s="5"/>
      <c r="AH186" s="19"/>
      <c r="AJ186" s="5"/>
      <c r="AK186" s="114"/>
      <c r="AL186" s="5"/>
      <c r="AM186" s="40"/>
      <c r="AN186" s="5"/>
      <c r="AO186" s="115"/>
      <c r="AP186" s="115"/>
    </row>
    <row r="187" spans="5:42" ht="12.75">
      <c r="E187" s="16"/>
      <c r="I187" s="19"/>
      <c r="L187" s="19"/>
      <c r="M187" s="16"/>
      <c r="O187" s="19"/>
      <c r="X187" s="19"/>
      <c r="Y187" s="19"/>
      <c r="AA187" s="7"/>
      <c r="AB187" s="16"/>
      <c r="AJ187" s="72"/>
      <c r="AK187" s="114"/>
      <c r="AL187" s="72"/>
      <c r="AM187" s="40"/>
      <c r="AN187" s="72"/>
      <c r="AO187" s="115"/>
      <c r="AP187" s="115"/>
    </row>
    <row r="188" spans="2:42" ht="12.75">
      <c r="B188" s="4" t="s">
        <v>37</v>
      </c>
      <c r="D188" s="4" t="s">
        <v>17</v>
      </c>
      <c r="E188" s="16"/>
      <c r="F188" s="7">
        <f>'emiss 1'!G199</f>
        <v>33199</v>
      </c>
      <c r="H188" s="7">
        <f>'emiss 1'!I199</f>
        <v>33716</v>
      </c>
      <c r="I188" s="19"/>
      <c r="J188" s="7">
        <f>'emiss 1'!K199</f>
        <v>34483</v>
      </c>
      <c r="K188" s="16"/>
      <c r="L188" s="19">
        <f>$F188</f>
        <v>33199</v>
      </c>
      <c r="M188" s="16"/>
      <c r="N188" s="19">
        <f>$H188</f>
        <v>33716</v>
      </c>
      <c r="O188" s="19"/>
      <c r="P188" s="19">
        <f>$J188</f>
        <v>34483</v>
      </c>
      <c r="Q188" s="19"/>
      <c r="R188" s="19"/>
      <c r="S188" s="19"/>
      <c r="T188" s="19"/>
      <c r="U188" s="19"/>
      <c r="V188" s="19"/>
      <c r="W188" s="21"/>
      <c r="X188" s="19">
        <f>$F188</f>
        <v>33199</v>
      </c>
      <c r="Y188" s="16"/>
      <c r="Z188" s="19">
        <f>$H188</f>
        <v>33716</v>
      </c>
      <c r="AA188" s="19"/>
      <c r="AB188" s="19">
        <f>$J188</f>
        <v>34483</v>
      </c>
      <c r="AD188" s="19">
        <f>$F188</f>
        <v>33199</v>
      </c>
      <c r="AE188" s="16"/>
      <c r="AF188" s="19">
        <f>$H188</f>
        <v>33716</v>
      </c>
      <c r="AG188" s="19"/>
      <c r="AH188" s="19">
        <f>$J188</f>
        <v>34483</v>
      </c>
      <c r="AJ188" s="19">
        <f>$F188</f>
        <v>33199</v>
      </c>
      <c r="AK188" s="16"/>
      <c r="AL188" s="19">
        <f>$H188</f>
        <v>33716</v>
      </c>
      <c r="AM188" s="19"/>
      <c r="AN188" s="19">
        <f>$J188</f>
        <v>34483</v>
      </c>
      <c r="AP188" s="21">
        <f>AVERAGE(AJ188,AL188,AN188)</f>
        <v>33799.333333333336</v>
      </c>
    </row>
    <row r="189" spans="2:42" ht="12.75">
      <c r="B189" s="4" t="s">
        <v>38</v>
      </c>
      <c r="D189" s="4" t="s">
        <v>18</v>
      </c>
      <c r="E189" s="16"/>
      <c r="F189" s="5">
        <f>'emiss 1'!G200</f>
        <v>15.3</v>
      </c>
      <c r="G189" s="54"/>
      <c r="H189" s="5">
        <f>'emiss 1'!I200</f>
        <v>15</v>
      </c>
      <c r="I189" s="5"/>
      <c r="J189" s="5">
        <f>'emiss 1'!K200</f>
        <v>14.4</v>
      </c>
      <c r="K189" s="16"/>
      <c r="L189" s="19">
        <f>$F189</f>
        <v>15.3</v>
      </c>
      <c r="M189" s="16"/>
      <c r="N189" s="19">
        <f>$H189</f>
        <v>15</v>
      </c>
      <c r="O189" s="19"/>
      <c r="P189" s="19">
        <f>$J189</f>
        <v>14.4</v>
      </c>
      <c r="Q189" s="19"/>
      <c r="R189" s="19"/>
      <c r="S189" s="19"/>
      <c r="T189" s="19"/>
      <c r="U189" s="19"/>
      <c r="V189" s="19"/>
      <c r="W189" s="16"/>
      <c r="X189" s="19">
        <f>$F189</f>
        <v>15.3</v>
      </c>
      <c r="Y189" s="16"/>
      <c r="Z189" s="19">
        <f>$H189</f>
        <v>15</v>
      </c>
      <c r="AA189" s="19"/>
      <c r="AB189" s="19">
        <f>$J189</f>
        <v>14.4</v>
      </c>
      <c r="AC189" s="16"/>
      <c r="AD189" s="19">
        <f>$F189</f>
        <v>15.3</v>
      </c>
      <c r="AE189" s="16"/>
      <c r="AF189" s="19">
        <f>$H189</f>
        <v>15</v>
      </c>
      <c r="AG189" s="19"/>
      <c r="AH189" s="19">
        <f>$J189</f>
        <v>14.4</v>
      </c>
      <c r="AI189" s="16"/>
      <c r="AJ189" s="19">
        <f>$F189</f>
        <v>15.3</v>
      </c>
      <c r="AK189" s="16"/>
      <c r="AL189" s="19">
        <f>$H189</f>
        <v>15</v>
      </c>
      <c r="AM189" s="19"/>
      <c r="AN189" s="19">
        <f>$J189</f>
        <v>14.4</v>
      </c>
      <c r="AP189" s="18">
        <f>AVERAGE(AJ189,AL189,AN189)</f>
        <v>14.9</v>
      </c>
    </row>
    <row r="190" spans="5:28" ht="12.75">
      <c r="E190" s="16"/>
      <c r="I190" s="19"/>
      <c r="J190" s="16"/>
      <c r="K190" s="16"/>
      <c r="AB190" s="16"/>
    </row>
    <row r="191" spans="2:42" ht="12.75">
      <c r="B191" s="4" t="s">
        <v>283</v>
      </c>
      <c r="D191" s="4" t="s">
        <v>32</v>
      </c>
      <c r="E191" s="16"/>
      <c r="F191" s="5">
        <f>F163*F164/1000000</f>
        <v>20.873998080000003</v>
      </c>
      <c r="H191" s="5">
        <f>H163*H164/1000000</f>
        <v>47.08983552</v>
      </c>
      <c r="I191" s="19"/>
      <c r="J191" s="5">
        <f>J163*J164/1000000</f>
        <v>51.69745152</v>
      </c>
      <c r="K191" s="16"/>
      <c r="L191" s="5"/>
      <c r="N191" s="5"/>
      <c r="P191" s="5"/>
      <c r="Q191" s="5"/>
      <c r="R191" s="5"/>
      <c r="S191" s="5"/>
      <c r="T191" s="5"/>
      <c r="U191" s="5"/>
      <c r="V191" s="5"/>
      <c r="X191" s="5"/>
      <c r="Y191" s="16"/>
      <c r="Z191" s="5"/>
      <c r="AA191" s="19"/>
      <c r="AB191" s="5"/>
      <c r="AD191" s="5"/>
      <c r="AE191" s="16"/>
      <c r="AF191" s="5"/>
      <c r="AG191" s="19"/>
      <c r="AH191" s="5"/>
      <c r="AJ191" s="7">
        <f>F191+L191+X191+AD191</f>
        <v>20.873998080000003</v>
      </c>
      <c r="AK191" s="7"/>
      <c r="AL191" s="7">
        <f>H191+N191+Z191+AF191</f>
        <v>47.08983552</v>
      </c>
      <c r="AM191" s="21"/>
      <c r="AN191" s="7">
        <f>J191+P191+AB191+AH191</f>
        <v>51.69745152</v>
      </c>
      <c r="AP191" s="18">
        <f>AVERAGE(AJ191,AL191,AN191)</f>
        <v>39.88709504</v>
      </c>
    </row>
    <row r="192" spans="2:42" ht="12.75">
      <c r="B192" s="4" t="s">
        <v>280</v>
      </c>
      <c r="D192" s="4" t="s">
        <v>32</v>
      </c>
      <c r="E192" s="16"/>
      <c r="F192" s="18"/>
      <c r="I192" s="5"/>
      <c r="J192" s="16"/>
      <c r="K192" s="16"/>
      <c r="Z192" s="5"/>
      <c r="AB192" s="54"/>
      <c r="AJ192" s="21">
        <f>AJ188/9000*(21-AJ189)/21*60</f>
        <v>60.07438095238094</v>
      </c>
      <c r="AK192" s="21"/>
      <c r="AL192" s="21">
        <f>AL188/9000*(21-AL189)/21*60</f>
        <v>64.22095238095238</v>
      </c>
      <c r="AM192" s="21"/>
      <c r="AN192" s="21">
        <f>AN188/9000*(21-AN189)/21*60</f>
        <v>72.25009523809523</v>
      </c>
      <c r="AP192" s="18">
        <f>AVERAGE(AJ192,AL192,AN192)</f>
        <v>65.51514285714285</v>
      </c>
    </row>
    <row r="193" spans="5:28" ht="12.75">
      <c r="E193" s="16"/>
      <c r="F193" s="18"/>
      <c r="I193" s="5"/>
      <c r="J193" s="16"/>
      <c r="K193" s="16"/>
      <c r="Z193" s="5"/>
      <c r="AB193" s="54"/>
    </row>
    <row r="194" spans="8:42" ht="12.75">
      <c r="H194" s="19"/>
      <c r="J194" s="19"/>
      <c r="X194" s="4"/>
      <c r="Z194" s="4"/>
      <c r="AA194" s="19"/>
      <c r="AB194" s="4"/>
      <c r="AJ194" s="16"/>
      <c r="AL194" s="16"/>
      <c r="AN194" s="16"/>
      <c r="AP194" s="16"/>
    </row>
    <row r="195" spans="2:42" ht="12.75">
      <c r="B195" s="55" t="s">
        <v>47</v>
      </c>
      <c r="C195" s="55"/>
      <c r="F195" s="16"/>
      <c r="H195" s="16"/>
      <c r="I195" s="16"/>
      <c r="J195" s="16"/>
      <c r="K195" s="19"/>
      <c r="X195" s="16"/>
      <c r="Y195" s="16"/>
      <c r="Z195" s="16"/>
      <c r="AA195" s="16"/>
      <c r="AB195" s="16"/>
      <c r="AC195" s="17"/>
      <c r="AD195" s="16"/>
      <c r="AE195" s="16"/>
      <c r="AF195" s="16"/>
      <c r="AG195" s="16"/>
      <c r="AH195" s="16"/>
      <c r="AI195" s="17"/>
      <c r="AJ195" s="16"/>
      <c r="AK195" s="16"/>
      <c r="AL195" s="16"/>
      <c r="AM195" s="19"/>
      <c r="AN195" s="16"/>
      <c r="AP195" s="16"/>
    </row>
    <row r="196" spans="2:42" ht="12.75">
      <c r="B196" s="4" t="s">
        <v>23</v>
      </c>
      <c r="D196" s="4" t="s">
        <v>39</v>
      </c>
      <c r="F196" s="7">
        <f>F163*F166/100*1/60*454*1000/(F$188*0.0283)*(21-7)/(21-F$189)</f>
        <v>1376.3558372078796</v>
      </c>
      <c r="G196" s="56"/>
      <c r="H196" s="7">
        <f>H163*H166/100*1/60*454*1000/(H$188*0.0283)*(21-7)/(21-H$189)</f>
        <v>1655.5400121846433</v>
      </c>
      <c r="I196" s="7"/>
      <c r="J196" s="7">
        <f>J163*J166/100*1/60*454*1000/(J$188*0.0283)*(21-7)/(21-J$189)</f>
        <v>1468.6803196319806</v>
      </c>
      <c r="K196" s="56"/>
      <c r="L196" s="7"/>
      <c r="M196" s="7"/>
      <c r="N196" s="7"/>
      <c r="O196" s="7"/>
      <c r="P196" s="7"/>
      <c r="Q196" s="7"/>
      <c r="R196" s="7">
        <f>SUM(F196)</f>
        <v>1376.3558372078796</v>
      </c>
      <c r="S196" s="7"/>
      <c r="T196" s="7">
        <f>SUM(H196)</f>
        <v>1655.5400121846433</v>
      </c>
      <c r="U196" s="7"/>
      <c r="V196" s="7">
        <f>SUM(J196)</f>
        <v>1468.6803196319806</v>
      </c>
      <c r="W196" s="70"/>
      <c r="X196" s="7"/>
      <c r="Y196" s="16"/>
      <c r="Z196" s="7"/>
      <c r="AA196" s="5"/>
      <c r="AB196" s="7"/>
      <c r="AD196" s="7"/>
      <c r="AE196" s="16"/>
      <c r="AF196" s="7"/>
      <c r="AG196" s="5"/>
      <c r="AH196" s="7"/>
      <c r="AJ196" s="7">
        <f>F196+L196+X196+AD196</f>
        <v>1376.3558372078796</v>
      </c>
      <c r="AK196" s="21"/>
      <c r="AL196" s="7">
        <f>H196+N196+Z196+AF196</f>
        <v>1655.5400121846433</v>
      </c>
      <c r="AM196" s="21"/>
      <c r="AN196" s="7">
        <f>J196+P196+AB196+AH196</f>
        <v>1468.6803196319806</v>
      </c>
      <c r="AO196" s="21"/>
      <c r="AP196" s="21">
        <f>AVERAGE(AJ196,AL196,AN196)</f>
        <v>1500.1920563415013</v>
      </c>
    </row>
    <row r="197" spans="2:42" ht="12.75">
      <c r="B197" s="4" t="s">
        <v>24</v>
      </c>
      <c r="D197" s="4" t="s">
        <v>34</v>
      </c>
      <c r="F197" s="61">
        <f>F167*1/60*454*1000000/(F$188*0.0283)*(21-7)/(21-F$189)</f>
        <v>2391512.446451743</v>
      </c>
      <c r="G197" s="98"/>
      <c r="H197" s="61">
        <f>H167*1/60*454*1000000/(H$188*0.0283)*(21-7)/(21-H$189)</f>
        <v>1485848.2337721728</v>
      </c>
      <c r="I197" s="61"/>
      <c r="J197" s="61">
        <f>J167*1/60*454*1000000/(J$188*0.0283)*(21-7)/(21-J$189)</f>
        <v>1394739.4248170306</v>
      </c>
      <c r="K197" s="98"/>
      <c r="L197" s="61"/>
      <c r="M197" s="61"/>
      <c r="N197" s="61"/>
      <c r="O197" s="61"/>
      <c r="P197" s="61"/>
      <c r="Q197" s="61"/>
      <c r="R197" s="7">
        <f aca="true" t="shared" si="41" ref="R197:V214">SUM(F197)</f>
        <v>2391512.446451743</v>
      </c>
      <c r="S197" s="61"/>
      <c r="T197" s="7">
        <f t="shared" si="41"/>
        <v>1485848.2337721728</v>
      </c>
      <c r="U197" s="61"/>
      <c r="V197" s="7">
        <f t="shared" si="41"/>
        <v>1394739.4248170306</v>
      </c>
      <c r="W197" s="61"/>
      <c r="X197" s="61">
        <f>X167*1/60*454*1000000/(X$18*0.0283)*(21-7)/(21-X$19)</f>
        <v>24273.541566675212</v>
      </c>
      <c r="Y197" s="98"/>
      <c r="Z197" s="61">
        <f>Z167*1/60*454*1000000/(Z$18*0.0283)*(21-7)/(21-Z$19)</f>
        <v>42822.06241641742</v>
      </c>
      <c r="AA197" s="61"/>
      <c r="AB197" s="61">
        <f>AB167*1/60*454*1000000/(AB$18*0.0283)*(21-7)/(21-AB$19)</f>
        <v>27201.535015464277</v>
      </c>
      <c r="AC197" s="126"/>
      <c r="AD197" s="61">
        <f>AD167*1/60*454*1000000/(AD$18*0.0283)*(21-7)/(21-AD$19)</f>
        <v>0</v>
      </c>
      <c r="AE197" s="98"/>
      <c r="AF197" s="61">
        <f>AF167*1/60*454*1000000/(AF$18*0.0283)*(21-7)/(21-AF$19)</f>
        <v>0</v>
      </c>
      <c r="AG197" s="61"/>
      <c r="AH197" s="61">
        <f>AH167*1/60*454*1000000/(AH$18*0.0283)*(21-7)/(21-AH$19)</f>
        <v>0</v>
      </c>
      <c r="AI197" s="58"/>
      <c r="AJ197" s="7">
        <f>F197+L197+X197+AD197</f>
        <v>2415785.988018418</v>
      </c>
      <c r="AK197" s="21"/>
      <c r="AL197" s="7">
        <f>H197+N197+Z197+AF197</f>
        <v>1528670.2961885903</v>
      </c>
      <c r="AM197" s="21"/>
      <c r="AN197" s="7">
        <f>J197+P197+AB197+AH197</f>
        <v>1421940.9598324948</v>
      </c>
      <c r="AO197" s="21"/>
      <c r="AP197" s="21">
        <f>AVERAGE(AJ197,AL197,AN197)</f>
        <v>1788799.0813465014</v>
      </c>
    </row>
    <row r="198" spans="5:28" ht="12.75">
      <c r="E198" s="16"/>
      <c r="F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AB198" s="56"/>
    </row>
    <row r="199" spans="2:42" ht="12.75">
      <c r="B199" s="4" t="s">
        <v>123</v>
      </c>
      <c r="D199" s="4" t="s">
        <v>34</v>
      </c>
      <c r="F199" s="7">
        <f>F169*1/60*454*1000000/(F$188*0.0283)*(21-7)/(21-F$189)</f>
        <v>2571.51875962553</v>
      </c>
      <c r="H199" s="7">
        <f>H169*1/60*454*1000000/(H$188*0.0283)*(21-7)/(21-H$189)</f>
        <v>1665.3342595204929</v>
      </c>
      <c r="J199" s="7">
        <f>J169*1/60*454*1000000/(J$188*0.0283)*(21-7)/(21-J$189)</f>
        <v>1546.0554944905766</v>
      </c>
      <c r="L199" s="7"/>
      <c r="M199" s="16"/>
      <c r="N199" s="7"/>
      <c r="P199" s="7"/>
      <c r="Q199" s="7"/>
      <c r="R199" s="7">
        <f t="shared" si="41"/>
        <v>2571.51875962553</v>
      </c>
      <c r="S199" s="7"/>
      <c r="T199" s="7">
        <f t="shared" si="41"/>
        <v>1665.3342595204929</v>
      </c>
      <c r="U199" s="7"/>
      <c r="V199" s="7">
        <f t="shared" si="41"/>
        <v>1546.0554944905766</v>
      </c>
      <c r="X199" s="7">
        <f>X169*1/60*454*1000000/(X$188*0.0283)*(21-7)/(21-X$189)</f>
        <v>11077.311579925361</v>
      </c>
      <c r="Y199" s="16"/>
      <c r="Z199" s="7">
        <f>Z169*1/60*454*1000000/(Z$188*0.0283)*(21-7)/(21-Z$189)</f>
        <v>4810.965638614757</v>
      </c>
      <c r="AB199" s="7">
        <f>AB169*1/60*454*1000000/(AB$188*0.0283)*(21-7)/(21-AB$189)</f>
        <v>7894.751461228476</v>
      </c>
      <c r="AD199" s="7">
        <f>AD169*1/60*454*1000000/(AD$188*0.0283)*(21-7)/(21-AD$189)</f>
        <v>0</v>
      </c>
      <c r="AE199" s="16"/>
      <c r="AF199" s="7">
        <f>AF169*1/60*454*1000000/(AF$188*0.0283)*(21-7)/(21-AF$189)</f>
        <v>0</v>
      </c>
      <c r="AH199" s="7">
        <f>AH169*1/60*454*1000000/(AH$188*0.0283)*(21-7)/(21-AH$189)</f>
        <v>0</v>
      </c>
      <c r="AJ199" s="7">
        <f aca="true" t="shared" si="42" ref="AJ199:AJ214">F199+L199+X199+AD199</f>
        <v>13648.830339550892</v>
      </c>
      <c r="AK199" s="21"/>
      <c r="AL199" s="7">
        <f aca="true" t="shared" si="43" ref="AL199:AL214">H199+N199+Z199+AF199</f>
        <v>6476.29989813525</v>
      </c>
      <c r="AM199" s="21"/>
      <c r="AN199" s="7">
        <f aca="true" t="shared" si="44" ref="AN199:AN214">J199+P199+AB199+AH199</f>
        <v>9440.806955719052</v>
      </c>
      <c r="AP199" s="21">
        <f aca="true" t="shared" si="45" ref="AP199:AP214">AVERAGE(AJ199,AL199,AN199)</f>
        <v>9855.312397801732</v>
      </c>
    </row>
    <row r="200" spans="2:42" ht="12.75">
      <c r="B200" s="4" t="s">
        <v>124</v>
      </c>
      <c r="D200" s="4" t="s">
        <v>34</v>
      </c>
      <c r="F200" s="7">
        <f aca="true" t="shared" si="46" ref="F200:F214">F170*1/60*454*1000000/(F$188*0.0283)*(21-7)/(21-F$189)</f>
        <v>2215.462315985072</v>
      </c>
      <c r="H200" s="7">
        <f aca="true" t="shared" si="47" ref="H200:H214">H170*1/60*454*1000000/(H$188*0.0283)*(21-7)/(21-H$189)</f>
        <v>1831.867685472542</v>
      </c>
      <c r="J200" s="7">
        <f aca="true" t="shared" si="48" ref="J200:J214">J170*1/60*454*1000000/(J$188*0.0283)*(21-7)/(21-J$189)</f>
        <v>2023.0300619397972</v>
      </c>
      <c r="L200" s="7"/>
      <c r="M200" s="16"/>
      <c r="N200" s="7"/>
      <c r="P200" s="7"/>
      <c r="Q200" s="7"/>
      <c r="R200" s="7">
        <f t="shared" si="41"/>
        <v>2215.462315985072</v>
      </c>
      <c r="S200" s="7"/>
      <c r="T200" s="7">
        <f t="shared" si="41"/>
        <v>1831.867685472542</v>
      </c>
      <c r="U200" s="7"/>
      <c r="V200" s="7">
        <f t="shared" si="41"/>
        <v>2023.0300619397972</v>
      </c>
      <c r="X200" s="7">
        <f aca="true" t="shared" si="49" ref="X200:X214">X170*1/60*454*1000000/(X$188*0.0283)*(21-7)/(21-X$189)</f>
        <v>791.2365414232399</v>
      </c>
      <c r="Y200" s="16"/>
      <c r="Z200" s="7">
        <f aca="true" t="shared" si="50" ref="Z200:Z214">Z170*1/60*454*1000000/(Z$188*0.0283)*(21-7)/(21-Z$189)</f>
        <v>740.1485597868856</v>
      </c>
      <c r="AB200" s="7">
        <f aca="true" t="shared" si="51" ref="AB200:AB214">AB170*1/60*454*1000000/(AB$188*0.0283)*(21-7)/(21-AB$189)</f>
        <v>657.8959551023729</v>
      </c>
      <c r="AD200" s="7">
        <f aca="true" t="shared" si="52" ref="AD200:AD214">AD170*1/60*454*1000000/(AD$188*0.0283)*(21-7)/(21-AD$189)</f>
        <v>0</v>
      </c>
      <c r="AE200" s="16"/>
      <c r="AF200" s="7">
        <f aca="true" t="shared" si="53" ref="AF200:AF214">AF170*1/60*454*1000000/(AF$188*0.0283)*(21-7)/(21-AF$189)</f>
        <v>0</v>
      </c>
      <c r="AH200" s="7">
        <f aca="true" t="shared" si="54" ref="AH200:AH214">AH170*1/60*454*1000000/(AH$188*0.0283)*(21-7)/(21-AH$189)</f>
        <v>0</v>
      </c>
      <c r="AJ200" s="7">
        <f t="shared" si="42"/>
        <v>3006.698857408312</v>
      </c>
      <c r="AK200" s="21"/>
      <c r="AL200" s="7">
        <f t="shared" si="43"/>
        <v>2572.0162452594277</v>
      </c>
      <c r="AM200" s="21"/>
      <c r="AN200" s="7">
        <f t="shared" si="44"/>
        <v>2680.9260170421703</v>
      </c>
      <c r="AP200" s="21">
        <f t="shared" si="45"/>
        <v>2753.2137065699703</v>
      </c>
    </row>
    <row r="201" spans="2:42" ht="12.75">
      <c r="B201" s="4" t="s">
        <v>125</v>
      </c>
      <c r="D201" s="4" t="s">
        <v>34</v>
      </c>
      <c r="F201" s="7">
        <f t="shared" si="46"/>
        <v>10088.265903146312</v>
      </c>
      <c r="H201" s="7">
        <f t="shared" si="47"/>
        <v>7956.597017709021</v>
      </c>
      <c r="J201" s="7">
        <f t="shared" si="48"/>
        <v>8552.647416330849</v>
      </c>
      <c r="L201" s="7"/>
      <c r="M201" s="16"/>
      <c r="N201" s="7"/>
      <c r="P201" s="7"/>
      <c r="Q201" s="7"/>
      <c r="R201" s="7">
        <f t="shared" si="41"/>
        <v>10088.265903146312</v>
      </c>
      <c r="S201" s="7"/>
      <c r="T201" s="7">
        <f t="shared" si="41"/>
        <v>7956.597017709021</v>
      </c>
      <c r="U201" s="7"/>
      <c r="V201" s="7">
        <f t="shared" si="41"/>
        <v>8552.647416330849</v>
      </c>
      <c r="X201" s="7">
        <f t="shared" si="49"/>
        <v>152115.22508861794</v>
      </c>
      <c r="Y201" s="16"/>
      <c r="Z201" s="7">
        <f t="shared" si="50"/>
        <v>130081.10938254515</v>
      </c>
      <c r="AB201" s="7">
        <f t="shared" si="51"/>
        <v>108552.83259189154</v>
      </c>
      <c r="AD201" s="7">
        <f t="shared" si="52"/>
        <v>0</v>
      </c>
      <c r="AE201" s="16"/>
      <c r="AF201" s="7">
        <f t="shared" si="53"/>
        <v>0</v>
      </c>
      <c r="AH201" s="7">
        <f t="shared" si="54"/>
        <v>0</v>
      </c>
      <c r="AJ201" s="7">
        <f t="shared" si="42"/>
        <v>162203.49099176424</v>
      </c>
      <c r="AK201" s="21"/>
      <c r="AL201" s="7">
        <f t="shared" si="43"/>
        <v>138037.7064002542</v>
      </c>
      <c r="AM201" s="21"/>
      <c r="AN201" s="7">
        <f t="shared" si="44"/>
        <v>117105.48000822238</v>
      </c>
      <c r="AP201" s="21">
        <f t="shared" si="45"/>
        <v>139115.5591334136</v>
      </c>
    </row>
    <row r="202" spans="2:42" ht="12.75">
      <c r="B202" s="4" t="s">
        <v>126</v>
      </c>
      <c r="D202" s="4" t="s">
        <v>34</v>
      </c>
      <c r="F202" s="7">
        <f t="shared" si="46"/>
        <v>138.466394749067</v>
      </c>
      <c r="H202" s="7">
        <f t="shared" si="47"/>
        <v>92.5185699733607</v>
      </c>
      <c r="J202" s="7">
        <f t="shared" si="48"/>
        <v>98.68439326535594</v>
      </c>
      <c r="L202" s="7"/>
      <c r="M202" s="16"/>
      <c r="N202" s="7"/>
      <c r="P202" s="7"/>
      <c r="Q202" s="7"/>
      <c r="R202" s="7">
        <f t="shared" si="41"/>
        <v>138.466394749067</v>
      </c>
      <c r="S202" s="7"/>
      <c r="T202" s="7">
        <f t="shared" si="41"/>
        <v>92.5185699733607</v>
      </c>
      <c r="U202" s="7"/>
      <c r="V202" s="7">
        <f t="shared" si="41"/>
        <v>98.68439326535594</v>
      </c>
      <c r="X202" s="7">
        <f t="shared" si="49"/>
        <v>791.2365414232399</v>
      </c>
      <c r="Y202" s="16"/>
      <c r="Z202" s="7">
        <f t="shared" si="50"/>
        <v>740.1485597868856</v>
      </c>
      <c r="AB202" s="7">
        <f t="shared" si="51"/>
        <v>657.8959551023729</v>
      </c>
      <c r="AD202" s="7">
        <f t="shared" si="52"/>
        <v>0</v>
      </c>
      <c r="AE202" s="16"/>
      <c r="AF202" s="7">
        <f t="shared" si="53"/>
        <v>0</v>
      </c>
      <c r="AH202" s="7">
        <f t="shared" si="54"/>
        <v>0</v>
      </c>
      <c r="AJ202" s="7">
        <f t="shared" si="42"/>
        <v>929.702936172307</v>
      </c>
      <c r="AK202" s="21"/>
      <c r="AL202" s="7">
        <f t="shared" si="43"/>
        <v>832.6671297602463</v>
      </c>
      <c r="AM202" s="21"/>
      <c r="AN202" s="7">
        <f t="shared" si="44"/>
        <v>756.5803483677289</v>
      </c>
      <c r="AP202" s="21">
        <f t="shared" si="45"/>
        <v>839.6501381000941</v>
      </c>
    </row>
    <row r="203" spans="2:42" ht="12.75">
      <c r="B203" s="4" t="s">
        <v>127</v>
      </c>
      <c r="D203" s="4" t="s">
        <v>34</v>
      </c>
      <c r="F203" s="7">
        <f t="shared" si="46"/>
        <v>3224.2889062997037</v>
      </c>
      <c r="H203" s="7">
        <f t="shared" si="47"/>
        <v>2701.5422432221326</v>
      </c>
      <c r="J203" s="7">
        <f t="shared" si="48"/>
        <v>2796.0578091850853</v>
      </c>
      <c r="L203" s="7"/>
      <c r="M203" s="16"/>
      <c r="N203" s="7"/>
      <c r="P203" s="7"/>
      <c r="Q203" s="7"/>
      <c r="R203" s="7">
        <f t="shared" si="41"/>
        <v>3224.2889062997037</v>
      </c>
      <c r="S203" s="7"/>
      <c r="T203" s="7">
        <f t="shared" si="41"/>
        <v>2701.5422432221326</v>
      </c>
      <c r="U203" s="7"/>
      <c r="V203" s="7">
        <f t="shared" si="41"/>
        <v>2796.0578091850853</v>
      </c>
      <c r="X203" s="7">
        <f t="shared" si="49"/>
        <v>395.61827071161997</v>
      </c>
      <c r="Y203" s="16"/>
      <c r="Z203" s="7">
        <f t="shared" si="50"/>
        <v>370.0742798934428</v>
      </c>
      <c r="AB203" s="7">
        <f t="shared" si="51"/>
        <v>328.94797755118645</v>
      </c>
      <c r="AD203" s="7">
        <f t="shared" si="52"/>
        <v>0</v>
      </c>
      <c r="AE203" s="16"/>
      <c r="AF203" s="7">
        <f t="shared" si="53"/>
        <v>0</v>
      </c>
      <c r="AH203" s="7">
        <f t="shared" si="54"/>
        <v>0</v>
      </c>
      <c r="AJ203" s="7">
        <f t="shared" si="42"/>
        <v>3619.9071770113237</v>
      </c>
      <c r="AK203" s="21"/>
      <c r="AL203" s="7">
        <f t="shared" si="43"/>
        <v>3071.6165231155755</v>
      </c>
      <c r="AM203" s="21"/>
      <c r="AN203" s="7">
        <f t="shared" si="44"/>
        <v>3125.0057867362716</v>
      </c>
      <c r="AP203" s="21">
        <f t="shared" si="45"/>
        <v>3272.1764956210573</v>
      </c>
    </row>
    <row r="204" spans="2:42" ht="12.75">
      <c r="B204" s="4" t="s">
        <v>128</v>
      </c>
      <c r="D204" s="4" t="s">
        <v>34</v>
      </c>
      <c r="F204" s="7">
        <f t="shared" si="46"/>
        <v>3956.182707116201</v>
      </c>
      <c r="H204" s="7">
        <f t="shared" si="47"/>
        <v>3238.1499490676247</v>
      </c>
      <c r="J204" s="7">
        <f t="shared" si="48"/>
        <v>3338.821972144543</v>
      </c>
      <c r="L204" s="7"/>
      <c r="M204" s="16"/>
      <c r="N204" s="7"/>
      <c r="P204" s="7"/>
      <c r="Q204" s="7"/>
      <c r="R204" s="7">
        <f t="shared" si="41"/>
        <v>3956.182707116201</v>
      </c>
      <c r="S204" s="7"/>
      <c r="T204" s="7">
        <f t="shared" si="41"/>
        <v>3238.1499490676247</v>
      </c>
      <c r="U204" s="7"/>
      <c r="V204" s="7">
        <f t="shared" si="41"/>
        <v>3338.821972144543</v>
      </c>
      <c r="X204" s="7">
        <f t="shared" si="49"/>
        <v>24528.332784120445</v>
      </c>
      <c r="Y204" s="16"/>
      <c r="Z204" s="7">
        <f t="shared" si="50"/>
        <v>23499.716773233624</v>
      </c>
      <c r="AB204" s="7">
        <f t="shared" si="51"/>
        <v>18092.138765315256</v>
      </c>
      <c r="AD204" s="7">
        <f t="shared" si="52"/>
        <v>55386.557899626794</v>
      </c>
      <c r="AE204" s="16"/>
      <c r="AF204" s="7">
        <f t="shared" si="53"/>
        <v>51810.399185081995</v>
      </c>
      <c r="AH204" s="7">
        <f t="shared" si="54"/>
        <v>46217.190845941695</v>
      </c>
      <c r="AJ204" s="7">
        <f t="shared" si="42"/>
        <v>83871.07339086344</v>
      </c>
      <c r="AK204" s="21"/>
      <c r="AL204" s="7">
        <f t="shared" si="43"/>
        <v>78548.26590738325</v>
      </c>
      <c r="AM204" s="21"/>
      <c r="AN204" s="7">
        <f t="shared" si="44"/>
        <v>67648.15158340149</v>
      </c>
      <c r="AP204" s="21">
        <f t="shared" si="45"/>
        <v>76689.16362721605</v>
      </c>
    </row>
    <row r="205" spans="2:42" ht="12.75">
      <c r="B205" s="4" t="s">
        <v>129</v>
      </c>
      <c r="D205" s="4" t="s">
        <v>34</v>
      </c>
      <c r="F205" s="7">
        <f t="shared" si="46"/>
        <v>91981.24794045166</v>
      </c>
      <c r="H205" s="7">
        <f t="shared" si="47"/>
        <v>81231.3044366107</v>
      </c>
      <c r="J205" s="7">
        <f t="shared" si="48"/>
        <v>85197.52618575728</v>
      </c>
      <c r="L205" s="7"/>
      <c r="M205" s="16"/>
      <c r="N205" s="7"/>
      <c r="P205" s="7"/>
      <c r="Q205" s="7"/>
      <c r="R205" s="7">
        <f t="shared" si="41"/>
        <v>91981.24794045166</v>
      </c>
      <c r="S205" s="7"/>
      <c r="T205" s="7">
        <f t="shared" si="41"/>
        <v>81231.3044366107</v>
      </c>
      <c r="U205" s="7"/>
      <c r="V205" s="7">
        <f t="shared" si="41"/>
        <v>85197.52618575728</v>
      </c>
      <c r="X205" s="7">
        <f t="shared" si="49"/>
        <v>46485.14680861536</v>
      </c>
      <c r="Y205" s="16"/>
      <c r="Z205" s="7">
        <f t="shared" si="50"/>
        <v>44778.98786710659</v>
      </c>
      <c r="AB205" s="7">
        <f t="shared" si="51"/>
        <v>49177.72264390238</v>
      </c>
      <c r="AD205" s="7">
        <f t="shared" si="52"/>
        <v>0</v>
      </c>
      <c r="AE205" s="16"/>
      <c r="AF205" s="7">
        <f t="shared" si="53"/>
        <v>0</v>
      </c>
      <c r="AH205" s="7">
        <f t="shared" si="54"/>
        <v>0</v>
      </c>
      <c r="AJ205" s="7">
        <f t="shared" si="42"/>
        <v>138466.39474906703</v>
      </c>
      <c r="AK205" s="21"/>
      <c r="AL205" s="7">
        <f t="shared" si="43"/>
        <v>126010.29230371729</v>
      </c>
      <c r="AM205" s="21"/>
      <c r="AN205" s="7">
        <f t="shared" si="44"/>
        <v>134375.24882965966</v>
      </c>
      <c r="AP205" s="21">
        <f t="shared" si="45"/>
        <v>132950.64529414798</v>
      </c>
    </row>
    <row r="206" spans="2:42" ht="12.75">
      <c r="B206" s="4" t="s">
        <v>130</v>
      </c>
      <c r="D206" s="4" t="s">
        <v>34</v>
      </c>
      <c r="F206" s="7">
        <f t="shared" si="46"/>
        <v>45100.48286112468</v>
      </c>
      <c r="H206" s="7">
        <f t="shared" si="47"/>
        <v>33121.64805046313</v>
      </c>
      <c r="J206" s="7">
        <f t="shared" si="48"/>
        <v>32565.849777567466</v>
      </c>
      <c r="L206" s="7"/>
      <c r="M206" s="16"/>
      <c r="N206" s="7"/>
      <c r="P206" s="7"/>
      <c r="Q206" s="7"/>
      <c r="R206" s="7">
        <f t="shared" si="41"/>
        <v>45100.48286112468</v>
      </c>
      <c r="S206" s="7"/>
      <c r="T206" s="7">
        <f t="shared" si="41"/>
        <v>33121.64805046313</v>
      </c>
      <c r="U206" s="7"/>
      <c r="V206" s="7">
        <f t="shared" si="41"/>
        <v>32565.849777567466</v>
      </c>
      <c r="X206" s="7">
        <f t="shared" si="49"/>
        <v>21165.577483071673</v>
      </c>
      <c r="Y206" s="16"/>
      <c r="Z206" s="7">
        <f t="shared" si="50"/>
        <v>20354.085394139358</v>
      </c>
      <c r="AB206" s="7">
        <f t="shared" si="51"/>
        <v>21710.56651837831</v>
      </c>
      <c r="AD206" s="7">
        <f t="shared" si="52"/>
        <v>0</v>
      </c>
      <c r="AE206" s="16"/>
      <c r="AF206" s="7">
        <f t="shared" si="53"/>
        <v>0</v>
      </c>
      <c r="AH206" s="7">
        <f t="shared" si="54"/>
        <v>0</v>
      </c>
      <c r="AJ206" s="7">
        <f t="shared" si="42"/>
        <v>66266.06034419635</v>
      </c>
      <c r="AK206" s="21"/>
      <c r="AL206" s="7">
        <f t="shared" si="43"/>
        <v>53475.73344460249</v>
      </c>
      <c r="AM206" s="21"/>
      <c r="AN206" s="7">
        <f t="shared" si="44"/>
        <v>54276.416295945775</v>
      </c>
      <c r="AP206" s="21">
        <f t="shared" si="45"/>
        <v>58006.07002824821</v>
      </c>
    </row>
    <row r="207" spans="2:42" ht="12.75">
      <c r="B207" s="4" t="s">
        <v>131</v>
      </c>
      <c r="D207" s="4" t="s">
        <v>34</v>
      </c>
      <c r="F207" s="7">
        <f t="shared" si="46"/>
        <v>65.27701466741732</v>
      </c>
      <c r="H207" s="7">
        <f t="shared" si="47"/>
        <v>55.511141984016426</v>
      </c>
      <c r="J207" s="7">
        <f t="shared" si="48"/>
        <v>54.27641629594578</v>
      </c>
      <c r="L207" s="7"/>
      <c r="M207" s="16"/>
      <c r="N207" s="7"/>
      <c r="P207" s="7"/>
      <c r="Q207" s="7"/>
      <c r="R207" s="7">
        <f t="shared" si="41"/>
        <v>65.27701466741732</v>
      </c>
      <c r="S207" s="7"/>
      <c r="T207" s="7">
        <f t="shared" si="41"/>
        <v>55.511141984016426</v>
      </c>
      <c r="U207" s="7"/>
      <c r="V207" s="7">
        <f t="shared" si="41"/>
        <v>54.27641629594578</v>
      </c>
      <c r="X207" s="7">
        <f t="shared" si="49"/>
        <v>39.56182707116201</v>
      </c>
      <c r="Y207" s="16"/>
      <c r="Z207" s="7">
        <f t="shared" si="50"/>
        <v>33.30668519040986</v>
      </c>
      <c r="AB207" s="7">
        <f t="shared" si="51"/>
        <v>42.763237081654246</v>
      </c>
      <c r="AD207" s="7">
        <f t="shared" si="52"/>
        <v>0</v>
      </c>
      <c r="AE207" s="16"/>
      <c r="AF207" s="7">
        <f t="shared" si="53"/>
        <v>0</v>
      </c>
      <c r="AH207" s="7">
        <f t="shared" si="54"/>
        <v>0</v>
      </c>
      <c r="AJ207" s="7">
        <f t="shared" si="42"/>
        <v>104.83884173857933</v>
      </c>
      <c r="AK207" s="21"/>
      <c r="AL207" s="7">
        <f t="shared" si="43"/>
        <v>88.81782717442628</v>
      </c>
      <c r="AM207" s="21"/>
      <c r="AN207" s="7">
        <f t="shared" si="44"/>
        <v>97.03965337760002</v>
      </c>
      <c r="AP207" s="21">
        <f t="shared" si="45"/>
        <v>96.89877409686854</v>
      </c>
    </row>
    <row r="208" spans="2:42" ht="12.75">
      <c r="B208" s="4" t="s">
        <v>132</v>
      </c>
      <c r="D208" s="4" t="s">
        <v>34</v>
      </c>
      <c r="F208" s="7">
        <f t="shared" si="46"/>
        <v>64485.77812599406</v>
      </c>
      <c r="H208" s="7">
        <f t="shared" si="47"/>
        <v>52365.510604922165</v>
      </c>
      <c r="J208" s="7">
        <f t="shared" si="48"/>
        <v>51973.780453087464</v>
      </c>
      <c r="L208" s="7"/>
      <c r="M208" s="16"/>
      <c r="N208" s="7"/>
      <c r="P208" s="7"/>
      <c r="Q208" s="7"/>
      <c r="R208" s="7">
        <f t="shared" si="41"/>
        <v>64485.77812599406</v>
      </c>
      <c r="S208" s="7"/>
      <c r="T208" s="7">
        <f t="shared" si="41"/>
        <v>52365.510604922165</v>
      </c>
      <c r="U208" s="7"/>
      <c r="V208" s="7">
        <f t="shared" si="41"/>
        <v>51973.780453087464</v>
      </c>
      <c r="X208" s="7">
        <f t="shared" si="49"/>
        <v>35407.83522868999</v>
      </c>
      <c r="Y208" s="16"/>
      <c r="Z208" s="7">
        <f t="shared" si="50"/>
        <v>34972.01944993035</v>
      </c>
      <c r="AB208" s="7">
        <f t="shared" si="51"/>
        <v>30427.687923484747</v>
      </c>
      <c r="AD208" s="7">
        <f t="shared" si="52"/>
        <v>0</v>
      </c>
      <c r="AE208" s="16"/>
      <c r="AF208" s="7">
        <f t="shared" si="53"/>
        <v>0</v>
      </c>
      <c r="AH208" s="7">
        <f t="shared" si="54"/>
        <v>0</v>
      </c>
      <c r="AJ208" s="7">
        <f t="shared" si="42"/>
        <v>99893.61335468406</v>
      </c>
      <c r="AK208" s="21"/>
      <c r="AL208" s="7">
        <f t="shared" si="43"/>
        <v>87337.53005485251</v>
      </c>
      <c r="AM208" s="21"/>
      <c r="AN208" s="7">
        <f t="shared" si="44"/>
        <v>82401.46837657221</v>
      </c>
      <c r="AP208" s="21">
        <f t="shared" si="45"/>
        <v>89877.53726203628</v>
      </c>
    </row>
    <row r="209" spans="2:42" ht="12.75">
      <c r="B209" s="4" t="s">
        <v>133</v>
      </c>
      <c r="D209" s="4" t="s">
        <v>34</v>
      </c>
      <c r="F209" s="7">
        <f t="shared" si="46"/>
        <v>1780.2822182022903</v>
      </c>
      <c r="H209" s="7">
        <f t="shared" si="47"/>
        <v>1665.3342595204929</v>
      </c>
      <c r="J209" s="7">
        <f t="shared" si="48"/>
        <v>1480.2658989803392</v>
      </c>
      <c r="L209" s="7"/>
      <c r="M209" s="16"/>
      <c r="N209" s="7"/>
      <c r="P209" s="7"/>
      <c r="Q209" s="7"/>
      <c r="R209" s="7">
        <f t="shared" si="41"/>
        <v>1780.2822182022903</v>
      </c>
      <c r="S209" s="7"/>
      <c r="T209" s="7">
        <f t="shared" si="41"/>
        <v>1665.3342595204929</v>
      </c>
      <c r="U209" s="7"/>
      <c r="V209" s="7">
        <f t="shared" si="41"/>
        <v>1480.2658989803392</v>
      </c>
      <c r="X209" s="7">
        <f t="shared" si="49"/>
        <v>4153.991842472011</v>
      </c>
      <c r="Y209" s="16"/>
      <c r="Z209" s="7">
        <f t="shared" si="50"/>
        <v>4070.8170788278712</v>
      </c>
      <c r="AB209" s="7">
        <f t="shared" si="51"/>
        <v>3618.4277530630516</v>
      </c>
      <c r="AD209" s="7">
        <f t="shared" si="52"/>
        <v>0</v>
      </c>
      <c r="AE209" s="16"/>
      <c r="AF209" s="7">
        <f t="shared" si="53"/>
        <v>0</v>
      </c>
      <c r="AH209" s="7">
        <f t="shared" si="54"/>
        <v>0</v>
      </c>
      <c r="AJ209" s="7">
        <f t="shared" si="42"/>
        <v>5934.274060674301</v>
      </c>
      <c r="AK209" s="21"/>
      <c r="AL209" s="7">
        <f t="shared" si="43"/>
        <v>5736.151338348364</v>
      </c>
      <c r="AM209" s="21"/>
      <c r="AN209" s="7">
        <f t="shared" si="44"/>
        <v>5098.693652043391</v>
      </c>
      <c r="AP209" s="21">
        <f t="shared" si="45"/>
        <v>5589.706350355352</v>
      </c>
    </row>
    <row r="210" spans="2:42" ht="12.75">
      <c r="B210" s="4" t="s">
        <v>134</v>
      </c>
      <c r="D210" s="4" t="s">
        <v>34</v>
      </c>
      <c r="F210" s="7">
        <f t="shared" si="46"/>
        <v>1463.787601632994</v>
      </c>
      <c r="H210" s="7">
        <f t="shared" si="47"/>
        <v>1128.7265536750006</v>
      </c>
      <c r="J210" s="7">
        <f t="shared" si="48"/>
        <v>1085.5283259189152</v>
      </c>
      <c r="L210" s="7"/>
      <c r="M210" s="16"/>
      <c r="N210" s="7"/>
      <c r="P210" s="7"/>
      <c r="Q210" s="7"/>
      <c r="R210" s="7">
        <f t="shared" si="41"/>
        <v>1463.787601632994</v>
      </c>
      <c r="S210" s="7"/>
      <c r="T210" s="7">
        <f t="shared" si="41"/>
        <v>1128.7265536750006</v>
      </c>
      <c r="U210" s="7"/>
      <c r="V210" s="7">
        <f t="shared" si="41"/>
        <v>1085.5283259189152</v>
      </c>
      <c r="X210" s="7">
        <f t="shared" si="49"/>
        <v>395.61827071161997</v>
      </c>
      <c r="Y210" s="16"/>
      <c r="Z210" s="7">
        <f t="shared" si="50"/>
        <v>370.0742798934428</v>
      </c>
      <c r="AB210" s="7">
        <f t="shared" si="51"/>
        <v>328.94797755118645</v>
      </c>
      <c r="AD210" s="7">
        <f t="shared" si="52"/>
        <v>0</v>
      </c>
      <c r="AE210" s="16"/>
      <c r="AF210" s="7">
        <f t="shared" si="53"/>
        <v>0</v>
      </c>
      <c r="AH210" s="7">
        <f t="shared" si="54"/>
        <v>0</v>
      </c>
      <c r="AJ210" s="7">
        <f t="shared" si="42"/>
        <v>1859.405872344614</v>
      </c>
      <c r="AK210" s="21"/>
      <c r="AL210" s="7">
        <f t="shared" si="43"/>
        <v>1498.8008335684433</v>
      </c>
      <c r="AM210" s="21"/>
      <c r="AN210" s="7">
        <f t="shared" si="44"/>
        <v>1414.4763034701018</v>
      </c>
      <c r="AP210" s="21">
        <f t="shared" si="45"/>
        <v>1590.8943364610532</v>
      </c>
    </row>
    <row r="211" spans="2:42" ht="12.75">
      <c r="B211" s="4" t="s">
        <v>135</v>
      </c>
      <c r="D211" s="4" t="s">
        <v>34</v>
      </c>
      <c r="F211" s="7">
        <f t="shared" si="46"/>
        <v>3224.2889062997037</v>
      </c>
      <c r="H211" s="7">
        <f t="shared" si="47"/>
        <v>2090.9196813979524</v>
      </c>
      <c r="J211" s="7">
        <f t="shared" si="48"/>
        <v>1940.7930675520004</v>
      </c>
      <c r="L211" s="7"/>
      <c r="M211" s="16"/>
      <c r="N211" s="7"/>
      <c r="P211" s="7"/>
      <c r="Q211" s="7"/>
      <c r="R211" s="7">
        <f t="shared" si="41"/>
        <v>3224.2889062997037</v>
      </c>
      <c r="S211" s="7"/>
      <c r="T211" s="7">
        <f t="shared" si="41"/>
        <v>2090.9196813979524</v>
      </c>
      <c r="U211" s="7"/>
      <c r="V211" s="7">
        <f t="shared" si="41"/>
        <v>1940.7930675520004</v>
      </c>
      <c r="X211" s="7">
        <f t="shared" si="49"/>
        <v>791.2365414232399</v>
      </c>
      <c r="Y211" s="16"/>
      <c r="Z211" s="7">
        <f t="shared" si="50"/>
        <v>740.1485597868856</v>
      </c>
      <c r="AB211" s="7">
        <f t="shared" si="51"/>
        <v>657.8959551023729</v>
      </c>
      <c r="AD211" s="7">
        <f t="shared" si="52"/>
        <v>0</v>
      </c>
      <c r="AE211" s="16"/>
      <c r="AF211" s="7">
        <f t="shared" si="53"/>
        <v>0</v>
      </c>
      <c r="AH211" s="7">
        <f t="shared" si="54"/>
        <v>0</v>
      </c>
      <c r="AJ211" s="7">
        <f t="shared" si="42"/>
        <v>4015.5254477229437</v>
      </c>
      <c r="AK211" s="21"/>
      <c r="AL211" s="7">
        <f t="shared" si="43"/>
        <v>2831.068241184838</v>
      </c>
      <c r="AM211" s="21"/>
      <c r="AN211" s="7">
        <f t="shared" si="44"/>
        <v>2598.6890226543733</v>
      </c>
      <c r="AP211" s="21">
        <f t="shared" si="45"/>
        <v>3148.4275705207183</v>
      </c>
    </row>
    <row r="212" spans="2:42" ht="12.75">
      <c r="B212" s="4" t="s">
        <v>136</v>
      </c>
      <c r="D212" s="4" t="s">
        <v>34</v>
      </c>
      <c r="F212" s="7">
        <f t="shared" si="46"/>
        <v>110377.49752854198</v>
      </c>
      <c r="H212" s="7">
        <f t="shared" si="47"/>
        <v>87337.5300548525</v>
      </c>
      <c r="J212" s="7">
        <f t="shared" si="48"/>
        <v>85197.52618575728</v>
      </c>
      <c r="L212" s="7"/>
      <c r="M212" s="16"/>
      <c r="N212" s="7"/>
      <c r="P212" s="7"/>
      <c r="Q212" s="7"/>
      <c r="R212" s="7">
        <f t="shared" si="41"/>
        <v>110377.49752854198</v>
      </c>
      <c r="S212" s="7"/>
      <c r="T212" s="7">
        <f t="shared" si="41"/>
        <v>87337.5300548525</v>
      </c>
      <c r="U212" s="7"/>
      <c r="V212" s="7">
        <f t="shared" si="41"/>
        <v>85197.52618575728</v>
      </c>
      <c r="X212" s="7">
        <f t="shared" si="49"/>
        <v>253393.50239079265</v>
      </c>
      <c r="Y212" s="16"/>
      <c r="Z212" s="7">
        <f t="shared" si="50"/>
        <v>97699.60989186894</v>
      </c>
      <c r="AB212" s="7">
        <f t="shared" si="51"/>
        <v>79605.41056738712</v>
      </c>
      <c r="AD212" s="7">
        <f t="shared" si="52"/>
        <v>0</v>
      </c>
      <c r="AE212" s="16"/>
      <c r="AF212" s="7">
        <f t="shared" si="53"/>
        <v>0</v>
      </c>
      <c r="AH212" s="7">
        <f t="shared" si="54"/>
        <v>0</v>
      </c>
      <c r="AJ212" s="7">
        <f t="shared" si="42"/>
        <v>363770.99991933466</v>
      </c>
      <c r="AK212" s="21"/>
      <c r="AL212" s="7">
        <f t="shared" si="43"/>
        <v>185037.13994672144</v>
      </c>
      <c r="AM212" s="21"/>
      <c r="AN212" s="7">
        <f t="shared" si="44"/>
        <v>164802.9367531444</v>
      </c>
      <c r="AP212" s="21">
        <f t="shared" si="45"/>
        <v>237870.35887306684</v>
      </c>
    </row>
    <row r="213" spans="2:42" ht="12.75">
      <c r="B213" s="4" t="s">
        <v>35</v>
      </c>
      <c r="D213" s="4" t="s">
        <v>34</v>
      </c>
      <c r="F213" s="7">
        <f t="shared" si="46"/>
        <v>48324.771767424376</v>
      </c>
      <c r="H213" s="7">
        <f t="shared" si="47"/>
        <v>35823.190293685264</v>
      </c>
      <c r="J213" s="7">
        <f t="shared" si="48"/>
        <v>35361.90758675255</v>
      </c>
      <c r="L213" s="7"/>
      <c r="M213" s="16"/>
      <c r="N213" s="7"/>
      <c r="P213" s="7"/>
      <c r="Q213" s="7"/>
      <c r="R213" s="7">
        <f t="shared" si="41"/>
        <v>48324.771767424376</v>
      </c>
      <c r="S213" s="7"/>
      <c r="T213" s="7">
        <f t="shared" si="41"/>
        <v>35823.190293685264</v>
      </c>
      <c r="U213" s="7"/>
      <c r="V213" s="7">
        <f t="shared" si="41"/>
        <v>35361.90758675255</v>
      </c>
      <c r="X213" s="7">
        <f t="shared" si="49"/>
        <v>21561.195753783293</v>
      </c>
      <c r="Y213" s="16"/>
      <c r="Z213" s="7">
        <f t="shared" si="50"/>
        <v>20724.159674032802</v>
      </c>
      <c r="AB213" s="7">
        <f t="shared" si="51"/>
        <v>22039.5144959295</v>
      </c>
      <c r="AD213" s="7">
        <f t="shared" si="52"/>
        <v>0</v>
      </c>
      <c r="AE213" s="16"/>
      <c r="AF213" s="7">
        <f t="shared" si="53"/>
        <v>0</v>
      </c>
      <c r="AH213" s="7">
        <f t="shared" si="54"/>
        <v>0</v>
      </c>
      <c r="AJ213" s="7">
        <f t="shared" si="42"/>
        <v>69885.96752120767</v>
      </c>
      <c r="AK213" s="21"/>
      <c r="AL213" s="7">
        <f t="shared" si="43"/>
        <v>56547.349967718066</v>
      </c>
      <c r="AM213" s="21"/>
      <c r="AN213" s="7">
        <f t="shared" si="44"/>
        <v>57401.42208268205</v>
      </c>
      <c r="AP213" s="21">
        <f t="shared" si="45"/>
        <v>61278.24652386926</v>
      </c>
    </row>
    <row r="214" spans="2:42" ht="12.75">
      <c r="B214" s="4" t="s">
        <v>36</v>
      </c>
      <c r="D214" s="4" t="s">
        <v>34</v>
      </c>
      <c r="F214" s="7">
        <f t="shared" si="46"/>
        <v>6666.1678614908</v>
      </c>
      <c r="H214" s="7">
        <f t="shared" si="47"/>
        <v>4996.002778561479</v>
      </c>
      <c r="J214" s="7">
        <f t="shared" si="48"/>
        <v>4983.5618599004765</v>
      </c>
      <c r="L214" s="7"/>
      <c r="M214" s="16"/>
      <c r="N214" s="7"/>
      <c r="P214" s="7"/>
      <c r="Q214" s="7"/>
      <c r="R214" s="7">
        <f t="shared" si="41"/>
        <v>6666.1678614908</v>
      </c>
      <c r="S214" s="7"/>
      <c r="T214" s="7">
        <f t="shared" si="41"/>
        <v>4996.002778561479</v>
      </c>
      <c r="U214" s="7"/>
      <c r="V214" s="7">
        <f t="shared" si="41"/>
        <v>4983.5618599004765</v>
      </c>
      <c r="X214" s="7">
        <f t="shared" si="49"/>
        <v>36396.88090546905</v>
      </c>
      <c r="Y214" s="16"/>
      <c r="Z214" s="7">
        <f t="shared" si="50"/>
        <v>29050.830971635267</v>
      </c>
      <c r="AB214" s="7">
        <f t="shared" si="51"/>
        <v>26644.786181646105</v>
      </c>
      <c r="AD214" s="7">
        <f t="shared" si="52"/>
        <v>55386.557899626794</v>
      </c>
      <c r="AE214" s="16"/>
      <c r="AF214" s="7">
        <f t="shared" si="53"/>
        <v>51810.399185081995</v>
      </c>
      <c r="AH214" s="7">
        <f t="shared" si="54"/>
        <v>46217.190845941695</v>
      </c>
      <c r="AJ214" s="7">
        <f t="shared" si="42"/>
        <v>98449.60666658665</v>
      </c>
      <c r="AK214" s="21"/>
      <c r="AL214" s="7">
        <f t="shared" si="43"/>
        <v>85857.23293527873</v>
      </c>
      <c r="AM214" s="21"/>
      <c r="AN214" s="7">
        <f t="shared" si="44"/>
        <v>77845.53888748828</v>
      </c>
      <c r="AP214" s="21">
        <f t="shared" si="45"/>
        <v>87384.1261631179</v>
      </c>
    </row>
    <row r="217" spans="1:42" ht="12.75">
      <c r="A217" s="14" t="s">
        <v>61</v>
      </c>
      <c r="B217" s="17" t="s">
        <v>173</v>
      </c>
      <c r="C217" s="4" t="s">
        <v>157</v>
      </c>
      <c r="F217" s="16" t="s">
        <v>181</v>
      </c>
      <c r="H217" s="16" t="s">
        <v>182</v>
      </c>
      <c r="I217" s="16"/>
      <c r="J217" s="16" t="s">
        <v>183</v>
      </c>
      <c r="K217" s="19"/>
      <c r="L217" s="16" t="s">
        <v>181</v>
      </c>
      <c r="M217" s="16"/>
      <c r="N217" s="16" t="s">
        <v>182</v>
      </c>
      <c r="O217" s="16"/>
      <c r="P217" s="16" t="s">
        <v>183</v>
      </c>
      <c r="Q217" s="16"/>
      <c r="R217" s="16" t="s">
        <v>181</v>
      </c>
      <c r="S217" s="16"/>
      <c r="T217" s="16" t="s">
        <v>182</v>
      </c>
      <c r="U217" s="16"/>
      <c r="V217" s="16" t="s">
        <v>183</v>
      </c>
      <c r="W217" s="19"/>
      <c r="X217" s="16" t="s">
        <v>181</v>
      </c>
      <c r="Y217" s="16"/>
      <c r="Z217" s="16" t="s">
        <v>182</v>
      </c>
      <c r="AA217" s="16"/>
      <c r="AB217" s="16" t="s">
        <v>183</v>
      </c>
      <c r="AC217" s="17"/>
      <c r="AD217" s="16" t="s">
        <v>181</v>
      </c>
      <c r="AE217" s="16"/>
      <c r="AF217" s="16" t="s">
        <v>182</v>
      </c>
      <c r="AG217" s="16"/>
      <c r="AH217" s="16" t="s">
        <v>183</v>
      </c>
      <c r="AI217" s="17"/>
      <c r="AJ217" s="16" t="s">
        <v>181</v>
      </c>
      <c r="AK217" s="16"/>
      <c r="AL217" s="16" t="s">
        <v>182</v>
      </c>
      <c r="AM217" s="16"/>
      <c r="AN217" s="16" t="s">
        <v>183</v>
      </c>
      <c r="AP217" s="16" t="s">
        <v>180</v>
      </c>
    </row>
    <row r="218" spans="1:7" ht="12.75">
      <c r="A218" s="13"/>
      <c r="F218" s="14"/>
      <c r="G218" s="14"/>
    </row>
    <row r="219" spans="1:42" ht="12.75">
      <c r="A219" s="13"/>
      <c r="B219" s="4" t="s">
        <v>240</v>
      </c>
      <c r="F219" s="14" t="s">
        <v>270</v>
      </c>
      <c r="G219" s="14"/>
      <c r="H219" s="14" t="s">
        <v>270</v>
      </c>
      <c r="J219" s="14" t="s">
        <v>270</v>
      </c>
      <c r="L219" s="14" t="s">
        <v>272</v>
      </c>
      <c r="N219" s="14" t="s">
        <v>272</v>
      </c>
      <c r="P219" s="14" t="s">
        <v>272</v>
      </c>
      <c r="X219" s="14" t="s">
        <v>274</v>
      </c>
      <c r="Z219" s="14" t="s">
        <v>274</v>
      </c>
      <c r="AB219" s="14" t="s">
        <v>274</v>
      </c>
      <c r="AD219" s="14" t="s">
        <v>275</v>
      </c>
      <c r="AF219" s="14" t="s">
        <v>275</v>
      </c>
      <c r="AH219" s="14" t="s">
        <v>275</v>
      </c>
      <c r="AJ219" s="14" t="s">
        <v>276</v>
      </c>
      <c r="AL219" s="14" t="s">
        <v>276</v>
      </c>
      <c r="AN219" s="14" t="s">
        <v>276</v>
      </c>
      <c r="AP219" s="14" t="s">
        <v>276</v>
      </c>
    </row>
    <row r="220" spans="1:42" ht="12.75">
      <c r="A220" s="13"/>
      <c r="B220" s="4" t="s">
        <v>241</v>
      </c>
      <c r="F220" s="14" t="s">
        <v>269</v>
      </c>
      <c r="G220" s="14"/>
      <c r="H220" s="14" t="s">
        <v>269</v>
      </c>
      <c r="J220" s="14" t="s">
        <v>269</v>
      </c>
      <c r="L220" s="14" t="s">
        <v>271</v>
      </c>
      <c r="N220" s="14" t="s">
        <v>271</v>
      </c>
      <c r="P220" s="14" t="s">
        <v>271</v>
      </c>
      <c r="X220" s="14" t="s">
        <v>273</v>
      </c>
      <c r="Z220" s="14" t="s">
        <v>273</v>
      </c>
      <c r="AB220" s="14" t="s">
        <v>273</v>
      </c>
      <c r="AD220" s="14" t="s">
        <v>33</v>
      </c>
      <c r="AF220" s="14" t="s">
        <v>33</v>
      </c>
      <c r="AH220" s="14" t="s">
        <v>33</v>
      </c>
      <c r="AJ220" s="14" t="s">
        <v>66</v>
      </c>
      <c r="AL220" s="14" t="s">
        <v>66</v>
      </c>
      <c r="AN220" s="14" t="s">
        <v>66</v>
      </c>
      <c r="AP220" s="14" t="s">
        <v>66</v>
      </c>
    </row>
    <row r="221" spans="1:42" ht="12.75">
      <c r="A221" s="13"/>
      <c r="B221" s="4" t="s">
        <v>278</v>
      </c>
      <c r="F221" s="14"/>
      <c r="G221" s="14"/>
      <c r="R221" s="14" t="s">
        <v>40</v>
      </c>
      <c r="T221" s="14" t="s">
        <v>40</v>
      </c>
      <c r="V221" s="14" t="s">
        <v>40</v>
      </c>
      <c r="X221" s="14" t="s">
        <v>279</v>
      </c>
      <c r="Z221" s="14" t="s">
        <v>279</v>
      </c>
      <c r="AB221" s="14" t="s">
        <v>279</v>
      </c>
      <c r="AD221" s="14" t="s">
        <v>33</v>
      </c>
      <c r="AF221" s="14" t="s">
        <v>33</v>
      </c>
      <c r="AH221" s="14" t="s">
        <v>33</v>
      </c>
      <c r="AJ221" s="14" t="s">
        <v>66</v>
      </c>
      <c r="AL221" s="14" t="s">
        <v>66</v>
      </c>
      <c r="AN221" s="14" t="s">
        <v>66</v>
      </c>
      <c r="AP221" s="14" t="s">
        <v>66</v>
      </c>
    </row>
    <row r="222" spans="2:42" ht="12.75">
      <c r="B222" s="4" t="s">
        <v>20</v>
      </c>
      <c r="C222" s="17"/>
      <c r="D222" s="39"/>
      <c r="F222" s="113" t="s">
        <v>140</v>
      </c>
      <c r="H222" s="113" t="s">
        <v>140</v>
      </c>
      <c r="J222" s="113" t="s">
        <v>140</v>
      </c>
      <c r="L222" s="113" t="s">
        <v>141</v>
      </c>
      <c r="M222" s="16"/>
      <c r="N222" s="113" t="s">
        <v>141</v>
      </c>
      <c r="P222" s="113" t="s">
        <v>141</v>
      </c>
      <c r="Q222" s="113"/>
      <c r="R222" s="113"/>
      <c r="S222" s="113"/>
      <c r="T222" s="113"/>
      <c r="U222" s="113"/>
      <c r="V222" s="113"/>
      <c r="X222" s="97" t="s">
        <v>142</v>
      </c>
      <c r="Y222" s="97"/>
      <c r="Z222" s="97" t="s">
        <v>142</v>
      </c>
      <c r="AA222" s="97"/>
      <c r="AB222" s="97" t="s">
        <v>142</v>
      </c>
      <c r="AC222" s="97"/>
      <c r="AD222" s="97" t="s">
        <v>33</v>
      </c>
      <c r="AE222" s="97"/>
      <c r="AF222" s="97" t="s">
        <v>33</v>
      </c>
      <c r="AG222" s="97"/>
      <c r="AH222" s="97" t="s">
        <v>33</v>
      </c>
      <c r="AI222" s="97"/>
      <c r="AJ222" s="97" t="s">
        <v>66</v>
      </c>
      <c r="AK222" s="97"/>
      <c r="AL222" s="97" t="s">
        <v>66</v>
      </c>
      <c r="AM222" s="97"/>
      <c r="AN222" s="97" t="s">
        <v>66</v>
      </c>
      <c r="AP222" s="16" t="s">
        <v>66</v>
      </c>
    </row>
    <row r="223" spans="2:42" ht="12.75">
      <c r="B223" s="4" t="s">
        <v>65</v>
      </c>
      <c r="D223" s="4" t="s">
        <v>139</v>
      </c>
      <c r="F223" s="19">
        <f>10.2*60</f>
        <v>612</v>
      </c>
      <c r="H223" s="19">
        <f>9.53*60</f>
        <v>571.8</v>
      </c>
      <c r="J223" s="19">
        <f>10.27*60</f>
        <v>616.1999999999999</v>
      </c>
      <c r="L223" s="19"/>
      <c r="M223" s="16"/>
      <c r="N223" s="19"/>
      <c r="P223" s="19"/>
      <c r="Q223" s="19"/>
      <c r="R223" s="19"/>
      <c r="S223" s="19"/>
      <c r="T223" s="19"/>
      <c r="U223" s="19"/>
      <c r="V223" s="19"/>
      <c r="X223" s="19"/>
      <c r="Y223" s="16"/>
      <c r="Z223" s="19"/>
      <c r="AB223" s="19"/>
      <c r="AC223" s="4"/>
      <c r="AD223" s="19"/>
      <c r="AE223" s="16"/>
      <c r="AJ223" s="5"/>
      <c r="AK223" s="16"/>
      <c r="AL223" s="5"/>
      <c r="AM223" s="19"/>
      <c r="AN223" s="5"/>
      <c r="AP223" s="18"/>
    </row>
    <row r="224" spans="2:42" ht="12.75">
      <c r="B224" s="4" t="s">
        <v>143</v>
      </c>
      <c r="D224" s="4" t="s">
        <v>144</v>
      </c>
      <c r="F224" s="19">
        <v>0.899</v>
      </c>
      <c r="H224" s="14">
        <v>0.911</v>
      </c>
      <c r="J224" s="14">
        <v>0.911</v>
      </c>
      <c r="L224" s="19"/>
      <c r="M224" s="16"/>
      <c r="X224" s="19"/>
      <c r="Y224" s="16"/>
      <c r="AC224" s="4"/>
      <c r="AD224" s="19"/>
      <c r="AE224" s="16"/>
      <c r="AJ224" s="5"/>
      <c r="AK224" s="16"/>
      <c r="AL224" s="5"/>
      <c r="AM224" s="19"/>
      <c r="AN224" s="5"/>
      <c r="AP224" s="18"/>
    </row>
    <row r="225" spans="2:42" ht="12.75">
      <c r="B225" s="4" t="s">
        <v>65</v>
      </c>
      <c r="D225" s="4" t="s">
        <v>28</v>
      </c>
      <c r="F225" s="7">
        <f>F224*8.32*F223</f>
        <v>4577.56416</v>
      </c>
      <c r="H225" s="7">
        <f>H224*8.32*H223</f>
        <v>4333.969536</v>
      </c>
      <c r="J225" s="7">
        <f>J224*8.32*J223</f>
        <v>4670.500223999999</v>
      </c>
      <c r="L225" s="7"/>
      <c r="M225" s="16"/>
      <c r="N225" s="7"/>
      <c r="P225" s="7"/>
      <c r="Q225" s="7"/>
      <c r="R225" s="7"/>
      <c r="S225" s="7"/>
      <c r="T225" s="7"/>
      <c r="U225" s="7"/>
      <c r="V225" s="7"/>
      <c r="X225" s="19">
        <f>21.98*2000</f>
        <v>43960</v>
      </c>
      <c r="Y225" s="16"/>
      <c r="Z225" s="19">
        <f>22.02*2000</f>
        <v>44040</v>
      </c>
      <c r="AB225" s="19">
        <f>21.57*2000</f>
        <v>43140</v>
      </c>
      <c r="AC225" s="4"/>
      <c r="AD225" s="19"/>
      <c r="AE225" s="16"/>
      <c r="AJ225" s="7">
        <f>F225+L225+X225+AD225</f>
        <v>48537.56416</v>
      </c>
      <c r="AK225" s="16"/>
      <c r="AL225" s="7">
        <f>H225+N225+Z225+AF225</f>
        <v>48373.969536</v>
      </c>
      <c r="AM225" s="19"/>
      <c r="AN225" s="7">
        <f>J225+P225+AB225+AH225</f>
        <v>47810.500224</v>
      </c>
      <c r="AP225" s="18"/>
    </row>
    <row r="226" spans="2:40" ht="12.75">
      <c r="B226" s="4" t="s">
        <v>21</v>
      </c>
      <c r="D226" s="4" t="s">
        <v>22</v>
      </c>
      <c r="F226" s="19">
        <v>11000</v>
      </c>
      <c r="H226" s="19">
        <v>11000</v>
      </c>
      <c r="J226" s="19">
        <v>11000</v>
      </c>
      <c r="L226" s="19"/>
      <c r="M226" s="16"/>
      <c r="X226" s="19"/>
      <c r="Y226" s="16"/>
      <c r="AC226" s="4"/>
      <c r="AD226" s="19"/>
      <c r="AE226" s="16"/>
      <c r="AJ226" s="7"/>
      <c r="AK226" s="16"/>
      <c r="AL226" s="7"/>
      <c r="AM226" s="19"/>
      <c r="AN226" s="7"/>
    </row>
    <row r="227" spans="12:40" ht="12.75">
      <c r="L227" s="19"/>
      <c r="M227" s="16"/>
      <c r="X227" s="6"/>
      <c r="Y227" s="16"/>
      <c r="AC227" s="4"/>
      <c r="AD227" s="6"/>
      <c r="AE227" s="16"/>
      <c r="AJ227" s="72"/>
      <c r="AK227" s="114"/>
      <c r="AL227" s="72"/>
      <c r="AM227" s="40"/>
      <c r="AN227" s="72"/>
    </row>
    <row r="228" spans="2:42" ht="12.75">
      <c r="B228" s="4" t="s">
        <v>23</v>
      </c>
      <c r="D228" s="4" t="s">
        <v>18</v>
      </c>
      <c r="E228" s="16"/>
      <c r="F228" s="6">
        <v>1.2</v>
      </c>
      <c r="H228" s="14">
        <v>0.54</v>
      </c>
      <c r="I228" s="5"/>
      <c r="J228" s="14">
        <v>1.6</v>
      </c>
      <c r="K228" s="19"/>
      <c r="L228" s="5"/>
      <c r="M228" s="16"/>
      <c r="O228" s="5"/>
      <c r="W228" s="19"/>
      <c r="X228" s="19"/>
      <c r="Y228" s="16"/>
      <c r="AA228" s="5"/>
      <c r="AC228" s="4"/>
      <c r="AD228" s="19"/>
      <c r="AE228" s="16"/>
      <c r="AG228" s="5"/>
      <c r="AJ228" s="62"/>
      <c r="AK228" s="114"/>
      <c r="AL228" s="62"/>
      <c r="AM228" s="40"/>
      <c r="AN228" s="62"/>
      <c r="AO228" s="115"/>
      <c r="AP228" s="116"/>
    </row>
    <row r="229" spans="2:42" ht="12.75">
      <c r="B229" s="4" t="s">
        <v>24</v>
      </c>
      <c r="D229" s="4" t="s">
        <v>28</v>
      </c>
      <c r="E229" s="16"/>
      <c r="F229" s="19">
        <v>68.9</v>
      </c>
      <c r="H229" s="14">
        <v>47.8</v>
      </c>
      <c r="I229" s="5"/>
      <c r="J229" s="14">
        <v>74.9</v>
      </c>
      <c r="L229" s="19"/>
      <c r="M229" s="16"/>
      <c r="O229" s="5"/>
      <c r="X229" s="6">
        <v>0.7</v>
      </c>
      <c r="Y229" s="117"/>
      <c r="Z229" s="60">
        <v>0.2</v>
      </c>
      <c r="AA229" s="6"/>
      <c r="AB229" s="60">
        <v>2.3</v>
      </c>
      <c r="AC229" s="4"/>
      <c r="AD229" s="19"/>
      <c r="AE229" s="16"/>
      <c r="AF229" s="19"/>
      <c r="AG229" s="5"/>
      <c r="AH229" s="19"/>
      <c r="AJ229" s="5">
        <f>F229+L229+X229+AD229</f>
        <v>69.60000000000001</v>
      </c>
      <c r="AK229" s="114"/>
      <c r="AL229" s="5">
        <f>H229+N229+Z229+AF229</f>
        <v>48</v>
      </c>
      <c r="AM229" s="40"/>
      <c r="AN229" s="5">
        <f>J229+P229+AB229+AH229</f>
        <v>77.2</v>
      </c>
      <c r="AO229" s="115"/>
      <c r="AP229" s="127">
        <f>AVERAGE(AJ229,AL229,AN229)</f>
        <v>64.93333333333334</v>
      </c>
    </row>
    <row r="230" spans="5:42" ht="12.75">
      <c r="E230" s="16"/>
      <c r="I230" s="5"/>
      <c r="L230" s="19"/>
      <c r="M230" s="16"/>
      <c r="O230" s="5"/>
      <c r="X230" s="6"/>
      <c r="Y230" s="117"/>
      <c r="Z230" s="60"/>
      <c r="AA230" s="6"/>
      <c r="AB230" s="60"/>
      <c r="AC230" s="4"/>
      <c r="AD230" s="19"/>
      <c r="AE230" s="16"/>
      <c r="AF230" s="19"/>
      <c r="AG230" s="5"/>
      <c r="AH230" s="19"/>
      <c r="AJ230" s="5"/>
      <c r="AK230" s="114"/>
      <c r="AL230" s="5"/>
      <c r="AM230" s="40"/>
      <c r="AN230" s="5"/>
      <c r="AO230" s="115"/>
      <c r="AP230" s="115"/>
    </row>
    <row r="231" spans="2:42" ht="12.75">
      <c r="B231" s="4" t="s">
        <v>123</v>
      </c>
      <c r="D231" s="4" t="s">
        <v>28</v>
      </c>
      <c r="E231" s="16"/>
      <c r="F231" s="68">
        <v>0.055</v>
      </c>
      <c r="G231" s="122"/>
      <c r="H231" s="68">
        <v>0.043</v>
      </c>
      <c r="I231" s="68"/>
      <c r="J231" s="68">
        <v>0.047</v>
      </c>
      <c r="L231" s="68"/>
      <c r="M231" s="16"/>
      <c r="N231" s="68"/>
      <c r="O231" s="5"/>
      <c r="P231" s="68"/>
      <c r="Q231" s="68"/>
      <c r="R231" s="68"/>
      <c r="S231" s="68"/>
      <c r="T231" s="68"/>
      <c r="U231" s="68"/>
      <c r="V231" s="68"/>
      <c r="X231" s="68">
        <v>0.615</v>
      </c>
      <c r="Y231" s="117"/>
      <c r="Z231" s="68">
        <v>0.528</v>
      </c>
      <c r="AA231" s="6"/>
      <c r="AB231" s="68">
        <v>0.302</v>
      </c>
      <c r="AC231" s="4"/>
      <c r="AD231" s="19"/>
      <c r="AE231" s="16"/>
      <c r="AF231" s="19"/>
      <c r="AG231" s="5"/>
      <c r="AH231" s="19"/>
      <c r="AJ231" s="6">
        <f>F231+L231+X231+AD231</f>
        <v>0.67</v>
      </c>
      <c r="AK231" s="119"/>
      <c r="AL231" s="6">
        <f>H231+N231+Z231+AF231</f>
        <v>0.5710000000000001</v>
      </c>
      <c r="AM231" s="62"/>
      <c r="AN231" s="6">
        <f>J231+P231+AB231+AH231</f>
        <v>0.349</v>
      </c>
      <c r="AO231" s="115"/>
      <c r="AP231" s="115"/>
    </row>
    <row r="232" spans="2:42" ht="12.75">
      <c r="B232" s="4" t="s">
        <v>124</v>
      </c>
      <c r="D232" s="4" t="s">
        <v>28</v>
      </c>
      <c r="E232" s="16"/>
      <c r="F232" s="68">
        <v>0.138</v>
      </c>
      <c r="G232" s="122"/>
      <c r="H232" s="68">
        <v>0.139</v>
      </c>
      <c r="I232" s="68"/>
      <c r="J232" s="68">
        <v>0.15</v>
      </c>
      <c r="L232" s="68"/>
      <c r="M232" s="16"/>
      <c r="N232" s="68"/>
      <c r="O232" s="5"/>
      <c r="P232" s="68"/>
      <c r="Q232" s="68"/>
      <c r="R232" s="68"/>
      <c r="S232" s="68"/>
      <c r="T232" s="68"/>
      <c r="U232" s="68"/>
      <c r="V232" s="68"/>
      <c r="X232" s="68">
        <v>0.04</v>
      </c>
      <c r="Y232" s="117"/>
      <c r="Z232" s="68">
        <v>0.04</v>
      </c>
      <c r="AA232" s="6"/>
      <c r="AB232" s="68">
        <v>0.04</v>
      </c>
      <c r="AC232" s="4"/>
      <c r="AD232" s="19"/>
      <c r="AE232" s="16"/>
      <c r="AF232" s="19"/>
      <c r="AG232" s="5"/>
      <c r="AH232" s="19"/>
      <c r="AJ232" s="6">
        <f aca="true" t="shared" si="55" ref="AJ232:AJ244">F232+L232+X232+AD232</f>
        <v>0.17800000000000002</v>
      </c>
      <c r="AK232" s="119"/>
      <c r="AL232" s="6">
        <f aca="true" t="shared" si="56" ref="AL232:AL244">H232+N232+Z232+AF232</f>
        <v>0.17900000000000002</v>
      </c>
      <c r="AM232" s="62"/>
      <c r="AN232" s="6">
        <f aca="true" t="shared" si="57" ref="AN232:AN244">J232+P232+AB232+AH232</f>
        <v>0.19</v>
      </c>
      <c r="AO232" s="115"/>
      <c r="AP232" s="115"/>
    </row>
    <row r="233" spans="2:42" ht="12.75">
      <c r="B233" s="4" t="s">
        <v>125</v>
      </c>
      <c r="D233" s="4" t="s">
        <v>28</v>
      </c>
      <c r="E233" s="16"/>
      <c r="F233" s="6">
        <v>0.6</v>
      </c>
      <c r="G233" s="117"/>
      <c r="H233" s="6">
        <v>0.56</v>
      </c>
      <c r="I233" s="6"/>
      <c r="J233" s="6">
        <v>0.66</v>
      </c>
      <c r="L233" s="6"/>
      <c r="M233" s="16"/>
      <c r="N233" s="6"/>
      <c r="O233" s="5"/>
      <c r="P233" s="6"/>
      <c r="Q233" s="6"/>
      <c r="R233" s="6"/>
      <c r="S233" s="6"/>
      <c r="T233" s="6"/>
      <c r="U233" s="6"/>
      <c r="V233" s="6"/>
      <c r="X233" s="6">
        <v>15.83</v>
      </c>
      <c r="Y233" s="117"/>
      <c r="Z233" s="6">
        <v>14.09</v>
      </c>
      <c r="AA233" s="6"/>
      <c r="AB233" s="6">
        <v>12.08</v>
      </c>
      <c r="AC233" s="4"/>
      <c r="AD233" s="19"/>
      <c r="AE233" s="16"/>
      <c r="AF233" s="19"/>
      <c r="AG233" s="5"/>
      <c r="AH233" s="19"/>
      <c r="AJ233" s="6">
        <f t="shared" si="55"/>
        <v>16.43</v>
      </c>
      <c r="AK233" s="119"/>
      <c r="AL233" s="6">
        <f t="shared" si="56"/>
        <v>14.65</v>
      </c>
      <c r="AM233" s="62"/>
      <c r="AN233" s="6">
        <f t="shared" si="57"/>
        <v>12.74</v>
      </c>
      <c r="AO233" s="115"/>
      <c r="AP233" s="115"/>
    </row>
    <row r="234" spans="2:42" ht="12.75">
      <c r="B234" s="4" t="s">
        <v>126</v>
      </c>
      <c r="D234" s="4" t="s">
        <v>28</v>
      </c>
      <c r="E234" s="16"/>
      <c r="F234" s="68">
        <v>0.006</v>
      </c>
      <c r="G234" s="122"/>
      <c r="H234" s="68">
        <v>0.004</v>
      </c>
      <c r="I234" s="68"/>
      <c r="J234" s="68">
        <v>0.005</v>
      </c>
      <c r="L234" s="68"/>
      <c r="M234" s="16"/>
      <c r="N234" s="68"/>
      <c r="O234" s="5"/>
      <c r="P234" s="68"/>
      <c r="Q234" s="68"/>
      <c r="R234" s="68"/>
      <c r="S234" s="68"/>
      <c r="T234" s="68"/>
      <c r="U234" s="68"/>
      <c r="V234" s="68"/>
      <c r="X234" s="68">
        <v>0.053</v>
      </c>
      <c r="Y234" s="117"/>
      <c r="Z234" s="68">
        <v>0.048</v>
      </c>
      <c r="AA234" s="6"/>
      <c r="AB234" s="68">
        <v>0.043</v>
      </c>
      <c r="AC234" s="4"/>
      <c r="AD234" s="19"/>
      <c r="AE234" s="16"/>
      <c r="AF234" s="19"/>
      <c r="AG234" s="5"/>
      <c r="AH234" s="19"/>
      <c r="AJ234" s="6">
        <f t="shared" si="55"/>
        <v>0.059</v>
      </c>
      <c r="AK234" s="119"/>
      <c r="AL234" s="6">
        <f t="shared" si="56"/>
        <v>0.052000000000000005</v>
      </c>
      <c r="AM234" s="62"/>
      <c r="AN234" s="6">
        <f t="shared" si="57"/>
        <v>0.047999999999999994</v>
      </c>
      <c r="AO234" s="115"/>
      <c r="AP234" s="115"/>
    </row>
    <row r="235" spans="2:42" ht="12.75">
      <c r="B235" s="4" t="s">
        <v>127</v>
      </c>
      <c r="D235" s="4" t="s">
        <v>28</v>
      </c>
      <c r="E235" s="16"/>
      <c r="F235" s="68">
        <v>0.11</v>
      </c>
      <c r="G235" s="117"/>
      <c r="H235" s="68">
        <v>0.096</v>
      </c>
      <c r="I235" s="6"/>
      <c r="J235" s="68">
        <v>0.098</v>
      </c>
      <c r="L235" s="69"/>
      <c r="M235" s="16"/>
      <c r="N235" s="69"/>
      <c r="O235" s="5"/>
      <c r="P235" s="69"/>
      <c r="Q235" s="69"/>
      <c r="R235" s="69"/>
      <c r="S235" s="69"/>
      <c r="T235" s="69"/>
      <c r="U235" s="69"/>
      <c r="V235" s="69"/>
      <c r="X235" s="6">
        <v>0.02</v>
      </c>
      <c r="Y235" s="117"/>
      <c r="Z235" s="6">
        <v>0.02</v>
      </c>
      <c r="AA235" s="6"/>
      <c r="AB235" s="6">
        <v>0.02</v>
      </c>
      <c r="AC235" s="4"/>
      <c r="AD235" s="19"/>
      <c r="AE235" s="16"/>
      <c r="AF235" s="19"/>
      <c r="AG235" s="5"/>
      <c r="AH235" s="19"/>
      <c r="AJ235" s="6">
        <f t="shared" si="55"/>
        <v>0.13</v>
      </c>
      <c r="AK235" s="119"/>
      <c r="AL235" s="6">
        <f t="shared" si="56"/>
        <v>0.116</v>
      </c>
      <c r="AM235" s="62"/>
      <c r="AN235" s="6">
        <f t="shared" si="57"/>
        <v>0.11800000000000001</v>
      </c>
      <c r="AO235" s="115"/>
      <c r="AP235" s="115"/>
    </row>
    <row r="236" spans="2:42" ht="12.75">
      <c r="B236" s="4" t="s">
        <v>128</v>
      </c>
      <c r="D236" s="4" t="s">
        <v>28</v>
      </c>
      <c r="E236" s="16"/>
      <c r="F236" s="6">
        <v>0.22</v>
      </c>
      <c r="G236" s="117"/>
      <c r="H236" s="6">
        <v>0.213</v>
      </c>
      <c r="I236" s="6"/>
      <c r="J236" s="6">
        <v>0.244</v>
      </c>
      <c r="L236" s="68"/>
      <c r="M236" s="16"/>
      <c r="N236" s="68"/>
      <c r="O236" s="5"/>
      <c r="P236" s="68"/>
      <c r="Q236" s="68"/>
      <c r="R236" s="68"/>
      <c r="S236" s="68"/>
      <c r="T236" s="68"/>
      <c r="U236" s="68"/>
      <c r="V236" s="68"/>
      <c r="X236" s="68">
        <v>1.14</v>
      </c>
      <c r="Y236" s="117"/>
      <c r="Z236" s="68">
        <v>1.19</v>
      </c>
      <c r="AA236" s="6"/>
      <c r="AB236" s="68">
        <v>1.25</v>
      </c>
      <c r="AC236" s="4"/>
      <c r="AD236" s="19">
        <v>2.77</v>
      </c>
      <c r="AE236" s="16"/>
      <c r="AF236" s="19">
        <v>2.93</v>
      </c>
      <c r="AG236" s="5"/>
      <c r="AH236" s="19">
        <v>2.8</v>
      </c>
      <c r="AJ236" s="6">
        <f t="shared" si="55"/>
        <v>4.13</v>
      </c>
      <c r="AK236" s="119"/>
      <c r="AL236" s="6">
        <f t="shared" si="56"/>
        <v>4.333</v>
      </c>
      <c r="AM236" s="62"/>
      <c r="AN236" s="6">
        <f t="shared" si="57"/>
        <v>4.294</v>
      </c>
      <c r="AO236" s="115"/>
      <c r="AP236" s="115"/>
    </row>
    <row r="237" spans="2:42" ht="12.75">
      <c r="B237" s="4" t="s">
        <v>129</v>
      </c>
      <c r="D237" s="4" t="s">
        <v>28</v>
      </c>
      <c r="E237" s="16"/>
      <c r="F237" s="6">
        <v>1.88</v>
      </c>
      <c r="G237" s="117"/>
      <c r="H237" s="6">
        <v>1.91</v>
      </c>
      <c r="I237" s="6"/>
      <c r="J237" s="6">
        <v>2.01</v>
      </c>
      <c r="L237" s="6"/>
      <c r="M237" s="16"/>
      <c r="N237" s="6"/>
      <c r="O237" s="5"/>
      <c r="P237" s="6"/>
      <c r="Q237" s="6"/>
      <c r="R237" s="6"/>
      <c r="S237" s="6"/>
      <c r="T237" s="6"/>
      <c r="U237" s="6"/>
      <c r="V237" s="6"/>
      <c r="X237" s="6">
        <v>2.68</v>
      </c>
      <c r="Y237" s="117"/>
      <c r="Z237" s="6">
        <v>2.99</v>
      </c>
      <c r="AA237" s="6"/>
      <c r="AB237" s="6">
        <v>2.5</v>
      </c>
      <c r="AC237" s="4"/>
      <c r="AD237" s="19"/>
      <c r="AE237" s="16"/>
      <c r="AF237" s="19"/>
      <c r="AG237" s="5"/>
      <c r="AH237" s="19"/>
      <c r="AJ237" s="6">
        <f t="shared" si="55"/>
        <v>4.5600000000000005</v>
      </c>
      <c r="AK237" s="119"/>
      <c r="AL237" s="6">
        <f t="shared" si="56"/>
        <v>4.9</v>
      </c>
      <c r="AM237" s="62"/>
      <c r="AN237" s="6">
        <f t="shared" si="57"/>
        <v>4.51</v>
      </c>
      <c r="AO237" s="115"/>
      <c r="AP237" s="115"/>
    </row>
    <row r="238" spans="2:42" ht="12.75">
      <c r="B238" s="4" t="s">
        <v>130</v>
      </c>
      <c r="D238" s="4" t="s">
        <v>28</v>
      </c>
      <c r="E238" s="16"/>
      <c r="F238" s="6">
        <v>2.34</v>
      </c>
      <c r="G238" s="117"/>
      <c r="H238" s="6">
        <v>2.22</v>
      </c>
      <c r="I238" s="6"/>
      <c r="J238" s="6">
        <v>2.44</v>
      </c>
      <c r="L238" s="6"/>
      <c r="M238" s="16"/>
      <c r="N238" s="6"/>
      <c r="O238" s="5"/>
      <c r="P238" s="6"/>
      <c r="Q238" s="6"/>
      <c r="R238" s="6"/>
      <c r="S238" s="6"/>
      <c r="T238" s="6"/>
      <c r="U238" s="6"/>
      <c r="V238" s="6"/>
      <c r="X238" s="19">
        <v>1.06</v>
      </c>
      <c r="Y238" s="16"/>
      <c r="Z238" s="19">
        <v>1.1</v>
      </c>
      <c r="AA238" s="5"/>
      <c r="AB238" s="19">
        <v>1.25</v>
      </c>
      <c r="AC238" s="4"/>
      <c r="AD238" s="19"/>
      <c r="AE238" s="16"/>
      <c r="AF238" s="19"/>
      <c r="AG238" s="5"/>
      <c r="AH238" s="19"/>
      <c r="AJ238" s="6">
        <f t="shared" si="55"/>
        <v>3.4</v>
      </c>
      <c r="AK238" s="119"/>
      <c r="AL238" s="6">
        <f t="shared" si="56"/>
        <v>3.3200000000000003</v>
      </c>
      <c r="AM238" s="62"/>
      <c r="AN238" s="6">
        <f t="shared" si="57"/>
        <v>3.69</v>
      </c>
      <c r="AO238" s="115"/>
      <c r="AP238" s="115"/>
    </row>
    <row r="239" spans="2:42" ht="12.75">
      <c r="B239" s="4" t="s">
        <v>131</v>
      </c>
      <c r="D239" s="4" t="s">
        <v>28</v>
      </c>
      <c r="E239" s="16"/>
      <c r="F239" s="70">
        <v>0.0024</v>
      </c>
      <c r="G239" s="120"/>
      <c r="H239" s="70">
        <v>0.0017</v>
      </c>
      <c r="I239" s="70"/>
      <c r="J239" s="70">
        <v>0.0018</v>
      </c>
      <c r="L239" s="70"/>
      <c r="M239" s="120"/>
      <c r="N239" s="70"/>
      <c r="O239" s="70"/>
      <c r="P239" s="70"/>
      <c r="Q239" s="70"/>
      <c r="R239" s="70"/>
      <c r="S239" s="70"/>
      <c r="T239" s="70"/>
      <c r="U239" s="70"/>
      <c r="V239" s="70"/>
      <c r="X239" s="70">
        <v>0.0022</v>
      </c>
      <c r="Y239" s="117"/>
      <c r="Z239" s="70">
        <v>0.0018</v>
      </c>
      <c r="AA239" s="6"/>
      <c r="AB239" s="70">
        <v>0.0017</v>
      </c>
      <c r="AC239" s="4"/>
      <c r="AD239" s="19"/>
      <c r="AE239" s="16"/>
      <c r="AF239" s="19"/>
      <c r="AG239" s="5"/>
      <c r="AH239" s="19"/>
      <c r="AJ239" s="69">
        <f t="shared" si="55"/>
        <v>0.0046</v>
      </c>
      <c r="AK239" s="125"/>
      <c r="AL239" s="69">
        <f t="shared" si="56"/>
        <v>0.0034999999999999996</v>
      </c>
      <c r="AM239" s="71"/>
      <c r="AN239" s="69">
        <f t="shared" si="57"/>
        <v>0.0034999999999999996</v>
      </c>
      <c r="AO239" s="115"/>
      <c r="AP239" s="115"/>
    </row>
    <row r="240" spans="2:42" ht="12.75">
      <c r="B240" s="4" t="s">
        <v>132</v>
      </c>
      <c r="D240" s="4" t="s">
        <v>28</v>
      </c>
      <c r="E240" s="16"/>
      <c r="F240" s="6">
        <v>0.64</v>
      </c>
      <c r="G240" s="117"/>
      <c r="H240" s="6">
        <v>1</v>
      </c>
      <c r="I240" s="6"/>
      <c r="J240" s="6">
        <v>1.03</v>
      </c>
      <c r="L240" s="6"/>
      <c r="M240" s="16"/>
      <c r="N240" s="6"/>
      <c r="O240" s="5"/>
      <c r="P240" s="6"/>
      <c r="Q240" s="6"/>
      <c r="R240" s="6"/>
      <c r="S240" s="6"/>
      <c r="T240" s="6"/>
      <c r="U240" s="6"/>
      <c r="V240" s="6"/>
      <c r="X240" s="6">
        <v>1.85</v>
      </c>
      <c r="Y240" s="117"/>
      <c r="Z240" s="6">
        <v>1.85</v>
      </c>
      <c r="AA240" s="6"/>
      <c r="AB240" s="6">
        <v>1.9</v>
      </c>
      <c r="AC240" s="4"/>
      <c r="AD240" s="19"/>
      <c r="AE240" s="16"/>
      <c r="AF240" s="19"/>
      <c r="AG240" s="5"/>
      <c r="AH240" s="19"/>
      <c r="AJ240" s="6">
        <f t="shared" si="55"/>
        <v>2.49</v>
      </c>
      <c r="AK240" s="119"/>
      <c r="AL240" s="6">
        <f t="shared" si="56"/>
        <v>2.85</v>
      </c>
      <c r="AM240" s="62"/>
      <c r="AN240" s="6">
        <f t="shared" si="57"/>
        <v>2.9299999999999997</v>
      </c>
      <c r="AO240" s="115"/>
      <c r="AP240" s="115"/>
    </row>
    <row r="241" spans="2:42" ht="12.75">
      <c r="B241" s="4" t="s">
        <v>133</v>
      </c>
      <c r="D241" s="4" t="s">
        <v>28</v>
      </c>
      <c r="E241" s="16"/>
      <c r="F241" s="68">
        <v>0.09</v>
      </c>
      <c r="G241" s="117"/>
      <c r="H241" s="68">
        <v>0.09</v>
      </c>
      <c r="I241" s="6"/>
      <c r="J241" s="68">
        <v>0.09</v>
      </c>
      <c r="K241" s="16"/>
      <c r="L241" s="68"/>
      <c r="M241" s="16"/>
      <c r="N241" s="68"/>
      <c r="O241" s="5"/>
      <c r="P241" s="68"/>
      <c r="Q241" s="68"/>
      <c r="R241" s="68"/>
      <c r="S241" s="68"/>
      <c r="T241" s="68"/>
      <c r="U241" s="68"/>
      <c r="V241" s="68"/>
      <c r="W241" s="16"/>
      <c r="X241" s="68">
        <v>0.22</v>
      </c>
      <c r="Y241" s="16"/>
      <c r="Z241" s="68">
        <v>0.22</v>
      </c>
      <c r="AA241" s="5"/>
      <c r="AB241" s="68">
        <v>0.22</v>
      </c>
      <c r="AC241" s="4"/>
      <c r="AD241" s="19"/>
      <c r="AE241" s="16"/>
      <c r="AF241" s="19"/>
      <c r="AG241" s="5"/>
      <c r="AH241" s="19"/>
      <c r="AJ241" s="6">
        <f t="shared" si="55"/>
        <v>0.31</v>
      </c>
      <c r="AK241" s="119"/>
      <c r="AL241" s="6">
        <f t="shared" si="56"/>
        <v>0.31</v>
      </c>
      <c r="AM241" s="62"/>
      <c r="AN241" s="6">
        <f t="shared" si="57"/>
        <v>0.31</v>
      </c>
      <c r="AO241" s="115"/>
      <c r="AP241" s="115"/>
    </row>
    <row r="242" spans="2:42" ht="12.75">
      <c r="B242" s="4" t="s">
        <v>134</v>
      </c>
      <c r="D242" s="4" t="s">
        <v>28</v>
      </c>
      <c r="E242" s="16"/>
      <c r="F242" s="68">
        <v>0.078</v>
      </c>
      <c r="G242" s="117"/>
      <c r="H242" s="68">
        <v>0.0695</v>
      </c>
      <c r="I242" s="6"/>
      <c r="J242" s="68">
        <v>0.0796</v>
      </c>
      <c r="L242" s="70"/>
      <c r="M242" s="16"/>
      <c r="N242" s="70"/>
      <c r="O242" s="5"/>
      <c r="P242" s="70"/>
      <c r="Q242" s="70"/>
      <c r="R242" s="70"/>
      <c r="S242" s="70"/>
      <c r="T242" s="70"/>
      <c r="U242" s="70"/>
      <c r="V242" s="70"/>
      <c r="X242" s="6">
        <v>0.02</v>
      </c>
      <c r="Y242" s="117"/>
      <c r="Z242" s="6">
        <v>0.02</v>
      </c>
      <c r="AA242" s="6"/>
      <c r="AB242" s="6">
        <v>0.02</v>
      </c>
      <c r="AC242" s="4"/>
      <c r="AD242" s="19"/>
      <c r="AE242" s="16"/>
      <c r="AF242" s="19"/>
      <c r="AG242" s="5"/>
      <c r="AH242" s="19"/>
      <c r="AJ242" s="6">
        <f t="shared" si="55"/>
        <v>0.098</v>
      </c>
      <c r="AK242" s="119"/>
      <c r="AL242" s="6">
        <f t="shared" si="56"/>
        <v>0.08950000000000001</v>
      </c>
      <c r="AM242" s="62"/>
      <c r="AN242" s="6">
        <f t="shared" si="57"/>
        <v>0.09960000000000001</v>
      </c>
      <c r="AO242" s="115"/>
      <c r="AP242" s="115"/>
    </row>
    <row r="243" spans="2:42" ht="12.75">
      <c r="B243" s="4" t="s">
        <v>135</v>
      </c>
      <c r="D243" s="4" t="s">
        <v>28</v>
      </c>
      <c r="E243" s="16"/>
      <c r="F243" s="68">
        <v>0.17</v>
      </c>
      <c r="G243" s="117"/>
      <c r="H243" s="68">
        <v>0.156</v>
      </c>
      <c r="I243" s="6"/>
      <c r="J243" s="68">
        <v>0.169</v>
      </c>
      <c r="L243" s="68"/>
      <c r="M243" s="16"/>
      <c r="N243" s="68"/>
      <c r="O243" s="5"/>
      <c r="P243" s="68"/>
      <c r="Q243" s="68"/>
      <c r="R243" s="68"/>
      <c r="S243" s="68"/>
      <c r="T243" s="68"/>
      <c r="U243" s="68"/>
      <c r="V243" s="68"/>
      <c r="X243" s="68">
        <v>0.04</v>
      </c>
      <c r="Y243" s="16"/>
      <c r="Z243" s="68">
        <v>0.04</v>
      </c>
      <c r="AA243" s="5"/>
      <c r="AB243" s="68">
        <v>0.04</v>
      </c>
      <c r="AC243" s="4"/>
      <c r="AD243" s="19"/>
      <c r="AE243" s="16"/>
      <c r="AF243" s="19"/>
      <c r="AG243" s="5"/>
      <c r="AH243" s="19"/>
      <c r="AJ243" s="6">
        <f t="shared" si="55"/>
        <v>0.21000000000000002</v>
      </c>
      <c r="AK243" s="119"/>
      <c r="AL243" s="6">
        <f t="shared" si="56"/>
        <v>0.196</v>
      </c>
      <c r="AM243" s="62"/>
      <c r="AN243" s="6">
        <f t="shared" si="57"/>
        <v>0.20900000000000002</v>
      </c>
      <c r="AO243" s="115"/>
      <c r="AP243" s="115"/>
    </row>
    <row r="244" spans="2:42" ht="12.75">
      <c r="B244" s="4" t="s">
        <v>136</v>
      </c>
      <c r="D244" s="4" t="s">
        <v>28</v>
      </c>
      <c r="E244" s="16"/>
      <c r="F244" s="6">
        <v>3.26</v>
      </c>
      <c r="G244" s="117"/>
      <c r="H244" s="6">
        <v>2.87</v>
      </c>
      <c r="I244" s="6"/>
      <c r="J244" s="6">
        <v>3.04</v>
      </c>
      <c r="L244" s="6"/>
      <c r="M244" s="16"/>
      <c r="N244" s="6"/>
      <c r="O244" s="5"/>
      <c r="P244" s="6"/>
      <c r="Q244" s="6"/>
      <c r="R244" s="6"/>
      <c r="S244" s="6"/>
      <c r="T244" s="6"/>
      <c r="U244" s="6"/>
      <c r="V244" s="6"/>
      <c r="X244" s="6">
        <v>5.71</v>
      </c>
      <c r="Y244" s="117"/>
      <c r="Z244" s="6">
        <v>5.28</v>
      </c>
      <c r="AA244" s="6"/>
      <c r="AB244" s="6">
        <v>6.04</v>
      </c>
      <c r="AC244" s="4"/>
      <c r="AD244" s="19"/>
      <c r="AE244" s="16"/>
      <c r="AF244" s="19"/>
      <c r="AG244" s="5"/>
      <c r="AH244" s="19"/>
      <c r="AJ244" s="6">
        <f t="shared" si="55"/>
        <v>8.969999999999999</v>
      </c>
      <c r="AK244" s="119"/>
      <c r="AL244" s="6">
        <f t="shared" si="56"/>
        <v>8.15</v>
      </c>
      <c r="AM244" s="62"/>
      <c r="AN244" s="6">
        <f t="shared" si="57"/>
        <v>9.08</v>
      </c>
      <c r="AO244" s="115"/>
      <c r="AP244" s="115"/>
    </row>
    <row r="245" spans="2:42" ht="12.75">
      <c r="B245" s="4" t="s">
        <v>35</v>
      </c>
      <c r="D245" s="4" t="s">
        <v>28</v>
      </c>
      <c r="E245" s="16"/>
      <c r="F245" s="6">
        <f>F235+F238</f>
        <v>2.4499999999999997</v>
      </c>
      <c r="H245" s="6">
        <f>H235+H238</f>
        <v>2.3160000000000003</v>
      </c>
      <c r="I245" s="5"/>
      <c r="J245" s="6">
        <f>J235+J238</f>
        <v>2.538</v>
      </c>
      <c r="L245" s="6"/>
      <c r="M245" s="16"/>
      <c r="N245" s="6"/>
      <c r="O245" s="5"/>
      <c r="P245" s="6"/>
      <c r="Q245" s="6"/>
      <c r="R245" s="6"/>
      <c r="S245" s="6"/>
      <c r="T245" s="6"/>
      <c r="U245" s="6"/>
      <c r="V245" s="6"/>
      <c r="X245" s="6">
        <f>X235+X238</f>
        <v>1.08</v>
      </c>
      <c r="Y245" s="16"/>
      <c r="Z245" s="6">
        <f>Z235+Z238</f>
        <v>1.12</v>
      </c>
      <c r="AA245" s="5"/>
      <c r="AB245" s="6">
        <f>AB235+AB238</f>
        <v>1.27</v>
      </c>
      <c r="AC245" s="4"/>
      <c r="AD245" s="6">
        <f>AD235+AD238</f>
        <v>0</v>
      </c>
      <c r="AE245" s="16"/>
      <c r="AF245" s="6">
        <f>AF235+AF238</f>
        <v>0</v>
      </c>
      <c r="AG245" s="5"/>
      <c r="AH245" s="6">
        <f>AH235+AH238</f>
        <v>0</v>
      </c>
      <c r="AJ245" s="6">
        <f>AJ235+AJ238</f>
        <v>3.53</v>
      </c>
      <c r="AK245" s="16"/>
      <c r="AL245" s="6">
        <f>AL235+AL238</f>
        <v>3.4360000000000004</v>
      </c>
      <c r="AM245" s="5"/>
      <c r="AN245" s="6">
        <f>AN235+AN238</f>
        <v>3.808</v>
      </c>
      <c r="AO245" s="115"/>
      <c r="AP245" s="115"/>
    </row>
    <row r="246" spans="2:42" ht="12.75">
      <c r="B246" s="4" t="s">
        <v>36</v>
      </c>
      <c r="D246" s="4" t="s">
        <v>28</v>
      </c>
      <c r="E246" s="16"/>
      <c r="F246" s="6">
        <f>F231+F234+F236</f>
        <v>0.281</v>
      </c>
      <c r="H246" s="6">
        <f>H231+H234+H236</f>
        <v>0.26</v>
      </c>
      <c r="I246" s="5"/>
      <c r="J246" s="6">
        <f>J231+J234+J236</f>
        <v>0.296</v>
      </c>
      <c r="L246" s="6"/>
      <c r="M246" s="16"/>
      <c r="N246" s="6"/>
      <c r="O246" s="5"/>
      <c r="P246" s="6"/>
      <c r="Q246" s="6"/>
      <c r="R246" s="6"/>
      <c r="S246" s="6"/>
      <c r="T246" s="6"/>
      <c r="U246" s="6"/>
      <c r="V246" s="6"/>
      <c r="X246" s="6">
        <f>X231+X234+X236</f>
        <v>1.8079999999999998</v>
      </c>
      <c r="Y246" s="16"/>
      <c r="Z246" s="6">
        <f>Z231+Z234+Z236</f>
        <v>1.766</v>
      </c>
      <c r="AA246" s="5"/>
      <c r="AB246" s="6">
        <f>AB231+AB234+AB236</f>
        <v>1.595</v>
      </c>
      <c r="AC246" s="4"/>
      <c r="AD246" s="6">
        <f>AD231+AD234+AD236</f>
        <v>2.77</v>
      </c>
      <c r="AE246" s="16"/>
      <c r="AF246" s="6">
        <f>AF231+AF234+AF236</f>
        <v>2.93</v>
      </c>
      <c r="AG246" s="5"/>
      <c r="AH246" s="6">
        <f>AH231+AH234+AH236</f>
        <v>2.8</v>
      </c>
      <c r="AJ246" s="6">
        <f>AJ231+AJ234+AJ236</f>
        <v>4.859</v>
      </c>
      <c r="AK246" s="16"/>
      <c r="AL246" s="6">
        <f>AL231+AL234+AL236</f>
        <v>4.956</v>
      </c>
      <c r="AM246" s="5"/>
      <c r="AN246" s="6">
        <f>AN231+AN234+AN236</f>
        <v>4.691</v>
      </c>
      <c r="AO246" s="115"/>
      <c r="AP246" s="115"/>
    </row>
    <row r="247" spans="5:42" ht="12.75">
      <c r="E247" s="16"/>
      <c r="I247" s="5"/>
      <c r="L247" s="19"/>
      <c r="M247" s="16"/>
      <c r="O247" s="5"/>
      <c r="X247" s="6"/>
      <c r="Y247" s="117"/>
      <c r="Z247" s="60"/>
      <c r="AA247" s="6"/>
      <c r="AB247" s="60"/>
      <c r="AC247" s="4"/>
      <c r="AD247" s="19"/>
      <c r="AE247" s="16"/>
      <c r="AF247" s="19"/>
      <c r="AG247" s="5"/>
      <c r="AH247" s="19"/>
      <c r="AJ247" s="68"/>
      <c r="AK247" s="114"/>
      <c r="AL247" s="68"/>
      <c r="AM247" s="40"/>
      <c r="AN247" s="68"/>
      <c r="AO247" s="115"/>
      <c r="AP247" s="115"/>
    </row>
    <row r="248" spans="5:42" ht="12.75">
      <c r="E248" s="16"/>
      <c r="I248" s="5"/>
      <c r="L248" s="19"/>
      <c r="M248" s="16"/>
      <c r="O248" s="5"/>
      <c r="X248" s="6"/>
      <c r="Y248" s="117"/>
      <c r="Z248" s="60"/>
      <c r="AA248" s="6"/>
      <c r="AB248" s="60"/>
      <c r="AC248" s="4"/>
      <c r="AD248" s="19"/>
      <c r="AE248" s="16"/>
      <c r="AF248" s="19"/>
      <c r="AG248" s="5"/>
      <c r="AH248" s="19"/>
      <c r="AJ248" s="5"/>
      <c r="AK248" s="114"/>
      <c r="AL248" s="5"/>
      <c r="AM248" s="40"/>
      <c r="AN248" s="5"/>
      <c r="AO248" s="115"/>
      <c r="AP248" s="115"/>
    </row>
    <row r="249" spans="5:42" ht="12.75">
      <c r="E249" s="16"/>
      <c r="I249" s="19"/>
      <c r="L249" s="19"/>
      <c r="M249" s="16"/>
      <c r="O249" s="19"/>
      <c r="X249" s="19"/>
      <c r="Y249" s="19"/>
      <c r="AA249" s="7"/>
      <c r="AB249" s="16"/>
      <c r="AJ249" s="72"/>
      <c r="AK249" s="114"/>
      <c r="AL249" s="72"/>
      <c r="AM249" s="40"/>
      <c r="AN249" s="72"/>
      <c r="AO249" s="115"/>
      <c r="AP249" s="115"/>
    </row>
    <row r="250" spans="2:42" ht="12.75">
      <c r="B250" s="4" t="s">
        <v>37</v>
      </c>
      <c r="D250" s="4" t="s">
        <v>17</v>
      </c>
      <c r="E250" s="16"/>
      <c r="F250" s="7">
        <f>'emiss 1'!G251</f>
        <v>34535</v>
      </c>
      <c r="H250" s="7">
        <f>'emiss 1'!I251</f>
        <v>34721</v>
      </c>
      <c r="I250" s="19"/>
      <c r="J250" s="7">
        <f>'emiss 1'!K251</f>
        <v>34540</v>
      </c>
      <c r="K250" s="16"/>
      <c r="L250" s="19">
        <f>$F250</f>
        <v>34535</v>
      </c>
      <c r="M250" s="16"/>
      <c r="N250" s="19">
        <f>$H250</f>
        <v>34721</v>
      </c>
      <c r="O250" s="19"/>
      <c r="P250" s="19">
        <f>$J250</f>
        <v>34540</v>
      </c>
      <c r="Q250" s="19"/>
      <c r="R250" s="19"/>
      <c r="S250" s="19"/>
      <c r="T250" s="19"/>
      <c r="U250" s="19"/>
      <c r="V250" s="19"/>
      <c r="W250" s="21"/>
      <c r="X250" s="19">
        <f>$F250</f>
        <v>34535</v>
      </c>
      <c r="Y250" s="16"/>
      <c r="Z250" s="19">
        <f>$H250</f>
        <v>34721</v>
      </c>
      <c r="AA250" s="19"/>
      <c r="AB250" s="19">
        <f>$J250</f>
        <v>34540</v>
      </c>
      <c r="AD250" s="19">
        <f>$F250</f>
        <v>34535</v>
      </c>
      <c r="AE250" s="16"/>
      <c r="AF250" s="19">
        <f>$H250</f>
        <v>34721</v>
      </c>
      <c r="AG250" s="19"/>
      <c r="AH250" s="19">
        <f>$J250</f>
        <v>34540</v>
      </c>
      <c r="AJ250" s="19">
        <f>$F250</f>
        <v>34535</v>
      </c>
      <c r="AK250" s="16"/>
      <c r="AL250" s="19">
        <f>$H250</f>
        <v>34721</v>
      </c>
      <c r="AM250" s="19"/>
      <c r="AN250" s="19">
        <f>$J250</f>
        <v>34540</v>
      </c>
      <c r="AP250" s="21">
        <f>AVERAGE(AJ250,AL250,AN250)</f>
        <v>34598.666666666664</v>
      </c>
    </row>
    <row r="251" spans="2:42" ht="12.75">
      <c r="B251" s="4" t="s">
        <v>38</v>
      </c>
      <c r="D251" s="4" t="s">
        <v>18</v>
      </c>
      <c r="E251" s="16"/>
      <c r="F251" s="5">
        <f>'emiss 1'!G252</f>
        <v>14.6</v>
      </c>
      <c r="G251" s="54"/>
      <c r="H251" s="5">
        <f>'emiss 1'!I252</f>
        <v>14.3</v>
      </c>
      <c r="I251" s="5"/>
      <c r="J251" s="5">
        <f>'emiss 1'!K252</f>
        <v>14.4</v>
      </c>
      <c r="K251" s="16"/>
      <c r="L251" s="19">
        <f>$F251</f>
        <v>14.6</v>
      </c>
      <c r="M251" s="16"/>
      <c r="N251" s="19">
        <f>$H251</f>
        <v>14.3</v>
      </c>
      <c r="O251" s="19"/>
      <c r="P251" s="19">
        <f>$J251</f>
        <v>14.4</v>
      </c>
      <c r="Q251" s="19"/>
      <c r="R251" s="19"/>
      <c r="S251" s="19"/>
      <c r="T251" s="19"/>
      <c r="U251" s="19"/>
      <c r="V251" s="19"/>
      <c r="W251" s="16"/>
      <c r="X251" s="19">
        <f>$F251</f>
        <v>14.6</v>
      </c>
      <c r="Y251" s="16"/>
      <c r="Z251" s="19">
        <f>$H251</f>
        <v>14.3</v>
      </c>
      <c r="AA251" s="19"/>
      <c r="AB251" s="19">
        <f>$J251</f>
        <v>14.4</v>
      </c>
      <c r="AC251" s="16"/>
      <c r="AD251" s="19">
        <f>$F251</f>
        <v>14.6</v>
      </c>
      <c r="AE251" s="16"/>
      <c r="AF251" s="19">
        <f>$H251</f>
        <v>14.3</v>
      </c>
      <c r="AG251" s="19"/>
      <c r="AH251" s="19">
        <f>$J251</f>
        <v>14.4</v>
      </c>
      <c r="AI251" s="16"/>
      <c r="AJ251" s="19">
        <f>$F251</f>
        <v>14.6</v>
      </c>
      <c r="AK251" s="16"/>
      <c r="AL251" s="19">
        <f>$H251</f>
        <v>14.3</v>
      </c>
      <c r="AM251" s="19"/>
      <c r="AN251" s="19">
        <f>$J251</f>
        <v>14.4</v>
      </c>
      <c r="AP251" s="18">
        <f>AVERAGE(AJ251,AL251,AN251)</f>
        <v>14.433333333333332</v>
      </c>
    </row>
    <row r="252" spans="5:28" ht="12.75">
      <c r="E252" s="16"/>
      <c r="I252" s="19"/>
      <c r="J252" s="16"/>
      <c r="K252" s="16"/>
      <c r="AB252" s="16"/>
    </row>
    <row r="253" spans="2:42" ht="12.75">
      <c r="B253" s="4" t="s">
        <v>283</v>
      </c>
      <c r="D253" s="4" t="s">
        <v>32</v>
      </c>
      <c r="E253" s="16"/>
      <c r="F253" s="5">
        <f>F225*F226/1000000</f>
        <v>50.353205759999994</v>
      </c>
      <c r="H253" s="5">
        <f>H225*H226/1000000</f>
        <v>47.673664896</v>
      </c>
      <c r="I253" s="19"/>
      <c r="J253" s="5">
        <f>J225*J226/1000000</f>
        <v>51.37550246399999</v>
      </c>
      <c r="K253" s="16"/>
      <c r="L253" s="5"/>
      <c r="N253" s="5"/>
      <c r="P253" s="5"/>
      <c r="Q253" s="5"/>
      <c r="R253" s="5"/>
      <c r="S253" s="5"/>
      <c r="T253" s="5"/>
      <c r="U253" s="5"/>
      <c r="V253" s="5"/>
      <c r="X253" s="5"/>
      <c r="Y253" s="16"/>
      <c r="Z253" s="5"/>
      <c r="AA253" s="19"/>
      <c r="AB253" s="5"/>
      <c r="AD253" s="5"/>
      <c r="AE253" s="16"/>
      <c r="AF253" s="5"/>
      <c r="AG253" s="19"/>
      <c r="AH253" s="5"/>
      <c r="AJ253" s="7">
        <f>F253+L253+X253+AD253</f>
        <v>50.353205759999994</v>
      </c>
      <c r="AK253" s="7"/>
      <c r="AL253" s="7">
        <f>H253+N253+Z253+AF253</f>
        <v>47.673664896</v>
      </c>
      <c r="AM253" s="21"/>
      <c r="AN253" s="7">
        <f>J253+P253+AB253+AH253</f>
        <v>51.37550246399999</v>
      </c>
      <c r="AP253" s="18">
        <f>AVERAGE(AJ253,AL253,AN253)</f>
        <v>49.80079104</v>
      </c>
    </row>
    <row r="254" spans="2:42" ht="12.75">
      <c r="B254" s="4" t="s">
        <v>280</v>
      </c>
      <c r="D254" s="4" t="s">
        <v>32</v>
      </c>
      <c r="E254" s="16"/>
      <c r="F254" s="18"/>
      <c r="I254" s="5"/>
      <c r="J254" s="16"/>
      <c r="K254" s="16"/>
      <c r="Z254" s="5"/>
      <c r="AB254" s="54"/>
      <c r="AJ254" s="21">
        <f>AJ250/9000*(21-AJ251)/21*60</f>
        <v>70.16634920634921</v>
      </c>
      <c r="AK254" s="21"/>
      <c r="AL254" s="21">
        <f>AL250/9000*(21-AL251)/21*60</f>
        <v>73.85101587301587</v>
      </c>
      <c r="AM254" s="21"/>
      <c r="AN254" s="21">
        <f>AN250/9000*(21-AN251)/21*60</f>
        <v>72.3695238095238</v>
      </c>
      <c r="AP254" s="18">
        <f>AVERAGE(AJ254,AL254,AN254)</f>
        <v>72.12896296296296</v>
      </c>
    </row>
    <row r="255" spans="5:28" ht="12.75">
      <c r="E255" s="16"/>
      <c r="F255" s="18"/>
      <c r="I255" s="5"/>
      <c r="J255" s="16"/>
      <c r="K255" s="16"/>
      <c r="Z255" s="5"/>
      <c r="AB255" s="54"/>
    </row>
    <row r="256" spans="8:42" ht="12.75">
      <c r="H256" s="19"/>
      <c r="J256" s="19"/>
      <c r="X256" s="4"/>
      <c r="Z256" s="4"/>
      <c r="AA256" s="19"/>
      <c r="AB256" s="4"/>
      <c r="AJ256" s="16"/>
      <c r="AL256" s="16"/>
      <c r="AN256" s="16"/>
      <c r="AP256" s="16"/>
    </row>
    <row r="257" spans="2:42" ht="12.75">
      <c r="B257" s="55" t="s">
        <v>47</v>
      </c>
      <c r="C257" s="55"/>
      <c r="F257" s="16"/>
      <c r="H257" s="16"/>
      <c r="I257" s="16"/>
      <c r="J257" s="16"/>
      <c r="K257" s="19"/>
      <c r="X257" s="16"/>
      <c r="Y257" s="16"/>
      <c r="Z257" s="16"/>
      <c r="AA257" s="16"/>
      <c r="AB257" s="16"/>
      <c r="AC257" s="17"/>
      <c r="AD257" s="16"/>
      <c r="AE257" s="16"/>
      <c r="AF257" s="16"/>
      <c r="AG257" s="16"/>
      <c r="AH257" s="16"/>
      <c r="AI257" s="17"/>
      <c r="AJ257" s="16"/>
      <c r="AK257" s="16"/>
      <c r="AL257" s="16"/>
      <c r="AM257" s="19"/>
      <c r="AN257" s="16"/>
      <c r="AP257" s="16"/>
    </row>
    <row r="258" spans="2:42" ht="12.75">
      <c r="B258" s="4" t="s">
        <v>23</v>
      </c>
      <c r="D258" s="4" t="s">
        <v>39</v>
      </c>
      <c r="F258" s="7">
        <f>F225*F228/100*1/60*454*1000/(F$250*0.0283)*(21-7)/(21-F$251)</f>
        <v>930.2987866357731</v>
      </c>
      <c r="G258" s="56"/>
      <c r="H258" s="7">
        <f>H225*H228/100*1/60*454*1000/(H$250*0.0283)*(21-7)/(21-H$251)</f>
        <v>376.5813337239938</v>
      </c>
      <c r="I258" s="7"/>
      <c r="J258" s="7">
        <f>J225*J228/100*1/60*454*1000/(J$250*0.0283)*(21-7)/(21-J$251)</f>
        <v>1227.0529778954</v>
      </c>
      <c r="K258" s="56"/>
      <c r="L258" s="7"/>
      <c r="M258" s="7"/>
      <c r="N258" s="7"/>
      <c r="O258" s="7"/>
      <c r="P258" s="7"/>
      <c r="Q258" s="7"/>
      <c r="R258" s="7">
        <f>SUM(L258,F258)</f>
        <v>930.2987866357731</v>
      </c>
      <c r="S258" s="7"/>
      <c r="T258" s="7">
        <f>SUM(N258,H258)</f>
        <v>376.5813337239938</v>
      </c>
      <c r="U258" s="7"/>
      <c r="V258" s="7">
        <f>SUM(P258,J258)</f>
        <v>1227.0529778954</v>
      </c>
      <c r="W258" s="7"/>
      <c r="X258" s="7"/>
      <c r="Y258" s="56"/>
      <c r="Z258" s="7"/>
      <c r="AA258" s="7"/>
      <c r="AB258" s="7"/>
      <c r="AC258" s="21"/>
      <c r="AD258" s="7"/>
      <c r="AE258" s="56"/>
      <c r="AF258" s="7"/>
      <c r="AG258" s="7"/>
      <c r="AH258" s="7"/>
      <c r="AI258" s="21"/>
      <c r="AJ258" s="7">
        <f>F258+L258+X258+AD258</f>
        <v>930.2987866357731</v>
      </c>
      <c r="AK258" s="21"/>
      <c r="AL258" s="7">
        <f>H258+N258+Z258+AF258</f>
        <v>376.5813337239938</v>
      </c>
      <c r="AM258" s="21"/>
      <c r="AN258" s="7">
        <f>J258+P258+AB258+AH258</f>
        <v>1227.0529778954</v>
      </c>
      <c r="AO258" s="21"/>
      <c r="AP258" s="21">
        <f>AVERAGE(AJ258,AL258,AN258)</f>
        <v>844.6443660850556</v>
      </c>
    </row>
    <row r="259" spans="2:42" ht="12.75">
      <c r="B259" s="4" t="s">
        <v>24</v>
      </c>
      <c r="D259" s="4" t="s">
        <v>34</v>
      </c>
      <c r="F259" s="7">
        <f>F229*1/60*454*1000000/(F$250*0.0283)*(21-7)/(21-F$251)</f>
        <v>1166879.4464842773</v>
      </c>
      <c r="G259" s="56"/>
      <c r="H259" s="7">
        <f>H229*1/60*454*1000000/(H$250*0.0283)*(21-7)/(21-H$251)</f>
        <v>769142.9643444489</v>
      </c>
      <c r="I259" s="7"/>
      <c r="J259" s="7">
        <f>J229*1/60*454*1000000/(J$250*0.0283)*(21-7)/(21-J$251)</f>
        <v>1229877.2031432076</v>
      </c>
      <c r="K259" s="56"/>
      <c r="L259" s="7"/>
      <c r="M259" s="7"/>
      <c r="N259" s="7"/>
      <c r="O259" s="7"/>
      <c r="P259" s="7"/>
      <c r="Q259" s="7"/>
      <c r="R259" s="7">
        <f aca="true" t="shared" si="58" ref="R259:V276">SUM(L259,F259)</f>
        <v>1166879.4464842773</v>
      </c>
      <c r="S259" s="7"/>
      <c r="T259" s="7">
        <f t="shared" si="58"/>
        <v>769142.9643444489</v>
      </c>
      <c r="U259" s="7"/>
      <c r="V259" s="7">
        <f t="shared" si="58"/>
        <v>1229877.2031432076</v>
      </c>
      <c r="W259" s="7"/>
      <c r="X259" s="7">
        <f>X229*1/60*454*1000000/(X$18*0.0283)*(21-7)/(21-X$19)</f>
        <v>13070.368535902033</v>
      </c>
      <c r="Y259" s="56"/>
      <c r="Z259" s="7">
        <f>Z229*1/60*454*1000000/(Z$18*0.0283)*(21-7)/(21-Z$19)</f>
        <v>3892.9147651288567</v>
      </c>
      <c r="AA259" s="7"/>
      <c r="AB259" s="7">
        <f>AB229*1/60*454*1000000/(AB$18*0.0283)*(21-7)/(21-AB$19)</f>
        <v>44688.23609683417</v>
      </c>
      <c r="AC259" s="21"/>
      <c r="AD259" s="7">
        <f>AD229*1/60*454*1000000/(AD$18*0.0283)*(21-7)/(21-AD$19)</f>
        <v>0</v>
      </c>
      <c r="AE259" s="56"/>
      <c r="AF259" s="7">
        <f>AF229*1/60*454*1000000/(AF$18*0.0283)*(21-7)/(21-AF$19)</f>
        <v>0</v>
      </c>
      <c r="AG259" s="7"/>
      <c r="AH259" s="7">
        <f>AH229*1/60*454*1000000/(AH$18*0.0283)*(21-7)/(21-AH$19)</f>
        <v>0</v>
      </c>
      <c r="AI259" s="21"/>
      <c r="AJ259" s="7">
        <f>F259+L259+X259+AD259</f>
        <v>1179949.8150201794</v>
      </c>
      <c r="AK259" s="21"/>
      <c r="AL259" s="7">
        <f>H259+N259+Z259+AF259</f>
        <v>773035.8791095777</v>
      </c>
      <c r="AM259" s="21"/>
      <c r="AN259" s="7">
        <f>J259+P259+AB259+AH259</f>
        <v>1274565.4392400417</v>
      </c>
      <c r="AO259" s="21"/>
      <c r="AP259" s="21">
        <f>AVERAGE(AJ259,AL259,AN259)</f>
        <v>1075850.377789933</v>
      </c>
    </row>
    <row r="260" spans="5:42" ht="12.75">
      <c r="E260" s="16"/>
      <c r="F260" s="7"/>
      <c r="I260" s="7"/>
      <c r="J260" s="7"/>
      <c r="K260" s="7"/>
      <c r="L260" s="7"/>
      <c r="M260" s="7"/>
      <c r="N260" s="7"/>
      <c r="O260" s="7"/>
      <c r="P260" s="7"/>
      <c r="Q260" s="7"/>
      <c r="R260" s="7">
        <f t="shared" si="58"/>
        <v>0</v>
      </c>
      <c r="S260" s="7"/>
      <c r="T260" s="7">
        <f t="shared" si="58"/>
        <v>0</v>
      </c>
      <c r="U260" s="7"/>
      <c r="V260" s="7">
        <f t="shared" si="58"/>
        <v>0</v>
      </c>
      <c r="W260" s="7"/>
      <c r="AB260" s="56"/>
      <c r="AP260" s="58"/>
    </row>
    <row r="261" spans="2:42" ht="12.75">
      <c r="B261" s="4" t="s">
        <v>123</v>
      </c>
      <c r="D261" s="4" t="s">
        <v>34</v>
      </c>
      <c r="F261" s="7">
        <f>F231*1/60*454*1000000/(F$250*0.0283)*(21-7)/(21-F$251)</f>
        <v>931.4712562646625</v>
      </c>
      <c r="H261" s="7">
        <f>H231*1/60*454*1000000/(H$250*0.0283)*(21-7)/(21-H$251)</f>
        <v>691.9068507701107</v>
      </c>
      <c r="J261" s="7">
        <f>J231*1/60*454*1000000/(J$250*0.0283)*(21-7)/(21-J$251)</f>
        <v>771.7520500364584</v>
      </c>
      <c r="L261" s="7"/>
      <c r="M261" s="16"/>
      <c r="N261" s="7"/>
      <c r="P261" s="7"/>
      <c r="Q261" s="7"/>
      <c r="R261" s="7">
        <f t="shared" si="58"/>
        <v>931.4712562646625</v>
      </c>
      <c r="S261" s="7"/>
      <c r="T261" s="7">
        <f t="shared" si="58"/>
        <v>691.9068507701107</v>
      </c>
      <c r="U261" s="7"/>
      <c r="V261" s="7">
        <f t="shared" si="58"/>
        <v>771.7520500364584</v>
      </c>
      <c r="X261" s="7">
        <f>X231*1/60*454*1000000/(X$250*0.0283)*(21-7)/(21-X$251)</f>
        <v>10415.542229141225</v>
      </c>
      <c r="Y261" s="16"/>
      <c r="Z261" s="7">
        <f>Z231*1/60*454*1000000/(Z$250*0.0283)*(21-7)/(21-Z$251)</f>
        <v>8495.972493177176</v>
      </c>
      <c r="AB261" s="7">
        <f>AB231*1/60*454*1000000/(AB$250*0.0283)*(21-7)/(21-AB$251)</f>
        <v>4958.91742789384</v>
      </c>
      <c r="AD261" s="7">
        <f>AD231*1/60*454*1000000/(AD$250*0.0283)*(21-7)/(21-AD$251)</f>
        <v>0</v>
      </c>
      <c r="AE261" s="16"/>
      <c r="AF261" s="7">
        <f>AF231*1/60*454*1000000/(AF$250*0.0283)*(21-7)/(21-AF$251)</f>
        <v>0</v>
      </c>
      <c r="AH261" s="7">
        <f>AH231*1/60*454*1000000/(AH$250*0.0283)*(21-7)/(21-AH$251)</f>
        <v>0</v>
      </c>
      <c r="AJ261" s="7">
        <f aca="true" t="shared" si="59" ref="AJ261:AJ276">F261+L261+X261+AD261</f>
        <v>11347.013485405887</v>
      </c>
      <c r="AK261" s="21"/>
      <c r="AL261" s="7">
        <f aca="true" t="shared" si="60" ref="AL261:AL276">H261+N261+Z261+AF261</f>
        <v>9187.879343947287</v>
      </c>
      <c r="AM261" s="21"/>
      <c r="AN261" s="7">
        <f aca="true" t="shared" si="61" ref="AN261:AN276">J261+P261+AB261+AH261</f>
        <v>5730.669477930298</v>
      </c>
      <c r="AP261" s="21">
        <f aca="true" t="shared" si="62" ref="AP261:AP274">AVERAGE(AJ261,AL261,AN261)</f>
        <v>8755.187435761158</v>
      </c>
    </row>
    <row r="262" spans="2:42" ht="12.75">
      <c r="B262" s="4" t="s">
        <v>124</v>
      </c>
      <c r="D262" s="4" t="s">
        <v>34</v>
      </c>
      <c r="F262" s="7">
        <f aca="true" t="shared" si="63" ref="F262:F276">F232*1/60*454*1000000/(F$250*0.0283)*(21-7)/(21-F$251)</f>
        <v>2337.146061173154</v>
      </c>
      <c r="H262" s="7">
        <f aca="true" t="shared" si="64" ref="H262:H276">H232*1/60*454*1000000/(H$250*0.0283)*(21-7)/(21-H$251)</f>
        <v>2236.6291222568702</v>
      </c>
      <c r="J262" s="7">
        <f aca="true" t="shared" si="65" ref="J262:J276">J232*1/60*454*1000000/(J$250*0.0283)*(21-7)/(21-J$251)</f>
        <v>2463.0384575631656</v>
      </c>
      <c r="L262" s="7"/>
      <c r="M262" s="16"/>
      <c r="N262" s="7"/>
      <c r="P262" s="7"/>
      <c r="Q262" s="7"/>
      <c r="R262" s="7">
        <f t="shared" si="58"/>
        <v>2337.146061173154</v>
      </c>
      <c r="S262" s="7"/>
      <c r="T262" s="7">
        <f t="shared" si="58"/>
        <v>2236.6291222568702</v>
      </c>
      <c r="U262" s="7"/>
      <c r="V262" s="7">
        <f t="shared" si="58"/>
        <v>2463.0384575631656</v>
      </c>
      <c r="X262" s="7">
        <f aca="true" t="shared" si="66" ref="X262:X276">X232*1/60*454*1000000/(X$250*0.0283)*(21-7)/(21-X$251)</f>
        <v>677.4336409197545</v>
      </c>
      <c r="Y262" s="16"/>
      <c r="Z262" s="7">
        <f aca="true" t="shared" si="67" ref="Z262:Z276">Z232*1/60*454*1000000/(Z$250*0.0283)*(21-7)/(21-Z$251)</f>
        <v>643.6342797861495</v>
      </c>
      <c r="AB262" s="7">
        <f aca="true" t="shared" si="68" ref="AB262:AB276">AB232*1/60*454*1000000/(AB$250*0.0283)*(21-7)/(21-AB$251)</f>
        <v>656.8102553501773</v>
      </c>
      <c r="AD262" s="7">
        <f aca="true" t="shared" si="69" ref="AD262:AD276">AD232*1/60*454*1000000/(AD$250*0.0283)*(21-7)/(21-AD$251)</f>
        <v>0</v>
      </c>
      <c r="AE262" s="16"/>
      <c r="AF262" s="7">
        <f aca="true" t="shared" si="70" ref="AF262:AF276">AF232*1/60*454*1000000/(AF$250*0.0283)*(21-7)/(21-AF$251)</f>
        <v>0</v>
      </c>
      <c r="AH262" s="7">
        <f aca="true" t="shared" si="71" ref="AH262:AH276">AH232*1/60*454*1000000/(AH$250*0.0283)*(21-7)/(21-AH$251)</f>
        <v>0</v>
      </c>
      <c r="AJ262" s="7">
        <f t="shared" si="59"/>
        <v>3014.5797020929085</v>
      </c>
      <c r="AK262" s="21"/>
      <c r="AL262" s="7">
        <f t="shared" si="60"/>
        <v>2880.2634020430196</v>
      </c>
      <c r="AM262" s="21"/>
      <c r="AN262" s="7">
        <f t="shared" si="61"/>
        <v>3119.8487129133428</v>
      </c>
      <c r="AP262" s="21">
        <f t="shared" si="62"/>
        <v>3004.8972723497573</v>
      </c>
    </row>
    <row r="263" spans="2:42" ht="12.75">
      <c r="B263" s="4" t="s">
        <v>125</v>
      </c>
      <c r="D263" s="4" t="s">
        <v>34</v>
      </c>
      <c r="F263" s="7">
        <f t="shared" si="63"/>
        <v>10161.504613796318</v>
      </c>
      <c r="H263" s="7">
        <f t="shared" si="64"/>
        <v>9010.879917006097</v>
      </c>
      <c r="J263" s="7">
        <f t="shared" si="65"/>
        <v>10837.369213277929</v>
      </c>
      <c r="L263" s="7"/>
      <c r="M263" s="16"/>
      <c r="N263" s="7"/>
      <c r="P263" s="7"/>
      <c r="Q263" s="7"/>
      <c r="R263" s="7">
        <f t="shared" si="58"/>
        <v>10161.504613796318</v>
      </c>
      <c r="S263" s="7"/>
      <c r="T263" s="7">
        <f t="shared" si="58"/>
        <v>9010.879917006097</v>
      </c>
      <c r="U263" s="7"/>
      <c r="V263" s="7">
        <f t="shared" si="58"/>
        <v>10837.369213277929</v>
      </c>
      <c r="X263" s="7">
        <f t="shared" si="66"/>
        <v>268094.3633939928</v>
      </c>
      <c r="Y263" s="16"/>
      <c r="Z263" s="7">
        <f t="shared" si="67"/>
        <v>226720.1750546712</v>
      </c>
      <c r="AB263" s="7">
        <f t="shared" si="68"/>
        <v>198356.69711575357</v>
      </c>
      <c r="AD263" s="7">
        <f t="shared" si="69"/>
        <v>0</v>
      </c>
      <c r="AE263" s="16"/>
      <c r="AF263" s="7">
        <f t="shared" si="70"/>
        <v>0</v>
      </c>
      <c r="AH263" s="7">
        <f t="shared" si="71"/>
        <v>0</v>
      </c>
      <c r="AJ263" s="7">
        <f t="shared" si="59"/>
        <v>278255.86800778913</v>
      </c>
      <c r="AK263" s="21"/>
      <c r="AL263" s="7">
        <f t="shared" si="60"/>
        <v>235731.0549716773</v>
      </c>
      <c r="AM263" s="21"/>
      <c r="AN263" s="7">
        <f t="shared" si="61"/>
        <v>209194.0663290315</v>
      </c>
      <c r="AP263" s="21">
        <f t="shared" si="62"/>
        <v>241060.32976949934</v>
      </c>
    </row>
    <row r="264" spans="2:42" ht="12.75">
      <c r="B264" s="4" t="s">
        <v>126</v>
      </c>
      <c r="D264" s="4" t="s">
        <v>34</v>
      </c>
      <c r="F264" s="7">
        <f t="shared" si="63"/>
        <v>101.61504613796319</v>
      </c>
      <c r="H264" s="7">
        <f t="shared" si="64"/>
        <v>64.36342797861496</v>
      </c>
      <c r="J264" s="7">
        <f t="shared" si="65"/>
        <v>82.10128191877216</v>
      </c>
      <c r="L264" s="7"/>
      <c r="M264" s="16"/>
      <c r="N264" s="7"/>
      <c r="P264" s="7"/>
      <c r="Q264" s="7"/>
      <c r="R264" s="7">
        <f t="shared" si="58"/>
        <v>101.61504613796319</v>
      </c>
      <c r="S264" s="7"/>
      <c r="T264" s="7">
        <f t="shared" si="58"/>
        <v>64.36342797861496</v>
      </c>
      <c r="U264" s="7"/>
      <c r="V264" s="7">
        <f t="shared" si="58"/>
        <v>82.10128191877216</v>
      </c>
      <c r="X264" s="7">
        <f t="shared" si="66"/>
        <v>897.5995742186747</v>
      </c>
      <c r="Y264" s="16"/>
      <c r="Z264" s="7">
        <f t="shared" si="67"/>
        <v>772.3611357433796</v>
      </c>
      <c r="AB264" s="7">
        <f t="shared" si="68"/>
        <v>706.0710245014405</v>
      </c>
      <c r="AD264" s="7">
        <f t="shared" si="69"/>
        <v>0</v>
      </c>
      <c r="AE264" s="16"/>
      <c r="AF264" s="7">
        <f t="shared" si="70"/>
        <v>0</v>
      </c>
      <c r="AH264" s="7">
        <f t="shared" si="71"/>
        <v>0</v>
      </c>
      <c r="AJ264" s="7">
        <f t="shared" si="59"/>
        <v>999.2146203566379</v>
      </c>
      <c r="AK264" s="21"/>
      <c r="AL264" s="7">
        <f t="shared" si="60"/>
        <v>836.7245637219945</v>
      </c>
      <c r="AM264" s="21"/>
      <c r="AN264" s="7">
        <f t="shared" si="61"/>
        <v>788.1723064202127</v>
      </c>
      <c r="AP264" s="21">
        <f t="shared" si="62"/>
        <v>874.7038301662818</v>
      </c>
    </row>
    <row r="265" spans="2:42" ht="12.75">
      <c r="B265" s="4" t="s">
        <v>127</v>
      </c>
      <c r="D265" s="4" t="s">
        <v>34</v>
      </c>
      <c r="F265" s="7">
        <f t="shared" si="63"/>
        <v>1862.942512529325</v>
      </c>
      <c r="H265" s="7">
        <f t="shared" si="64"/>
        <v>1544.7222714867592</v>
      </c>
      <c r="J265" s="7">
        <f t="shared" si="65"/>
        <v>1609.1851256079347</v>
      </c>
      <c r="L265" s="7"/>
      <c r="M265" s="16"/>
      <c r="N265" s="7"/>
      <c r="P265" s="7"/>
      <c r="Q265" s="7"/>
      <c r="R265" s="7">
        <f t="shared" si="58"/>
        <v>1862.942512529325</v>
      </c>
      <c r="S265" s="7"/>
      <c r="T265" s="7">
        <f t="shared" si="58"/>
        <v>1544.7222714867592</v>
      </c>
      <c r="U265" s="7"/>
      <c r="V265" s="7">
        <f t="shared" si="58"/>
        <v>1609.1851256079347</v>
      </c>
      <c r="X265" s="7">
        <f t="shared" si="66"/>
        <v>338.7168204598772</v>
      </c>
      <c r="Y265" s="16"/>
      <c r="Z265" s="7">
        <f t="shared" si="67"/>
        <v>321.81713989307474</v>
      </c>
      <c r="AB265" s="7">
        <f t="shared" si="68"/>
        <v>328.40512767508864</v>
      </c>
      <c r="AD265" s="7">
        <f t="shared" si="69"/>
        <v>0</v>
      </c>
      <c r="AE265" s="16"/>
      <c r="AF265" s="7">
        <f t="shared" si="70"/>
        <v>0</v>
      </c>
      <c r="AH265" s="7">
        <f t="shared" si="71"/>
        <v>0</v>
      </c>
      <c r="AJ265" s="7">
        <f t="shared" si="59"/>
        <v>2201.659332989202</v>
      </c>
      <c r="AK265" s="21"/>
      <c r="AL265" s="7">
        <f t="shared" si="60"/>
        <v>1866.5394113798338</v>
      </c>
      <c r="AM265" s="21"/>
      <c r="AN265" s="7">
        <f t="shared" si="61"/>
        <v>1937.5902532830232</v>
      </c>
      <c r="AP265" s="21">
        <f t="shared" si="62"/>
        <v>2001.9296658840196</v>
      </c>
    </row>
    <row r="266" spans="2:42" ht="12.75">
      <c r="B266" s="4" t="s">
        <v>128</v>
      </c>
      <c r="D266" s="4" t="s">
        <v>34</v>
      </c>
      <c r="F266" s="7">
        <f t="shared" si="63"/>
        <v>3725.88502505865</v>
      </c>
      <c r="H266" s="7">
        <f t="shared" si="64"/>
        <v>3427.352539861247</v>
      </c>
      <c r="J266" s="7">
        <f t="shared" si="65"/>
        <v>4006.5425576360817</v>
      </c>
      <c r="L266" s="7"/>
      <c r="M266" s="16"/>
      <c r="N266" s="7"/>
      <c r="P266" s="7"/>
      <c r="Q266" s="7"/>
      <c r="R266" s="7">
        <f t="shared" si="58"/>
        <v>3725.88502505865</v>
      </c>
      <c r="S266" s="7"/>
      <c r="T266" s="7">
        <f t="shared" si="58"/>
        <v>3427.352539861247</v>
      </c>
      <c r="U266" s="7"/>
      <c r="V266" s="7">
        <f t="shared" si="58"/>
        <v>4006.5425576360817</v>
      </c>
      <c r="X266" s="7">
        <f t="shared" si="66"/>
        <v>19306.858766213</v>
      </c>
      <c r="Y266" s="16"/>
      <c r="Z266" s="7">
        <f t="shared" si="67"/>
        <v>19148.11982363795</v>
      </c>
      <c r="AB266" s="7">
        <f t="shared" si="68"/>
        <v>20525.320479693044</v>
      </c>
      <c r="AD266" s="7">
        <f t="shared" si="69"/>
        <v>46912.279633693004</v>
      </c>
      <c r="AE266" s="16"/>
      <c r="AF266" s="7">
        <f t="shared" si="70"/>
        <v>47146.21099433546</v>
      </c>
      <c r="AH266" s="7">
        <f t="shared" si="71"/>
        <v>45976.71787451241</v>
      </c>
      <c r="AJ266" s="7">
        <f t="shared" si="59"/>
        <v>69945.02342496466</v>
      </c>
      <c r="AK266" s="21"/>
      <c r="AL266" s="7">
        <f t="shared" si="60"/>
        <v>69721.68335783466</v>
      </c>
      <c r="AM266" s="21"/>
      <c r="AN266" s="7">
        <f t="shared" si="61"/>
        <v>70508.58091184153</v>
      </c>
      <c r="AP266" s="21">
        <f t="shared" si="62"/>
        <v>70058.42923154695</v>
      </c>
    </row>
    <row r="267" spans="2:42" ht="12.75">
      <c r="B267" s="4" t="s">
        <v>129</v>
      </c>
      <c r="D267" s="4" t="s">
        <v>34</v>
      </c>
      <c r="F267" s="7">
        <f t="shared" si="63"/>
        <v>31839.38112322846</v>
      </c>
      <c r="H267" s="7">
        <f t="shared" si="64"/>
        <v>30733.536859788648</v>
      </c>
      <c r="J267" s="7">
        <f t="shared" si="65"/>
        <v>33004.71533134641</v>
      </c>
      <c r="L267" s="7"/>
      <c r="M267" s="16"/>
      <c r="N267" s="7"/>
      <c r="P267" s="7"/>
      <c r="Q267" s="7"/>
      <c r="R267" s="7">
        <f t="shared" si="58"/>
        <v>31839.38112322846</v>
      </c>
      <c r="S267" s="7"/>
      <c r="T267" s="7">
        <f t="shared" si="58"/>
        <v>30733.536859788648</v>
      </c>
      <c r="U267" s="7"/>
      <c r="V267" s="7">
        <f t="shared" si="58"/>
        <v>33004.71533134641</v>
      </c>
      <c r="X267" s="7">
        <f t="shared" si="66"/>
        <v>45388.053941623555</v>
      </c>
      <c r="Y267" s="16"/>
      <c r="Z267" s="7">
        <f t="shared" si="67"/>
        <v>48111.66241401468</v>
      </c>
      <c r="AB267" s="7">
        <f t="shared" si="68"/>
        <v>41050.64095938609</v>
      </c>
      <c r="AD267" s="7">
        <f t="shared" si="69"/>
        <v>0</v>
      </c>
      <c r="AE267" s="16"/>
      <c r="AF267" s="7">
        <f t="shared" si="70"/>
        <v>0</v>
      </c>
      <c r="AH267" s="7">
        <f t="shared" si="71"/>
        <v>0</v>
      </c>
      <c r="AJ267" s="7">
        <f t="shared" si="59"/>
        <v>77227.43506485202</v>
      </c>
      <c r="AK267" s="21"/>
      <c r="AL267" s="7">
        <f t="shared" si="60"/>
        <v>78845.19927380333</v>
      </c>
      <c r="AM267" s="21"/>
      <c r="AN267" s="7">
        <f t="shared" si="61"/>
        <v>74055.3562907325</v>
      </c>
      <c r="AP267" s="21">
        <f t="shared" si="62"/>
        <v>76709.33020979595</v>
      </c>
    </row>
    <row r="268" spans="2:42" ht="12.75">
      <c r="B268" s="4" t="s">
        <v>130</v>
      </c>
      <c r="D268" s="4" t="s">
        <v>34</v>
      </c>
      <c r="F268" s="7">
        <f t="shared" si="63"/>
        <v>39629.86799380564</v>
      </c>
      <c r="H268" s="7">
        <f t="shared" si="64"/>
        <v>35721.7025281313</v>
      </c>
      <c r="J268" s="7">
        <f t="shared" si="65"/>
        <v>40065.42557636081</v>
      </c>
      <c r="L268" s="7"/>
      <c r="M268" s="16"/>
      <c r="N268" s="7"/>
      <c r="P268" s="7"/>
      <c r="Q268" s="7"/>
      <c r="R268" s="7">
        <f t="shared" si="58"/>
        <v>39629.86799380564</v>
      </c>
      <c r="S268" s="7"/>
      <c r="T268" s="7">
        <f t="shared" si="58"/>
        <v>35721.7025281313</v>
      </c>
      <c r="U268" s="7"/>
      <c r="V268" s="7">
        <f t="shared" si="58"/>
        <v>40065.42557636081</v>
      </c>
      <c r="X268" s="7">
        <f t="shared" si="66"/>
        <v>17951.991484373495</v>
      </c>
      <c r="Y268" s="16"/>
      <c r="Z268" s="7">
        <f t="shared" si="67"/>
        <v>17699.942694119116</v>
      </c>
      <c r="AB268" s="7">
        <f t="shared" si="68"/>
        <v>20525.320479693044</v>
      </c>
      <c r="AD268" s="7">
        <f t="shared" si="69"/>
        <v>0</v>
      </c>
      <c r="AE268" s="16"/>
      <c r="AF268" s="7">
        <f t="shared" si="70"/>
        <v>0</v>
      </c>
      <c r="AH268" s="7">
        <f t="shared" si="71"/>
        <v>0</v>
      </c>
      <c r="AJ268" s="7">
        <f t="shared" si="59"/>
        <v>57581.85947817913</v>
      </c>
      <c r="AK268" s="21"/>
      <c r="AL268" s="7">
        <f t="shared" si="60"/>
        <v>53421.645222250416</v>
      </c>
      <c r="AM268" s="21"/>
      <c r="AN268" s="7">
        <f t="shared" si="61"/>
        <v>60590.74605605385</v>
      </c>
      <c r="AP268" s="21">
        <f t="shared" si="62"/>
        <v>57198.08358549447</v>
      </c>
    </row>
    <row r="269" spans="2:42" ht="12.75">
      <c r="B269" s="4" t="s">
        <v>131</v>
      </c>
      <c r="D269" s="4" t="s">
        <v>34</v>
      </c>
      <c r="F269" s="7">
        <f t="shared" si="63"/>
        <v>40.64601845518526</v>
      </c>
      <c r="H269" s="7">
        <f t="shared" si="64"/>
        <v>27.354456890911354</v>
      </c>
      <c r="J269" s="7">
        <f t="shared" si="65"/>
        <v>29.55646149075798</v>
      </c>
      <c r="L269" s="7"/>
      <c r="M269" s="16"/>
      <c r="N269" s="7"/>
      <c r="P269" s="7"/>
      <c r="Q269" s="7"/>
      <c r="R269" s="7">
        <f t="shared" si="58"/>
        <v>40.64601845518526</v>
      </c>
      <c r="S269" s="7"/>
      <c r="T269" s="7">
        <f t="shared" si="58"/>
        <v>27.354456890911354</v>
      </c>
      <c r="U269" s="7"/>
      <c r="V269" s="7">
        <f t="shared" si="58"/>
        <v>29.55646149075798</v>
      </c>
      <c r="X269" s="7">
        <f t="shared" si="66"/>
        <v>37.2588502505865</v>
      </c>
      <c r="Y269" s="16"/>
      <c r="Z269" s="7">
        <f t="shared" si="67"/>
        <v>28.963542590376736</v>
      </c>
      <c r="AB269" s="7">
        <f t="shared" si="68"/>
        <v>27.914435852382532</v>
      </c>
      <c r="AD269" s="7">
        <f t="shared" si="69"/>
        <v>0</v>
      </c>
      <c r="AE269" s="16"/>
      <c r="AF269" s="7">
        <f t="shared" si="70"/>
        <v>0</v>
      </c>
      <c r="AH269" s="7">
        <f t="shared" si="71"/>
        <v>0</v>
      </c>
      <c r="AJ269" s="7">
        <f t="shared" si="59"/>
        <v>77.90486870577176</v>
      </c>
      <c r="AK269" s="21"/>
      <c r="AL269" s="7">
        <f t="shared" si="60"/>
        <v>56.31799948128809</v>
      </c>
      <c r="AM269" s="21"/>
      <c r="AN269" s="7">
        <f t="shared" si="61"/>
        <v>57.47089734314051</v>
      </c>
      <c r="AP269" s="21">
        <f t="shared" si="62"/>
        <v>63.89792184340012</v>
      </c>
    </row>
    <row r="270" spans="2:42" ht="12.75">
      <c r="B270" s="4" t="s">
        <v>132</v>
      </c>
      <c r="D270" s="4" t="s">
        <v>34</v>
      </c>
      <c r="F270" s="7">
        <f t="shared" si="63"/>
        <v>10838.938254716071</v>
      </c>
      <c r="H270" s="7">
        <f t="shared" si="64"/>
        <v>16090.856994653741</v>
      </c>
      <c r="J270" s="7">
        <f t="shared" si="65"/>
        <v>16912.864075267065</v>
      </c>
      <c r="L270" s="7"/>
      <c r="M270" s="16"/>
      <c r="N270" s="7"/>
      <c r="P270" s="7"/>
      <c r="Q270" s="7"/>
      <c r="R270" s="7">
        <f t="shared" si="58"/>
        <v>10838.938254716071</v>
      </c>
      <c r="S270" s="7"/>
      <c r="T270" s="7">
        <f t="shared" si="58"/>
        <v>16090.856994653741</v>
      </c>
      <c r="U270" s="7"/>
      <c r="V270" s="7">
        <f t="shared" si="58"/>
        <v>16912.864075267065</v>
      </c>
      <c r="X270" s="7">
        <f t="shared" si="66"/>
        <v>31331.305892538647</v>
      </c>
      <c r="Y270" s="16"/>
      <c r="Z270" s="7">
        <f t="shared" si="67"/>
        <v>29768.08544010942</v>
      </c>
      <c r="AB270" s="7">
        <f t="shared" si="68"/>
        <v>31198.48712913342</v>
      </c>
      <c r="AD270" s="7">
        <f t="shared" si="69"/>
        <v>0</v>
      </c>
      <c r="AE270" s="16"/>
      <c r="AF270" s="7">
        <f t="shared" si="70"/>
        <v>0</v>
      </c>
      <c r="AH270" s="7">
        <f t="shared" si="71"/>
        <v>0</v>
      </c>
      <c r="AJ270" s="7">
        <f t="shared" si="59"/>
        <v>42170.24414725472</v>
      </c>
      <c r="AK270" s="21"/>
      <c r="AL270" s="7">
        <f t="shared" si="60"/>
        <v>45858.94243476316</v>
      </c>
      <c r="AM270" s="21"/>
      <c r="AN270" s="7">
        <f t="shared" si="61"/>
        <v>48111.35120440049</v>
      </c>
      <c r="AP270" s="21">
        <f t="shared" si="62"/>
        <v>45380.179262139456</v>
      </c>
    </row>
    <row r="271" spans="2:42" ht="12.75">
      <c r="B271" s="4" t="s">
        <v>133</v>
      </c>
      <c r="D271" s="4" t="s">
        <v>34</v>
      </c>
      <c r="F271" s="7">
        <f t="shared" si="63"/>
        <v>1524.2256920694479</v>
      </c>
      <c r="H271" s="7">
        <f t="shared" si="64"/>
        <v>1448.1771295188366</v>
      </c>
      <c r="J271" s="7">
        <f t="shared" si="65"/>
        <v>1477.823074537899</v>
      </c>
      <c r="L271" s="7"/>
      <c r="M271" s="16"/>
      <c r="N271" s="7"/>
      <c r="P271" s="7"/>
      <c r="Q271" s="7"/>
      <c r="R271" s="7">
        <f t="shared" si="58"/>
        <v>1524.2256920694479</v>
      </c>
      <c r="S271" s="7"/>
      <c r="T271" s="7">
        <f t="shared" si="58"/>
        <v>1448.1771295188366</v>
      </c>
      <c r="U271" s="7"/>
      <c r="V271" s="7">
        <f t="shared" si="58"/>
        <v>1477.823074537899</v>
      </c>
      <c r="X271" s="7">
        <f t="shared" si="66"/>
        <v>3725.88502505865</v>
      </c>
      <c r="Y271" s="16"/>
      <c r="Z271" s="7">
        <f t="shared" si="67"/>
        <v>3539.9885388238235</v>
      </c>
      <c r="AB271" s="7">
        <f t="shared" si="68"/>
        <v>3612.456404425976</v>
      </c>
      <c r="AD271" s="7">
        <f t="shared" si="69"/>
        <v>0</v>
      </c>
      <c r="AE271" s="16"/>
      <c r="AF271" s="7">
        <f t="shared" si="70"/>
        <v>0</v>
      </c>
      <c r="AH271" s="7">
        <f t="shared" si="71"/>
        <v>0</v>
      </c>
      <c r="AJ271" s="7">
        <f t="shared" si="59"/>
        <v>5250.110717128098</v>
      </c>
      <c r="AK271" s="21"/>
      <c r="AL271" s="7">
        <f t="shared" si="60"/>
        <v>4988.16566834266</v>
      </c>
      <c r="AM271" s="21"/>
      <c r="AN271" s="7">
        <f t="shared" si="61"/>
        <v>5090.279478963875</v>
      </c>
      <c r="AP271" s="21">
        <f t="shared" si="62"/>
        <v>5109.518621478212</v>
      </c>
    </row>
    <row r="272" spans="2:42" ht="12.75">
      <c r="B272" s="4" t="s">
        <v>134</v>
      </c>
      <c r="D272" s="4" t="s">
        <v>34</v>
      </c>
      <c r="F272" s="7">
        <f t="shared" si="63"/>
        <v>1320.9955997935215</v>
      </c>
      <c r="H272" s="7">
        <f t="shared" si="64"/>
        <v>1118.3145611284351</v>
      </c>
      <c r="J272" s="7">
        <f t="shared" si="65"/>
        <v>1307.0524081468527</v>
      </c>
      <c r="L272" s="7"/>
      <c r="M272" s="16"/>
      <c r="N272" s="7"/>
      <c r="P272" s="7"/>
      <c r="Q272" s="7"/>
      <c r="R272" s="7">
        <f t="shared" si="58"/>
        <v>1320.9955997935215</v>
      </c>
      <c r="S272" s="7"/>
      <c r="T272" s="7">
        <f t="shared" si="58"/>
        <v>1118.3145611284351</v>
      </c>
      <c r="U272" s="7"/>
      <c r="V272" s="7">
        <f t="shared" si="58"/>
        <v>1307.0524081468527</v>
      </c>
      <c r="X272" s="7">
        <f t="shared" si="66"/>
        <v>338.7168204598772</v>
      </c>
      <c r="Y272" s="16"/>
      <c r="Z272" s="7">
        <f t="shared" si="67"/>
        <v>321.81713989307474</v>
      </c>
      <c r="AB272" s="7">
        <f t="shared" si="68"/>
        <v>328.40512767508864</v>
      </c>
      <c r="AD272" s="7">
        <f t="shared" si="69"/>
        <v>0</v>
      </c>
      <c r="AE272" s="16"/>
      <c r="AF272" s="7">
        <f t="shared" si="70"/>
        <v>0</v>
      </c>
      <c r="AH272" s="7">
        <f t="shared" si="71"/>
        <v>0</v>
      </c>
      <c r="AJ272" s="7">
        <f t="shared" si="59"/>
        <v>1659.7124202533987</v>
      </c>
      <c r="AK272" s="21"/>
      <c r="AL272" s="7">
        <f t="shared" si="60"/>
        <v>1440.1317010215098</v>
      </c>
      <c r="AM272" s="21"/>
      <c r="AN272" s="7">
        <f t="shared" si="61"/>
        <v>1635.4575358219413</v>
      </c>
      <c r="AP272" s="21">
        <f t="shared" si="62"/>
        <v>1578.43388569895</v>
      </c>
    </row>
    <row r="273" spans="2:42" ht="12.75">
      <c r="B273" s="4" t="s">
        <v>135</v>
      </c>
      <c r="D273" s="4" t="s">
        <v>34</v>
      </c>
      <c r="F273" s="7">
        <f t="shared" si="63"/>
        <v>2879.0929739089565</v>
      </c>
      <c r="H273" s="7">
        <f t="shared" si="64"/>
        <v>2510.1736911659837</v>
      </c>
      <c r="J273" s="7">
        <f t="shared" si="65"/>
        <v>2775.0233288544996</v>
      </c>
      <c r="L273" s="7"/>
      <c r="M273" s="16"/>
      <c r="N273" s="7"/>
      <c r="P273" s="7"/>
      <c r="Q273" s="7"/>
      <c r="R273" s="7">
        <f t="shared" si="58"/>
        <v>2879.0929739089565</v>
      </c>
      <c r="S273" s="7"/>
      <c r="T273" s="7">
        <f t="shared" si="58"/>
        <v>2510.1736911659837</v>
      </c>
      <c r="U273" s="7"/>
      <c r="V273" s="7">
        <f t="shared" si="58"/>
        <v>2775.0233288544996</v>
      </c>
      <c r="X273" s="7">
        <f t="shared" si="66"/>
        <v>677.4336409197545</v>
      </c>
      <c r="Y273" s="16"/>
      <c r="Z273" s="7">
        <f t="shared" si="67"/>
        <v>643.6342797861495</v>
      </c>
      <c r="AB273" s="7">
        <f t="shared" si="68"/>
        <v>656.8102553501773</v>
      </c>
      <c r="AD273" s="7">
        <f t="shared" si="69"/>
        <v>0</v>
      </c>
      <c r="AE273" s="16"/>
      <c r="AF273" s="7">
        <f t="shared" si="70"/>
        <v>0</v>
      </c>
      <c r="AH273" s="7">
        <f t="shared" si="71"/>
        <v>0</v>
      </c>
      <c r="AJ273" s="7">
        <f t="shared" si="59"/>
        <v>3556.526614828711</v>
      </c>
      <c r="AK273" s="21"/>
      <c r="AL273" s="7">
        <f t="shared" si="60"/>
        <v>3153.807970952133</v>
      </c>
      <c r="AM273" s="21"/>
      <c r="AN273" s="7">
        <f t="shared" si="61"/>
        <v>3431.8335842046768</v>
      </c>
      <c r="AP273" s="21">
        <f t="shared" si="62"/>
        <v>3380.7227233285066</v>
      </c>
    </row>
    <row r="274" spans="2:42" ht="12.75">
      <c r="B274" s="4" t="s">
        <v>136</v>
      </c>
      <c r="D274" s="4" t="s">
        <v>34</v>
      </c>
      <c r="F274" s="7">
        <f t="shared" si="63"/>
        <v>55210.84173495999</v>
      </c>
      <c r="H274" s="7">
        <f t="shared" si="64"/>
        <v>46180.75957465624</v>
      </c>
      <c r="J274" s="7">
        <f t="shared" si="65"/>
        <v>49917.579406613484</v>
      </c>
      <c r="L274" s="7"/>
      <c r="M274" s="16"/>
      <c r="N274" s="7"/>
      <c r="P274" s="7"/>
      <c r="Q274" s="7"/>
      <c r="R274" s="7">
        <f t="shared" si="58"/>
        <v>55210.84173495999</v>
      </c>
      <c r="S274" s="7"/>
      <c r="T274" s="7">
        <f t="shared" si="58"/>
        <v>46180.75957465624</v>
      </c>
      <c r="U274" s="7"/>
      <c r="V274" s="7">
        <f t="shared" si="58"/>
        <v>49917.579406613484</v>
      </c>
      <c r="X274" s="7">
        <f t="shared" si="66"/>
        <v>96703.65224129494</v>
      </c>
      <c r="Y274" s="16"/>
      <c r="Z274" s="7">
        <f t="shared" si="67"/>
        <v>84959.72493177178</v>
      </c>
      <c r="AB274" s="7">
        <f t="shared" si="68"/>
        <v>99178.34855787679</v>
      </c>
      <c r="AD274" s="7">
        <f t="shared" si="69"/>
        <v>0</v>
      </c>
      <c r="AE274" s="16"/>
      <c r="AF274" s="7">
        <f t="shared" si="70"/>
        <v>0</v>
      </c>
      <c r="AH274" s="7">
        <f t="shared" si="71"/>
        <v>0</v>
      </c>
      <c r="AJ274" s="7">
        <f t="shared" si="59"/>
        <v>151914.49397625495</v>
      </c>
      <c r="AK274" s="21"/>
      <c r="AL274" s="7">
        <f t="shared" si="60"/>
        <v>131140.484506428</v>
      </c>
      <c r="AM274" s="21"/>
      <c r="AN274" s="7">
        <f t="shared" si="61"/>
        <v>149095.92796449026</v>
      </c>
      <c r="AP274" s="21">
        <f t="shared" si="62"/>
        <v>144050.30214905774</v>
      </c>
    </row>
    <row r="275" spans="2:42" ht="12.75">
      <c r="B275" s="4" t="s">
        <v>35</v>
      </c>
      <c r="D275" s="4" t="s">
        <v>34</v>
      </c>
      <c r="F275" s="7">
        <f t="shared" si="63"/>
        <v>41492.81050633496</v>
      </c>
      <c r="H275" s="7">
        <f t="shared" si="64"/>
        <v>37266.424799618064</v>
      </c>
      <c r="J275" s="7">
        <f t="shared" si="65"/>
        <v>41674.610701968755</v>
      </c>
      <c r="L275" s="7"/>
      <c r="M275" s="16"/>
      <c r="N275" s="7"/>
      <c r="P275" s="7"/>
      <c r="Q275" s="7"/>
      <c r="R275" s="7">
        <f t="shared" si="58"/>
        <v>41492.81050633496</v>
      </c>
      <c r="S275" s="7"/>
      <c r="T275" s="7">
        <f t="shared" si="58"/>
        <v>37266.424799618064</v>
      </c>
      <c r="U275" s="7"/>
      <c r="V275" s="7">
        <f t="shared" si="58"/>
        <v>41674.610701968755</v>
      </c>
      <c r="X275" s="7">
        <f t="shared" si="66"/>
        <v>18290.708304833373</v>
      </c>
      <c r="Y275" s="16"/>
      <c r="Z275" s="7">
        <f t="shared" si="67"/>
        <v>18021.759834012195</v>
      </c>
      <c r="AB275" s="7">
        <f t="shared" si="68"/>
        <v>20853.725607368135</v>
      </c>
      <c r="AD275" s="7">
        <f t="shared" si="69"/>
        <v>0</v>
      </c>
      <c r="AE275" s="16"/>
      <c r="AF275" s="7">
        <f t="shared" si="70"/>
        <v>0</v>
      </c>
      <c r="AH275" s="7">
        <f t="shared" si="71"/>
        <v>0</v>
      </c>
      <c r="AJ275" s="7">
        <f t="shared" si="59"/>
        <v>59783.51881116833</v>
      </c>
      <c r="AK275" s="21"/>
      <c r="AL275" s="7">
        <f t="shared" si="60"/>
        <v>55288.184633630255</v>
      </c>
      <c r="AM275" s="21"/>
      <c r="AN275" s="7">
        <f t="shared" si="61"/>
        <v>62528.33630933689</v>
      </c>
      <c r="AP275" s="21">
        <f>AVERAGE(AJ275,AL275,AN275)</f>
        <v>59200.01325137849</v>
      </c>
    </row>
    <row r="276" spans="2:42" ht="12.75">
      <c r="B276" s="4" t="s">
        <v>36</v>
      </c>
      <c r="D276" s="4" t="s">
        <v>34</v>
      </c>
      <c r="F276" s="7">
        <f t="shared" si="63"/>
        <v>4758.971327461277</v>
      </c>
      <c r="H276" s="7">
        <f t="shared" si="64"/>
        <v>4183.622818609973</v>
      </c>
      <c r="J276" s="7">
        <f t="shared" si="65"/>
        <v>4860.395889591312</v>
      </c>
      <c r="L276" s="7"/>
      <c r="M276" s="16"/>
      <c r="N276" s="7"/>
      <c r="P276" s="7"/>
      <c r="Q276" s="7"/>
      <c r="R276" s="7">
        <f t="shared" si="58"/>
        <v>4758.971327461277</v>
      </c>
      <c r="S276" s="7"/>
      <c r="T276" s="7">
        <f t="shared" si="58"/>
        <v>4183.622818609973</v>
      </c>
      <c r="U276" s="7"/>
      <c r="V276" s="7">
        <f t="shared" si="58"/>
        <v>4860.395889591312</v>
      </c>
      <c r="X276" s="7">
        <f t="shared" si="66"/>
        <v>30620.0005695729</v>
      </c>
      <c r="Y276" s="16"/>
      <c r="Z276" s="7">
        <f t="shared" si="67"/>
        <v>28416.453452558504</v>
      </c>
      <c r="AB276" s="7">
        <f t="shared" si="68"/>
        <v>26190.308932088323</v>
      </c>
      <c r="AD276" s="7">
        <f t="shared" si="69"/>
        <v>46912.279633693004</v>
      </c>
      <c r="AE276" s="16"/>
      <c r="AF276" s="7">
        <f t="shared" si="70"/>
        <v>47146.21099433546</v>
      </c>
      <c r="AH276" s="7">
        <f t="shared" si="71"/>
        <v>45976.71787451241</v>
      </c>
      <c r="AJ276" s="7">
        <f t="shared" si="59"/>
        <v>82291.25153072718</v>
      </c>
      <c r="AK276" s="21"/>
      <c r="AL276" s="7">
        <f t="shared" si="60"/>
        <v>79746.28726550394</v>
      </c>
      <c r="AM276" s="21"/>
      <c r="AN276" s="7">
        <f t="shared" si="61"/>
        <v>77027.42269619205</v>
      </c>
      <c r="AP276" s="21">
        <f>AVERAGE(AJ276,AL276,AN276)</f>
        <v>79688.32049747439</v>
      </c>
    </row>
    <row r="278" spans="1:42" ht="12.75">
      <c r="A278" s="14" t="s">
        <v>61</v>
      </c>
      <c r="B278" s="17" t="s">
        <v>174</v>
      </c>
      <c r="C278" s="4" t="s">
        <v>157</v>
      </c>
      <c r="F278" s="16" t="s">
        <v>181</v>
      </c>
      <c r="H278" s="16" t="s">
        <v>182</v>
      </c>
      <c r="I278" s="16"/>
      <c r="J278" s="16" t="s">
        <v>183</v>
      </c>
      <c r="K278" s="19"/>
      <c r="L278" s="16" t="s">
        <v>181</v>
      </c>
      <c r="M278" s="16"/>
      <c r="N278" s="16" t="s">
        <v>182</v>
      </c>
      <c r="O278" s="16"/>
      <c r="P278" s="16" t="s">
        <v>183</v>
      </c>
      <c r="Q278" s="16"/>
      <c r="R278" s="16" t="s">
        <v>181</v>
      </c>
      <c r="S278" s="16"/>
      <c r="T278" s="16" t="s">
        <v>182</v>
      </c>
      <c r="U278" s="16"/>
      <c r="V278" s="16" t="s">
        <v>183</v>
      </c>
      <c r="W278" s="19"/>
      <c r="X278" s="16" t="s">
        <v>181</v>
      </c>
      <c r="Y278" s="16"/>
      <c r="Z278" s="16" t="s">
        <v>182</v>
      </c>
      <c r="AA278" s="16"/>
      <c r="AB278" s="16" t="s">
        <v>183</v>
      </c>
      <c r="AC278" s="17"/>
      <c r="AD278" s="16" t="s">
        <v>181</v>
      </c>
      <c r="AE278" s="16"/>
      <c r="AF278" s="16" t="s">
        <v>182</v>
      </c>
      <c r="AG278" s="16"/>
      <c r="AH278" s="16" t="s">
        <v>183</v>
      </c>
      <c r="AI278" s="17"/>
      <c r="AJ278" s="16" t="s">
        <v>181</v>
      </c>
      <c r="AK278" s="16"/>
      <c r="AL278" s="16" t="s">
        <v>182</v>
      </c>
      <c r="AM278" s="16"/>
      <c r="AN278" s="16" t="s">
        <v>183</v>
      </c>
      <c r="AP278" s="16" t="s">
        <v>180</v>
      </c>
    </row>
    <row r="279" spans="1:7" ht="12.75">
      <c r="A279" s="13"/>
      <c r="F279" s="14"/>
      <c r="G279" s="14"/>
    </row>
    <row r="280" spans="1:42" ht="12.75">
      <c r="A280" s="13"/>
      <c r="B280" s="4" t="s">
        <v>240</v>
      </c>
      <c r="F280" s="14" t="s">
        <v>270</v>
      </c>
      <c r="G280" s="14"/>
      <c r="H280" s="14" t="s">
        <v>270</v>
      </c>
      <c r="J280" s="14" t="s">
        <v>270</v>
      </c>
      <c r="L280" s="14" t="s">
        <v>272</v>
      </c>
      <c r="N280" s="14" t="s">
        <v>272</v>
      </c>
      <c r="P280" s="14" t="s">
        <v>272</v>
      </c>
      <c r="X280" s="14" t="s">
        <v>274</v>
      </c>
      <c r="Z280" s="14" t="s">
        <v>274</v>
      </c>
      <c r="AB280" s="14" t="s">
        <v>274</v>
      </c>
      <c r="AD280" s="14" t="s">
        <v>275</v>
      </c>
      <c r="AF280" s="14" t="s">
        <v>275</v>
      </c>
      <c r="AH280" s="14" t="s">
        <v>275</v>
      </c>
      <c r="AJ280" s="14" t="s">
        <v>276</v>
      </c>
      <c r="AL280" s="14" t="s">
        <v>276</v>
      </c>
      <c r="AN280" s="14" t="s">
        <v>276</v>
      </c>
      <c r="AP280" s="14" t="s">
        <v>276</v>
      </c>
    </row>
    <row r="281" spans="1:42" ht="12.75">
      <c r="A281" s="13"/>
      <c r="B281" s="4" t="s">
        <v>241</v>
      </c>
      <c r="F281" s="14" t="s">
        <v>269</v>
      </c>
      <c r="G281" s="14"/>
      <c r="H281" s="14" t="s">
        <v>269</v>
      </c>
      <c r="J281" s="14" t="s">
        <v>269</v>
      </c>
      <c r="L281" s="14" t="s">
        <v>271</v>
      </c>
      <c r="N281" s="14" t="s">
        <v>271</v>
      </c>
      <c r="P281" s="14" t="s">
        <v>271</v>
      </c>
      <c r="X281" s="14" t="s">
        <v>273</v>
      </c>
      <c r="Z281" s="14" t="s">
        <v>273</v>
      </c>
      <c r="AB281" s="14" t="s">
        <v>273</v>
      </c>
      <c r="AD281" s="14" t="s">
        <v>33</v>
      </c>
      <c r="AF281" s="14" t="s">
        <v>33</v>
      </c>
      <c r="AH281" s="14" t="s">
        <v>33</v>
      </c>
      <c r="AJ281" s="14" t="s">
        <v>66</v>
      </c>
      <c r="AL281" s="14" t="s">
        <v>66</v>
      </c>
      <c r="AN281" s="14" t="s">
        <v>66</v>
      </c>
      <c r="AP281" s="14" t="s">
        <v>66</v>
      </c>
    </row>
    <row r="282" spans="1:42" ht="12.75">
      <c r="A282" s="13"/>
      <c r="B282" s="4" t="s">
        <v>278</v>
      </c>
      <c r="F282" s="14"/>
      <c r="G282" s="14"/>
      <c r="R282" s="14" t="s">
        <v>40</v>
      </c>
      <c r="T282" s="14" t="s">
        <v>40</v>
      </c>
      <c r="V282" s="14" t="s">
        <v>40</v>
      </c>
      <c r="X282" s="14" t="s">
        <v>279</v>
      </c>
      <c r="Z282" s="14" t="s">
        <v>279</v>
      </c>
      <c r="AB282" s="14" t="s">
        <v>279</v>
      </c>
      <c r="AD282" s="14" t="s">
        <v>33</v>
      </c>
      <c r="AF282" s="14" t="s">
        <v>33</v>
      </c>
      <c r="AH282" s="14" t="s">
        <v>33</v>
      </c>
      <c r="AJ282" s="14" t="s">
        <v>66</v>
      </c>
      <c r="AL282" s="14" t="s">
        <v>66</v>
      </c>
      <c r="AN282" s="14" t="s">
        <v>66</v>
      </c>
      <c r="AP282" s="14" t="s">
        <v>66</v>
      </c>
    </row>
    <row r="283" spans="2:42" ht="12.75">
      <c r="B283" s="4" t="s">
        <v>20</v>
      </c>
      <c r="C283" s="17"/>
      <c r="D283" s="39"/>
      <c r="F283" s="113" t="s">
        <v>140</v>
      </c>
      <c r="H283" s="113" t="s">
        <v>140</v>
      </c>
      <c r="J283" s="113" t="s">
        <v>140</v>
      </c>
      <c r="L283" s="113" t="s">
        <v>141</v>
      </c>
      <c r="M283" s="16"/>
      <c r="N283" s="113" t="s">
        <v>141</v>
      </c>
      <c r="P283" s="113" t="s">
        <v>141</v>
      </c>
      <c r="Q283" s="113"/>
      <c r="R283" s="113"/>
      <c r="S283" s="113"/>
      <c r="T283" s="113"/>
      <c r="U283" s="113"/>
      <c r="V283" s="113"/>
      <c r="X283" s="97" t="s">
        <v>142</v>
      </c>
      <c r="Y283" s="97"/>
      <c r="Z283" s="97" t="s">
        <v>142</v>
      </c>
      <c r="AA283" s="97"/>
      <c r="AB283" s="97" t="s">
        <v>142</v>
      </c>
      <c r="AC283" s="97"/>
      <c r="AD283" s="97" t="s">
        <v>33</v>
      </c>
      <c r="AE283" s="97"/>
      <c r="AF283" s="97" t="s">
        <v>33</v>
      </c>
      <c r="AG283" s="97"/>
      <c r="AH283" s="97" t="s">
        <v>33</v>
      </c>
      <c r="AI283" s="97"/>
      <c r="AJ283" s="97" t="s">
        <v>66</v>
      </c>
      <c r="AK283" s="97"/>
      <c r="AL283" s="97" t="s">
        <v>66</v>
      </c>
      <c r="AM283" s="97"/>
      <c r="AN283" s="97" t="s">
        <v>66</v>
      </c>
      <c r="AP283" s="16" t="s">
        <v>66</v>
      </c>
    </row>
    <row r="284" spans="2:42" ht="12.75">
      <c r="B284" s="4" t="s">
        <v>65</v>
      </c>
      <c r="D284" s="4" t="s">
        <v>139</v>
      </c>
      <c r="F284" s="19">
        <f>7.34*60</f>
        <v>440.4</v>
      </c>
      <c r="H284" s="19">
        <f>10.25*60</f>
        <v>615</v>
      </c>
      <c r="J284" s="19">
        <f>10.21*60</f>
        <v>612.6</v>
      </c>
      <c r="L284" s="19"/>
      <c r="M284" s="16"/>
      <c r="N284" s="19"/>
      <c r="P284" s="19"/>
      <c r="Q284" s="19"/>
      <c r="R284" s="19"/>
      <c r="S284" s="19"/>
      <c r="T284" s="19"/>
      <c r="U284" s="19"/>
      <c r="V284" s="19"/>
      <c r="X284" s="19"/>
      <c r="Y284" s="16"/>
      <c r="Z284" s="19"/>
      <c r="AB284" s="19"/>
      <c r="AC284" s="4"/>
      <c r="AD284" s="19"/>
      <c r="AE284" s="16"/>
      <c r="AJ284" s="5"/>
      <c r="AK284" s="16"/>
      <c r="AL284" s="5"/>
      <c r="AM284" s="19"/>
      <c r="AN284" s="5"/>
      <c r="AP284" s="18"/>
    </row>
    <row r="285" spans="2:42" ht="12.75">
      <c r="B285" s="4" t="s">
        <v>143</v>
      </c>
      <c r="D285" s="4" t="s">
        <v>144</v>
      </c>
      <c r="F285" s="19">
        <v>0.923</v>
      </c>
      <c r="H285" s="14">
        <v>0.899</v>
      </c>
      <c r="J285" s="14">
        <v>0.935</v>
      </c>
      <c r="L285" s="19"/>
      <c r="M285" s="16"/>
      <c r="X285" s="19"/>
      <c r="Y285" s="16"/>
      <c r="AC285" s="4"/>
      <c r="AD285" s="19"/>
      <c r="AE285" s="16"/>
      <c r="AJ285" s="5"/>
      <c r="AK285" s="16"/>
      <c r="AL285" s="5"/>
      <c r="AM285" s="19"/>
      <c r="AN285" s="5"/>
      <c r="AP285" s="18"/>
    </row>
    <row r="286" spans="2:42" ht="12.75">
      <c r="B286" s="4" t="s">
        <v>65</v>
      </c>
      <c r="D286" s="4" t="s">
        <v>28</v>
      </c>
      <c r="F286" s="7">
        <f>F285*8.32*F284</f>
        <v>3381.9901440000003</v>
      </c>
      <c r="H286" s="7">
        <f>H285*8.32*H284</f>
        <v>4600.0032</v>
      </c>
      <c r="J286" s="7">
        <f>J285*8.32*J284</f>
        <v>4765.537920000001</v>
      </c>
      <c r="L286" s="7"/>
      <c r="M286" s="16"/>
      <c r="N286" s="7"/>
      <c r="P286" s="7"/>
      <c r="Q286" s="7"/>
      <c r="R286" s="7"/>
      <c r="S286" s="7"/>
      <c r="T286" s="7"/>
      <c r="U286" s="7"/>
      <c r="V286" s="7"/>
      <c r="X286" s="19">
        <f>22.02*2000</f>
        <v>44040</v>
      </c>
      <c r="Y286" s="16"/>
      <c r="Z286" s="19">
        <f>22.02*2000</f>
        <v>44040</v>
      </c>
      <c r="AB286" s="19">
        <f>22.01*2000</f>
        <v>44020</v>
      </c>
      <c r="AC286" s="4"/>
      <c r="AD286" s="19"/>
      <c r="AE286" s="16"/>
      <c r="AJ286" s="7">
        <f>F286+L286+X286+AD286</f>
        <v>47421.990144</v>
      </c>
      <c r="AK286" s="16"/>
      <c r="AL286" s="7">
        <f>H286+N286+Z286+AF286</f>
        <v>48640.0032</v>
      </c>
      <c r="AM286" s="19"/>
      <c r="AN286" s="7">
        <f>J286+P286+AB286+AH286</f>
        <v>48785.53792</v>
      </c>
      <c r="AP286" s="18"/>
    </row>
    <row r="287" spans="2:40" ht="12.75">
      <c r="B287" s="4" t="s">
        <v>21</v>
      </c>
      <c r="D287" s="4" t="s">
        <v>22</v>
      </c>
      <c r="F287" s="19">
        <v>8900</v>
      </c>
      <c r="H287" s="19">
        <v>11000</v>
      </c>
      <c r="J287" s="19">
        <v>11000</v>
      </c>
      <c r="L287" s="19"/>
      <c r="M287" s="16"/>
      <c r="X287" s="19"/>
      <c r="Y287" s="16"/>
      <c r="AC287" s="4"/>
      <c r="AD287" s="19"/>
      <c r="AE287" s="16"/>
      <c r="AJ287" s="7"/>
      <c r="AK287" s="16"/>
      <c r="AL287" s="7"/>
      <c r="AM287" s="19"/>
      <c r="AN287" s="7"/>
    </row>
    <row r="288" spans="12:40" ht="12.75">
      <c r="L288" s="19"/>
      <c r="M288" s="16"/>
      <c r="X288" s="6"/>
      <c r="Y288" s="16"/>
      <c r="AC288" s="4"/>
      <c r="AD288" s="6"/>
      <c r="AE288" s="16"/>
      <c r="AJ288" s="72"/>
      <c r="AK288" s="114"/>
      <c r="AL288" s="72"/>
      <c r="AM288" s="40"/>
      <c r="AN288" s="72"/>
    </row>
    <row r="289" spans="2:42" ht="12.75">
      <c r="B289" s="4" t="s">
        <v>23</v>
      </c>
      <c r="D289" s="4" t="s">
        <v>18</v>
      </c>
      <c r="E289" s="16"/>
      <c r="F289" s="6">
        <v>2</v>
      </c>
      <c r="H289" s="14">
        <v>1.6</v>
      </c>
      <c r="I289" s="5"/>
      <c r="J289" s="14">
        <v>2.1</v>
      </c>
      <c r="K289" s="19"/>
      <c r="L289" s="5"/>
      <c r="M289" s="16"/>
      <c r="O289" s="5"/>
      <c r="W289" s="19"/>
      <c r="X289" s="19"/>
      <c r="Y289" s="16"/>
      <c r="AA289" s="5"/>
      <c r="AC289" s="4"/>
      <c r="AD289" s="19"/>
      <c r="AE289" s="16"/>
      <c r="AG289" s="5"/>
      <c r="AJ289" s="62"/>
      <c r="AK289" s="114"/>
      <c r="AL289" s="62"/>
      <c r="AM289" s="40"/>
      <c r="AN289" s="62"/>
      <c r="AO289" s="115"/>
      <c r="AP289" s="116"/>
    </row>
    <row r="290" spans="2:42" ht="12.75">
      <c r="B290" s="4" t="s">
        <v>24</v>
      </c>
      <c r="D290" s="4" t="s">
        <v>28</v>
      </c>
      <c r="E290" s="16"/>
      <c r="F290" s="19">
        <v>61</v>
      </c>
      <c r="H290" s="14">
        <v>83</v>
      </c>
      <c r="I290" s="5"/>
      <c r="J290" s="14">
        <v>109.9</v>
      </c>
      <c r="L290" s="19"/>
      <c r="M290" s="16"/>
      <c r="O290" s="5"/>
      <c r="X290" s="6">
        <v>1.5</v>
      </c>
      <c r="Y290" s="117"/>
      <c r="Z290" s="60">
        <v>3.1</v>
      </c>
      <c r="AA290" s="6"/>
      <c r="AB290" s="60">
        <v>1.4</v>
      </c>
      <c r="AC290" s="4"/>
      <c r="AD290" s="19"/>
      <c r="AE290" s="16"/>
      <c r="AF290" s="19"/>
      <c r="AG290" s="5"/>
      <c r="AH290" s="19"/>
      <c r="AJ290" s="5">
        <f>F290+L290+X290+AD290</f>
        <v>62.5</v>
      </c>
      <c r="AK290" s="114"/>
      <c r="AL290" s="5">
        <f>H290+N290+Z290+AF290</f>
        <v>86.1</v>
      </c>
      <c r="AM290" s="40"/>
      <c r="AN290" s="5">
        <f>J290+P290+AB290+AH290</f>
        <v>111.30000000000001</v>
      </c>
      <c r="AO290" s="115"/>
      <c r="AP290" s="127">
        <f>AVERAGE(AJ290,AL290,AN290)</f>
        <v>86.63333333333333</v>
      </c>
    </row>
    <row r="291" spans="5:42" ht="12.75">
      <c r="E291" s="16"/>
      <c r="I291" s="5"/>
      <c r="L291" s="19"/>
      <c r="M291" s="16"/>
      <c r="O291" s="5"/>
      <c r="X291" s="6"/>
      <c r="Y291" s="117"/>
      <c r="Z291" s="60"/>
      <c r="AA291" s="6"/>
      <c r="AB291" s="60"/>
      <c r="AC291" s="4"/>
      <c r="AD291" s="19"/>
      <c r="AE291" s="16"/>
      <c r="AF291" s="19"/>
      <c r="AG291" s="5"/>
      <c r="AH291" s="19"/>
      <c r="AJ291" s="5"/>
      <c r="AK291" s="114"/>
      <c r="AL291" s="5"/>
      <c r="AM291" s="40"/>
      <c r="AN291" s="5"/>
      <c r="AO291" s="115"/>
      <c r="AP291" s="115"/>
    </row>
    <row r="292" spans="2:42" ht="12.75">
      <c r="B292" s="4" t="s">
        <v>123</v>
      </c>
      <c r="D292" s="4" t="s">
        <v>28</v>
      </c>
      <c r="E292" s="16"/>
      <c r="F292" s="68">
        <v>0.085</v>
      </c>
      <c r="G292" s="122"/>
      <c r="H292" s="68">
        <v>0.101</v>
      </c>
      <c r="I292" s="68"/>
      <c r="J292" s="68">
        <v>0.11</v>
      </c>
      <c r="L292" s="68"/>
      <c r="M292" s="16"/>
      <c r="N292" s="68"/>
      <c r="O292" s="5"/>
      <c r="P292" s="68"/>
      <c r="Q292" s="68"/>
      <c r="R292" s="68"/>
      <c r="S292" s="68"/>
      <c r="T292" s="68"/>
      <c r="U292" s="68"/>
      <c r="V292" s="68"/>
      <c r="X292" s="68">
        <v>0.57</v>
      </c>
      <c r="Y292" s="117"/>
      <c r="Z292" s="68">
        <v>0.41</v>
      </c>
      <c r="AA292" s="6"/>
      <c r="AB292" s="68">
        <v>0.41</v>
      </c>
      <c r="AC292" s="4"/>
      <c r="AD292" s="19"/>
      <c r="AE292" s="16"/>
      <c r="AF292" s="19"/>
      <c r="AG292" s="5"/>
      <c r="AH292" s="19"/>
      <c r="AJ292" s="6">
        <f>F292+L292+X292+AD292</f>
        <v>0.6549999999999999</v>
      </c>
      <c r="AK292" s="119"/>
      <c r="AL292" s="6">
        <f>H292+N292+Z292+AF292</f>
        <v>0.511</v>
      </c>
      <c r="AM292" s="62"/>
      <c r="AN292" s="6">
        <f>J292+P292+AB292+AH292</f>
        <v>0.52</v>
      </c>
      <c r="AO292" s="115"/>
      <c r="AP292" s="115"/>
    </row>
    <row r="293" spans="2:42" ht="12.75">
      <c r="B293" s="4" t="s">
        <v>124</v>
      </c>
      <c r="D293" s="4" t="s">
        <v>28</v>
      </c>
      <c r="E293" s="16"/>
      <c r="F293" s="68">
        <v>0.071</v>
      </c>
      <c r="G293" s="122"/>
      <c r="H293" s="68">
        <v>0.088</v>
      </c>
      <c r="I293" s="68"/>
      <c r="J293" s="68">
        <v>0.134</v>
      </c>
      <c r="L293" s="68"/>
      <c r="M293" s="16"/>
      <c r="N293" s="68"/>
      <c r="O293" s="5"/>
      <c r="P293" s="68"/>
      <c r="Q293" s="68"/>
      <c r="R293" s="68"/>
      <c r="S293" s="68"/>
      <c r="T293" s="68"/>
      <c r="U293" s="68"/>
      <c r="V293" s="68"/>
      <c r="X293" s="68">
        <v>0.04</v>
      </c>
      <c r="Y293" s="117"/>
      <c r="Z293" s="68">
        <v>0.04</v>
      </c>
      <c r="AA293" s="6"/>
      <c r="AB293" s="68">
        <v>0.04</v>
      </c>
      <c r="AC293" s="4"/>
      <c r="AD293" s="19"/>
      <c r="AE293" s="16"/>
      <c r="AF293" s="19"/>
      <c r="AG293" s="5"/>
      <c r="AH293" s="19"/>
      <c r="AJ293" s="6">
        <f aca="true" t="shared" si="72" ref="AJ293:AJ305">F293+L293+X293+AD293</f>
        <v>0.11099999999999999</v>
      </c>
      <c r="AK293" s="119"/>
      <c r="AL293" s="6">
        <f aca="true" t="shared" si="73" ref="AL293:AL305">H293+N293+Z293+AF293</f>
        <v>0.128</v>
      </c>
      <c r="AM293" s="62"/>
      <c r="AN293" s="6">
        <f aca="true" t="shared" si="74" ref="AN293:AN305">J293+P293+AB293+AH293</f>
        <v>0.17400000000000002</v>
      </c>
      <c r="AO293" s="115"/>
      <c r="AP293" s="115"/>
    </row>
    <row r="294" spans="2:42" ht="12.75">
      <c r="B294" s="4" t="s">
        <v>125</v>
      </c>
      <c r="D294" s="4" t="s">
        <v>28</v>
      </c>
      <c r="E294" s="16"/>
      <c r="F294" s="6">
        <v>0.37</v>
      </c>
      <c r="G294" s="117"/>
      <c r="H294" s="6">
        <v>0.39</v>
      </c>
      <c r="I294" s="6"/>
      <c r="J294" s="6">
        <v>0.48</v>
      </c>
      <c r="L294" s="6"/>
      <c r="M294" s="16"/>
      <c r="N294" s="6"/>
      <c r="O294" s="5"/>
      <c r="P294" s="6"/>
      <c r="Q294" s="6"/>
      <c r="R294" s="68"/>
      <c r="S294" s="6"/>
      <c r="T294" s="6"/>
      <c r="U294" s="6"/>
      <c r="V294" s="6"/>
      <c r="X294" s="6">
        <v>12.33</v>
      </c>
      <c r="Y294" s="117"/>
      <c r="Z294" s="6">
        <v>10.13</v>
      </c>
      <c r="AA294" s="6"/>
      <c r="AB294" s="6">
        <v>5.72</v>
      </c>
      <c r="AC294" s="4"/>
      <c r="AD294" s="19"/>
      <c r="AE294" s="16"/>
      <c r="AF294" s="19"/>
      <c r="AG294" s="5"/>
      <c r="AH294" s="19"/>
      <c r="AJ294" s="6">
        <f t="shared" si="72"/>
        <v>12.7</v>
      </c>
      <c r="AK294" s="119"/>
      <c r="AL294" s="6">
        <f t="shared" si="73"/>
        <v>10.520000000000001</v>
      </c>
      <c r="AM294" s="62"/>
      <c r="AN294" s="6">
        <f t="shared" si="74"/>
        <v>6.199999999999999</v>
      </c>
      <c r="AO294" s="115"/>
      <c r="AP294" s="115"/>
    </row>
    <row r="295" spans="2:42" ht="12.75">
      <c r="B295" s="4" t="s">
        <v>126</v>
      </c>
      <c r="D295" s="4" t="s">
        <v>28</v>
      </c>
      <c r="E295" s="16"/>
      <c r="F295" s="68">
        <v>0.004</v>
      </c>
      <c r="G295" s="122"/>
      <c r="H295" s="68">
        <v>0.006</v>
      </c>
      <c r="I295" s="68"/>
      <c r="J295" s="68">
        <v>0.006</v>
      </c>
      <c r="L295" s="68"/>
      <c r="M295" s="16"/>
      <c r="N295" s="68"/>
      <c r="O295" s="5"/>
      <c r="P295" s="68"/>
      <c r="Q295" s="68"/>
      <c r="R295" s="68"/>
      <c r="S295" s="68"/>
      <c r="T295" s="68"/>
      <c r="U295" s="68"/>
      <c r="V295" s="68"/>
      <c r="X295" s="68">
        <v>0.062</v>
      </c>
      <c r="Y295" s="117"/>
      <c r="Z295" s="68">
        <v>0.048</v>
      </c>
      <c r="AA295" s="6"/>
      <c r="AB295" s="68">
        <v>0.044</v>
      </c>
      <c r="AC295" s="4"/>
      <c r="AD295" s="19"/>
      <c r="AE295" s="16"/>
      <c r="AF295" s="19"/>
      <c r="AG295" s="5"/>
      <c r="AH295" s="19"/>
      <c r="AJ295" s="6">
        <f t="shared" si="72"/>
        <v>0.066</v>
      </c>
      <c r="AK295" s="119"/>
      <c r="AL295" s="6">
        <f t="shared" si="73"/>
        <v>0.054</v>
      </c>
      <c r="AM295" s="62"/>
      <c r="AN295" s="6">
        <f t="shared" si="74"/>
        <v>0.049999999999999996</v>
      </c>
      <c r="AO295" s="115"/>
      <c r="AP295" s="115"/>
    </row>
    <row r="296" spans="2:42" ht="12.75">
      <c r="B296" s="4" t="s">
        <v>127</v>
      </c>
      <c r="D296" s="4" t="s">
        <v>28</v>
      </c>
      <c r="E296" s="16"/>
      <c r="F296" s="68">
        <v>0.112</v>
      </c>
      <c r="G296" s="117"/>
      <c r="H296" s="68">
        <v>0.134</v>
      </c>
      <c r="I296" s="6"/>
      <c r="J296" s="68">
        <v>0.158</v>
      </c>
      <c r="L296" s="69"/>
      <c r="M296" s="16"/>
      <c r="N296" s="69"/>
      <c r="O296" s="5"/>
      <c r="P296" s="69"/>
      <c r="Q296" s="69"/>
      <c r="R296" s="68"/>
      <c r="S296" s="69"/>
      <c r="T296" s="69"/>
      <c r="U296" s="69"/>
      <c r="V296" s="69"/>
      <c r="X296" s="6">
        <v>0.02</v>
      </c>
      <c r="Y296" s="117"/>
      <c r="Z296" s="6">
        <v>0.02</v>
      </c>
      <c r="AA296" s="6"/>
      <c r="AB296" s="6">
        <v>0.02</v>
      </c>
      <c r="AC296" s="4"/>
      <c r="AD296" s="19"/>
      <c r="AE296" s="16"/>
      <c r="AF296" s="19"/>
      <c r="AG296" s="5"/>
      <c r="AH296" s="19"/>
      <c r="AJ296" s="6">
        <f t="shared" si="72"/>
        <v>0.132</v>
      </c>
      <c r="AK296" s="119"/>
      <c r="AL296" s="6">
        <f t="shared" si="73"/>
        <v>0.154</v>
      </c>
      <c r="AM296" s="62"/>
      <c r="AN296" s="6">
        <f t="shared" si="74"/>
        <v>0.178</v>
      </c>
      <c r="AO296" s="115"/>
      <c r="AP296" s="115"/>
    </row>
    <row r="297" spans="2:42" ht="12.75">
      <c r="B297" s="4" t="s">
        <v>128</v>
      </c>
      <c r="D297" s="4" t="s">
        <v>28</v>
      </c>
      <c r="E297" s="16"/>
      <c r="F297" s="6">
        <v>0.125</v>
      </c>
      <c r="G297" s="117"/>
      <c r="H297" s="6">
        <v>0.157</v>
      </c>
      <c r="I297" s="6"/>
      <c r="J297" s="6">
        <v>0.196</v>
      </c>
      <c r="L297" s="68"/>
      <c r="M297" s="16"/>
      <c r="N297" s="68"/>
      <c r="O297" s="5"/>
      <c r="P297" s="68"/>
      <c r="Q297" s="68"/>
      <c r="R297" s="68"/>
      <c r="S297" s="68"/>
      <c r="T297" s="68"/>
      <c r="U297" s="68"/>
      <c r="V297" s="68"/>
      <c r="X297" s="68">
        <v>1.19</v>
      </c>
      <c r="Y297" s="117"/>
      <c r="Z297" s="68">
        <v>1.37</v>
      </c>
      <c r="AA297" s="6"/>
      <c r="AB297" s="68">
        <v>1.23</v>
      </c>
      <c r="AC297" s="4"/>
      <c r="AD297" s="19">
        <v>2.92</v>
      </c>
      <c r="AE297" s="16"/>
      <c r="AF297" s="19">
        <v>2.77</v>
      </c>
      <c r="AG297" s="5"/>
      <c r="AH297" s="19">
        <v>2.77</v>
      </c>
      <c r="AJ297" s="6">
        <f t="shared" si="72"/>
        <v>4.234999999999999</v>
      </c>
      <c r="AK297" s="119"/>
      <c r="AL297" s="6">
        <f t="shared" si="73"/>
        <v>4.297000000000001</v>
      </c>
      <c r="AM297" s="62"/>
      <c r="AN297" s="6">
        <f t="shared" si="74"/>
        <v>4.196</v>
      </c>
      <c r="AO297" s="115"/>
      <c r="AP297" s="115"/>
    </row>
    <row r="298" spans="2:42" ht="12.75">
      <c r="B298" s="4" t="s">
        <v>129</v>
      </c>
      <c r="D298" s="4" t="s">
        <v>28</v>
      </c>
      <c r="E298" s="16"/>
      <c r="F298" s="6">
        <v>3.39</v>
      </c>
      <c r="G298" s="117"/>
      <c r="H298" s="6">
        <v>4.29</v>
      </c>
      <c r="I298" s="6"/>
      <c r="J298" s="6">
        <v>4.68</v>
      </c>
      <c r="L298" s="6"/>
      <c r="M298" s="16"/>
      <c r="N298" s="6"/>
      <c r="O298" s="5"/>
      <c r="P298" s="6"/>
      <c r="Q298" s="6"/>
      <c r="R298" s="68"/>
      <c r="S298" s="6"/>
      <c r="T298" s="6"/>
      <c r="U298" s="6"/>
      <c r="V298" s="6"/>
      <c r="X298" s="6">
        <v>2.82</v>
      </c>
      <c r="Y298" s="117"/>
      <c r="Z298" s="6">
        <v>2.6</v>
      </c>
      <c r="AA298" s="6"/>
      <c r="AB298" s="6">
        <v>2.6</v>
      </c>
      <c r="AC298" s="4"/>
      <c r="AD298" s="19"/>
      <c r="AE298" s="16"/>
      <c r="AF298" s="19"/>
      <c r="AG298" s="5"/>
      <c r="AH298" s="19"/>
      <c r="AJ298" s="6">
        <f t="shared" si="72"/>
        <v>6.21</v>
      </c>
      <c r="AK298" s="119"/>
      <c r="AL298" s="6">
        <f t="shared" si="73"/>
        <v>6.890000000000001</v>
      </c>
      <c r="AM298" s="62"/>
      <c r="AN298" s="6">
        <f t="shared" si="74"/>
        <v>7.279999999999999</v>
      </c>
      <c r="AO298" s="115"/>
      <c r="AP298" s="115"/>
    </row>
    <row r="299" spans="2:42" ht="12.75">
      <c r="B299" s="4" t="s">
        <v>130</v>
      </c>
      <c r="D299" s="4" t="s">
        <v>28</v>
      </c>
      <c r="E299" s="16"/>
      <c r="F299" s="6">
        <v>1.39</v>
      </c>
      <c r="G299" s="117"/>
      <c r="H299" s="6">
        <v>1.71</v>
      </c>
      <c r="I299" s="6"/>
      <c r="J299" s="6">
        <v>2.2</v>
      </c>
      <c r="L299" s="6"/>
      <c r="M299" s="16"/>
      <c r="N299" s="6"/>
      <c r="O299" s="5"/>
      <c r="P299" s="6"/>
      <c r="Q299" s="6"/>
      <c r="R299" s="68"/>
      <c r="S299" s="6"/>
      <c r="T299" s="6"/>
      <c r="U299" s="6"/>
      <c r="V299" s="6"/>
      <c r="X299" s="19">
        <v>1.01</v>
      </c>
      <c r="Y299" s="16"/>
      <c r="Z299" s="19">
        <v>0.7</v>
      </c>
      <c r="AA299" s="5"/>
      <c r="AB299" s="19">
        <v>0.7</v>
      </c>
      <c r="AC299" s="4"/>
      <c r="AD299" s="19"/>
      <c r="AE299" s="16"/>
      <c r="AF299" s="19"/>
      <c r="AG299" s="5"/>
      <c r="AH299" s="19"/>
      <c r="AJ299" s="6">
        <f t="shared" si="72"/>
        <v>2.4</v>
      </c>
      <c r="AK299" s="119"/>
      <c r="AL299" s="6">
        <f t="shared" si="73"/>
        <v>2.41</v>
      </c>
      <c r="AM299" s="62"/>
      <c r="AN299" s="6">
        <f t="shared" si="74"/>
        <v>2.9000000000000004</v>
      </c>
      <c r="AO299" s="115"/>
      <c r="AP299" s="115"/>
    </row>
    <row r="300" spans="2:42" ht="12.75">
      <c r="B300" s="4" t="s">
        <v>131</v>
      </c>
      <c r="D300" s="4" t="s">
        <v>28</v>
      </c>
      <c r="E300" s="16"/>
      <c r="F300" s="70">
        <v>0.0016</v>
      </c>
      <c r="G300" s="120"/>
      <c r="H300" s="70">
        <v>0.0022</v>
      </c>
      <c r="I300" s="70"/>
      <c r="J300" s="70">
        <v>0.0033</v>
      </c>
      <c r="L300" s="70"/>
      <c r="M300" s="120"/>
      <c r="N300" s="70"/>
      <c r="O300" s="70"/>
      <c r="P300" s="70"/>
      <c r="Q300" s="70"/>
      <c r="R300" s="68"/>
      <c r="S300" s="70"/>
      <c r="T300" s="70"/>
      <c r="U300" s="70"/>
      <c r="V300" s="70"/>
      <c r="X300" s="70">
        <v>0.0018</v>
      </c>
      <c r="Y300" s="117"/>
      <c r="Z300" s="70">
        <v>0.0018</v>
      </c>
      <c r="AA300" s="6"/>
      <c r="AB300" s="70">
        <v>0.0018</v>
      </c>
      <c r="AC300" s="4"/>
      <c r="AD300" s="19"/>
      <c r="AE300" s="16"/>
      <c r="AF300" s="19"/>
      <c r="AG300" s="5"/>
      <c r="AH300" s="19"/>
      <c r="AJ300" s="69">
        <f t="shared" si="72"/>
        <v>0.0034000000000000002</v>
      </c>
      <c r="AK300" s="125"/>
      <c r="AL300" s="69">
        <f t="shared" si="73"/>
        <v>0.004</v>
      </c>
      <c r="AM300" s="71"/>
      <c r="AN300" s="69">
        <f t="shared" si="74"/>
        <v>0.0051</v>
      </c>
      <c r="AO300" s="115"/>
      <c r="AP300" s="115"/>
    </row>
    <row r="301" spans="2:42" ht="12.75">
      <c r="B301" s="4" t="s">
        <v>132</v>
      </c>
      <c r="D301" s="4" t="s">
        <v>28</v>
      </c>
      <c r="E301" s="16"/>
      <c r="F301" s="6">
        <v>2.2</v>
      </c>
      <c r="G301" s="117"/>
      <c r="H301" s="6">
        <v>2.72</v>
      </c>
      <c r="I301" s="6"/>
      <c r="J301" s="6">
        <v>3.11</v>
      </c>
      <c r="L301" s="6"/>
      <c r="M301" s="16"/>
      <c r="N301" s="6"/>
      <c r="O301" s="5"/>
      <c r="P301" s="6"/>
      <c r="Q301" s="6"/>
      <c r="R301" s="68"/>
      <c r="S301" s="6"/>
      <c r="T301" s="6"/>
      <c r="U301" s="6"/>
      <c r="V301" s="6"/>
      <c r="X301" s="6">
        <v>1.76</v>
      </c>
      <c r="Y301" s="117"/>
      <c r="Z301" s="6">
        <v>1.89</v>
      </c>
      <c r="AA301" s="6"/>
      <c r="AB301" s="6">
        <v>1.76</v>
      </c>
      <c r="AC301" s="4"/>
      <c r="AD301" s="19"/>
      <c r="AE301" s="16"/>
      <c r="AF301" s="19"/>
      <c r="AG301" s="5"/>
      <c r="AH301" s="19"/>
      <c r="AJ301" s="6">
        <f t="shared" si="72"/>
        <v>3.96</v>
      </c>
      <c r="AK301" s="119"/>
      <c r="AL301" s="6">
        <f t="shared" si="73"/>
        <v>4.61</v>
      </c>
      <c r="AM301" s="62"/>
      <c r="AN301" s="6">
        <f t="shared" si="74"/>
        <v>4.87</v>
      </c>
      <c r="AO301" s="115"/>
      <c r="AP301" s="115"/>
    </row>
    <row r="302" spans="2:42" ht="12.75">
      <c r="B302" s="4" t="s">
        <v>133</v>
      </c>
      <c r="D302" s="4" t="s">
        <v>28</v>
      </c>
      <c r="E302" s="16"/>
      <c r="F302" s="68">
        <v>0.07</v>
      </c>
      <c r="G302" s="117"/>
      <c r="H302" s="68">
        <v>0.09</v>
      </c>
      <c r="I302" s="6"/>
      <c r="J302" s="68">
        <v>0.1</v>
      </c>
      <c r="K302" s="16"/>
      <c r="L302" s="68"/>
      <c r="M302" s="16"/>
      <c r="N302" s="68"/>
      <c r="O302" s="5"/>
      <c r="P302" s="68"/>
      <c r="Q302" s="68"/>
      <c r="R302" s="68"/>
      <c r="S302" s="68"/>
      <c r="T302" s="68"/>
      <c r="U302" s="68"/>
      <c r="V302" s="68"/>
      <c r="W302" s="16"/>
      <c r="X302" s="68">
        <v>0.22</v>
      </c>
      <c r="Y302" s="16"/>
      <c r="Z302" s="68">
        <v>0.22</v>
      </c>
      <c r="AA302" s="5"/>
      <c r="AB302" s="68">
        <v>0.22</v>
      </c>
      <c r="AC302" s="4"/>
      <c r="AD302" s="19"/>
      <c r="AE302" s="16"/>
      <c r="AF302" s="19"/>
      <c r="AG302" s="5"/>
      <c r="AH302" s="19"/>
      <c r="AJ302" s="6">
        <f t="shared" si="72"/>
        <v>0.29000000000000004</v>
      </c>
      <c r="AK302" s="119"/>
      <c r="AL302" s="6">
        <f t="shared" si="73"/>
        <v>0.31</v>
      </c>
      <c r="AM302" s="62"/>
      <c r="AN302" s="6">
        <f t="shared" si="74"/>
        <v>0.32</v>
      </c>
      <c r="AO302" s="115"/>
      <c r="AP302" s="115"/>
    </row>
    <row r="303" spans="2:42" ht="12.75">
      <c r="B303" s="4" t="s">
        <v>134</v>
      </c>
      <c r="D303" s="4" t="s">
        <v>28</v>
      </c>
      <c r="E303" s="16"/>
      <c r="F303" s="68">
        <v>0.044</v>
      </c>
      <c r="G303" s="117"/>
      <c r="H303" s="68">
        <v>0.06</v>
      </c>
      <c r="I303" s="6"/>
      <c r="J303" s="68">
        <v>0.076</v>
      </c>
      <c r="L303" s="70"/>
      <c r="M303" s="16"/>
      <c r="N303" s="70"/>
      <c r="O303" s="5"/>
      <c r="P303" s="70"/>
      <c r="Q303" s="70"/>
      <c r="R303" s="68"/>
      <c r="S303" s="70"/>
      <c r="T303" s="70"/>
      <c r="U303" s="70"/>
      <c r="V303" s="70"/>
      <c r="X303" s="6">
        <v>0.02</v>
      </c>
      <c r="Y303" s="117"/>
      <c r="Z303" s="6">
        <v>0.02</v>
      </c>
      <c r="AA303" s="6"/>
      <c r="AB303" s="6">
        <v>0.02</v>
      </c>
      <c r="AC303" s="4"/>
      <c r="AD303" s="19"/>
      <c r="AE303" s="16"/>
      <c r="AF303" s="19"/>
      <c r="AG303" s="5"/>
      <c r="AH303" s="19"/>
      <c r="AJ303" s="6">
        <f t="shared" si="72"/>
        <v>0.064</v>
      </c>
      <c r="AK303" s="119"/>
      <c r="AL303" s="6">
        <f t="shared" si="73"/>
        <v>0.08</v>
      </c>
      <c r="AM303" s="62"/>
      <c r="AN303" s="6">
        <f t="shared" si="74"/>
        <v>0.096</v>
      </c>
      <c r="AO303" s="115"/>
      <c r="AP303" s="115"/>
    </row>
    <row r="304" spans="2:42" ht="12.75">
      <c r="B304" s="4" t="s">
        <v>135</v>
      </c>
      <c r="D304" s="4" t="s">
        <v>28</v>
      </c>
      <c r="E304" s="16"/>
      <c r="F304" s="68">
        <v>0.088</v>
      </c>
      <c r="G304" s="117"/>
      <c r="H304" s="68">
        <v>0.12</v>
      </c>
      <c r="I304" s="6"/>
      <c r="J304" s="68">
        <v>0.134</v>
      </c>
      <c r="L304" s="68"/>
      <c r="M304" s="16"/>
      <c r="N304" s="68"/>
      <c r="O304" s="5"/>
      <c r="P304" s="68"/>
      <c r="Q304" s="68"/>
      <c r="R304" s="68"/>
      <c r="S304" s="68"/>
      <c r="T304" s="68"/>
      <c r="U304" s="68"/>
      <c r="V304" s="68"/>
      <c r="X304" s="68">
        <v>0.04</v>
      </c>
      <c r="Y304" s="16"/>
      <c r="Z304" s="68">
        <v>0.04</v>
      </c>
      <c r="AA304" s="5"/>
      <c r="AB304" s="68">
        <v>0.04</v>
      </c>
      <c r="AC304" s="4"/>
      <c r="AD304" s="19"/>
      <c r="AE304" s="16"/>
      <c r="AF304" s="19"/>
      <c r="AG304" s="5"/>
      <c r="AH304" s="19"/>
      <c r="AJ304" s="6">
        <f t="shared" si="72"/>
        <v>0.128</v>
      </c>
      <c r="AK304" s="119"/>
      <c r="AL304" s="6">
        <f t="shared" si="73"/>
        <v>0.16</v>
      </c>
      <c r="AM304" s="62"/>
      <c r="AN304" s="6">
        <f t="shared" si="74"/>
        <v>0.17400000000000002</v>
      </c>
      <c r="AO304" s="115"/>
      <c r="AP304" s="115"/>
    </row>
    <row r="305" spans="2:42" ht="12.75">
      <c r="B305" s="4" t="s">
        <v>136</v>
      </c>
      <c r="D305" s="4" t="s">
        <v>28</v>
      </c>
      <c r="E305" s="16"/>
      <c r="F305" s="6">
        <v>3.73</v>
      </c>
      <c r="G305" s="117"/>
      <c r="H305" s="6">
        <v>4.52</v>
      </c>
      <c r="I305" s="6"/>
      <c r="J305" s="6">
        <v>5.26</v>
      </c>
      <c r="L305" s="6"/>
      <c r="M305" s="16"/>
      <c r="N305" s="6"/>
      <c r="O305" s="5"/>
      <c r="P305" s="6"/>
      <c r="Q305" s="6"/>
      <c r="R305" s="68"/>
      <c r="S305" s="6"/>
      <c r="T305" s="6"/>
      <c r="U305" s="6"/>
      <c r="V305" s="6"/>
      <c r="X305" s="6">
        <v>5.28</v>
      </c>
      <c r="Y305" s="117"/>
      <c r="Z305" s="6">
        <v>4.01</v>
      </c>
      <c r="AA305" s="6"/>
      <c r="AB305" s="6">
        <v>3.79</v>
      </c>
      <c r="AC305" s="4"/>
      <c r="AD305" s="19"/>
      <c r="AE305" s="16"/>
      <c r="AF305" s="19"/>
      <c r="AG305" s="5"/>
      <c r="AH305" s="19"/>
      <c r="AJ305" s="6">
        <f t="shared" si="72"/>
        <v>9.01</v>
      </c>
      <c r="AK305" s="119"/>
      <c r="AL305" s="6">
        <f t="shared" si="73"/>
        <v>8.53</v>
      </c>
      <c r="AM305" s="62"/>
      <c r="AN305" s="6">
        <f t="shared" si="74"/>
        <v>9.05</v>
      </c>
      <c r="AO305" s="115"/>
      <c r="AP305" s="115"/>
    </row>
    <row r="306" spans="2:42" ht="12.75">
      <c r="B306" s="4" t="s">
        <v>35</v>
      </c>
      <c r="D306" s="4" t="s">
        <v>28</v>
      </c>
      <c r="E306" s="16"/>
      <c r="F306" s="6">
        <f>F296+F299</f>
        <v>1.502</v>
      </c>
      <c r="H306" s="6">
        <f>H296+H299</f>
        <v>1.8439999999999999</v>
      </c>
      <c r="I306" s="5"/>
      <c r="J306" s="6">
        <f>J296+J299</f>
        <v>2.358</v>
      </c>
      <c r="L306" s="6"/>
      <c r="M306" s="16"/>
      <c r="N306" s="6"/>
      <c r="O306" s="5"/>
      <c r="P306" s="6"/>
      <c r="Q306" s="6"/>
      <c r="R306" s="68"/>
      <c r="S306" s="6"/>
      <c r="T306" s="6"/>
      <c r="U306" s="6"/>
      <c r="V306" s="6"/>
      <c r="X306" s="6">
        <f>X296+X299</f>
        <v>1.03</v>
      </c>
      <c r="Y306" s="16"/>
      <c r="Z306" s="6">
        <f>Z296+Z299</f>
        <v>0.72</v>
      </c>
      <c r="AA306" s="5"/>
      <c r="AB306" s="6">
        <f>AB296+AB299</f>
        <v>0.72</v>
      </c>
      <c r="AC306" s="4"/>
      <c r="AD306" s="6">
        <f>AD296+AD299</f>
        <v>0</v>
      </c>
      <c r="AE306" s="16"/>
      <c r="AF306" s="6">
        <f>AF296+AF299</f>
        <v>0</v>
      </c>
      <c r="AG306" s="5"/>
      <c r="AH306" s="6">
        <f>AH296+AH299</f>
        <v>0</v>
      </c>
      <c r="AJ306" s="6">
        <f>AJ296+AJ299</f>
        <v>2.532</v>
      </c>
      <c r="AK306" s="16"/>
      <c r="AL306" s="6">
        <f>AL296+AL299</f>
        <v>2.564</v>
      </c>
      <c r="AM306" s="5"/>
      <c r="AN306" s="6">
        <f>AN296+AN299</f>
        <v>3.0780000000000003</v>
      </c>
      <c r="AO306" s="115"/>
      <c r="AP306" s="115"/>
    </row>
    <row r="307" spans="2:42" ht="12.75">
      <c r="B307" s="4" t="s">
        <v>36</v>
      </c>
      <c r="D307" s="4" t="s">
        <v>28</v>
      </c>
      <c r="E307" s="16"/>
      <c r="F307" s="6">
        <f>F292+F295+F297</f>
        <v>0.21400000000000002</v>
      </c>
      <c r="H307" s="6">
        <f>H292+H295+H297</f>
        <v>0.264</v>
      </c>
      <c r="I307" s="5"/>
      <c r="J307" s="6">
        <f>J292+J295+J297</f>
        <v>0.312</v>
      </c>
      <c r="L307" s="6"/>
      <c r="M307" s="16"/>
      <c r="N307" s="6"/>
      <c r="O307" s="5"/>
      <c r="P307" s="6"/>
      <c r="Q307" s="6"/>
      <c r="R307" s="68"/>
      <c r="S307" s="6"/>
      <c r="T307" s="6"/>
      <c r="U307" s="6"/>
      <c r="V307" s="6"/>
      <c r="X307" s="6">
        <f>X292+X295+X297</f>
        <v>1.8219999999999998</v>
      </c>
      <c r="Y307" s="16"/>
      <c r="Z307" s="6">
        <f>Z292+Z295+Z297</f>
        <v>1.828</v>
      </c>
      <c r="AA307" s="5"/>
      <c r="AB307" s="6">
        <f>AB292+AB295+AB297</f>
        <v>1.684</v>
      </c>
      <c r="AC307" s="4"/>
      <c r="AD307" s="6">
        <f>AD292+AD295+AD297</f>
        <v>2.92</v>
      </c>
      <c r="AE307" s="16"/>
      <c r="AF307" s="6">
        <f>AF292+AF295+AF297</f>
        <v>2.77</v>
      </c>
      <c r="AG307" s="5"/>
      <c r="AH307" s="6">
        <f>AH292+AH295+AH297</f>
        <v>2.77</v>
      </c>
      <c r="AJ307" s="6">
        <f>AJ292+AJ295+AJ297</f>
        <v>4.9559999999999995</v>
      </c>
      <c r="AK307" s="16"/>
      <c r="AL307" s="6">
        <f>AL292+AL295+AL297</f>
        <v>4.862000000000001</v>
      </c>
      <c r="AM307" s="5"/>
      <c r="AN307" s="6">
        <f>AN292+AN295+AN297</f>
        <v>4.766</v>
      </c>
      <c r="AO307" s="115"/>
      <c r="AP307" s="115"/>
    </row>
    <row r="308" spans="5:42" ht="12.75">
      <c r="E308" s="16"/>
      <c r="I308" s="5"/>
      <c r="L308" s="19"/>
      <c r="M308" s="16"/>
      <c r="O308" s="5"/>
      <c r="X308" s="6"/>
      <c r="Y308" s="117"/>
      <c r="Z308" s="60"/>
      <c r="AA308" s="6"/>
      <c r="AB308" s="60"/>
      <c r="AC308" s="4"/>
      <c r="AD308" s="19"/>
      <c r="AE308" s="16"/>
      <c r="AF308" s="19"/>
      <c r="AG308" s="5"/>
      <c r="AH308" s="19"/>
      <c r="AJ308" s="68"/>
      <c r="AK308" s="114"/>
      <c r="AL308" s="68"/>
      <c r="AM308" s="40"/>
      <c r="AN308" s="68"/>
      <c r="AO308" s="115"/>
      <c r="AP308" s="115"/>
    </row>
    <row r="309" spans="5:42" ht="12.75">
      <c r="E309" s="16"/>
      <c r="I309" s="5"/>
      <c r="L309" s="19"/>
      <c r="M309" s="16"/>
      <c r="O309" s="5"/>
      <c r="X309" s="6"/>
      <c r="Y309" s="117"/>
      <c r="Z309" s="60"/>
      <c r="AA309" s="6"/>
      <c r="AB309" s="60"/>
      <c r="AC309" s="4"/>
      <c r="AD309" s="19"/>
      <c r="AE309" s="16"/>
      <c r="AF309" s="19"/>
      <c r="AG309" s="5"/>
      <c r="AH309" s="19"/>
      <c r="AJ309" s="5"/>
      <c r="AK309" s="114"/>
      <c r="AL309" s="5"/>
      <c r="AM309" s="40"/>
      <c r="AN309" s="5"/>
      <c r="AO309" s="115"/>
      <c r="AP309" s="115"/>
    </row>
    <row r="310" spans="5:42" ht="12.75">
      <c r="E310" s="16"/>
      <c r="I310" s="19"/>
      <c r="L310" s="19"/>
      <c r="M310" s="16"/>
      <c r="O310" s="19"/>
      <c r="X310" s="19"/>
      <c r="Y310" s="19"/>
      <c r="AA310" s="7"/>
      <c r="AB310" s="16"/>
      <c r="AJ310" s="72"/>
      <c r="AK310" s="114"/>
      <c r="AL310" s="72"/>
      <c r="AM310" s="40"/>
      <c r="AN310" s="72"/>
      <c r="AO310" s="115"/>
      <c r="AP310" s="115"/>
    </row>
    <row r="311" spans="2:42" ht="12.75">
      <c r="B311" s="4" t="s">
        <v>37</v>
      </c>
      <c r="D311" s="4" t="s">
        <v>17</v>
      </c>
      <c r="E311" s="16"/>
      <c r="F311" s="7">
        <f>'emiss 1'!G303</f>
        <v>34840</v>
      </c>
      <c r="H311" s="7">
        <f>'emiss 1'!I303</f>
        <v>34814</v>
      </c>
      <c r="I311" s="19"/>
      <c r="J311" s="7">
        <f>'emiss 1'!K303</f>
        <v>34525</v>
      </c>
      <c r="K311" s="16"/>
      <c r="L311" s="19">
        <f>$F311</f>
        <v>34840</v>
      </c>
      <c r="M311" s="16"/>
      <c r="N311" s="19">
        <f>$H311</f>
        <v>34814</v>
      </c>
      <c r="O311" s="19"/>
      <c r="P311" s="19">
        <f>$J311</f>
        <v>34525</v>
      </c>
      <c r="Q311" s="19"/>
      <c r="R311" s="19"/>
      <c r="S311" s="19"/>
      <c r="T311" s="19"/>
      <c r="U311" s="19"/>
      <c r="V311" s="19"/>
      <c r="W311" s="21"/>
      <c r="X311" s="19">
        <f>$F311</f>
        <v>34840</v>
      </c>
      <c r="Y311" s="16"/>
      <c r="Z311" s="19">
        <f>$H311</f>
        <v>34814</v>
      </c>
      <c r="AA311" s="19"/>
      <c r="AB311" s="19">
        <f>$J311</f>
        <v>34525</v>
      </c>
      <c r="AD311" s="19">
        <f>$F311</f>
        <v>34840</v>
      </c>
      <c r="AE311" s="16"/>
      <c r="AF311" s="19">
        <f>$H311</f>
        <v>34814</v>
      </c>
      <c r="AG311" s="19"/>
      <c r="AH311" s="19">
        <f>$J311</f>
        <v>34525</v>
      </c>
      <c r="AJ311" s="19">
        <f>$F311</f>
        <v>34840</v>
      </c>
      <c r="AK311" s="16"/>
      <c r="AL311" s="19">
        <f>$H311</f>
        <v>34814</v>
      </c>
      <c r="AM311" s="19"/>
      <c r="AN311" s="19">
        <f>$J311</f>
        <v>34525</v>
      </c>
      <c r="AP311" s="21">
        <f>AVERAGE(AJ311,AL311,AN311)</f>
        <v>34726.333333333336</v>
      </c>
    </row>
    <row r="312" spans="2:42" ht="12.75">
      <c r="B312" s="4" t="s">
        <v>38</v>
      </c>
      <c r="D312" s="4" t="s">
        <v>18</v>
      </c>
      <c r="E312" s="16"/>
      <c r="F312" s="5">
        <f>'emiss 1'!G304</f>
        <v>15.2</v>
      </c>
      <c r="G312" s="54"/>
      <c r="H312" s="5">
        <f>'emiss 1'!I304</f>
        <v>14.9</v>
      </c>
      <c r="I312" s="5"/>
      <c r="J312" s="5">
        <f>'emiss 1'!K304</f>
        <v>15.2</v>
      </c>
      <c r="K312" s="16"/>
      <c r="L312" s="19">
        <f>$F312</f>
        <v>15.2</v>
      </c>
      <c r="M312" s="16"/>
      <c r="N312" s="19">
        <f>$H312</f>
        <v>14.9</v>
      </c>
      <c r="O312" s="19"/>
      <c r="P312" s="19">
        <f>$J312</f>
        <v>15.2</v>
      </c>
      <c r="Q312" s="19"/>
      <c r="R312" s="19"/>
      <c r="S312" s="19"/>
      <c r="T312" s="19"/>
      <c r="U312" s="19"/>
      <c r="V312" s="19"/>
      <c r="W312" s="16"/>
      <c r="X312" s="19">
        <f>$F312</f>
        <v>15.2</v>
      </c>
      <c r="Y312" s="16"/>
      <c r="Z312" s="19">
        <f>$H312</f>
        <v>14.9</v>
      </c>
      <c r="AA312" s="19"/>
      <c r="AB312" s="19">
        <f>$J312</f>
        <v>15.2</v>
      </c>
      <c r="AC312" s="16"/>
      <c r="AD312" s="19">
        <f>$F312</f>
        <v>15.2</v>
      </c>
      <c r="AE312" s="16"/>
      <c r="AF312" s="19">
        <f>$H312</f>
        <v>14.9</v>
      </c>
      <c r="AG312" s="19"/>
      <c r="AH312" s="19">
        <f>$J312</f>
        <v>15.2</v>
      </c>
      <c r="AI312" s="16"/>
      <c r="AJ312" s="19">
        <f>$F312</f>
        <v>15.2</v>
      </c>
      <c r="AK312" s="16"/>
      <c r="AL312" s="19">
        <f>$H312</f>
        <v>14.9</v>
      </c>
      <c r="AM312" s="19"/>
      <c r="AN312" s="19">
        <f>$J312</f>
        <v>15.2</v>
      </c>
      <c r="AP312" s="18">
        <f>AVERAGE(AJ312,AL312,AN312)</f>
        <v>15.1</v>
      </c>
    </row>
    <row r="313" spans="5:28" ht="12.75">
      <c r="E313" s="16"/>
      <c r="I313" s="19"/>
      <c r="J313" s="16"/>
      <c r="K313" s="16"/>
      <c r="AB313" s="16"/>
    </row>
    <row r="314" spans="2:42" ht="12.75">
      <c r="B314" s="4" t="s">
        <v>283</v>
      </c>
      <c r="D314" s="4" t="s">
        <v>32</v>
      </c>
      <c r="E314" s="16"/>
      <c r="F314" s="5">
        <f>F286*F287/1000000</f>
        <v>30.099712281600002</v>
      </c>
      <c r="H314" s="5">
        <f>H286*H287/1000000</f>
        <v>50.6000352</v>
      </c>
      <c r="I314" s="19"/>
      <c r="J314" s="5">
        <f>J286*J287/1000000</f>
        <v>52.420917120000006</v>
      </c>
      <c r="K314" s="16"/>
      <c r="L314" s="5"/>
      <c r="N314" s="5"/>
      <c r="P314" s="5"/>
      <c r="Q314" s="5"/>
      <c r="R314" s="5"/>
      <c r="S314" s="5"/>
      <c r="T314" s="5"/>
      <c r="U314" s="5"/>
      <c r="V314" s="5"/>
      <c r="X314" s="5"/>
      <c r="Y314" s="16"/>
      <c r="Z314" s="5"/>
      <c r="AA314" s="19"/>
      <c r="AB314" s="5"/>
      <c r="AD314" s="5"/>
      <c r="AE314" s="16"/>
      <c r="AF314" s="5"/>
      <c r="AG314" s="19"/>
      <c r="AH314" s="5"/>
      <c r="AJ314" s="7">
        <f>F314+L314+X314+AD314</f>
        <v>30.099712281600002</v>
      </c>
      <c r="AK314" s="7"/>
      <c r="AL314" s="7">
        <f>H314+N314+Z314+AF314</f>
        <v>50.6000352</v>
      </c>
      <c r="AM314" s="21"/>
      <c r="AN314" s="7">
        <f>J314+P314+AB314+AH314</f>
        <v>52.420917120000006</v>
      </c>
      <c r="AP314" s="18">
        <f>AVERAGE(AJ314,AL314,AN314)</f>
        <v>44.3735548672</v>
      </c>
    </row>
    <row r="315" spans="2:42" ht="12.75">
      <c r="B315" s="4" t="s">
        <v>280</v>
      </c>
      <c r="D315" s="4" t="s">
        <v>32</v>
      </c>
      <c r="E315" s="16"/>
      <c r="F315" s="18"/>
      <c r="I315" s="5"/>
      <c r="J315" s="16"/>
      <c r="K315" s="16"/>
      <c r="Z315" s="5"/>
      <c r="AB315" s="54"/>
      <c r="AJ315" s="21">
        <f>AJ311/9000*(21-AJ312)/21*60</f>
        <v>64.14984126984127</v>
      </c>
      <c r="AK315" s="21"/>
      <c r="AL315" s="21">
        <f>AL311/9000*(21-AL312)/21*60</f>
        <v>67.4175873015873</v>
      </c>
      <c r="AM315" s="21"/>
      <c r="AN315" s="21">
        <f>AN311/9000*(21-AN312)/21*60</f>
        <v>63.569841269841284</v>
      </c>
      <c r="AP315" s="18">
        <f>AVERAGE(AJ315,AL315,AN315)</f>
        <v>65.04575661375662</v>
      </c>
    </row>
    <row r="316" spans="5:28" ht="12.75">
      <c r="E316" s="16"/>
      <c r="F316" s="18"/>
      <c r="I316" s="5"/>
      <c r="J316" s="16"/>
      <c r="K316" s="16"/>
      <c r="Z316" s="5"/>
      <c r="AB316" s="54"/>
    </row>
    <row r="317" spans="8:42" ht="12.75">
      <c r="H317" s="19"/>
      <c r="J317" s="19"/>
      <c r="X317" s="4"/>
      <c r="Z317" s="4"/>
      <c r="AA317" s="19"/>
      <c r="AB317" s="4"/>
      <c r="AJ317" s="16"/>
      <c r="AL317" s="16"/>
      <c r="AN317" s="16"/>
      <c r="AP317" s="16"/>
    </row>
    <row r="318" spans="2:42" ht="12.75">
      <c r="B318" s="55" t="s">
        <v>47</v>
      </c>
      <c r="C318" s="55"/>
      <c r="F318" s="16"/>
      <c r="H318" s="16"/>
      <c r="I318" s="16"/>
      <c r="J318" s="16"/>
      <c r="K318" s="19"/>
      <c r="X318" s="16"/>
      <c r="Y318" s="16"/>
      <c r="Z318" s="16"/>
      <c r="AA318" s="16"/>
      <c r="AB318" s="16"/>
      <c r="AC318" s="17"/>
      <c r="AD318" s="16"/>
      <c r="AE318" s="16"/>
      <c r="AF318" s="16"/>
      <c r="AG318" s="16"/>
      <c r="AH318" s="16"/>
      <c r="AI318" s="17"/>
      <c r="AJ318" s="16"/>
      <c r="AK318" s="16"/>
      <c r="AL318" s="16"/>
      <c r="AM318" s="19"/>
      <c r="AN318" s="16"/>
      <c r="AP318" s="16"/>
    </row>
    <row r="319" spans="2:42" ht="12.75">
      <c r="B319" s="4" t="s">
        <v>23</v>
      </c>
      <c r="D319" s="4" t="s">
        <v>39</v>
      </c>
      <c r="F319" s="7">
        <f>F286*F289/100*1/60*454*1000/(F$311*0.0283)*(21-7)/(21-F$312)</f>
        <v>1252.9749717114441</v>
      </c>
      <c r="G319" s="56"/>
      <c r="H319" s="7">
        <f>H286*H289/100*1/60*454*1000/(H$311*0.0283)*(21-7)/(21-H$312)</f>
        <v>1297.300421191169</v>
      </c>
      <c r="I319" s="7"/>
      <c r="J319" s="7">
        <f>J286*J289/100*1/60*454*1000/(J$311*0.0283)*(21-7)/(21-J$312)</f>
        <v>1870.7499667733882</v>
      </c>
      <c r="K319" s="56"/>
      <c r="L319" s="7"/>
      <c r="M319" s="7"/>
      <c r="N319" s="7"/>
      <c r="O319" s="7"/>
      <c r="P319" s="7"/>
      <c r="Q319" s="7"/>
      <c r="R319" s="5">
        <f>SUM(L319,F319)</f>
        <v>1252.9749717114441</v>
      </c>
      <c r="S319" s="7"/>
      <c r="T319" s="5">
        <f>SUM(N319,H319)</f>
        <v>1297.300421191169</v>
      </c>
      <c r="U319" s="7"/>
      <c r="V319" s="5">
        <f>SUM(P319,J319)</f>
        <v>1870.7499667733882</v>
      </c>
      <c r="X319" s="7">
        <f>X286*X289/100*1/60*454*1000/(X$311*0.0283)*(21-7)/(21-X$312)</f>
        <v>0</v>
      </c>
      <c r="Y319" s="56"/>
      <c r="Z319" s="7">
        <f>Z286*Z289/100*1/60*454*1000/(Z$311*0.0283)*(21-7)/(21-Z$312)</f>
        <v>0</v>
      </c>
      <c r="AA319" s="7"/>
      <c r="AB319" s="7">
        <f>AB286*AB289/100*1/60*454*1000/(AB$311*0.0283)*(21-7)/(21-AB$312)</f>
        <v>0</v>
      </c>
      <c r="AD319" s="7">
        <f>AD286*AD289/100*1/60*454*1000/(AD$311*0.0283)*(21-7)/(21-AD$312)</f>
        <v>0</v>
      </c>
      <c r="AE319" s="56"/>
      <c r="AF319" s="7">
        <f>AF286*AF289/100*1/60*454*1000/(AF$311*0.0283)*(21-7)/(21-AF$312)</f>
        <v>0</v>
      </c>
      <c r="AG319" s="7"/>
      <c r="AH319" s="7">
        <f>AH286*AH289/100*1/60*454*1000/(AH$311*0.0283)*(21-7)/(21-AH$312)</f>
        <v>0</v>
      </c>
      <c r="AJ319" s="7">
        <f>F319+L319+X319+AD319</f>
        <v>1252.9749717114441</v>
      </c>
      <c r="AK319" s="21"/>
      <c r="AL319" s="7">
        <f>H319+N319+Z319+AF319</f>
        <v>1297.300421191169</v>
      </c>
      <c r="AM319" s="21"/>
      <c r="AN319" s="7">
        <f>J319+P319+AB319+AH319</f>
        <v>1870.7499667733882</v>
      </c>
      <c r="AO319" s="21"/>
      <c r="AP319" s="21">
        <f>AVERAGE(AJ319,AL319,AN319)</f>
        <v>1473.6751198920003</v>
      </c>
    </row>
    <row r="320" spans="2:42" ht="12.75">
      <c r="B320" s="4" t="s">
        <v>24</v>
      </c>
      <c r="D320" s="4" t="s">
        <v>34</v>
      </c>
      <c r="F320" s="61">
        <f>F290*1/60*454*1000000/(F$311*0.0283)*(21-7)/(21-F$312)</f>
        <v>1129977.7648671658</v>
      </c>
      <c r="G320" s="98"/>
      <c r="H320" s="61">
        <f>H290*1/60*454*1000000/(H$311*0.0283)*(21-7)/(21-H$312)</f>
        <v>1462987.2289934908</v>
      </c>
      <c r="I320" s="61"/>
      <c r="J320" s="61">
        <f>J290*1/60*454*1000000/(J$311*0.0283)*(21-7)/(21-J$312)</f>
        <v>2054386.7919631198</v>
      </c>
      <c r="K320" s="98"/>
      <c r="L320" s="61"/>
      <c r="M320" s="61"/>
      <c r="N320" s="61"/>
      <c r="O320" s="61"/>
      <c r="P320" s="61"/>
      <c r="Q320" s="61"/>
      <c r="R320" s="5">
        <f aca="true" t="shared" si="75" ref="R320:V337">SUM(L320,F320)</f>
        <v>1129977.7648671658</v>
      </c>
      <c r="S320" s="61"/>
      <c r="T320" s="5">
        <f t="shared" si="75"/>
        <v>1462987.2289934908</v>
      </c>
      <c r="U320" s="61"/>
      <c r="V320" s="5">
        <f t="shared" si="75"/>
        <v>2054386.7919631198</v>
      </c>
      <c r="X320" s="61">
        <f>X290*1/60*454*1000000/(X$311*0.0283)*(21-7)/(21-X$312)</f>
        <v>27786.338480340142</v>
      </c>
      <c r="Y320" s="98"/>
      <c r="Z320" s="61">
        <f>Z290*1/60*454*1000000/(Z$311*0.0283)*(21-7)/(21-Z$312)</f>
        <v>54641.69168529906</v>
      </c>
      <c r="AA320" s="61"/>
      <c r="AB320" s="61">
        <f>AB290*1/60*454*1000000/(AB$311*0.0283)*(21-7)/(21-AB$312)</f>
        <v>26170.532381695783</v>
      </c>
      <c r="AD320" s="61">
        <f>AD290*1/60*454*1000000/(AD$311*0.0283)*(21-7)/(21-AD$312)</f>
        <v>0</v>
      </c>
      <c r="AE320" s="98"/>
      <c r="AF320" s="61">
        <f>AF290*1/60*454*1000000/(AF$311*0.0283)*(21-7)/(21-AF$312)</f>
        <v>0</v>
      </c>
      <c r="AG320" s="61"/>
      <c r="AH320" s="61">
        <f>AH290*1/60*454*1000000/(AH$311*0.0283)*(21-7)/(21-AH$312)</f>
        <v>0</v>
      </c>
      <c r="AI320" s="58"/>
      <c r="AJ320" s="7">
        <f>F320+L320+X320+AD320</f>
        <v>1157764.103347506</v>
      </c>
      <c r="AK320" s="21"/>
      <c r="AL320" s="7">
        <f>H320+N320+Z320+AF320</f>
        <v>1517628.92067879</v>
      </c>
      <c r="AM320" s="21"/>
      <c r="AN320" s="7">
        <f>J320+P320+AB320+AH320</f>
        <v>2080557.3243448155</v>
      </c>
      <c r="AO320" s="21"/>
      <c r="AP320" s="21">
        <f>AVERAGE(AJ320,AL320,AN320)</f>
        <v>1585316.7827903705</v>
      </c>
    </row>
    <row r="321" spans="5:42" ht="12.75">
      <c r="E321" s="16"/>
      <c r="F321" s="7"/>
      <c r="I321" s="7"/>
      <c r="J321" s="7"/>
      <c r="K321" s="7"/>
      <c r="L321" s="7"/>
      <c r="M321" s="7"/>
      <c r="N321" s="7"/>
      <c r="O321" s="7"/>
      <c r="P321" s="7"/>
      <c r="Q321" s="7"/>
      <c r="R321" s="5"/>
      <c r="S321" s="7"/>
      <c r="T321" s="5"/>
      <c r="U321" s="7"/>
      <c r="V321" s="5"/>
      <c r="W321" s="16"/>
      <c r="X321" s="7"/>
      <c r="Y321" s="16"/>
      <c r="AA321" s="7"/>
      <c r="AB321" s="7"/>
      <c r="AC321" s="16"/>
      <c r="AD321" s="7"/>
      <c r="AE321" s="16"/>
      <c r="AG321" s="7"/>
      <c r="AH321" s="7"/>
      <c r="AP321" s="58"/>
    </row>
    <row r="322" spans="2:42" ht="12.75">
      <c r="B322" s="4" t="s">
        <v>123</v>
      </c>
      <c r="D322" s="4" t="s">
        <v>34</v>
      </c>
      <c r="F322" s="7">
        <f>F292*1/60*454*1000000/(F$311*0.0283)*(21-7)/(21-F$312)</f>
        <v>1574.5591805526078</v>
      </c>
      <c r="H322" s="7">
        <f>H292*1/60*454*1000000/(H$311*0.0283)*(21-7)/(21-H$312)</f>
        <v>1780.2615678113564</v>
      </c>
      <c r="J322" s="7">
        <f>J292*1/60*454*1000000/(J$311*0.0283)*(21-7)/(21-J$312)</f>
        <v>2056.2561157046694</v>
      </c>
      <c r="L322" s="7"/>
      <c r="M322" s="16"/>
      <c r="N322" s="7"/>
      <c r="P322" s="7"/>
      <c r="Q322" s="7"/>
      <c r="R322" s="5">
        <f t="shared" si="75"/>
        <v>1574.5591805526078</v>
      </c>
      <c r="S322" s="7"/>
      <c r="T322" s="5">
        <f t="shared" si="75"/>
        <v>1780.2615678113564</v>
      </c>
      <c r="U322" s="7"/>
      <c r="V322" s="5">
        <f t="shared" si="75"/>
        <v>2056.2561157046694</v>
      </c>
      <c r="X322" s="7">
        <f>X292*1/60*454*1000000/(X$311*0.0283)*(21-7)/(21-X$312)</f>
        <v>10558.808622529254</v>
      </c>
      <c r="Y322" s="16"/>
      <c r="Z322" s="7">
        <f>Z292*1/60*454*1000000/(Z$311*0.0283)*(21-7)/(21-Z$312)</f>
        <v>7226.804384184712</v>
      </c>
      <c r="AB322" s="7">
        <f>AB292*1/60*454*1000000/(AB$311*0.0283)*(21-7)/(21-AB$312)</f>
        <v>7664.227340353765</v>
      </c>
      <c r="AD322" s="7">
        <f>AD292*1/60*454*1000000/(AD$311*0.0283)*(21-7)/(21-AD$312)</f>
        <v>0</v>
      </c>
      <c r="AE322" s="16"/>
      <c r="AF322" s="7">
        <f>AF292*1/60*454*1000000/(AF$311*0.0283)*(21-7)/(21-AF$312)</f>
        <v>0</v>
      </c>
      <c r="AH322" s="7">
        <f>AH292*1/60*454*1000000/(AH$311*0.0283)*(21-7)/(21-AH$312)</f>
        <v>0</v>
      </c>
      <c r="AJ322" s="7">
        <f>F322+L322+X322+AD322</f>
        <v>12133.367803081861</v>
      </c>
      <c r="AK322" s="56"/>
      <c r="AL322" s="7">
        <f>H322+N322+Z322+AF322</f>
        <v>9007.065951996068</v>
      </c>
      <c r="AM322" s="21"/>
      <c r="AN322" s="7">
        <f>J322+P322+AB322+AH322</f>
        <v>9720.483456058435</v>
      </c>
      <c r="AP322" s="21">
        <f aca="true" t="shared" si="76" ref="AP322:AP335">AVERAGE(AJ322,AL322,AN322)</f>
        <v>10286.972403712121</v>
      </c>
    </row>
    <row r="323" spans="2:42" ht="12.75">
      <c r="B323" s="4" t="s">
        <v>124</v>
      </c>
      <c r="D323" s="4" t="s">
        <v>34</v>
      </c>
      <c r="F323" s="7">
        <f aca="true" t="shared" si="77" ref="F323:F337">F293*1/60*454*1000000/(F$311*0.0283)*(21-7)/(21-F$312)</f>
        <v>1315.2200214027666</v>
      </c>
      <c r="H323" s="7">
        <f aca="true" t="shared" si="78" ref="H323:H337">H293*1/60*454*1000000/(H$311*0.0283)*(21-7)/(21-H$312)</f>
        <v>1551.1189897762315</v>
      </c>
      <c r="J323" s="7">
        <f aca="true" t="shared" si="79" ref="J323:J337">J293*1/60*454*1000000/(J$311*0.0283)*(21-7)/(21-J$312)</f>
        <v>2504.8938136765964</v>
      </c>
      <c r="L323" s="7"/>
      <c r="M323" s="16"/>
      <c r="N323" s="7"/>
      <c r="P323" s="7"/>
      <c r="Q323" s="7"/>
      <c r="R323" s="5">
        <f t="shared" si="75"/>
        <v>1315.2200214027666</v>
      </c>
      <c r="S323" s="7"/>
      <c r="T323" s="5">
        <f t="shared" si="75"/>
        <v>1551.1189897762315</v>
      </c>
      <c r="U323" s="7"/>
      <c r="V323" s="5">
        <f t="shared" si="75"/>
        <v>2504.8938136765964</v>
      </c>
      <c r="X323" s="7">
        <f aca="true" t="shared" si="80" ref="X323:X337">X293*1/60*454*1000000/(X$311*0.0283)*(21-7)/(21-X$312)</f>
        <v>740.9690261424035</v>
      </c>
      <c r="Y323" s="16"/>
      <c r="Z323" s="7">
        <f aca="true" t="shared" si="81" ref="Z323:Z337">Z293*1/60*454*1000000/(Z$311*0.0283)*(21-7)/(21-Z$312)</f>
        <v>705.0540862619233</v>
      </c>
      <c r="AB323" s="7">
        <f aca="true" t="shared" si="82" ref="AB323:AB337">AB293*1/60*454*1000000/(AB$311*0.0283)*(21-7)/(21-AB$312)</f>
        <v>747.7294966198797</v>
      </c>
      <c r="AD323" s="7">
        <f aca="true" t="shared" si="83" ref="AD323:AD337">AD293*1/60*454*1000000/(AD$311*0.0283)*(21-7)/(21-AD$312)</f>
        <v>0</v>
      </c>
      <c r="AE323" s="16"/>
      <c r="AF323" s="7">
        <f aca="true" t="shared" si="84" ref="AF323:AF337">AF293*1/60*454*1000000/(AF$311*0.0283)*(21-7)/(21-AF$312)</f>
        <v>0</v>
      </c>
      <c r="AH323" s="7">
        <f aca="true" t="shared" si="85" ref="AH323:AH337">AH293*1/60*454*1000000/(AH$311*0.0283)*(21-7)/(21-AH$312)</f>
        <v>0</v>
      </c>
      <c r="AJ323" s="7">
        <f aca="true" t="shared" si="86" ref="AJ323:AJ337">F323+L323+X323+AD323</f>
        <v>2056.18904754517</v>
      </c>
      <c r="AK323" s="56"/>
      <c r="AL323" s="7">
        <f aca="true" t="shared" si="87" ref="AL323:AL337">H323+N323+Z323+AF323</f>
        <v>2256.1730760381547</v>
      </c>
      <c r="AM323" s="21"/>
      <c r="AN323" s="7">
        <f aca="true" t="shared" si="88" ref="AN323:AN337">J323+P323+AB323+AH323</f>
        <v>3252.623310296476</v>
      </c>
      <c r="AP323" s="21">
        <f t="shared" si="76"/>
        <v>2521.661811293267</v>
      </c>
    </row>
    <row r="324" spans="2:42" ht="12.75">
      <c r="B324" s="4" t="s">
        <v>125</v>
      </c>
      <c r="D324" s="4" t="s">
        <v>34</v>
      </c>
      <c r="F324" s="7">
        <f t="shared" si="77"/>
        <v>6853.963491817233</v>
      </c>
      <c r="H324" s="7">
        <f t="shared" si="78"/>
        <v>6874.277341053752</v>
      </c>
      <c r="J324" s="7">
        <f t="shared" si="79"/>
        <v>8972.753959438556</v>
      </c>
      <c r="L324" s="7"/>
      <c r="M324" s="16"/>
      <c r="N324" s="7"/>
      <c r="P324" s="7"/>
      <c r="Q324" s="7"/>
      <c r="R324" s="5">
        <f t="shared" si="75"/>
        <v>6853.963491817233</v>
      </c>
      <c r="S324" s="7"/>
      <c r="T324" s="5">
        <f t="shared" si="75"/>
        <v>6874.277341053752</v>
      </c>
      <c r="U324" s="7"/>
      <c r="V324" s="5">
        <f t="shared" si="75"/>
        <v>8972.753959438556</v>
      </c>
      <c r="X324" s="7">
        <f t="shared" si="80"/>
        <v>228403.70230839596</v>
      </c>
      <c r="Y324" s="16"/>
      <c r="Z324" s="7">
        <f t="shared" si="81"/>
        <v>178554.9473458321</v>
      </c>
      <c r="AB324" s="7">
        <f t="shared" si="82"/>
        <v>106925.31801664278</v>
      </c>
      <c r="AD324" s="7">
        <f t="shared" si="83"/>
        <v>0</v>
      </c>
      <c r="AE324" s="16"/>
      <c r="AF324" s="7">
        <f t="shared" si="84"/>
        <v>0</v>
      </c>
      <c r="AH324" s="7">
        <f t="shared" si="85"/>
        <v>0</v>
      </c>
      <c r="AJ324" s="7">
        <f t="shared" si="86"/>
        <v>235257.6658002132</v>
      </c>
      <c r="AK324" s="56"/>
      <c r="AL324" s="7">
        <f t="shared" si="87"/>
        <v>185429.22468688586</v>
      </c>
      <c r="AM324" s="21"/>
      <c r="AN324" s="7">
        <f t="shared" si="88"/>
        <v>115898.07197608134</v>
      </c>
      <c r="AP324" s="21">
        <f t="shared" si="76"/>
        <v>178861.65415439347</v>
      </c>
    </row>
    <row r="325" spans="2:42" ht="12.75">
      <c r="B325" s="4" t="s">
        <v>126</v>
      </c>
      <c r="D325" s="4" t="s">
        <v>34</v>
      </c>
      <c r="F325" s="7">
        <f t="shared" si="77"/>
        <v>74.09690261424036</v>
      </c>
      <c r="H325" s="7">
        <f t="shared" si="78"/>
        <v>105.75811293928848</v>
      </c>
      <c r="J325" s="7">
        <f t="shared" si="79"/>
        <v>112.15942449298196</v>
      </c>
      <c r="L325" s="7"/>
      <c r="M325" s="16"/>
      <c r="N325" s="7"/>
      <c r="P325" s="7"/>
      <c r="Q325" s="7"/>
      <c r="R325" s="5">
        <f t="shared" si="75"/>
        <v>74.09690261424036</v>
      </c>
      <c r="S325" s="7"/>
      <c r="T325" s="5">
        <f t="shared" si="75"/>
        <v>105.75811293928848</v>
      </c>
      <c r="U325" s="7"/>
      <c r="V325" s="5">
        <f t="shared" si="75"/>
        <v>112.15942449298196</v>
      </c>
      <c r="X325" s="7">
        <f t="shared" si="80"/>
        <v>1148.5019905207257</v>
      </c>
      <c r="Y325" s="16"/>
      <c r="Z325" s="7">
        <f t="shared" si="81"/>
        <v>846.0649035143078</v>
      </c>
      <c r="AB325" s="7">
        <f t="shared" si="82"/>
        <v>822.5024462818677</v>
      </c>
      <c r="AD325" s="7">
        <f t="shared" si="83"/>
        <v>0</v>
      </c>
      <c r="AE325" s="16"/>
      <c r="AF325" s="7">
        <f t="shared" si="84"/>
        <v>0</v>
      </c>
      <c r="AH325" s="7">
        <f t="shared" si="85"/>
        <v>0</v>
      </c>
      <c r="AJ325" s="7">
        <f t="shared" si="86"/>
        <v>1222.5988931349661</v>
      </c>
      <c r="AK325" s="56"/>
      <c r="AL325" s="7">
        <f t="shared" si="87"/>
        <v>951.8230164535963</v>
      </c>
      <c r="AM325" s="21"/>
      <c r="AN325" s="7">
        <f t="shared" si="88"/>
        <v>934.6618707748497</v>
      </c>
      <c r="AP325" s="21">
        <f t="shared" si="76"/>
        <v>1036.3612601211373</v>
      </c>
    </row>
    <row r="326" spans="2:42" ht="12.75">
      <c r="B326" s="4" t="s">
        <v>127</v>
      </c>
      <c r="D326" s="4" t="s">
        <v>34</v>
      </c>
      <c r="F326" s="7">
        <f t="shared" si="77"/>
        <v>2074.713273198731</v>
      </c>
      <c r="H326" s="7">
        <f t="shared" si="78"/>
        <v>2361.931188977443</v>
      </c>
      <c r="J326" s="7">
        <f t="shared" si="79"/>
        <v>2953.5315116485244</v>
      </c>
      <c r="L326" s="7"/>
      <c r="M326" s="16"/>
      <c r="N326" s="7"/>
      <c r="P326" s="7"/>
      <c r="Q326" s="7"/>
      <c r="R326" s="5">
        <f t="shared" si="75"/>
        <v>2074.713273198731</v>
      </c>
      <c r="S326" s="7"/>
      <c r="T326" s="5">
        <f t="shared" si="75"/>
        <v>2361.931188977443</v>
      </c>
      <c r="U326" s="7"/>
      <c r="V326" s="5">
        <f t="shared" si="75"/>
        <v>2953.5315116485244</v>
      </c>
      <c r="X326" s="7">
        <f t="shared" si="80"/>
        <v>370.4845130712018</v>
      </c>
      <c r="Y326" s="16"/>
      <c r="Z326" s="7">
        <f t="shared" si="81"/>
        <v>352.52704313096166</v>
      </c>
      <c r="AB326" s="7">
        <f t="shared" si="82"/>
        <v>373.86474830993984</v>
      </c>
      <c r="AD326" s="7">
        <f t="shared" si="83"/>
        <v>0</v>
      </c>
      <c r="AE326" s="16"/>
      <c r="AF326" s="7">
        <f t="shared" si="84"/>
        <v>0</v>
      </c>
      <c r="AH326" s="7">
        <f t="shared" si="85"/>
        <v>0</v>
      </c>
      <c r="AJ326" s="7">
        <f t="shared" si="86"/>
        <v>2445.1977862699327</v>
      </c>
      <c r="AK326" s="56"/>
      <c r="AL326" s="7">
        <f t="shared" si="87"/>
        <v>2714.458232108405</v>
      </c>
      <c r="AM326" s="21"/>
      <c r="AN326" s="7">
        <f t="shared" si="88"/>
        <v>3327.3962599584643</v>
      </c>
      <c r="AP326" s="21">
        <f t="shared" si="76"/>
        <v>2829.017426112267</v>
      </c>
    </row>
    <row r="327" spans="2:42" ht="12.75">
      <c r="B327" s="4" t="s">
        <v>128</v>
      </c>
      <c r="D327" s="4" t="s">
        <v>34</v>
      </c>
      <c r="F327" s="7">
        <f t="shared" si="77"/>
        <v>2315.5282066950112</v>
      </c>
      <c r="H327" s="7">
        <f t="shared" si="78"/>
        <v>2767.337288578049</v>
      </c>
      <c r="J327" s="7">
        <f t="shared" si="79"/>
        <v>3663.8745334374103</v>
      </c>
      <c r="L327" s="7"/>
      <c r="M327" s="16"/>
      <c r="N327" s="7"/>
      <c r="P327" s="7"/>
      <c r="Q327" s="7"/>
      <c r="R327" s="5">
        <f t="shared" si="75"/>
        <v>2315.5282066950112</v>
      </c>
      <c r="S327" s="7"/>
      <c r="T327" s="5">
        <f t="shared" si="75"/>
        <v>2767.337288578049</v>
      </c>
      <c r="U327" s="7"/>
      <c r="V327" s="5">
        <f t="shared" si="75"/>
        <v>3663.8745334374103</v>
      </c>
      <c r="X327" s="7">
        <f t="shared" si="80"/>
        <v>22043.82852773651</v>
      </c>
      <c r="Y327" s="16"/>
      <c r="Z327" s="7">
        <f t="shared" si="81"/>
        <v>24148.102454470874</v>
      </c>
      <c r="AB327" s="7">
        <f t="shared" si="82"/>
        <v>22992.6820210613</v>
      </c>
      <c r="AD327" s="7">
        <f t="shared" si="83"/>
        <v>54090.73890839546</v>
      </c>
      <c r="AE327" s="16"/>
      <c r="AF327" s="7">
        <f t="shared" si="84"/>
        <v>48824.995473638184</v>
      </c>
      <c r="AH327" s="7">
        <f t="shared" si="85"/>
        <v>51780.26764092667</v>
      </c>
      <c r="AJ327" s="7">
        <f t="shared" si="86"/>
        <v>78450.09564282699</v>
      </c>
      <c r="AK327" s="56"/>
      <c r="AL327" s="7">
        <f t="shared" si="87"/>
        <v>75740.43521668711</v>
      </c>
      <c r="AM327" s="21"/>
      <c r="AN327" s="7">
        <f t="shared" si="88"/>
        <v>78436.82419542538</v>
      </c>
      <c r="AP327" s="21">
        <f t="shared" si="76"/>
        <v>77542.45168497982</v>
      </c>
    </row>
    <row r="328" spans="2:42" ht="12.75">
      <c r="B328" s="4" t="s">
        <v>129</v>
      </c>
      <c r="D328" s="4" t="s">
        <v>34</v>
      </c>
      <c r="F328" s="7">
        <f t="shared" si="77"/>
        <v>62797.124965568706</v>
      </c>
      <c r="H328" s="7">
        <f t="shared" si="78"/>
        <v>75617.05075159128</v>
      </c>
      <c r="J328" s="7">
        <f t="shared" si="79"/>
        <v>87484.35110452592</v>
      </c>
      <c r="L328" s="7"/>
      <c r="M328" s="16"/>
      <c r="N328" s="7"/>
      <c r="P328" s="7"/>
      <c r="Q328" s="7"/>
      <c r="R328" s="5">
        <f t="shared" si="75"/>
        <v>62797.124965568706</v>
      </c>
      <c r="S328" s="7"/>
      <c r="T328" s="5">
        <f t="shared" si="75"/>
        <v>75617.05075159128</v>
      </c>
      <c r="U328" s="7"/>
      <c r="V328" s="5">
        <f t="shared" si="75"/>
        <v>87484.35110452592</v>
      </c>
      <c r="X328" s="7">
        <f t="shared" si="80"/>
        <v>52238.316343039456</v>
      </c>
      <c r="Y328" s="16"/>
      <c r="Z328" s="7">
        <f t="shared" si="81"/>
        <v>45828.515607025016</v>
      </c>
      <c r="AB328" s="7">
        <f t="shared" si="82"/>
        <v>48602.41728029218</v>
      </c>
      <c r="AD328" s="7">
        <f t="shared" si="83"/>
        <v>0</v>
      </c>
      <c r="AE328" s="16"/>
      <c r="AF328" s="7">
        <f t="shared" si="84"/>
        <v>0</v>
      </c>
      <c r="AH328" s="7">
        <f t="shared" si="85"/>
        <v>0</v>
      </c>
      <c r="AJ328" s="7">
        <f t="shared" si="86"/>
        <v>115035.44130860816</v>
      </c>
      <c r="AK328" s="56"/>
      <c r="AL328" s="7">
        <f t="shared" si="87"/>
        <v>121445.56635861628</v>
      </c>
      <c r="AM328" s="21"/>
      <c r="AN328" s="7">
        <f t="shared" si="88"/>
        <v>136086.7683848181</v>
      </c>
      <c r="AP328" s="21">
        <f t="shared" si="76"/>
        <v>124189.25868401419</v>
      </c>
    </row>
    <row r="329" spans="2:42" ht="12.75">
      <c r="B329" s="4" t="s">
        <v>130</v>
      </c>
      <c r="D329" s="4" t="s">
        <v>34</v>
      </c>
      <c r="F329" s="7">
        <f t="shared" si="77"/>
        <v>25748.673658448526</v>
      </c>
      <c r="H329" s="7">
        <f t="shared" si="78"/>
        <v>30141.062187697218</v>
      </c>
      <c r="J329" s="7">
        <f t="shared" si="79"/>
        <v>41125.12231409339</v>
      </c>
      <c r="L329" s="7"/>
      <c r="M329" s="16"/>
      <c r="N329" s="7"/>
      <c r="P329" s="7"/>
      <c r="Q329" s="7"/>
      <c r="R329" s="5">
        <f t="shared" si="75"/>
        <v>25748.673658448526</v>
      </c>
      <c r="S329" s="7"/>
      <c r="T329" s="5">
        <f t="shared" si="75"/>
        <v>30141.062187697218</v>
      </c>
      <c r="U329" s="7"/>
      <c r="V329" s="5">
        <f t="shared" si="75"/>
        <v>41125.12231409339</v>
      </c>
      <c r="X329" s="7">
        <f t="shared" si="80"/>
        <v>18709.467910095693</v>
      </c>
      <c r="Y329" s="16"/>
      <c r="Z329" s="7">
        <f t="shared" si="81"/>
        <v>12338.446509583657</v>
      </c>
      <c r="AB329" s="7">
        <f t="shared" si="82"/>
        <v>13085.266190847891</v>
      </c>
      <c r="AD329" s="7">
        <f t="shared" si="83"/>
        <v>0</v>
      </c>
      <c r="AE329" s="16"/>
      <c r="AF329" s="7">
        <f t="shared" si="84"/>
        <v>0</v>
      </c>
      <c r="AH329" s="7">
        <f t="shared" si="85"/>
        <v>0</v>
      </c>
      <c r="AJ329" s="7">
        <f t="shared" si="86"/>
        <v>44458.14156854422</v>
      </c>
      <c r="AK329" s="56"/>
      <c r="AL329" s="7">
        <f t="shared" si="87"/>
        <v>42479.50869728088</v>
      </c>
      <c r="AM329" s="21"/>
      <c r="AN329" s="7">
        <f t="shared" si="88"/>
        <v>54210.38850494128</v>
      </c>
      <c r="AP329" s="21">
        <f t="shared" si="76"/>
        <v>47049.34625692212</v>
      </c>
    </row>
    <row r="330" spans="2:42" ht="12.75">
      <c r="B330" s="4" t="s">
        <v>131</v>
      </c>
      <c r="D330" s="4" t="s">
        <v>34</v>
      </c>
      <c r="F330" s="7">
        <f t="shared" si="77"/>
        <v>29.638761045696146</v>
      </c>
      <c r="H330" s="7">
        <f t="shared" si="78"/>
        <v>38.77797474440578</v>
      </c>
      <c r="J330" s="7">
        <f t="shared" si="79"/>
        <v>61.68768347114008</v>
      </c>
      <c r="L330" s="7"/>
      <c r="M330" s="16"/>
      <c r="N330" s="7"/>
      <c r="P330" s="7"/>
      <c r="Q330" s="7"/>
      <c r="R330" s="5">
        <f t="shared" si="75"/>
        <v>29.638761045696146</v>
      </c>
      <c r="S330" s="7"/>
      <c r="T330" s="5">
        <f t="shared" si="75"/>
        <v>38.77797474440578</v>
      </c>
      <c r="U330" s="7"/>
      <c r="V330" s="5">
        <f t="shared" si="75"/>
        <v>61.68768347114008</v>
      </c>
      <c r="X330" s="7">
        <f t="shared" si="80"/>
        <v>33.34360617640817</v>
      </c>
      <c r="Y330" s="16"/>
      <c r="Z330" s="7">
        <f t="shared" si="81"/>
        <v>31.72743388178655</v>
      </c>
      <c r="AB330" s="7">
        <f t="shared" si="82"/>
        <v>33.647827347894584</v>
      </c>
      <c r="AD330" s="7">
        <f t="shared" si="83"/>
        <v>0</v>
      </c>
      <c r="AE330" s="16"/>
      <c r="AF330" s="7">
        <f t="shared" si="84"/>
        <v>0</v>
      </c>
      <c r="AH330" s="7">
        <f t="shared" si="85"/>
        <v>0</v>
      </c>
      <c r="AJ330" s="7">
        <f t="shared" si="86"/>
        <v>62.982367222104315</v>
      </c>
      <c r="AK330" s="56"/>
      <c r="AL330" s="7">
        <f t="shared" si="87"/>
        <v>70.50540862619233</v>
      </c>
      <c r="AM330" s="21"/>
      <c r="AN330" s="7">
        <f t="shared" si="88"/>
        <v>95.33551081903467</v>
      </c>
      <c r="AP330" s="21">
        <f t="shared" si="76"/>
        <v>76.27442888911044</v>
      </c>
    </row>
    <row r="331" spans="2:42" ht="12.75">
      <c r="B331" s="4" t="s">
        <v>132</v>
      </c>
      <c r="D331" s="4" t="s">
        <v>34</v>
      </c>
      <c r="F331" s="7">
        <f t="shared" si="77"/>
        <v>40753.296437832214</v>
      </c>
      <c r="H331" s="7">
        <f t="shared" si="78"/>
        <v>47943.67786581078</v>
      </c>
      <c r="J331" s="7">
        <f t="shared" si="79"/>
        <v>58135.96836219563</v>
      </c>
      <c r="L331" s="7"/>
      <c r="M331" s="16"/>
      <c r="N331" s="7"/>
      <c r="P331" s="7"/>
      <c r="Q331" s="7"/>
      <c r="R331" s="5">
        <f t="shared" si="75"/>
        <v>40753.296437832214</v>
      </c>
      <c r="S331" s="7"/>
      <c r="T331" s="5">
        <f t="shared" si="75"/>
        <v>47943.67786581078</v>
      </c>
      <c r="U331" s="7"/>
      <c r="V331" s="5">
        <f t="shared" si="75"/>
        <v>58135.96836219563</v>
      </c>
      <c r="X331" s="7">
        <f t="shared" si="80"/>
        <v>32602.637150265768</v>
      </c>
      <c r="Y331" s="16"/>
      <c r="Z331" s="7">
        <f t="shared" si="81"/>
        <v>33313.80557587588</v>
      </c>
      <c r="AB331" s="7">
        <f t="shared" si="82"/>
        <v>32900.09785127471</v>
      </c>
      <c r="AD331" s="7">
        <f t="shared" si="83"/>
        <v>0</v>
      </c>
      <c r="AE331" s="16"/>
      <c r="AF331" s="7">
        <f t="shared" si="84"/>
        <v>0</v>
      </c>
      <c r="AH331" s="7">
        <f t="shared" si="85"/>
        <v>0</v>
      </c>
      <c r="AJ331" s="7">
        <f t="shared" si="86"/>
        <v>73355.93358809798</v>
      </c>
      <c r="AK331" s="56"/>
      <c r="AL331" s="7">
        <f t="shared" si="87"/>
        <v>81257.48344168667</v>
      </c>
      <c r="AM331" s="21"/>
      <c r="AN331" s="7">
        <f t="shared" si="88"/>
        <v>91036.06621347033</v>
      </c>
      <c r="AP331" s="21">
        <f t="shared" si="76"/>
        <v>81883.161081085</v>
      </c>
    </row>
    <row r="332" spans="2:42" ht="12.75">
      <c r="B332" s="4" t="s">
        <v>133</v>
      </c>
      <c r="D332" s="4" t="s">
        <v>34</v>
      </c>
      <c r="F332" s="7">
        <f t="shared" si="77"/>
        <v>1296.6957957492068</v>
      </c>
      <c r="H332" s="7">
        <f t="shared" si="78"/>
        <v>1586.3716940893273</v>
      </c>
      <c r="J332" s="7">
        <f t="shared" si="79"/>
        <v>1869.3237415496994</v>
      </c>
      <c r="L332" s="7"/>
      <c r="M332" s="16"/>
      <c r="N332" s="7"/>
      <c r="P332" s="7"/>
      <c r="Q332" s="7"/>
      <c r="R332" s="5">
        <f t="shared" si="75"/>
        <v>1296.6957957492068</v>
      </c>
      <c r="S332" s="7"/>
      <c r="T332" s="5">
        <f t="shared" si="75"/>
        <v>1586.3716940893273</v>
      </c>
      <c r="U332" s="7"/>
      <c r="V332" s="5">
        <f t="shared" si="75"/>
        <v>1869.3237415496994</v>
      </c>
      <c r="X332" s="7">
        <f t="shared" si="80"/>
        <v>4075.329643783221</v>
      </c>
      <c r="Y332" s="16"/>
      <c r="Z332" s="7">
        <f t="shared" si="81"/>
        <v>3877.7974744405783</v>
      </c>
      <c r="AB332" s="7">
        <f t="shared" si="82"/>
        <v>4112.512231409339</v>
      </c>
      <c r="AD332" s="7">
        <f t="shared" si="83"/>
        <v>0</v>
      </c>
      <c r="AE332" s="16"/>
      <c r="AF332" s="7">
        <f t="shared" si="84"/>
        <v>0</v>
      </c>
      <c r="AH332" s="7">
        <f t="shared" si="85"/>
        <v>0</v>
      </c>
      <c r="AJ332" s="7">
        <f t="shared" si="86"/>
        <v>5372.025439532428</v>
      </c>
      <c r="AK332" s="56"/>
      <c r="AL332" s="7">
        <f t="shared" si="87"/>
        <v>5464.169168529906</v>
      </c>
      <c r="AM332" s="21"/>
      <c r="AN332" s="7">
        <f t="shared" si="88"/>
        <v>5981.835972959038</v>
      </c>
      <c r="AP332" s="21">
        <f t="shared" si="76"/>
        <v>5606.010193673791</v>
      </c>
    </row>
    <row r="333" spans="2:42" ht="12.75">
      <c r="B333" s="4" t="s">
        <v>134</v>
      </c>
      <c r="D333" s="4" t="s">
        <v>34</v>
      </c>
      <c r="F333" s="7">
        <f t="shared" si="77"/>
        <v>815.0659287566442</v>
      </c>
      <c r="H333" s="7">
        <f t="shared" si="78"/>
        <v>1057.581129392885</v>
      </c>
      <c r="J333" s="7">
        <f t="shared" si="79"/>
        <v>1420.6860435777712</v>
      </c>
      <c r="L333" s="7"/>
      <c r="M333" s="16"/>
      <c r="N333" s="7"/>
      <c r="P333" s="7"/>
      <c r="Q333" s="7"/>
      <c r="R333" s="5">
        <f t="shared" si="75"/>
        <v>815.0659287566442</v>
      </c>
      <c r="S333" s="7"/>
      <c r="T333" s="5">
        <f t="shared" si="75"/>
        <v>1057.581129392885</v>
      </c>
      <c r="U333" s="7"/>
      <c r="V333" s="5">
        <f t="shared" si="75"/>
        <v>1420.6860435777712</v>
      </c>
      <c r="X333" s="7">
        <f t="shared" si="80"/>
        <v>370.4845130712018</v>
      </c>
      <c r="Y333" s="16"/>
      <c r="Z333" s="7">
        <f t="shared" si="81"/>
        <v>352.52704313096166</v>
      </c>
      <c r="AB333" s="7">
        <f t="shared" si="82"/>
        <v>373.86474830993984</v>
      </c>
      <c r="AD333" s="7">
        <f t="shared" si="83"/>
        <v>0</v>
      </c>
      <c r="AE333" s="16"/>
      <c r="AF333" s="7">
        <f t="shared" si="84"/>
        <v>0</v>
      </c>
      <c r="AH333" s="7">
        <f t="shared" si="85"/>
        <v>0</v>
      </c>
      <c r="AJ333" s="7">
        <f t="shared" si="86"/>
        <v>1185.550441827846</v>
      </c>
      <c r="AK333" s="56"/>
      <c r="AL333" s="7">
        <f t="shared" si="87"/>
        <v>1410.1081725238466</v>
      </c>
      <c r="AM333" s="21"/>
      <c r="AN333" s="7">
        <f t="shared" si="88"/>
        <v>1794.550791887711</v>
      </c>
      <c r="AP333" s="21">
        <f t="shared" si="76"/>
        <v>1463.4031354131346</v>
      </c>
    </row>
    <row r="334" spans="2:42" ht="12.75">
      <c r="B334" s="4" t="s">
        <v>135</v>
      </c>
      <c r="D334" s="4" t="s">
        <v>34</v>
      </c>
      <c r="F334" s="7">
        <f t="shared" si="77"/>
        <v>1630.1318575132884</v>
      </c>
      <c r="H334" s="7">
        <f t="shared" si="78"/>
        <v>2115.16225878577</v>
      </c>
      <c r="J334" s="7">
        <f t="shared" si="79"/>
        <v>2504.8938136765964</v>
      </c>
      <c r="L334" s="7"/>
      <c r="M334" s="16"/>
      <c r="N334" s="7"/>
      <c r="P334" s="7"/>
      <c r="Q334" s="7"/>
      <c r="R334" s="5">
        <f t="shared" si="75"/>
        <v>1630.1318575132884</v>
      </c>
      <c r="S334" s="7"/>
      <c r="T334" s="5">
        <f t="shared" si="75"/>
        <v>2115.16225878577</v>
      </c>
      <c r="U334" s="7"/>
      <c r="V334" s="5">
        <f t="shared" si="75"/>
        <v>2504.8938136765964</v>
      </c>
      <c r="X334" s="7">
        <f t="shared" si="80"/>
        <v>740.9690261424035</v>
      </c>
      <c r="Y334" s="16"/>
      <c r="Z334" s="7">
        <f t="shared" si="81"/>
        <v>705.0540862619233</v>
      </c>
      <c r="AB334" s="7">
        <f t="shared" si="82"/>
        <v>747.7294966198797</v>
      </c>
      <c r="AD334" s="7">
        <f t="shared" si="83"/>
        <v>0</v>
      </c>
      <c r="AE334" s="16"/>
      <c r="AF334" s="7">
        <f t="shared" si="84"/>
        <v>0</v>
      </c>
      <c r="AH334" s="7">
        <f t="shared" si="85"/>
        <v>0</v>
      </c>
      <c r="AJ334" s="7">
        <f t="shared" si="86"/>
        <v>2371.100883655692</v>
      </c>
      <c r="AK334" s="56"/>
      <c r="AL334" s="7">
        <f t="shared" si="87"/>
        <v>2820.2163450476933</v>
      </c>
      <c r="AM334" s="21"/>
      <c r="AN334" s="7">
        <f t="shared" si="88"/>
        <v>3252.623310296476</v>
      </c>
      <c r="AP334" s="21">
        <f t="shared" si="76"/>
        <v>2814.646846333287</v>
      </c>
    </row>
    <row r="335" spans="2:42" ht="12.75">
      <c r="B335" s="4" t="s">
        <v>136</v>
      </c>
      <c r="D335" s="4" t="s">
        <v>34</v>
      </c>
      <c r="F335" s="7">
        <f t="shared" si="77"/>
        <v>69095.36168777915</v>
      </c>
      <c r="H335" s="7">
        <f t="shared" si="78"/>
        <v>79671.11174759732</v>
      </c>
      <c r="J335" s="7">
        <f t="shared" si="79"/>
        <v>98326.42880551415</v>
      </c>
      <c r="L335" s="7"/>
      <c r="M335" s="16"/>
      <c r="N335" s="7"/>
      <c r="P335" s="7"/>
      <c r="Q335" s="7"/>
      <c r="R335" s="5">
        <f t="shared" si="75"/>
        <v>69095.36168777915</v>
      </c>
      <c r="S335" s="7"/>
      <c r="T335" s="5">
        <f t="shared" si="75"/>
        <v>79671.11174759732</v>
      </c>
      <c r="U335" s="7"/>
      <c r="V335" s="5">
        <f t="shared" si="75"/>
        <v>98326.42880551415</v>
      </c>
      <c r="X335" s="7">
        <f t="shared" si="80"/>
        <v>97807.91145079731</v>
      </c>
      <c r="Y335" s="16"/>
      <c r="Z335" s="7">
        <f t="shared" si="81"/>
        <v>70681.6721477578</v>
      </c>
      <c r="AB335" s="7">
        <f t="shared" si="82"/>
        <v>70847.3698047336</v>
      </c>
      <c r="AD335" s="7">
        <f t="shared" si="83"/>
        <v>0</v>
      </c>
      <c r="AE335" s="16"/>
      <c r="AF335" s="7">
        <f t="shared" si="84"/>
        <v>0</v>
      </c>
      <c r="AH335" s="7">
        <f t="shared" si="85"/>
        <v>0</v>
      </c>
      <c r="AJ335" s="7">
        <f t="shared" si="86"/>
        <v>166903.27313857648</v>
      </c>
      <c r="AK335" s="56"/>
      <c r="AL335" s="7">
        <f t="shared" si="87"/>
        <v>150352.78389535513</v>
      </c>
      <c r="AM335" s="21"/>
      <c r="AN335" s="7">
        <f t="shared" si="88"/>
        <v>169173.79861024773</v>
      </c>
      <c r="AP335" s="21">
        <f t="shared" si="76"/>
        <v>162143.28521472643</v>
      </c>
    </row>
    <row r="336" spans="2:42" ht="12.75">
      <c r="B336" s="4" t="s">
        <v>35</v>
      </c>
      <c r="D336" s="4" t="s">
        <v>34</v>
      </c>
      <c r="F336" s="7">
        <f t="shared" si="77"/>
        <v>27823.386931647263</v>
      </c>
      <c r="H336" s="7">
        <f t="shared" si="78"/>
        <v>32502.99337667466</v>
      </c>
      <c r="J336" s="7">
        <f t="shared" si="79"/>
        <v>44078.6538257419</v>
      </c>
      <c r="L336" s="7"/>
      <c r="M336" s="16"/>
      <c r="N336" s="7"/>
      <c r="P336" s="7"/>
      <c r="Q336" s="7"/>
      <c r="R336" s="5">
        <f t="shared" si="75"/>
        <v>27823.386931647263</v>
      </c>
      <c r="S336" s="7"/>
      <c r="T336" s="5">
        <f t="shared" si="75"/>
        <v>32502.99337667466</v>
      </c>
      <c r="U336" s="7"/>
      <c r="V336" s="5">
        <f t="shared" si="75"/>
        <v>44078.6538257419</v>
      </c>
      <c r="X336" s="7">
        <f t="shared" si="80"/>
        <v>19079.952423166895</v>
      </c>
      <c r="Y336" s="16"/>
      <c r="Z336" s="7">
        <f t="shared" si="81"/>
        <v>12690.973552714619</v>
      </c>
      <c r="AB336" s="7">
        <f t="shared" si="82"/>
        <v>13459.130939157836</v>
      </c>
      <c r="AD336" s="7">
        <f t="shared" si="83"/>
        <v>0</v>
      </c>
      <c r="AE336" s="16"/>
      <c r="AF336" s="7">
        <f t="shared" si="84"/>
        <v>0</v>
      </c>
      <c r="AH336" s="7">
        <f t="shared" si="85"/>
        <v>0</v>
      </c>
      <c r="AJ336" s="7">
        <f t="shared" si="86"/>
        <v>46903.33935481416</v>
      </c>
      <c r="AK336" s="56"/>
      <c r="AL336" s="7">
        <f t="shared" si="87"/>
        <v>45193.96692938928</v>
      </c>
      <c r="AM336" s="21"/>
      <c r="AN336" s="7">
        <f t="shared" si="88"/>
        <v>57537.78476489974</v>
      </c>
      <c r="AP336" s="21">
        <f>AVERAGE(AJ336,AL336,AN336)</f>
        <v>49878.3636830344</v>
      </c>
    </row>
    <row r="337" spans="2:42" ht="12.75">
      <c r="B337" s="4" t="s">
        <v>36</v>
      </c>
      <c r="D337" s="4" t="s">
        <v>34</v>
      </c>
      <c r="F337" s="7">
        <f t="shared" si="77"/>
        <v>3964.1842898618606</v>
      </c>
      <c r="H337" s="7">
        <f t="shared" si="78"/>
        <v>4653.356969328694</v>
      </c>
      <c r="J337" s="7">
        <f t="shared" si="79"/>
        <v>5832.290073635061</v>
      </c>
      <c r="L337" s="7"/>
      <c r="M337" s="16"/>
      <c r="N337" s="7"/>
      <c r="P337" s="7"/>
      <c r="Q337" s="7"/>
      <c r="R337" s="5">
        <f t="shared" si="75"/>
        <v>3964.1842898618606</v>
      </c>
      <c r="S337" s="7"/>
      <c r="T337" s="5">
        <f t="shared" si="75"/>
        <v>4653.356969328694</v>
      </c>
      <c r="U337" s="7"/>
      <c r="V337" s="5">
        <f t="shared" si="75"/>
        <v>5832.290073635061</v>
      </c>
      <c r="X337" s="7">
        <f t="shared" si="80"/>
        <v>33751.13914078649</v>
      </c>
      <c r="Y337" s="16"/>
      <c r="Z337" s="7">
        <f t="shared" si="81"/>
        <v>32220.97174216989</v>
      </c>
      <c r="AB337" s="7">
        <f t="shared" si="82"/>
        <v>31479.41180769694</v>
      </c>
      <c r="AD337" s="7">
        <f t="shared" si="83"/>
        <v>54090.73890839546</v>
      </c>
      <c r="AE337" s="16"/>
      <c r="AF337" s="7">
        <f t="shared" si="84"/>
        <v>48824.995473638184</v>
      </c>
      <c r="AH337" s="7">
        <f t="shared" si="85"/>
        <v>51780.26764092667</v>
      </c>
      <c r="AJ337" s="7">
        <f t="shared" si="86"/>
        <v>91806.06233904381</v>
      </c>
      <c r="AK337" s="56"/>
      <c r="AL337" s="7">
        <f t="shared" si="87"/>
        <v>85699.32418513676</v>
      </c>
      <c r="AM337" s="21"/>
      <c r="AN337" s="7">
        <f t="shared" si="88"/>
        <v>89091.96952225867</v>
      </c>
      <c r="AP337" s="21">
        <f>AVERAGE(AJ337,AL337,AN337)</f>
        <v>88865.7853488131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75"/>
  <sheetViews>
    <sheetView workbookViewId="0" topLeftCell="B1">
      <selection activeCell="C1" sqref="C1"/>
    </sheetView>
  </sheetViews>
  <sheetFormatPr defaultColWidth="9.140625" defaultRowHeight="12.75"/>
  <cols>
    <col min="1" max="1" width="9.140625" style="88" hidden="1" customWidth="1"/>
    <col min="2" max="2" width="19.7109375" style="88" customWidth="1"/>
    <col min="3" max="3" width="4.00390625" style="88" customWidth="1"/>
    <col min="4" max="4" width="10.57421875" style="88" customWidth="1"/>
    <col min="5" max="5" width="2.421875" style="88" customWidth="1"/>
    <col min="6" max="6" width="12.421875" style="88" bestFit="1" customWidth="1"/>
    <col min="7" max="7" width="2.28125" style="88" customWidth="1"/>
    <col min="8" max="8" width="11.140625" style="88" bestFit="1" customWidth="1"/>
    <col min="9" max="9" width="2.140625" style="88" customWidth="1"/>
    <col min="10" max="10" width="11.140625" style="88" bestFit="1" customWidth="1"/>
    <col min="11" max="11" width="2.140625" style="88" customWidth="1"/>
    <col min="12" max="12" width="11.140625" style="88" bestFit="1" customWidth="1"/>
    <col min="13" max="13" width="2.7109375" style="88" customWidth="1"/>
    <col min="14" max="14" width="10.00390625" style="88" bestFit="1" customWidth="1"/>
    <col min="15" max="15" width="2.00390625" style="88" customWidth="1"/>
    <col min="16" max="16" width="10.00390625" style="88" bestFit="1" customWidth="1"/>
    <col min="17" max="17" width="1.57421875" style="88" customWidth="1"/>
    <col min="18" max="18" width="10.00390625" style="88" bestFit="1" customWidth="1"/>
    <col min="19" max="19" width="2.140625" style="88" customWidth="1"/>
    <col min="20" max="20" width="10.00390625" style="88" bestFit="1" customWidth="1"/>
    <col min="21" max="21" width="2.7109375" style="88" customWidth="1"/>
    <col min="22" max="22" width="10.421875" style="88" customWidth="1"/>
    <col min="23" max="23" width="2.421875" style="88" customWidth="1"/>
    <col min="24" max="24" width="9.7109375" style="88" customWidth="1"/>
    <col min="25" max="25" width="2.421875" style="88" customWidth="1"/>
    <col min="26" max="26" width="8.57421875" style="88" customWidth="1"/>
    <col min="27" max="27" width="2.421875" style="88" customWidth="1"/>
    <col min="28" max="28" width="8.421875" style="88" customWidth="1"/>
    <col min="29" max="29" width="2.57421875" style="88" customWidth="1"/>
    <col min="30" max="30" width="10.57421875" style="88" customWidth="1"/>
    <col min="31" max="31" width="1.8515625" style="88" customWidth="1"/>
    <col min="32" max="32" width="9.00390625" style="88" bestFit="1" customWidth="1"/>
    <col min="33" max="33" width="2.140625" style="88" customWidth="1"/>
    <col min="34" max="34" width="9.00390625" style="88" bestFit="1" customWidth="1"/>
    <col min="35" max="35" width="2.8515625" style="88" customWidth="1"/>
    <col min="36" max="36" width="9.00390625" style="88" bestFit="1" customWidth="1"/>
    <col min="37" max="37" width="2.00390625" style="88" customWidth="1"/>
    <col min="38" max="38" width="8.00390625" style="88" bestFit="1" customWidth="1"/>
    <col min="39" max="39" width="2.140625" style="88" customWidth="1"/>
    <col min="40" max="40" width="8.00390625" style="88" bestFit="1" customWidth="1"/>
    <col min="41" max="41" width="2.7109375" style="88" customWidth="1"/>
    <col min="42" max="42" width="8.00390625" style="88" bestFit="1" customWidth="1"/>
    <col min="43" max="43" width="2.140625" style="88" customWidth="1"/>
    <col min="44" max="44" width="8.00390625" style="88" bestFit="1" customWidth="1"/>
    <col min="45" max="45" width="2.28125" style="88" customWidth="1"/>
    <col min="46" max="46" width="9.7109375" style="88" customWidth="1"/>
    <col min="47" max="47" width="2.28125" style="88" customWidth="1"/>
    <col min="48" max="48" width="10.00390625" style="88" customWidth="1"/>
    <col min="49" max="49" width="2.28125" style="88" customWidth="1"/>
    <col min="50" max="50" width="9.140625" style="88" customWidth="1"/>
    <col min="51" max="51" width="2.421875" style="88" customWidth="1"/>
    <col min="52" max="52" width="8.7109375" style="88" customWidth="1"/>
    <col min="53" max="53" width="2.57421875" style="88" customWidth="1"/>
    <col min="54" max="54" width="8.8515625" style="88" customWidth="1"/>
    <col min="55" max="55" width="2.421875" style="88" customWidth="1"/>
    <col min="56" max="56" width="9.140625" style="88" customWidth="1"/>
    <col min="57" max="57" width="2.28125" style="88" customWidth="1"/>
    <col min="58" max="58" width="11.00390625" style="88" customWidth="1"/>
    <col min="59" max="59" width="3.57421875" style="88" customWidth="1"/>
    <col min="60" max="60" width="8.28125" style="88" customWidth="1"/>
    <col min="61" max="61" width="2.28125" style="88" customWidth="1"/>
    <col min="62" max="62" width="10.140625" style="88" customWidth="1"/>
    <col min="63" max="63" width="2.57421875" style="88" customWidth="1"/>
    <col min="64" max="64" width="10.8515625" style="88" customWidth="1"/>
    <col min="65" max="65" width="2.00390625" style="88" customWidth="1"/>
    <col min="66" max="66" width="11.421875" style="88" customWidth="1"/>
    <col min="67" max="67" width="1.7109375" style="88" customWidth="1"/>
    <col min="68" max="68" width="11.8515625" style="88" customWidth="1"/>
    <col min="69" max="69" width="2.28125" style="88" customWidth="1"/>
    <col min="70" max="70" width="10.8515625" style="88" customWidth="1"/>
    <col min="71" max="16384" width="9.140625" style="88" customWidth="1"/>
  </cols>
  <sheetData>
    <row r="1" spans="2:3" ht="12.75">
      <c r="B1" s="13" t="s">
        <v>218</v>
      </c>
      <c r="C1" s="13"/>
    </row>
    <row r="4" spans="2:54" ht="12.75">
      <c r="B4" s="13" t="s">
        <v>195</v>
      </c>
      <c r="C4" s="13"/>
      <c r="D4" s="13"/>
      <c r="E4" s="13"/>
      <c r="F4" s="100" t="s">
        <v>181</v>
      </c>
      <c r="G4" s="100"/>
      <c r="H4" s="100" t="s">
        <v>182</v>
      </c>
      <c r="I4" s="100"/>
      <c r="J4" s="100" t="s">
        <v>183</v>
      </c>
      <c r="K4" s="100"/>
      <c r="L4" s="100" t="s">
        <v>201</v>
      </c>
      <c r="M4" s="100"/>
      <c r="N4" s="100" t="s">
        <v>181</v>
      </c>
      <c r="O4" s="100"/>
      <c r="P4" s="100" t="s">
        <v>182</v>
      </c>
      <c r="Q4" s="100"/>
      <c r="R4" s="100" t="s">
        <v>183</v>
      </c>
      <c r="S4" s="100"/>
      <c r="T4" s="100" t="s">
        <v>201</v>
      </c>
      <c r="U4" s="100"/>
      <c r="V4" s="100" t="s">
        <v>181</v>
      </c>
      <c r="W4" s="100"/>
      <c r="X4" s="100" t="s">
        <v>182</v>
      </c>
      <c r="Y4" s="100"/>
      <c r="Z4" s="100" t="s">
        <v>183</v>
      </c>
      <c r="AA4" s="100"/>
      <c r="AB4" s="100" t="s">
        <v>201</v>
      </c>
      <c r="AC4" s="100"/>
      <c r="AD4" s="100" t="s">
        <v>181</v>
      </c>
      <c r="AE4" s="100"/>
      <c r="AF4" s="100" t="s">
        <v>182</v>
      </c>
      <c r="AG4" s="100"/>
      <c r="AH4" s="100" t="s">
        <v>183</v>
      </c>
      <c r="AI4" s="100"/>
      <c r="AJ4" s="100" t="s">
        <v>201</v>
      </c>
      <c r="AK4" s="100"/>
      <c r="AL4" s="100" t="s">
        <v>181</v>
      </c>
      <c r="AM4" s="100"/>
      <c r="AN4" s="100" t="s">
        <v>182</v>
      </c>
      <c r="AO4" s="100"/>
      <c r="AP4" s="100" t="s">
        <v>183</v>
      </c>
      <c r="AQ4" s="100"/>
      <c r="AR4" s="100" t="s">
        <v>201</v>
      </c>
      <c r="AS4" s="100"/>
      <c r="AT4" s="100" t="s">
        <v>181</v>
      </c>
      <c r="AU4" s="100"/>
      <c r="AV4" s="100" t="s">
        <v>182</v>
      </c>
      <c r="AW4" s="100"/>
      <c r="AX4" s="100" t="s">
        <v>183</v>
      </c>
      <c r="AY4" s="100"/>
      <c r="AZ4" s="100" t="s">
        <v>201</v>
      </c>
      <c r="BA4" s="100"/>
      <c r="BB4" s="100" t="s">
        <v>180</v>
      </c>
    </row>
    <row r="5" spans="2:54" ht="12.75">
      <c r="B5" s="13"/>
      <c r="C5" s="13"/>
      <c r="D5" s="13"/>
      <c r="E5" s="13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</row>
    <row r="6" spans="2:54" ht="12.75">
      <c r="B6" s="8" t="s">
        <v>240</v>
      </c>
      <c r="C6" s="8"/>
      <c r="D6" s="13"/>
      <c r="E6" s="13"/>
      <c r="F6" s="100" t="s">
        <v>270</v>
      </c>
      <c r="G6" s="100"/>
      <c r="H6" s="100" t="s">
        <v>270</v>
      </c>
      <c r="I6" s="100"/>
      <c r="J6" s="100" t="s">
        <v>270</v>
      </c>
      <c r="K6" s="100"/>
      <c r="L6" s="100" t="s">
        <v>270</v>
      </c>
      <c r="M6" s="100"/>
      <c r="N6" s="100" t="s">
        <v>272</v>
      </c>
      <c r="O6" s="100"/>
      <c r="P6" s="100" t="s">
        <v>272</v>
      </c>
      <c r="Q6" s="100"/>
      <c r="R6" s="100" t="s">
        <v>272</v>
      </c>
      <c r="S6" s="100"/>
      <c r="T6" s="100" t="s">
        <v>272</v>
      </c>
      <c r="U6" s="100"/>
      <c r="V6" s="100" t="s">
        <v>274</v>
      </c>
      <c r="W6" s="100"/>
      <c r="X6" s="100" t="s">
        <v>274</v>
      </c>
      <c r="Y6" s="100"/>
      <c r="Z6" s="100" t="s">
        <v>274</v>
      </c>
      <c r="AA6" s="100"/>
      <c r="AB6" s="100" t="s">
        <v>274</v>
      </c>
      <c r="AC6" s="100"/>
      <c r="AD6" s="100" t="s">
        <v>275</v>
      </c>
      <c r="AE6" s="100"/>
      <c r="AF6" s="100" t="s">
        <v>275</v>
      </c>
      <c r="AG6" s="100"/>
      <c r="AH6" s="100" t="s">
        <v>275</v>
      </c>
      <c r="AI6" s="100"/>
      <c r="AJ6" s="100" t="s">
        <v>275</v>
      </c>
      <c r="AK6" s="100"/>
      <c r="AL6" s="100" t="s">
        <v>276</v>
      </c>
      <c r="AM6" s="100"/>
      <c r="AN6" s="100" t="s">
        <v>276</v>
      </c>
      <c r="AO6" s="100"/>
      <c r="AP6" s="100" t="s">
        <v>276</v>
      </c>
      <c r="AQ6" s="100"/>
      <c r="AR6" s="100" t="s">
        <v>276</v>
      </c>
      <c r="AS6" s="100"/>
      <c r="AT6" s="100" t="s">
        <v>277</v>
      </c>
      <c r="AU6" s="100"/>
      <c r="AV6" s="100" t="s">
        <v>277</v>
      </c>
      <c r="AW6" s="100"/>
      <c r="AX6" s="100" t="s">
        <v>277</v>
      </c>
      <c r="AY6" s="100"/>
      <c r="AZ6" s="100" t="s">
        <v>277</v>
      </c>
      <c r="BA6" s="100"/>
      <c r="BB6" s="100" t="s">
        <v>277</v>
      </c>
    </row>
    <row r="7" spans="2:54" ht="12.75">
      <c r="B7" s="8" t="s">
        <v>241</v>
      </c>
      <c r="C7" s="8"/>
      <c r="F7" s="88" t="s">
        <v>269</v>
      </c>
      <c r="H7" s="88" t="s">
        <v>269</v>
      </c>
      <c r="J7" s="88" t="s">
        <v>269</v>
      </c>
      <c r="L7" s="88" t="s">
        <v>269</v>
      </c>
      <c r="N7" s="88" t="s">
        <v>271</v>
      </c>
      <c r="P7" s="88" t="s">
        <v>271</v>
      </c>
      <c r="R7" s="88" t="s">
        <v>271</v>
      </c>
      <c r="T7" s="88" t="s">
        <v>271</v>
      </c>
      <c r="V7" s="88" t="s">
        <v>273</v>
      </c>
      <c r="X7" s="88" t="s">
        <v>273</v>
      </c>
      <c r="Z7" s="88" t="s">
        <v>273</v>
      </c>
      <c r="AB7" s="88" t="s">
        <v>273</v>
      </c>
      <c r="AD7" s="88" t="s">
        <v>33</v>
      </c>
      <c r="AF7" s="88" t="s">
        <v>33</v>
      </c>
      <c r="AH7" s="88" t="s">
        <v>33</v>
      </c>
      <c r="AJ7" s="88" t="s">
        <v>33</v>
      </c>
      <c r="AL7" s="88" t="s">
        <v>33</v>
      </c>
      <c r="AN7" s="88" t="s">
        <v>33</v>
      </c>
      <c r="AP7" s="88" t="s">
        <v>33</v>
      </c>
      <c r="AR7" s="88" t="s">
        <v>33</v>
      </c>
      <c r="AT7" s="88" t="s">
        <v>66</v>
      </c>
      <c r="AV7" s="88" t="s">
        <v>66</v>
      </c>
      <c r="AX7" s="88" t="s">
        <v>66</v>
      </c>
      <c r="AZ7" s="88" t="s">
        <v>66</v>
      </c>
      <c r="BB7" s="88" t="s">
        <v>66</v>
      </c>
    </row>
    <row r="8" spans="2:54" ht="12.75">
      <c r="B8" s="8" t="s">
        <v>278</v>
      </c>
      <c r="C8" s="8"/>
      <c r="F8" s="100" t="s">
        <v>40</v>
      </c>
      <c r="H8" s="100" t="s">
        <v>40</v>
      </c>
      <c r="J8" s="100" t="s">
        <v>40</v>
      </c>
      <c r="L8" s="100" t="s">
        <v>40</v>
      </c>
      <c r="V8" s="100" t="s">
        <v>279</v>
      </c>
      <c r="X8" s="100" t="s">
        <v>279</v>
      </c>
      <c r="Z8" s="100" t="s">
        <v>279</v>
      </c>
      <c r="AB8" s="100" t="s">
        <v>279</v>
      </c>
      <c r="AD8" s="88" t="s">
        <v>33</v>
      </c>
      <c r="AF8" s="88" t="s">
        <v>33</v>
      </c>
      <c r="AH8" s="88" t="s">
        <v>33</v>
      </c>
      <c r="AJ8" s="88" t="s">
        <v>33</v>
      </c>
      <c r="AT8" s="88" t="s">
        <v>66</v>
      </c>
      <c r="AV8" s="88" t="s">
        <v>66</v>
      </c>
      <c r="AX8" s="88" t="s">
        <v>66</v>
      </c>
      <c r="AZ8" s="88" t="s">
        <v>66</v>
      </c>
      <c r="BB8" s="88" t="s">
        <v>66</v>
      </c>
    </row>
    <row r="9" spans="2:54" ht="12.75">
      <c r="B9" s="8" t="s">
        <v>20</v>
      </c>
      <c r="C9" s="8"/>
      <c r="F9" s="88" t="s">
        <v>206</v>
      </c>
      <c r="H9" s="88" t="s">
        <v>206</v>
      </c>
      <c r="J9" s="88" t="s">
        <v>206</v>
      </c>
      <c r="L9" s="88" t="s">
        <v>206</v>
      </c>
      <c r="N9" s="88" t="s">
        <v>207</v>
      </c>
      <c r="P9" s="88" t="s">
        <v>207</v>
      </c>
      <c r="R9" s="88" t="s">
        <v>207</v>
      </c>
      <c r="T9" s="88" t="s">
        <v>207</v>
      </c>
      <c r="V9" s="88" t="s">
        <v>208</v>
      </c>
      <c r="X9" s="88" t="s">
        <v>208</v>
      </c>
      <c r="Z9" s="88" t="s">
        <v>208</v>
      </c>
      <c r="AB9" s="88" t="s">
        <v>208</v>
      </c>
      <c r="AD9" s="88" t="s">
        <v>209</v>
      </c>
      <c r="AF9" s="88" t="s">
        <v>209</v>
      </c>
      <c r="AH9" s="88" t="s">
        <v>209</v>
      </c>
      <c r="AJ9" s="88" t="s">
        <v>209</v>
      </c>
      <c r="AL9" s="88" t="s">
        <v>210</v>
      </c>
      <c r="AN9" s="88" t="s">
        <v>210</v>
      </c>
      <c r="AP9" s="88" t="s">
        <v>210</v>
      </c>
      <c r="AR9" s="88" t="s">
        <v>210</v>
      </c>
      <c r="AT9" s="88" t="s">
        <v>66</v>
      </c>
      <c r="AV9" s="88" t="s">
        <v>66</v>
      </c>
      <c r="AX9" s="88" t="s">
        <v>66</v>
      </c>
      <c r="AZ9" s="88" t="s">
        <v>66</v>
      </c>
      <c r="BB9" s="88" t="s">
        <v>66</v>
      </c>
    </row>
    <row r="10" spans="1:44" ht="12.75">
      <c r="A10" s="88" t="s">
        <v>195</v>
      </c>
      <c r="B10" s="8" t="s">
        <v>65</v>
      </c>
      <c r="C10" s="8"/>
      <c r="D10" s="88" t="s">
        <v>28</v>
      </c>
      <c r="F10" s="86">
        <v>5359</v>
      </c>
      <c r="G10" s="86"/>
      <c r="H10" s="86">
        <v>5359</v>
      </c>
      <c r="I10" s="86"/>
      <c r="J10" s="86">
        <v>5306</v>
      </c>
      <c r="K10" s="86"/>
      <c r="L10" s="86">
        <v>5307</v>
      </c>
      <c r="M10" s="86"/>
      <c r="N10" s="86"/>
      <c r="O10" s="86"/>
      <c r="P10" s="86"/>
      <c r="Q10" s="86"/>
      <c r="R10" s="86"/>
      <c r="S10" s="86"/>
      <c r="T10" s="86"/>
      <c r="U10" s="86"/>
      <c r="V10" s="86">
        <v>52000</v>
      </c>
      <c r="W10" s="86"/>
      <c r="X10" s="86">
        <v>54000</v>
      </c>
      <c r="Y10" s="86"/>
      <c r="Z10" s="86">
        <v>54000</v>
      </c>
      <c r="AA10" s="86"/>
      <c r="AB10" s="86"/>
      <c r="AC10" s="86"/>
      <c r="AD10" s="90">
        <v>105.3714</v>
      </c>
      <c r="AE10" s="90"/>
      <c r="AF10" s="90">
        <v>99.65</v>
      </c>
      <c r="AG10" s="90"/>
      <c r="AH10" s="90">
        <v>99.491</v>
      </c>
      <c r="AI10" s="90"/>
      <c r="AJ10" s="90">
        <v>98.2857</v>
      </c>
      <c r="AK10" s="90"/>
      <c r="AL10" s="90">
        <v>199.44</v>
      </c>
      <c r="AM10" s="90"/>
      <c r="AN10" s="90">
        <v>196.38</v>
      </c>
      <c r="AO10" s="90"/>
      <c r="AP10" s="90">
        <v>200.57</v>
      </c>
      <c r="AQ10" s="90"/>
      <c r="AR10" s="90">
        <v>201.38</v>
      </c>
    </row>
    <row r="11" spans="1:44" ht="12.75">
      <c r="A11" s="88" t="s">
        <v>195</v>
      </c>
      <c r="B11" s="8" t="s">
        <v>21</v>
      </c>
      <c r="C11" s="8"/>
      <c r="D11" s="88" t="s">
        <v>22</v>
      </c>
      <c r="F11" s="86">
        <v>9400</v>
      </c>
      <c r="G11" s="86"/>
      <c r="H11" s="86">
        <v>9700</v>
      </c>
      <c r="I11" s="86"/>
      <c r="J11" s="86">
        <v>8300</v>
      </c>
      <c r="K11" s="86"/>
      <c r="L11" s="86">
        <v>9000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2:54" ht="12.75">
      <c r="B12" s="8" t="s">
        <v>283</v>
      </c>
      <c r="C12" s="8"/>
      <c r="D12" s="88" t="s">
        <v>32</v>
      </c>
      <c r="F12" s="87">
        <f>F10*F11/1000000</f>
        <v>50.3746</v>
      </c>
      <c r="G12" s="86"/>
      <c r="H12" s="87">
        <f>H10*H11/1000000</f>
        <v>51.9823</v>
      </c>
      <c r="I12" s="86"/>
      <c r="J12" s="87">
        <f>J10*J11/1000000</f>
        <v>44.0398</v>
      </c>
      <c r="K12" s="86"/>
      <c r="L12" s="87">
        <f>L10*L11/1000000</f>
        <v>47.763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T12" s="108">
        <f>F12</f>
        <v>50.3746</v>
      </c>
      <c r="AU12" s="108"/>
      <c r="AV12" s="108">
        <f>H12</f>
        <v>51.9823</v>
      </c>
      <c r="AW12" s="108"/>
      <c r="AX12" s="108">
        <f>J12</f>
        <v>44.0398</v>
      </c>
      <c r="AY12" s="108"/>
      <c r="AZ12" s="108">
        <f>L12</f>
        <v>47.763</v>
      </c>
      <c r="BA12" s="108"/>
      <c r="BB12" s="108">
        <f>AVERAGE(AT12,AV12,AX12,AZ12)</f>
        <v>48.539925000000004</v>
      </c>
    </row>
    <row r="13" spans="1:44" ht="12.75">
      <c r="A13" s="88" t="s">
        <v>195</v>
      </c>
      <c r="B13" s="88" t="s">
        <v>24</v>
      </c>
      <c r="D13" s="88" t="s">
        <v>28</v>
      </c>
      <c r="F13" s="86">
        <v>175</v>
      </c>
      <c r="G13" s="86"/>
      <c r="H13" s="86">
        <v>165</v>
      </c>
      <c r="I13" s="86"/>
      <c r="J13" s="86">
        <v>173</v>
      </c>
      <c r="K13" s="86"/>
      <c r="L13" s="86">
        <v>179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</row>
    <row r="14" spans="1:44" ht="12.75">
      <c r="A14" s="88" t="s">
        <v>195</v>
      </c>
      <c r="B14" s="88" t="s">
        <v>124</v>
      </c>
      <c r="D14" s="88" t="s">
        <v>28</v>
      </c>
      <c r="F14" s="86">
        <v>0.0309</v>
      </c>
      <c r="G14" s="86"/>
      <c r="H14" s="86">
        <v>0.0309</v>
      </c>
      <c r="I14" s="86"/>
      <c r="J14" s="86">
        <v>0.0306</v>
      </c>
      <c r="K14" s="86"/>
      <c r="L14" s="86">
        <v>0.0306</v>
      </c>
      <c r="M14" s="86"/>
      <c r="N14" s="86"/>
      <c r="O14" s="86"/>
      <c r="P14" s="86"/>
      <c r="Q14" s="86"/>
      <c r="R14" s="86"/>
      <c r="S14" s="86"/>
      <c r="T14" s="86"/>
      <c r="U14" s="86"/>
      <c r="V14" s="86">
        <v>0.0744</v>
      </c>
      <c r="W14" s="86"/>
      <c r="X14" s="86">
        <v>0.0772</v>
      </c>
      <c r="Y14" s="86"/>
      <c r="Z14" s="86">
        <v>0.0772</v>
      </c>
      <c r="AA14" s="86"/>
      <c r="AB14" s="86">
        <v>0.0744</v>
      </c>
      <c r="AC14" s="86"/>
      <c r="AD14" s="86">
        <v>0.253</v>
      </c>
      <c r="AE14" s="86"/>
      <c r="AF14" s="86">
        <v>0.239</v>
      </c>
      <c r="AG14" s="86"/>
      <c r="AH14" s="86">
        <v>0.239</v>
      </c>
      <c r="AI14" s="86"/>
      <c r="AJ14" s="86">
        <v>0.236</v>
      </c>
      <c r="AK14" s="86"/>
      <c r="AL14" s="86"/>
      <c r="AM14" s="86"/>
      <c r="AN14" s="86"/>
      <c r="AO14" s="86"/>
      <c r="AP14" s="86"/>
      <c r="AQ14" s="86"/>
      <c r="AR14" s="86"/>
    </row>
    <row r="15" spans="1:44" ht="12.75">
      <c r="A15" s="88" t="s">
        <v>195</v>
      </c>
      <c r="B15" s="88" t="s">
        <v>123</v>
      </c>
      <c r="D15" s="88" t="s">
        <v>28</v>
      </c>
      <c r="F15" s="86">
        <v>0.0052</v>
      </c>
      <c r="G15" s="86"/>
      <c r="H15" s="86">
        <v>0.0052</v>
      </c>
      <c r="I15" s="86"/>
      <c r="J15" s="86">
        <v>0.0051</v>
      </c>
      <c r="K15" s="86"/>
      <c r="L15" s="86">
        <v>0.0051</v>
      </c>
      <c r="M15" s="86"/>
      <c r="N15" s="86"/>
      <c r="O15" s="86"/>
      <c r="P15" s="86"/>
      <c r="Q15" s="86"/>
      <c r="R15" s="86"/>
      <c r="S15" s="86"/>
      <c r="T15" s="86"/>
      <c r="U15" s="86"/>
      <c r="V15" s="86">
        <v>0.619</v>
      </c>
      <c r="W15" s="86"/>
      <c r="X15" s="86">
        <v>0.643</v>
      </c>
      <c r="Y15" s="86"/>
      <c r="Z15" s="86">
        <v>0.643</v>
      </c>
      <c r="AA15" s="86"/>
      <c r="AB15" s="86">
        <v>0.619</v>
      </c>
      <c r="AC15" s="86"/>
      <c r="AD15" s="86">
        <v>0.126</v>
      </c>
      <c r="AE15" s="86"/>
      <c r="AF15" s="86">
        <v>0.12</v>
      </c>
      <c r="AG15" s="86"/>
      <c r="AH15" s="86">
        <v>0.119</v>
      </c>
      <c r="AI15" s="86"/>
      <c r="AJ15" s="86">
        <v>0.118</v>
      </c>
      <c r="AK15" s="86"/>
      <c r="AL15" s="86"/>
      <c r="AM15" s="86"/>
      <c r="AN15" s="86"/>
      <c r="AO15" s="86"/>
      <c r="AP15" s="86"/>
      <c r="AQ15" s="86"/>
      <c r="AR15" s="86"/>
    </row>
    <row r="16" spans="1:44" ht="12.75">
      <c r="A16" s="88" t="s">
        <v>195</v>
      </c>
      <c r="B16" s="88" t="s">
        <v>125</v>
      </c>
      <c r="D16" s="88" t="s">
        <v>28</v>
      </c>
      <c r="F16" s="86">
        <v>0.0067</v>
      </c>
      <c r="G16" s="86"/>
      <c r="H16" s="86">
        <v>0.0062</v>
      </c>
      <c r="I16" s="86"/>
      <c r="J16" s="86">
        <v>0.0061</v>
      </c>
      <c r="K16" s="86"/>
      <c r="L16" s="86">
        <v>0.0102</v>
      </c>
      <c r="M16" s="86"/>
      <c r="N16" s="86"/>
      <c r="O16" s="86"/>
      <c r="P16" s="86"/>
      <c r="Q16" s="86"/>
      <c r="R16" s="86"/>
      <c r="S16" s="86"/>
      <c r="T16" s="86"/>
      <c r="U16" s="86"/>
      <c r="V16" s="86">
        <v>1.87</v>
      </c>
      <c r="W16" s="86"/>
      <c r="X16" s="86">
        <v>1.94</v>
      </c>
      <c r="Y16" s="86"/>
      <c r="Z16" s="86">
        <v>1.94</v>
      </c>
      <c r="AA16" s="86"/>
      <c r="AB16" s="86">
        <v>1.87</v>
      </c>
      <c r="AC16" s="86"/>
      <c r="AD16" s="86">
        <v>0.759</v>
      </c>
      <c r="AE16" s="86"/>
      <c r="AF16" s="86">
        <v>0.718</v>
      </c>
      <c r="AG16" s="86"/>
      <c r="AH16" s="86">
        <v>0.716</v>
      </c>
      <c r="AI16" s="86"/>
      <c r="AJ16" s="86">
        <v>0.708</v>
      </c>
      <c r="AK16" s="86"/>
      <c r="AL16" s="86"/>
      <c r="AM16" s="86"/>
      <c r="AN16" s="86"/>
      <c r="AO16" s="86"/>
      <c r="AP16" s="86"/>
      <c r="AQ16" s="86"/>
      <c r="AR16" s="86"/>
    </row>
    <row r="17" spans="1:44" ht="12.75">
      <c r="A17" s="88" t="s">
        <v>195</v>
      </c>
      <c r="B17" s="88" t="s">
        <v>126</v>
      </c>
      <c r="D17" s="88" t="s">
        <v>28</v>
      </c>
      <c r="F17" s="86">
        <v>0.0026</v>
      </c>
      <c r="G17" s="86"/>
      <c r="H17" s="86">
        <v>0.0026</v>
      </c>
      <c r="I17" s="86"/>
      <c r="J17" s="86">
        <v>0.0026</v>
      </c>
      <c r="K17" s="86"/>
      <c r="L17" s="86">
        <v>0.0026</v>
      </c>
      <c r="M17" s="86"/>
      <c r="N17" s="86"/>
      <c r="O17" s="86"/>
      <c r="P17" s="86"/>
      <c r="Q17" s="86"/>
      <c r="R17" s="86"/>
      <c r="S17" s="86"/>
      <c r="T17" s="86"/>
      <c r="U17" s="86"/>
      <c r="V17" s="86">
        <v>0.0409</v>
      </c>
      <c r="W17" s="86"/>
      <c r="X17" s="86">
        <v>0.0424</v>
      </c>
      <c r="Y17" s="86"/>
      <c r="Z17" s="86">
        <v>0.0424</v>
      </c>
      <c r="AA17" s="86"/>
      <c r="AB17" s="86">
        <v>0.0409</v>
      </c>
      <c r="AC17" s="86"/>
      <c r="AD17" s="86">
        <v>0.0061</v>
      </c>
      <c r="AE17" s="86"/>
      <c r="AF17" s="86">
        <v>0.0058</v>
      </c>
      <c r="AG17" s="86"/>
      <c r="AH17" s="86">
        <v>0.0058</v>
      </c>
      <c r="AI17" s="86"/>
      <c r="AJ17" s="86">
        <v>0.0057</v>
      </c>
      <c r="AK17" s="86"/>
      <c r="AL17" s="86"/>
      <c r="AM17" s="86"/>
      <c r="AN17" s="86"/>
      <c r="AO17" s="86"/>
      <c r="AP17" s="86"/>
      <c r="AQ17" s="86"/>
      <c r="AR17" s="86"/>
    </row>
    <row r="18" spans="1:44" ht="12.75">
      <c r="A18" s="88" t="s">
        <v>195</v>
      </c>
      <c r="B18" s="88" t="s">
        <v>127</v>
      </c>
      <c r="D18" s="88" t="s">
        <v>28</v>
      </c>
      <c r="F18" s="86">
        <v>0.0052</v>
      </c>
      <c r="G18" s="86"/>
      <c r="H18" s="86">
        <v>0.0052</v>
      </c>
      <c r="I18" s="86"/>
      <c r="J18" s="86">
        <v>0.0051</v>
      </c>
      <c r="K18" s="86"/>
      <c r="L18" s="86">
        <v>0.0051</v>
      </c>
      <c r="M18" s="86"/>
      <c r="N18" s="86"/>
      <c r="O18" s="86"/>
      <c r="P18" s="86"/>
      <c r="Q18" s="86"/>
      <c r="R18" s="86"/>
      <c r="S18" s="86"/>
      <c r="T18" s="86"/>
      <c r="U18" s="86"/>
      <c r="V18" s="86">
        <v>0.198</v>
      </c>
      <c r="W18" s="86"/>
      <c r="X18" s="86">
        <v>0.206</v>
      </c>
      <c r="Y18" s="86"/>
      <c r="Z18" s="86">
        <v>0.206</v>
      </c>
      <c r="AA18" s="86"/>
      <c r="AB18" s="86">
        <v>0.198</v>
      </c>
      <c r="AC18" s="86"/>
      <c r="AD18" s="86">
        <v>0.152</v>
      </c>
      <c r="AE18" s="86"/>
      <c r="AF18" s="86">
        <v>0.144</v>
      </c>
      <c r="AG18" s="86"/>
      <c r="AH18" s="86">
        <v>0.143</v>
      </c>
      <c r="AI18" s="86"/>
      <c r="AJ18" s="86">
        <v>0.142</v>
      </c>
      <c r="AK18" s="86"/>
      <c r="AL18" s="86"/>
      <c r="AM18" s="86"/>
      <c r="AN18" s="86"/>
      <c r="AO18" s="86"/>
      <c r="AP18" s="86"/>
      <c r="AQ18" s="86"/>
      <c r="AR18" s="86"/>
    </row>
    <row r="19" spans="1:44" ht="12.75">
      <c r="A19" s="88" t="s">
        <v>195</v>
      </c>
      <c r="B19" s="88" t="s">
        <v>128</v>
      </c>
      <c r="D19" s="88" t="s">
        <v>28</v>
      </c>
      <c r="F19" s="86">
        <v>0.0258</v>
      </c>
      <c r="G19" s="86"/>
      <c r="H19" s="86">
        <v>0.0258</v>
      </c>
      <c r="I19" s="86"/>
      <c r="J19" s="86">
        <v>0.0255</v>
      </c>
      <c r="K19" s="86"/>
      <c r="L19" s="86">
        <v>0.0255</v>
      </c>
      <c r="M19" s="86"/>
      <c r="N19" s="86"/>
      <c r="O19" s="86"/>
      <c r="P19" s="86"/>
      <c r="Q19" s="86"/>
      <c r="R19" s="86"/>
      <c r="S19" s="86"/>
      <c r="T19" s="86"/>
      <c r="U19" s="86"/>
      <c r="V19" s="86">
        <v>2.95</v>
      </c>
      <c r="W19" s="86"/>
      <c r="X19" s="86">
        <v>3.07</v>
      </c>
      <c r="Y19" s="86"/>
      <c r="Z19" s="86">
        <v>3.07</v>
      </c>
      <c r="AA19" s="86"/>
      <c r="AB19" s="86">
        <v>2.95</v>
      </c>
      <c r="AC19" s="86"/>
      <c r="AD19" s="86">
        <v>2.53</v>
      </c>
      <c r="AE19" s="86"/>
      <c r="AF19" s="86">
        <v>2.39</v>
      </c>
      <c r="AG19" s="86"/>
      <c r="AH19" s="86">
        <v>2.39</v>
      </c>
      <c r="AI19" s="86"/>
      <c r="AJ19" s="86">
        <v>2.36</v>
      </c>
      <c r="AK19" s="86"/>
      <c r="AL19" s="86"/>
      <c r="AM19" s="86"/>
      <c r="AN19" s="86"/>
      <c r="AO19" s="86"/>
      <c r="AP19" s="86"/>
      <c r="AQ19" s="86"/>
      <c r="AR19" s="86"/>
    </row>
    <row r="20" spans="1:44" ht="12.75">
      <c r="A20" s="88" t="s">
        <v>195</v>
      </c>
      <c r="B20" s="88" t="s">
        <v>130</v>
      </c>
      <c r="D20" s="88" t="s">
        <v>28</v>
      </c>
      <c r="F20" s="86">
        <v>0.0515</v>
      </c>
      <c r="G20" s="86"/>
      <c r="H20" s="86">
        <v>0.0515</v>
      </c>
      <c r="I20" s="86"/>
      <c r="J20" s="86">
        <v>0.051</v>
      </c>
      <c r="K20" s="86"/>
      <c r="L20" s="86">
        <v>0.051</v>
      </c>
      <c r="M20" s="86"/>
      <c r="N20" s="86"/>
      <c r="O20" s="86"/>
      <c r="P20" s="86"/>
      <c r="Q20" s="86"/>
      <c r="R20" s="86"/>
      <c r="S20" s="86"/>
      <c r="T20" s="86"/>
      <c r="U20" s="86"/>
      <c r="V20" s="86">
        <v>0.707</v>
      </c>
      <c r="W20" s="86"/>
      <c r="X20" s="86">
        <v>0.734</v>
      </c>
      <c r="Y20" s="86"/>
      <c r="Z20" s="86">
        <v>0.734</v>
      </c>
      <c r="AA20" s="86"/>
      <c r="AB20" s="86">
        <v>0.707</v>
      </c>
      <c r="AC20" s="86"/>
      <c r="AD20" s="86">
        <v>2.83</v>
      </c>
      <c r="AE20" s="86"/>
      <c r="AF20" s="86">
        <v>2.68</v>
      </c>
      <c r="AG20" s="86"/>
      <c r="AH20" s="86">
        <v>2.68</v>
      </c>
      <c r="AI20" s="86"/>
      <c r="AJ20" s="86">
        <v>2.64</v>
      </c>
      <c r="AK20" s="86"/>
      <c r="AL20" s="86"/>
      <c r="AM20" s="86"/>
      <c r="AN20" s="86"/>
      <c r="AO20" s="86"/>
      <c r="AP20" s="86"/>
      <c r="AQ20" s="86"/>
      <c r="AR20" s="86"/>
    </row>
    <row r="21" spans="1:44" ht="12.75">
      <c r="A21" s="88" t="s">
        <v>195</v>
      </c>
      <c r="B21" s="88" t="s">
        <v>131</v>
      </c>
      <c r="D21" s="88" t="s">
        <v>28</v>
      </c>
      <c r="F21" s="86">
        <v>0.001</v>
      </c>
      <c r="G21" s="86"/>
      <c r="H21" s="86">
        <v>0.001</v>
      </c>
      <c r="I21" s="86"/>
      <c r="J21" s="86">
        <v>0.001</v>
      </c>
      <c r="K21" s="86"/>
      <c r="L21" s="86">
        <v>0.0006</v>
      </c>
      <c r="M21" s="86"/>
      <c r="N21" s="86"/>
      <c r="O21" s="86"/>
      <c r="P21" s="86"/>
      <c r="Q21" s="86"/>
      <c r="R21" s="86"/>
      <c r="S21" s="86"/>
      <c r="T21" s="86"/>
      <c r="U21" s="86"/>
      <c r="V21" s="86">
        <v>0.0047</v>
      </c>
      <c r="W21" s="86"/>
      <c r="X21" s="86">
        <v>0.0049</v>
      </c>
      <c r="Y21" s="86"/>
      <c r="Z21" s="86">
        <v>0.0049</v>
      </c>
      <c r="AA21" s="86"/>
      <c r="AB21" s="86">
        <v>0.0047</v>
      </c>
      <c r="AC21" s="86"/>
      <c r="AD21" s="86">
        <v>0.126</v>
      </c>
      <c r="AE21" s="86"/>
      <c r="AF21" s="86">
        <v>0.12</v>
      </c>
      <c r="AG21" s="86"/>
      <c r="AH21" s="86">
        <v>0.119</v>
      </c>
      <c r="AI21" s="86"/>
      <c r="AJ21" s="86">
        <v>0.118</v>
      </c>
      <c r="AK21" s="86"/>
      <c r="AL21" s="86"/>
      <c r="AM21" s="86"/>
      <c r="AN21" s="86"/>
      <c r="AO21" s="86"/>
      <c r="AP21" s="86"/>
      <c r="AQ21" s="86"/>
      <c r="AR21" s="86"/>
    </row>
    <row r="22" spans="1:44" ht="12.75">
      <c r="A22" s="88" t="s">
        <v>195</v>
      </c>
      <c r="B22" s="88" t="s">
        <v>132</v>
      </c>
      <c r="D22" s="88" t="s">
        <v>28</v>
      </c>
      <c r="F22" s="86">
        <v>0.0206</v>
      </c>
      <c r="G22" s="86"/>
      <c r="H22" s="86">
        <v>0.0206</v>
      </c>
      <c r="I22" s="86"/>
      <c r="J22" s="86">
        <v>0.0204</v>
      </c>
      <c r="K22" s="86"/>
      <c r="L22" s="86">
        <v>0.0204</v>
      </c>
      <c r="M22" s="86"/>
      <c r="N22" s="86"/>
      <c r="O22" s="86"/>
      <c r="P22" s="86"/>
      <c r="Q22" s="86"/>
      <c r="R22" s="86"/>
      <c r="S22" s="86"/>
      <c r="T22" s="86"/>
      <c r="U22" s="86"/>
      <c r="V22" s="86">
        <v>2.79</v>
      </c>
      <c r="W22" s="86"/>
      <c r="X22" s="86">
        <v>2.9</v>
      </c>
      <c r="Y22" s="86"/>
      <c r="Z22" s="86">
        <v>2.9</v>
      </c>
      <c r="AA22" s="86"/>
      <c r="AB22" s="86">
        <v>2.79</v>
      </c>
      <c r="AC22" s="86"/>
      <c r="AD22" s="86">
        <v>3.03</v>
      </c>
      <c r="AE22" s="86"/>
      <c r="AF22" s="86">
        <v>2.87</v>
      </c>
      <c r="AG22" s="86"/>
      <c r="AH22" s="86">
        <v>2.87</v>
      </c>
      <c r="AI22" s="86"/>
      <c r="AJ22" s="86">
        <v>2.83</v>
      </c>
      <c r="AK22" s="86"/>
      <c r="AL22" s="86"/>
      <c r="AM22" s="86"/>
      <c r="AN22" s="86"/>
      <c r="AO22" s="86"/>
      <c r="AP22" s="86"/>
      <c r="AQ22" s="86"/>
      <c r="AR22" s="86"/>
    </row>
    <row r="23" spans="1:44" ht="12.75">
      <c r="A23" s="88" t="s">
        <v>195</v>
      </c>
      <c r="B23" s="88" t="s">
        <v>133</v>
      </c>
      <c r="D23" s="88" t="s">
        <v>28</v>
      </c>
      <c r="F23" s="86">
        <v>0.0026</v>
      </c>
      <c r="G23" s="86"/>
      <c r="H23" s="86">
        <v>0.0026</v>
      </c>
      <c r="I23" s="86"/>
      <c r="J23" s="86">
        <v>0.0026</v>
      </c>
      <c r="K23" s="86"/>
      <c r="L23" s="86">
        <v>0.0026</v>
      </c>
      <c r="M23" s="86"/>
      <c r="N23" s="86"/>
      <c r="O23" s="86"/>
      <c r="P23" s="86"/>
      <c r="Q23" s="86"/>
      <c r="R23" s="86"/>
      <c r="S23" s="86"/>
      <c r="T23" s="86"/>
      <c r="U23" s="86"/>
      <c r="V23" s="86">
        <v>0.0409</v>
      </c>
      <c r="W23" s="86"/>
      <c r="X23" s="86">
        <v>0.0424</v>
      </c>
      <c r="Y23" s="86"/>
      <c r="Z23" s="86">
        <v>0.0424</v>
      </c>
      <c r="AA23" s="86"/>
      <c r="AB23" s="86">
        <v>0.0409</v>
      </c>
      <c r="AC23" s="86"/>
      <c r="AD23" s="86">
        <v>0.126</v>
      </c>
      <c r="AE23" s="86"/>
      <c r="AF23" s="86">
        <v>0.12</v>
      </c>
      <c r="AG23" s="86"/>
      <c r="AH23" s="86">
        <v>0.119</v>
      </c>
      <c r="AI23" s="86"/>
      <c r="AJ23" s="86">
        <v>0.118</v>
      </c>
      <c r="AK23" s="86"/>
      <c r="AL23" s="86"/>
      <c r="AM23" s="86"/>
      <c r="AN23" s="86"/>
      <c r="AO23" s="86"/>
      <c r="AP23" s="86"/>
      <c r="AQ23" s="86"/>
      <c r="AR23" s="86"/>
    </row>
    <row r="24" spans="1:44" ht="12.75">
      <c r="A24" s="88" t="s">
        <v>195</v>
      </c>
      <c r="B24" s="88" t="s">
        <v>134</v>
      </c>
      <c r="D24" s="88" t="s">
        <v>28</v>
      </c>
      <c r="F24" s="86">
        <v>0.0026</v>
      </c>
      <c r="G24" s="86"/>
      <c r="H24" s="86">
        <v>0.0026</v>
      </c>
      <c r="I24" s="86"/>
      <c r="J24" s="86">
        <v>0.0026</v>
      </c>
      <c r="K24" s="86"/>
      <c r="L24" s="86">
        <v>0.0026</v>
      </c>
      <c r="M24" s="86"/>
      <c r="N24" s="86"/>
      <c r="O24" s="86"/>
      <c r="P24" s="86"/>
      <c r="Q24" s="86"/>
      <c r="R24" s="86"/>
      <c r="S24" s="86"/>
      <c r="T24" s="86"/>
      <c r="U24" s="86"/>
      <c r="V24" s="86">
        <v>0.0718</v>
      </c>
      <c r="W24" s="86"/>
      <c r="X24" s="86">
        <v>0.0745</v>
      </c>
      <c r="Y24" s="86"/>
      <c r="Z24" s="86">
        <v>0.0745</v>
      </c>
      <c r="AA24" s="86"/>
      <c r="AB24" s="86">
        <v>0.0718</v>
      </c>
      <c r="AC24" s="86"/>
      <c r="AD24" s="86">
        <v>0.101</v>
      </c>
      <c r="AE24" s="86"/>
      <c r="AF24" s="86">
        <v>0.0957</v>
      </c>
      <c r="AG24" s="86"/>
      <c r="AH24" s="86">
        <v>0.0955</v>
      </c>
      <c r="AI24" s="86"/>
      <c r="AJ24" s="86">
        <v>0.0944</v>
      </c>
      <c r="AK24" s="86"/>
      <c r="AL24" s="86"/>
      <c r="AM24" s="86"/>
      <c r="AN24" s="86"/>
      <c r="AO24" s="86"/>
      <c r="AP24" s="86"/>
      <c r="AQ24" s="86"/>
      <c r="AR24" s="86"/>
    </row>
    <row r="25" spans="1:44" ht="12.75">
      <c r="A25" s="88" t="s">
        <v>195</v>
      </c>
      <c r="B25" s="88" t="s">
        <v>135</v>
      </c>
      <c r="D25" s="88" t="s">
        <v>28</v>
      </c>
      <c r="F25" s="86">
        <v>0.0052</v>
      </c>
      <c r="G25" s="86"/>
      <c r="H25" s="86">
        <v>0.0052</v>
      </c>
      <c r="I25" s="86"/>
      <c r="J25" s="86">
        <v>0.0051</v>
      </c>
      <c r="K25" s="86"/>
      <c r="L25" s="86">
        <v>0.0051</v>
      </c>
      <c r="M25" s="86"/>
      <c r="N25" s="86"/>
      <c r="O25" s="86"/>
      <c r="P25" s="86"/>
      <c r="Q25" s="86"/>
      <c r="R25" s="86"/>
      <c r="S25" s="86"/>
      <c r="T25" s="86"/>
      <c r="U25" s="86"/>
      <c r="V25" s="86">
        <v>0.0409</v>
      </c>
      <c r="W25" s="86"/>
      <c r="X25" s="86">
        <v>0.0424</v>
      </c>
      <c r="Y25" s="86"/>
      <c r="Z25" s="86">
        <v>0.0424</v>
      </c>
      <c r="AA25" s="86"/>
      <c r="AB25" s="86">
        <v>0.0409</v>
      </c>
      <c r="AC25" s="86"/>
      <c r="AD25" s="86">
        <v>0.253</v>
      </c>
      <c r="AE25" s="86"/>
      <c r="AF25" s="86">
        <v>0.239</v>
      </c>
      <c r="AG25" s="86"/>
      <c r="AH25" s="86">
        <v>0.239</v>
      </c>
      <c r="AI25" s="86"/>
      <c r="AJ25" s="86">
        <v>0.236</v>
      </c>
      <c r="AK25" s="86"/>
      <c r="AL25" s="86"/>
      <c r="AM25" s="86"/>
      <c r="AN25" s="86"/>
      <c r="AO25" s="86"/>
      <c r="AP25" s="86"/>
      <c r="AQ25" s="86"/>
      <c r="AR25" s="86"/>
    </row>
    <row r="26" spans="6:44" ht="12.75"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</row>
    <row r="27" spans="2:44" ht="12.75">
      <c r="B27" s="8" t="s">
        <v>37</v>
      </c>
      <c r="C27" s="8"/>
      <c r="D27" s="8" t="s">
        <v>17</v>
      </c>
      <c r="F27" s="86">
        <f>'emiss 2'!$G$131</f>
        <v>37835</v>
      </c>
      <c r="G27" s="86"/>
      <c r="H27" s="86">
        <f>'emiss 2'!$I$131</f>
        <v>37326</v>
      </c>
      <c r="I27" s="86"/>
      <c r="J27" s="86">
        <f>'emiss 2'!$K$131</f>
        <v>37623</v>
      </c>
      <c r="K27" s="86"/>
      <c r="L27" s="86">
        <f>'emiss 2'!$M$131</f>
        <v>37183</v>
      </c>
      <c r="M27" s="86"/>
      <c r="N27" s="86">
        <f>'emiss 2'!$G$131</f>
        <v>37835</v>
      </c>
      <c r="O27" s="86"/>
      <c r="P27" s="86">
        <f>'emiss 2'!$I$131</f>
        <v>37326</v>
      </c>
      <c r="Q27" s="86"/>
      <c r="R27" s="86">
        <f>'emiss 2'!$K$131</f>
        <v>37623</v>
      </c>
      <c r="S27" s="86"/>
      <c r="T27" s="86">
        <f>'emiss 2'!$M$131</f>
        <v>37183</v>
      </c>
      <c r="U27" s="86"/>
      <c r="V27" s="86">
        <f>'emiss 2'!$G$131</f>
        <v>37835</v>
      </c>
      <c r="W27" s="86"/>
      <c r="X27" s="86">
        <f>'emiss 2'!$I$131</f>
        <v>37326</v>
      </c>
      <c r="Y27" s="86"/>
      <c r="Z27" s="86">
        <f>'emiss 2'!$K$131</f>
        <v>37623</v>
      </c>
      <c r="AA27" s="86"/>
      <c r="AB27" s="86">
        <f>'emiss 2'!$M$131</f>
        <v>37183</v>
      </c>
      <c r="AC27" s="86"/>
      <c r="AD27" s="86">
        <f>'emiss 2'!$G$131</f>
        <v>37835</v>
      </c>
      <c r="AE27" s="86"/>
      <c r="AF27" s="86">
        <f>'emiss 2'!$I$131</f>
        <v>37326</v>
      </c>
      <c r="AG27" s="86"/>
      <c r="AH27" s="86">
        <f>'emiss 2'!$K$131</f>
        <v>37623</v>
      </c>
      <c r="AI27" s="86"/>
      <c r="AJ27" s="86">
        <f>'emiss 2'!$M$131</f>
        <v>37183</v>
      </c>
      <c r="AK27" s="86"/>
      <c r="AL27" s="86">
        <f>'emiss 2'!$G$131</f>
        <v>37835</v>
      </c>
      <c r="AM27" s="86"/>
      <c r="AN27" s="86">
        <f>'emiss 2'!$I$131</f>
        <v>37326</v>
      </c>
      <c r="AO27" s="86"/>
      <c r="AP27" s="86">
        <f>'emiss 2'!$K$131</f>
        <v>37623</v>
      </c>
      <c r="AQ27" s="86"/>
      <c r="AR27" s="86">
        <f>'emiss 2'!$M$131</f>
        <v>37183</v>
      </c>
    </row>
    <row r="28" spans="2:44" ht="12.75">
      <c r="B28" s="8" t="s">
        <v>38</v>
      </c>
      <c r="C28" s="8"/>
      <c r="D28" s="8" t="s">
        <v>18</v>
      </c>
      <c r="F28" s="86">
        <f>'emiss 2'!$G$132</f>
        <v>15</v>
      </c>
      <c r="G28" s="86"/>
      <c r="H28" s="86">
        <f>'emiss 2'!$I$132</f>
        <v>14.9</v>
      </c>
      <c r="I28" s="86"/>
      <c r="J28" s="86">
        <f>'emiss 2'!$K$132</f>
        <v>14.8</v>
      </c>
      <c r="K28" s="86"/>
      <c r="L28" s="86">
        <f>'emiss 2'!$M$132</f>
        <v>14.85</v>
      </c>
      <c r="M28" s="86"/>
      <c r="N28" s="86">
        <f>'emiss 2'!$G$132</f>
        <v>15</v>
      </c>
      <c r="O28" s="86"/>
      <c r="P28" s="86">
        <f>'emiss 2'!$I$132</f>
        <v>14.9</v>
      </c>
      <c r="Q28" s="86"/>
      <c r="R28" s="86">
        <f>'emiss 2'!$K$132</f>
        <v>14.8</v>
      </c>
      <c r="S28" s="86"/>
      <c r="T28" s="86">
        <f>'emiss 2'!$M$132</f>
        <v>14.85</v>
      </c>
      <c r="U28" s="86"/>
      <c r="V28" s="86">
        <f>'emiss 2'!$G$132</f>
        <v>15</v>
      </c>
      <c r="W28" s="86"/>
      <c r="X28" s="86">
        <f>'emiss 2'!$I$132</f>
        <v>14.9</v>
      </c>
      <c r="Y28" s="86"/>
      <c r="Z28" s="86">
        <f>'emiss 2'!$K$132</f>
        <v>14.8</v>
      </c>
      <c r="AA28" s="86"/>
      <c r="AB28" s="86">
        <f>'emiss 2'!$M$132</f>
        <v>14.85</v>
      </c>
      <c r="AC28" s="86"/>
      <c r="AD28" s="86">
        <f>'emiss 2'!$G$132</f>
        <v>15</v>
      </c>
      <c r="AE28" s="86"/>
      <c r="AF28" s="86">
        <f>'emiss 2'!$I$132</f>
        <v>14.9</v>
      </c>
      <c r="AG28" s="86"/>
      <c r="AH28" s="86">
        <f>'emiss 2'!$K$132</f>
        <v>14.8</v>
      </c>
      <c r="AI28" s="86"/>
      <c r="AJ28" s="86">
        <f>'emiss 2'!$M$132</f>
        <v>14.85</v>
      </c>
      <c r="AK28" s="86"/>
      <c r="AL28" s="86">
        <f>'emiss 2'!$G$132</f>
        <v>15</v>
      </c>
      <c r="AM28" s="86"/>
      <c r="AN28" s="86">
        <f>'emiss 2'!$I$132</f>
        <v>14.9</v>
      </c>
      <c r="AO28" s="86"/>
      <c r="AP28" s="86">
        <f>'emiss 2'!$K$132</f>
        <v>14.8</v>
      </c>
      <c r="AQ28" s="86"/>
      <c r="AR28" s="86">
        <f>'emiss 2'!$M$132</f>
        <v>14.85</v>
      </c>
    </row>
    <row r="29" spans="6:44" ht="12.75"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</row>
    <row r="30" spans="2:44" ht="12.75">
      <c r="B30" s="105" t="s">
        <v>47</v>
      </c>
      <c r="C30" s="105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</row>
    <row r="31" spans="2:54" ht="12.75">
      <c r="B31" s="88" t="s">
        <v>24</v>
      </c>
      <c r="D31" s="88" t="s">
        <v>34</v>
      </c>
      <c r="F31" s="90">
        <f>F13*454*1000000/0.0283/60*14/(21-F$28)/F$27</f>
        <v>2885620.818891609</v>
      </c>
      <c r="G31" s="86"/>
      <c r="H31" s="90">
        <f>H13*454*1000000/0.0283/60*14/(21-H$28)/H$27</f>
        <v>2712619.379424013</v>
      </c>
      <c r="I31" s="86"/>
      <c r="J31" s="90">
        <f aca="true" t="shared" si="0" ref="J31:J43">J13*454*1000000/0.0283/60*14/(21-J$28)/J$27</f>
        <v>2776177.267354698</v>
      </c>
      <c r="K31" s="86"/>
      <c r="L31" s="90">
        <f aca="true" t="shared" si="1" ref="L31:L43">L13*454*1000000/0.0283/60*14/(21-L$28)/L$27</f>
        <v>2930081.438132729</v>
      </c>
      <c r="M31" s="86"/>
      <c r="N31" s="90">
        <f aca="true" t="shared" si="2" ref="N31:N43">N13*454*1000000/0.0283/60*14/(21-N$28)/N$27</f>
        <v>0</v>
      </c>
      <c r="O31" s="86"/>
      <c r="P31" s="90">
        <f aca="true" t="shared" si="3" ref="P31:P43">P13*454*1000000/0.0283/60*14/(21-P$28)/P$27</f>
        <v>0</v>
      </c>
      <c r="Q31" s="86"/>
      <c r="R31" s="90">
        <f aca="true" t="shared" si="4" ref="R31:R43">R13*454*1000000/0.0283/60*14/(21-R$28)/R$27</f>
        <v>0</v>
      </c>
      <c r="S31" s="86"/>
      <c r="T31" s="90">
        <f aca="true" t="shared" si="5" ref="T31:T43">T13*454*1000000/0.0283/60*14/(21-T$28)/T$27</f>
        <v>0</v>
      </c>
      <c r="U31" s="86"/>
      <c r="V31" s="90">
        <f aca="true" t="shared" si="6" ref="V31:V43">V13*454*1000000/0.0283/60*14/(21-V$28)/V$27</f>
        <v>0</v>
      </c>
      <c r="W31" s="86"/>
      <c r="X31" s="90">
        <f aca="true" t="shared" si="7" ref="X31:X43">X13*454*1000000/0.0283/60*14/(21-X$28)/X$27</f>
        <v>0</v>
      </c>
      <c r="Y31" s="86"/>
      <c r="Z31" s="90">
        <f aca="true" t="shared" si="8" ref="Z31:Z43">Z13*454*1000000/0.0283/60*14/(21-Z$28)/Z$27</f>
        <v>0</v>
      </c>
      <c r="AA31" s="86"/>
      <c r="AB31" s="90">
        <f aca="true" t="shared" si="9" ref="AB31:AB43">AB13*454*1000000/0.0283/60*14/(21-AB$28)/AB$27</f>
        <v>0</v>
      </c>
      <c r="AC31" s="86"/>
      <c r="AD31" s="90">
        <f aca="true" t="shared" si="10" ref="AD31:AD43">AD13*454*1000000/0.0283/60*14/(21-AD$28)/AD$27</f>
        <v>0</v>
      </c>
      <c r="AE31" s="86"/>
      <c r="AF31" s="90">
        <f aca="true" t="shared" si="11" ref="AF31:AF43">AF13*454*1000000/0.0283/60*14/(21-AF$28)/AF$27</f>
        <v>0</v>
      </c>
      <c r="AG31" s="86"/>
      <c r="AH31" s="90">
        <f aca="true" t="shared" si="12" ref="AH31:AH43">AH13*454*1000000/0.0283/60*14/(21-AH$28)/AH$27</f>
        <v>0</v>
      </c>
      <c r="AI31" s="86"/>
      <c r="AJ31" s="90">
        <f aca="true" t="shared" si="13" ref="AJ31:AJ43">AJ13*454*1000000/0.0283/60*14/(21-AJ$28)/AJ$27</f>
        <v>0</v>
      </c>
      <c r="AK31" s="86"/>
      <c r="AL31" s="90">
        <f aca="true" t="shared" si="14" ref="AL31:AL43">AL13*454*1000000/0.0283/60*14/(21-AL$28)/AL$27</f>
        <v>0</v>
      </c>
      <c r="AM31" s="86"/>
      <c r="AN31" s="90">
        <f aca="true" t="shared" si="15" ref="AN31:AN43">AN13*454*1000000/0.0283/60*14/(21-AN$28)/AN$27</f>
        <v>0</v>
      </c>
      <c r="AO31" s="86"/>
      <c r="AP31" s="90">
        <f aca="true" t="shared" si="16" ref="AP31:AP43">AP13*454*1000000/0.0283/60*14/(21-AP$28)/AP$27</f>
        <v>0</v>
      </c>
      <c r="AQ31" s="86"/>
      <c r="AR31" s="90">
        <f aca="true" t="shared" si="17" ref="AR31:AR43">AR13*454*1000000/0.0283/60*14/(21-AR$28)/AR$27</f>
        <v>0</v>
      </c>
      <c r="AT31" s="90">
        <f aca="true" t="shared" si="18" ref="AT31:AT45">F31+N31+V31+AD31+AL31</f>
        <v>2885620.818891609</v>
      </c>
      <c r="AV31" s="90">
        <f aca="true" t="shared" si="19" ref="AV31:AV45">H31+P31+X31+AF31+AN31</f>
        <v>2712619.379424013</v>
      </c>
      <c r="AX31" s="90">
        <f aca="true" t="shared" si="20" ref="AX31:AX45">J31+R31+Z31+AH31+AP31</f>
        <v>2776177.267354698</v>
      </c>
      <c r="AZ31" s="90">
        <f aca="true" t="shared" si="21" ref="AZ31:AZ45">L31+T31+AB31+AJ31+AR31</f>
        <v>2930081.438132729</v>
      </c>
      <c r="BB31" s="90">
        <f>AVERAGE(AT31,AV31,AX31,AZ31)</f>
        <v>2826124.725950762</v>
      </c>
    </row>
    <row r="32" spans="2:54" ht="12.75">
      <c r="B32" s="88" t="s">
        <v>124</v>
      </c>
      <c r="D32" s="88" t="s">
        <v>34</v>
      </c>
      <c r="F32" s="90">
        <f aca="true" t="shared" si="22" ref="F32:H43">F14*454*1000000/0.0283/60*14/(21-F$28)/F$27</f>
        <v>509.5181903071471</v>
      </c>
      <c r="G32" s="86"/>
      <c r="H32" s="90">
        <f t="shared" si="22"/>
        <v>507.99962923758795</v>
      </c>
      <c r="I32" s="86"/>
      <c r="J32" s="90">
        <f t="shared" si="0"/>
        <v>491.04638370551294</v>
      </c>
      <c r="K32" s="86"/>
      <c r="L32" s="90">
        <f t="shared" si="1"/>
        <v>500.89660339028774</v>
      </c>
      <c r="M32" s="86"/>
      <c r="N32" s="90">
        <f t="shared" si="2"/>
        <v>0</v>
      </c>
      <c r="O32" s="86"/>
      <c r="P32" s="90">
        <f t="shared" si="3"/>
        <v>0</v>
      </c>
      <c r="Q32" s="86"/>
      <c r="R32" s="90">
        <f t="shared" si="4"/>
        <v>0</v>
      </c>
      <c r="S32" s="86"/>
      <c r="T32" s="90">
        <f t="shared" si="5"/>
        <v>0</v>
      </c>
      <c r="U32" s="86"/>
      <c r="V32" s="90">
        <f t="shared" si="6"/>
        <v>1226.8010795744901</v>
      </c>
      <c r="W32" s="86"/>
      <c r="X32" s="90">
        <f t="shared" si="7"/>
        <v>1269.177067221417</v>
      </c>
      <c r="Y32" s="86"/>
      <c r="Z32" s="90">
        <f t="shared" si="8"/>
        <v>1238.8490464727322</v>
      </c>
      <c r="AA32" s="86"/>
      <c r="AB32" s="90">
        <f t="shared" si="9"/>
        <v>1217.8662513803076</v>
      </c>
      <c r="AC32" s="86"/>
      <c r="AD32" s="90">
        <f t="shared" si="10"/>
        <v>4171.783241026155</v>
      </c>
      <c r="AE32" s="86"/>
      <c r="AF32" s="90">
        <f t="shared" si="11"/>
        <v>3929.188070802055</v>
      </c>
      <c r="AG32" s="86"/>
      <c r="AH32" s="90">
        <f t="shared" si="12"/>
        <v>3835.2969184842354</v>
      </c>
      <c r="AI32" s="86"/>
      <c r="AJ32" s="90">
        <f t="shared" si="13"/>
        <v>3863.12413072248</v>
      </c>
      <c r="AK32" s="86"/>
      <c r="AL32" s="90">
        <f t="shared" si="14"/>
        <v>0</v>
      </c>
      <c r="AM32" s="86"/>
      <c r="AN32" s="90">
        <f t="shared" si="15"/>
        <v>0</v>
      </c>
      <c r="AO32" s="86"/>
      <c r="AP32" s="90">
        <f t="shared" si="16"/>
        <v>0</v>
      </c>
      <c r="AQ32" s="86"/>
      <c r="AR32" s="90">
        <f t="shared" si="17"/>
        <v>0</v>
      </c>
      <c r="AT32" s="90">
        <f t="shared" si="18"/>
        <v>5908.102510907793</v>
      </c>
      <c r="AV32" s="90">
        <f t="shared" si="19"/>
        <v>5706.36476726106</v>
      </c>
      <c r="AX32" s="90">
        <f t="shared" si="20"/>
        <v>5565.19234866248</v>
      </c>
      <c r="AZ32" s="90">
        <f t="shared" si="21"/>
        <v>5581.886985493075</v>
      </c>
      <c r="BB32" s="90">
        <f aca="true" t="shared" si="23" ref="BB32:BB45">AVERAGE(AT32,AV32,AX32,AZ32)</f>
        <v>5690.386653081102</v>
      </c>
    </row>
    <row r="33" spans="2:54" ht="12.75">
      <c r="B33" s="88" t="s">
        <v>123</v>
      </c>
      <c r="D33" s="88" t="s">
        <v>34</v>
      </c>
      <c r="F33" s="90">
        <f t="shared" si="22"/>
        <v>85.7441614756364</v>
      </c>
      <c r="G33" s="86"/>
      <c r="H33" s="90">
        <f t="shared" si="22"/>
        <v>85.48861074548405</v>
      </c>
      <c r="I33" s="86"/>
      <c r="J33" s="90">
        <f t="shared" si="0"/>
        <v>81.84106395091884</v>
      </c>
      <c r="K33" s="86"/>
      <c r="L33" s="90">
        <f t="shared" si="1"/>
        <v>83.48276723171463</v>
      </c>
      <c r="M33" s="86"/>
      <c r="N33" s="90">
        <f t="shared" si="2"/>
        <v>0</v>
      </c>
      <c r="O33" s="86"/>
      <c r="P33" s="90">
        <f t="shared" si="3"/>
        <v>0</v>
      </c>
      <c r="Q33" s="86"/>
      <c r="R33" s="90">
        <f t="shared" si="4"/>
        <v>0</v>
      </c>
      <c r="S33" s="86"/>
      <c r="T33" s="90">
        <f t="shared" si="5"/>
        <v>0</v>
      </c>
      <c r="U33" s="86"/>
      <c r="V33" s="90">
        <f t="shared" si="6"/>
        <v>10206.85306796518</v>
      </c>
      <c r="W33" s="86"/>
      <c r="X33" s="90">
        <f t="shared" si="7"/>
        <v>10570.995521028124</v>
      </c>
      <c r="Y33" s="86"/>
      <c r="Z33" s="90">
        <f t="shared" si="8"/>
        <v>10318.392964792318</v>
      </c>
      <c r="AA33" s="86"/>
      <c r="AB33" s="90">
        <f t="shared" si="9"/>
        <v>10132.516258123796</v>
      </c>
      <c r="AC33" s="86"/>
      <c r="AD33" s="90">
        <f t="shared" si="10"/>
        <v>2077.6469896019585</v>
      </c>
      <c r="AE33" s="86"/>
      <c r="AF33" s="90">
        <f t="shared" si="11"/>
        <v>1972.8140941265551</v>
      </c>
      <c r="AG33" s="86"/>
      <c r="AH33" s="90">
        <f t="shared" si="12"/>
        <v>1909.6248255214393</v>
      </c>
      <c r="AI33" s="86"/>
      <c r="AJ33" s="90">
        <f t="shared" si="13"/>
        <v>1931.56206536124</v>
      </c>
      <c r="AK33" s="86"/>
      <c r="AL33" s="90">
        <f t="shared" si="14"/>
        <v>0</v>
      </c>
      <c r="AM33" s="86"/>
      <c r="AN33" s="90">
        <f t="shared" si="15"/>
        <v>0</v>
      </c>
      <c r="AO33" s="86"/>
      <c r="AP33" s="90">
        <f t="shared" si="16"/>
        <v>0</v>
      </c>
      <c r="AQ33" s="86"/>
      <c r="AR33" s="90">
        <f t="shared" si="17"/>
        <v>0</v>
      </c>
      <c r="AT33" s="90">
        <f t="shared" si="18"/>
        <v>12370.244219042776</v>
      </c>
      <c r="AV33" s="90">
        <f t="shared" si="19"/>
        <v>12629.298225900164</v>
      </c>
      <c r="AX33" s="90">
        <f t="shared" si="20"/>
        <v>12309.858854264676</v>
      </c>
      <c r="AZ33" s="90">
        <f t="shared" si="21"/>
        <v>12147.561090716752</v>
      </c>
      <c r="BB33" s="90">
        <f t="shared" si="23"/>
        <v>12364.240597481092</v>
      </c>
    </row>
    <row r="34" spans="2:54" ht="12.75">
      <c r="B34" s="88" t="s">
        <v>125</v>
      </c>
      <c r="D34" s="88" t="s">
        <v>34</v>
      </c>
      <c r="F34" s="90">
        <f t="shared" si="22"/>
        <v>110.47805420899306</v>
      </c>
      <c r="G34" s="86"/>
      <c r="H34" s="90">
        <f t="shared" si="22"/>
        <v>101.92872819653869</v>
      </c>
      <c r="I34" s="86"/>
      <c r="J34" s="90">
        <f t="shared" si="0"/>
        <v>97.88833139227546</v>
      </c>
      <c r="K34" s="86"/>
      <c r="L34" s="90">
        <f t="shared" si="1"/>
        <v>166.96553446342926</v>
      </c>
      <c r="M34" s="86"/>
      <c r="N34" s="90">
        <f t="shared" si="2"/>
        <v>0</v>
      </c>
      <c r="O34" s="86"/>
      <c r="P34" s="90">
        <f t="shared" si="3"/>
        <v>0</v>
      </c>
      <c r="Q34" s="86"/>
      <c r="R34" s="90">
        <f t="shared" si="4"/>
        <v>0</v>
      </c>
      <c r="S34" s="86"/>
      <c r="T34" s="90">
        <f t="shared" si="5"/>
        <v>0</v>
      </c>
      <c r="U34" s="86"/>
      <c r="V34" s="90">
        <f t="shared" si="6"/>
        <v>30834.919607584627</v>
      </c>
      <c r="W34" s="86"/>
      <c r="X34" s="90">
        <f t="shared" si="7"/>
        <v>31893.827855045973</v>
      </c>
      <c r="Y34" s="86"/>
      <c r="Z34" s="90">
        <f t="shared" si="8"/>
        <v>31131.698836231873</v>
      </c>
      <c r="AA34" s="86"/>
      <c r="AB34" s="90">
        <f t="shared" si="9"/>
        <v>30610.347984962034</v>
      </c>
      <c r="AC34" s="86"/>
      <c r="AD34" s="90">
        <f t="shared" si="10"/>
        <v>12515.349723078467</v>
      </c>
      <c r="AE34" s="86"/>
      <c r="AF34" s="90">
        <f t="shared" si="11"/>
        <v>11804.004329857222</v>
      </c>
      <c r="AG34" s="86"/>
      <c r="AH34" s="90">
        <f t="shared" si="12"/>
        <v>11489.843488011347</v>
      </c>
      <c r="AI34" s="86"/>
      <c r="AJ34" s="90">
        <f t="shared" si="13"/>
        <v>11589.372392167437</v>
      </c>
      <c r="AK34" s="86"/>
      <c r="AL34" s="90">
        <f t="shared" si="14"/>
        <v>0</v>
      </c>
      <c r="AM34" s="86"/>
      <c r="AN34" s="90">
        <f t="shared" si="15"/>
        <v>0</v>
      </c>
      <c r="AO34" s="86"/>
      <c r="AP34" s="90">
        <f t="shared" si="16"/>
        <v>0</v>
      </c>
      <c r="AQ34" s="86"/>
      <c r="AR34" s="90">
        <f t="shared" si="17"/>
        <v>0</v>
      </c>
      <c r="AT34" s="90">
        <f t="shared" si="18"/>
        <v>43460.747384872084</v>
      </c>
      <c r="AV34" s="90">
        <f t="shared" si="19"/>
        <v>43799.76091309973</v>
      </c>
      <c r="AX34" s="90">
        <f t="shared" si="20"/>
        <v>42719.43065563549</v>
      </c>
      <c r="AZ34" s="90">
        <f t="shared" si="21"/>
        <v>42366.685911592904</v>
      </c>
      <c r="BB34" s="90">
        <f t="shared" si="23"/>
        <v>43086.656216300056</v>
      </c>
    </row>
    <row r="35" spans="2:54" ht="12.75">
      <c r="B35" s="88" t="s">
        <v>126</v>
      </c>
      <c r="D35" s="88" t="s">
        <v>34</v>
      </c>
      <c r="F35" s="90">
        <f t="shared" si="22"/>
        <v>42.8720807378182</v>
      </c>
      <c r="G35" s="86"/>
      <c r="H35" s="90">
        <f t="shared" si="22"/>
        <v>42.744305372742026</v>
      </c>
      <c r="I35" s="86"/>
      <c r="J35" s="90">
        <f t="shared" si="0"/>
        <v>41.722895347527256</v>
      </c>
      <c r="K35" s="86"/>
      <c r="L35" s="90">
        <f t="shared" si="1"/>
        <v>42.559842118129026</v>
      </c>
      <c r="M35" s="86"/>
      <c r="N35" s="90">
        <f t="shared" si="2"/>
        <v>0</v>
      </c>
      <c r="O35" s="86"/>
      <c r="P35" s="90">
        <f t="shared" si="3"/>
        <v>0</v>
      </c>
      <c r="Q35" s="86"/>
      <c r="R35" s="90">
        <f t="shared" si="4"/>
        <v>0</v>
      </c>
      <c r="S35" s="86"/>
      <c r="T35" s="90">
        <f t="shared" si="5"/>
        <v>0</v>
      </c>
      <c r="U35" s="86"/>
      <c r="V35" s="90">
        <f t="shared" si="6"/>
        <v>674.4108085295247</v>
      </c>
      <c r="W35" s="86"/>
      <c r="X35" s="90">
        <f t="shared" si="7"/>
        <v>697.0609799247161</v>
      </c>
      <c r="Y35" s="86"/>
      <c r="Z35" s="90">
        <f t="shared" si="8"/>
        <v>680.4041395135213</v>
      </c>
      <c r="AA35" s="86"/>
      <c r="AB35" s="90">
        <f t="shared" si="9"/>
        <v>669.4990548582605</v>
      </c>
      <c r="AC35" s="86"/>
      <c r="AD35" s="90">
        <f t="shared" si="10"/>
        <v>100.58449711565036</v>
      </c>
      <c r="AE35" s="86"/>
      <c r="AF35" s="90">
        <f t="shared" si="11"/>
        <v>95.35268121611684</v>
      </c>
      <c r="AG35" s="86"/>
      <c r="AH35" s="90">
        <f t="shared" si="12"/>
        <v>93.07415115986848</v>
      </c>
      <c r="AI35" s="86"/>
      <c r="AJ35" s="90">
        <f t="shared" si="13"/>
        <v>93.30426925897517</v>
      </c>
      <c r="AK35" s="86"/>
      <c r="AL35" s="90">
        <f t="shared" si="14"/>
        <v>0</v>
      </c>
      <c r="AM35" s="86"/>
      <c r="AN35" s="90">
        <f t="shared" si="15"/>
        <v>0</v>
      </c>
      <c r="AO35" s="86"/>
      <c r="AP35" s="90">
        <f t="shared" si="16"/>
        <v>0</v>
      </c>
      <c r="AQ35" s="86"/>
      <c r="AR35" s="90">
        <f t="shared" si="17"/>
        <v>0</v>
      </c>
      <c r="AT35" s="90">
        <f t="shared" si="18"/>
        <v>817.8673863829933</v>
      </c>
      <c r="AV35" s="90">
        <f t="shared" si="19"/>
        <v>835.1579665135749</v>
      </c>
      <c r="AX35" s="90">
        <f t="shared" si="20"/>
        <v>815.201186020917</v>
      </c>
      <c r="AZ35" s="90">
        <f t="shared" si="21"/>
        <v>805.3631662353647</v>
      </c>
      <c r="BB35" s="90">
        <f t="shared" si="23"/>
        <v>818.3974262882125</v>
      </c>
    </row>
    <row r="36" spans="2:54" ht="12.75">
      <c r="B36" s="88" t="s">
        <v>127</v>
      </c>
      <c r="D36" s="88" t="s">
        <v>34</v>
      </c>
      <c r="F36" s="90">
        <f t="shared" si="22"/>
        <v>85.7441614756364</v>
      </c>
      <c r="G36" s="86"/>
      <c r="H36" s="90">
        <f t="shared" si="22"/>
        <v>85.48861074548405</v>
      </c>
      <c r="I36" s="86"/>
      <c r="J36" s="90">
        <f t="shared" si="0"/>
        <v>81.84106395091884</v>
      </c>
      <c r="K36" s="86"/>
      <c r="L36" s="90">
        <f t="shared" si="1"/>
        <v>83.48276723171463</v>
      </c>
      <c r="M36" s="86"/>
      <c r="N36" s="90">
        <f t="shared" si="2"/>
        <v>0</v>
      </c>
      <c r="O36" s="86"/>
      <c r="P36" s="90">
        <f t="shared" si="3"/>
        <v>0</v>
      </c>
      <c r="Q36" s="86"/>
      <c r="R36" s="90">
        <f t="shared" si="4"/>
        <v>0</v>
      </c>
      <c r="S36" s="86"/>
      <c r="T36" s="90">
        <f t="shared" si="5"/>
        <v>0</v>
      </c>
      <c r="U36" s="86"/>
      <c r="V36" s="90">
        <f t="shared" si="6"/>
        <v>3264.8738408030786</v>
      </c>
      <c r="W36" s="86"/>
      <c r="X36" s="90">
        <f t="shared" si="7"/>
        <v>3386.664194917253</v>
      </c>
      <c r="Y36" s="86"/>
      <c r="Z36" s="90">
        <f t="shared" si="8"/>
        <v>3305.737092919467</v>
      </c>
      <c r="AA36" s="86"/>
      <c r="AB36" s="90">
        <f t="shared" si="9"/>
        <v>3241.09566899598</v>
      </c>
      <c r="AC36" s="86"/>
      <c r="AD36" s="90">
        <f t="shared" si="10"/>
        <v>2506.3677969801406</v>
      </c>
      <c r="AE36" s="86"/>
      <c r="AF36" s="90">
        <f t="shared" si="11"/>
        <v>2367.3769129518655</v>
      </c>
      <c r="AG36" s="86"/>
      <c r="AH36" s="90">
        <f t="shared" si="12"/>
        <v>2294.759244113999</v>
      </c>
      <c r="AI36" s="86"/>
      <c r="AJ36" s="90">
        <f t="shared" si="13"/>
        <v>2324.4221464516613</v>
      </c>
      <c r="AK36" s="86"/>
      <c r="AL36" s="90">
        <f t="shared" si="14"/>
        <v>0</v>
      </c>
      <c r="AM36" s="86"/>
      <c r="AN36" s="90">
        <f t="shared" si="15"/>
        <v>0</v>
      </c>
      <c r="AO36" s="86"/>
      <c r="AP36" s="90">
        <f t="shared" si="16"/>
        <v>0</v>
      </c>
      <c r="AQ36" s="86"/>
      <c r="AR36" s="90">
        <f t="shared" si="17"/>
        <v>0</v>
      </c>
      <c r="AT36" s="90">
        <f t="shared" si="18"/>
        <v>5856.985799258855</v>
      </c>
      <c r="AV36" s="90">
        <f t="shared" si="19"/>
        <v>5839.529718614603</v>
      </c>
      <c r="AX36" s="90">
        <f t="shared" si="20"/>
        <v>5682.337400984385</v>
      </c>
      <c r="AZ36" s="90">
        <f t="shared" si="21"/>
        <v>5649.000582679356</v>
      </c>
      <c r="BB36" s="90">
        <f t="shared" si="23"/>
        <v>5756.963375384299</v>
      </c>
    </row>
    <row r="37" spans="2:54" ht="12.75">
      <c r="B37" s="88" t="s">
        <v>128</v>
      </c>
      <c r="D37" s="88" t="s">
        <v>34</v>
      </c>
      <c r="F37" s="90">
        <f t="shared" si="22"/>
        <v>425.42295501373445</v>
      </c>
      <c r="G37" s="86"/>
      <c r="H37" s="90">
        <f t="shared" si="22"/>
        <v>424.15503023720936</v>
      </c>
      <c r="I37" s="86"/>
      <c r="J37" s="90">
        <f t="shared" si="0"/>
        <v>409.20531975459414</v>
      </c>
      <c r="K37" s="86"/>
      <c r="L37" s="90">
        <f t="shared" si="1"/>
        <v>417.4138361585731</v>
      </c>
      <c r="M37" s="86"/>
      <c r="N37" s="90">
        <f t="shared" si="2"/>
        <v>0</v>
      </c>
      <c r="O37" s="86"/>
      <c r="P37" s="90">
        <f t="shared" si="3"/>
        <v>0</v>
      </c>
      <c r="Q37" s="86"/>
      <c r="R37" s="90">
        <f t="shared" si="4"/>
        <v>0</v>
      </c>
      <c r="S37" s="86"/>
      <c r="T37" s="90">
        <f t="shared" si="5"/>
        <v>0</v>
      </c>
      <c r="U37" s="86"/>
      <c r="V37" s="90">
        <f t="shared" si="6"/>
        <v>48643.32237560143</v>
      </c>
      <c r="W37" s="86"/>
      <c r="X37" s="90">
        <f t="shared" si="7"/>
        <v>50471.160574737696</v>
      </c>
      <c r="Y37" s="86"/>
      <c r="Z37" s="90">
        <f t="shared" si="8"/>
        <v>49265.11104496487</v>
      </c>
      <c r="AA37" s="86"/>
      <c r="AB37" s="90">
        <f t="shared" si="9"/>
        <v>48289.05163403102</v>
      </c>
      <c r="AC37" s="86"/>
      <c r="AD37" s="90">
        <f t="shared" si="10"/>
        <v>41717.83241026155</v>
      </c>
      <c r="AE37" s="86"/>
      <c r="AF37" s="90">
        <f t="shared" si="11"/>
        <v>39291.88070802055</v>
      </c>
      <c r="AG37" s="86"/>
      <c r="AH37" s="90">
        <f t="shared" si="12"/>
        <v>38352.96918484235</v>
      </c>
      <c r="AI37" s="86"/>
      <c r="AJ37" s="90">
        <f t="shared" si="13"/>
        <v>38631.24130722481</v>
      </c>
      <c r="AK37" s="86"/>
      <c r="AL37" s="90">
        <f t="shared" si="14"/>
        <v>0</v>
      </c>
      <c r="AM37" s="86"/>
      <c r="AN37" s="90">
        <f t="shared" si="15"/>
        <v>0</v>
      </c>
      <c r="AO37" s="86"/>
      <c r="AP37" s="90">
        <f t="shared" si="16"/>
        <v>0</v>
      </c>
      <c r="AQ37" s="86"/>
      <c r="AR37" s="90">
        <f t="shared" si="17"/>
        <v>0</v>
      </c>
      <c r="AT37" s="90">
        <f t="shared" si="18"/>
        <v>90786.5777408767</v>
      </c>
      <c r="AV37" s="90">
        <f t="shared" si="19"/>
        <v>90187.19631299545</v>
      </c>
      <c r="AX37" s="90">
        <f t="shared" si="20"/>
        <v>88027.28554956181</v>
      </c>
      <c r="AZ37" s="90">
        <f t="shared" si="21"/>
        <v>87337.7067774144</v>
      </c>
      <c r="BB37" s="90">
        <f t="shared" si="23"/>
        <v>89084.69159521209</v>
      </c>
    </row>
    <row r="38" spans="2:54" ht="12.75">
      <c r="B38" s="88" t="s">
        <v>130</v>
      </c>
      <c r="D38" s="88" t="s">
        <v>34</v>
      </c>
      <c r="F38" s="90">
        <f t="shared" si="22"/>
        <v>849.1969838452451</v>
      </c>
      <c r="G38" s="86"/>
      <c r="H38" s="90">
        <f t="shared" si="22"/>
        <v>846.6660487293133</v>
      </c>
      <c r="I38" s="86"/>
      <c r="J38" s="90">
        <f t="shared" si="0"/>
        <v>818.4106395091883</v>
      </c>
      <c r="K38" s="86"/>
      <c r="L38" s="90">
        <f t="shared" si="1"/>
        <v>834.8276723171462</v>
      </c>
      <c r="M38" s="86"/>
      <c r="N38" s="90">
        <f t="shared" si="2"/>
        <v>0</v>
      </c>
      <c r="O38" s="86"/>
      <c r="P38" s="90">
        <f t="shared" si="3"/>
        <v>0</v>
      </c>
      <c r="Q38" s="86"/>
      <c r="R38" s="90">
        <f t="shared" si="4"/>
        <v>0</v>
      </c>
      <c r="S38" s="86"/>
      <c r="T38" s="90">
        <f t="shared" si="5"/>
        <v>0</v>
      </c>
      <c r="U38" s="86"/>
      <c r="V38" s="90">
        <f t="shared" si="6"/>
        <v>11657.908108322103</v>
      </c>
      <c r="W38" s="86"/>
      <c r="X38" s="90">
        <f t="shared" si="7"/>
        <v>12067.046209074093</v>
      </c>
      <c r="Y38" s="86"/>
      <c r="Z38" s="90">
        <f t="shared" si="8"/>
        <v>11778.694301955768</v>
      </c>
      <c r="AA38" s="86"/>
      <c r="AB38" s="90">
        <f t="shared" si="9"/>
        <v>11573.003222122008</v>
      </c>
      <c r="AC38" s="86"/>
      <c r="AD38" s="90">
        <f t="shared" si="10"/>
        <v>46664.61095693288</v>
      </c>
      <c r="AE38" s="86"/>
      <c r="AF38" s="90">
        <f t="shared" si="11"/>
        <v>44059.51476882639</v>
      </c>
      <c r="AG38" s="86"/>
      <c r="AH38" s="90">
        <f t="shared" si="12"/>
        <v>43006.67674283578</v>
      </c>
      <c r="AI38" s="86"/>
      <c r="AJ38" s="90">
        <f t="shared" si="13"/>
        <v>43214.608919946404</v>
      </c>
      <c r="AK38" s="86"/>
      <c r="AL38" s="90">
        <f t="shared" si="14"/>
        <v>0</v>
      </c>
      <c r="AM38" s="86"/>
      <c r="AN38" s="90">
        <f t="shared" si="15"/>
        <v>0</v>
      </c>
      <c r="AO38" s="86"/>
      <c r="AP38" s="90">
        <f t="shared" si="16"/>
        <v>0</v>
      </c>
      <c r="AQ38" s="86"/>
      <c r="AR38" s="90">
        <f t="shared" si="17"/>
        <v>0</v>
      </c>
      <c r="AT38" s="90">
        <f t="shared" si="18"/>
        <v>59171.71604910023</v>
      </c>
      <c r="AV38" s="90">
        <f t="shared" si="19"/>
        <v>56973.2270266298</v>
      </c>
      <c r="AX38" s="90">
        <f t="shared" si="20"/>
        <v>55603.78168430073</v>
      </c>
      <c r="AZ38" s="90">
        <f t="shared" si="21"/>
        <v>55622.43981438556</v>
      </c>
      <c r="BB38" s="90">
        <f t="shared" si="23"/>
        <v>56842.791143604074</v>
      </c>
    </row>
    <row r="39" spans="2:54" ht="12.75">
      <c r="B39" s="88" t="s">
        <v>131</v>
      </c>
      <c r="D39" s="88" t="s">
        <v>34</v>
      </c>
      <c r="F39" s="90">
        <f t="shared" si="22"/>
        <v>16.48926182223777</v>
      </c>
      <c r="G39" s="86"/>
      <c r="H39" s="90">
        <f t="shared" si="22"/>
        <v>16.440117451054626</v>
      </c>
      <c r="I39" s="86"/>
      <c r="J39" s="90">
        <f t="shared" si="0"/>
        <v>16.047267441356635</v>
      </c>
      <c r="K39" s="86"/>
      <c r="L39" s="90">
        <f t="shared" si="1"/>
        <v>9.821502027260545</v>
      </c>
      <c r="M39" s="86"/>
      <c r="N39" s="90">
        <f t="shared" si="2"/>
        <v>0</v>
      </c>
      <c r="O39" s="86"/>
      <c r="P39" s="90">
        <f t="shared" si="3"/>
        <v>0</v>
      </c>
      <c r="Q39" s="86"/>
      <c r="R39" s="90">
        <f t="shared" si="4"/>
        <v>0</v>
      </c>
      <c r="S39" s="86"/>
      <c r="T39" s="90">
        <f t="shared" si="5"/>
        <v>0</v>
      </c>
      <c r="U39" s="86"/>
      <c r="V39" s="90">
        <f t="shared" si="6"/>
        <v>77.49953056451753</v>
      </c>
      <c r="W39" s="86"/>
      <c r="X39" s="90">
        <f t="shared" si="7"/>
        <v>80.55657551016765</v>
      </c>
      <c r="Y39" s="86"/>
      <c r="Z39" s="90">
        <f t="shared" si="8"/>
        <v>78.6316104626475</v>
      </c>
      <c r="AA39" s="86"/>
      <c r="AB39" s="90">
        <f t="shared" si="9"/>
        <v>76.93509921354095</v>
      </c>
      <c r="AC39" s="86"/>
      <c r="AD39" s="90">
        <f t="shared" si="10"/>
        <v>2077.6469896019585</v>
      </c>
      <c r="AE39" s="86"/>
      <c r="AF39" s="90">
        <f t="shared" si="11"/>
        <v>1972.8140941265551</v>
      </c>
      <c r="AG39" s="86"/>
      <c r="AH39" s="90">
        <f t="shared" si="12"/>
        <v>1909.6248255214393</v>
      </c>
      <c r="AI39" s="86"/>
      <c r="AJ39" s="90">
        <f t="shared" si="13"/>
        <v>1931.56206536124</v>
      </c>
      <c r="AK39" s="86"/>
      <c r="AL39" s="90">
        <f t="shared" si="14"/>
        <v>0</v>
      </c>
      <c r="AM39" s="86"/>
      <c r="AN39" s="90">
        <f t="shared" si="15"/>
        <v>0</v>
      </c>
      <c r="AO39" s="86"/>
      <c r="AP39" s="90">
        <f t="shared" si="16"/>
        <v>0</v>
      </c>
      <c r="AQ39" s="86"/>
      <c r="AR39" s="90">
        <f t="shared" si="17"/>
        <v>0</v>
      </c>
      <c r="AT39" s="90">
        <f t="shared" si="18"/>
        <v>2171.635781988714</v>
      </c>
      <c r="AV39" s="90">
        <f t="shared" si="19"/>
        <v>2069.8107870877775</v>
      </c>
      <c r="AX39" s="90">
        <f t="shared" si="20"/>
        <v>2004.3037034254435</v>
      </c>
      <c r="AZ39" s="90">
        <f t="shared" si="21"/>
        <v>2018.3186666020415</v>
      </c>
      <c r="BB39" s="90">
        <f t="shared" si="23"/>
        <v>2066.017234775994</v>
      </c>
    </row>
    <row r="40" spans="2:54" ht="12.75">
      <c r="B40" s="88" t="s">
        <v>132</v>
      </c>
      <c r="D40" s="88" t="s">
        <v>34</v>
      </c>
      <c r="F40" s="90">
        <f t="shared" si="22"/>
        <v>339.67879353809803</v>
      </c>
      <c r="G40" s="86"/>
      <c r="H40" s="90">
        <f t="shared" si="22"/>
        <v>338.66641949172526</v>
      </c>
      <c r="I40" s="86"/>
      <c r="J40" s="90">
        <f t="shared" si="0"/>
        <v>327.36425580367535</v>
      </c>
      <c r="K40" s="86"/>
      <c r="L40" s="90">
        <f t="shared" si="1"/>
        <v>333.93106892685853</v>
      </c>
      <c r="M40" s="86"/>
      <c r="N40" s="90">
        <f t="shared" si="2"/>
        <v>0</v>
      </c>
      <c r="O40" s="86"/>
      <c r="P40" s="90">
        <f t="shared" si="3"/>
        <v>0</v>
      </c>
      <c r="Q40" s="86"/>
      <c r="R40" s="90">
        <f t="shared" si="4"/>
        <v>0</v>
      </c>
      <c r="S40" s="86"/>
      <c r="T40" s="90">
        <f t="shared" si="5"/>
        <v>0</v>
      </c>
      <c r="U40" s="86"/>
      <c r="V40" s="90">
        <f t="shared" si="6"/>
        <v>46005.04048404338</v>
      </c>
      <c r="W40" s="86"/>
      <c r="X40" s="90">
        <f t="shared" si="7"/>
        <v>47676.34060805842</v>
      </c>
      <c r="Y40" s="86"/>
      <c r="Z40" s="90">
        <f t="shared" si="8"/>
        <v>46537.075579934244</v>
      </c>
      <c r="AA40" s="86"/>
      <c r="AB40" s="90">
        <f t="shared" si="9"/>
        <v>45669.98442676153</v>
      </c>
      <c r="AC40" s="86"/>
      <c r="AD40" s="90">
        <f t="shared" si="10"/>
        <v>49962.46332138044</v>
      </c>
      <c r="AE40" s="86"/>
      <c r="AF40" s="90">
        <f t="shared" si="11"/>
        <v>47183.13708452676</v>
      </c>
      <c r="AG40" s="86"/>
      <c r="AH40" s="90">
        <f t="shared" si="12"/>
        <v>46055.657556693535</v>
      </c>
      <c r="AI40" s="86"/>
      <c r="AJ40" s="90">
        <f t="shared" si="13"/>
        <v>46324.7512285789</v>
      </c>
      <c r="AK40" s="86"/>
      <c r="AL40" s="90">
        <f t="shared" si="14"/>
        <v>0</v>
      </c>
      <c r="AM40" s="86"/>
      <c r="AN40" s="90">
        <f t="shared" si="15"/>
        <v>0</v>
      </c>
      <c r="AO40" s="86"/>
      <c r="AP40" s="90">
        <f t="shared" si="16"/>
        <v>0</v>
      </c>
      <c r="AQ40" s="86"/>
      <c r="AR40" s="90">
        <f t="shared" si="17"/>
        <v>0</v>
      </c>
      <c r="AT40" s="90">
        <f t="shared" si="18"/>
        <v>96307.18259896192</v>
      </c>
      <c r="AV40" s="90">
        <f t="shared" si="19"/>
        <v>95198.1441120769</v>
      </c>
      <c r="AX40" s="90">
        <f t="shared" si="20"/>
        <v>92920.09739243146</v>
      </c>
      <c r="AZ40" s="90">
        <f t="shared" si="21"/>
        <v>92328.6667242673</v>
      </c>
      <c r="BB40" s="90">
        <f t="shared" si="23"/>
        <v>94188.5227069344</v>
      </c>
    </row>
    <row r="41" spans="2:54" ht="12.75">
      <c r="B41" s="88" t="s">
        <v>133</v>
      </c>
      <c r="D41" s="88" t="s">
        <v>34</v>
      </c>
      <c r="F41" s="90">
        <f t="shared" si="22"/>
        <v>42.8720807378182</v>
      </c>
      <c r="G41" s="86"/>
      <c r="H41" s="90">
        <f t="shared" si="22"/>
        <v>42.744305372742026</v>
      </c>
      <c r="I41" s="86"/>
      <c r="J41" s="90">
        <f t="shared" si="0"/>
        <v>41.722895347527256</v>
      </c>
      <c r="K41" s="86"/>
      <c r="L41" s="90">
        <f t="shared" si="1"/>
        <v>42.559842118129026</v>
      </c>
      <c r="M41" s="86"/>
      <c r="N41" s="90">
        <f t="shared" si="2"/>
        <v>0</v>
      </c>
      <c r="O41" s="86"/>
      <c r="P41" s="90">
        <f t="shared" si="3"/>
        <v>0</v>
      </c>
      <c r="Q41" s="86"/>
      <c r="R41" s="90">
        <f t="shared" si="4"/>
        <v>0</v>
      </c>
      <c r="S41" s="86"/>
      <c r="T41" s="90">
        <f t="shared" si="5"/>
        <v>0</v>
      </c>
      <c r="U41" s="86"/>
      <c r="V41" s="90">
        <f t="shared" si="6"/>
        <v>674.4108085295247</v>
      </c>
      <c r="W41" s="86"/>
      <c r="X41" s="90">
        <f t="shared" si="7"/>
        <v>697.0609799247161</v>
      </c>
      <c r="Y41" s="86"/>
      <c r="Z41" s="90">
        <f t="shared" si="8"/>
        <v>680.4041395135213</v>
      </c>
      <c r="AA41" s="86"/>
      <c r="AB41" s="90">
        <f t="shared" si="9"/>
        <v>669.4990548582605</v>
      </c>
      <c r="AC41" s="86"/>
      <c r="AD41" s="90">
        <f t="shared" si="10"/>
        <v>2077.6469896019585</v>
      </c>
      <c r="AE41" s="86"/>
      <c r="AF41" s="90">
        <f t="shared" si="11"/>
        <v>1972.8140941265551</v>
      </c>
      <c r="AG41" s="86"/>
      <c r="AH41" s="90">
        <f t="shared" si="12"/>
        <v>1909.6248255214393</v>
      </c>
      <c r="AI41" s="86"/>
      <c r="AJ41" s="90">
        <f t="shared" si="13"/>
        <v>1931.56206536124</v>
      </c>
      <c r="AK41" s="86"/>
      <c r="AL41" s="90">
        <f t="shared" si="14"/>
        <v>0</v>
      </c>
      <c r="AM41" s="86"/>
      <c r="AN41" s="90">
        <f t="shared" si="15"/>
        <v>0</v>
      </c>
      <c r="AO41" s="86"/>
      <c r="AP41" s="90">
        <f t="shared" si="16"/>
        <v>0</v>
      </c>
      <c r="AQ41" s="86"/>
      <c r="AR41" s="90">
        <f t="shared" si="17"/>
        <v>0</v>
      </c>
      <c r="AT41" s="90">
        <f t="shared" si="18"/>
        <v>2794.9298788693013</v>
      </c>
      <c r="AV41" s="90">
        <f t="shared" si="19"/>
        <v>2712.6193794240135</v>
      </c>
      <c r="AX41" s="90">
        <f t="shared" si="20"/>
        <v>2631.751860382488</v>
      </c>
      <c r="AZ41" s="90">
        <f t="shared" si="21"/>
        <v>2643.6209623376294</v>
      </c>
      <c r="BB41" s="90">
        <f t="shared" si="23"/>
        <v>2695.730520253358</v>
      </c>
    </row>
    <row r="42" spans="2:54" ht="12.75">
      <c r="B42" s="88" t="s">
        <v>134</v>
      </c>
      <c r="D42" s="88" t="s">
        <v>34</v>
      </c>
      <c r="F42" s="90">
        <f t="shared" si="22"/>
        <v>42.8720807378182</v>
      </c>
      <c r="G42" s="86"/>
      <c r="H42" s="90">
        <f t="shared" si="22"/>
        <v>42.744305372742026</v>
      </c>
      <c r="I42" s="86"/>
      <c r="J42" s="90">
        <f t="shared" si="0"/>
        <v>41.722895347527256</v>
      </c>
      <c r="K42" s="86"/>
      <c r="L42" s="90">
        <f t="shared" si="1"/>
        <v>42.559842118129026</v>
      </c>
      <c r="M42" s="86"/>
      <c r="N42" s="90">
        <f t="shared" si="2"/>
        <v>0</v>
      </c>
      <c r="O42" s="86"/>
      <c r="P42" s="90">
        <f t="shared" si="3"/>
        <v>0</v>
      </c>
      <c r="Q42" s="86"/>
      <c r="R42" s="90">
        <f t="shared" si="4"/>
        <v>0</v>
      </c>
      <c r="S42" s="86"/>
      <c r="T42" s="90">
        <f t="shared" si="5"/>
        <v>0</v>
      </c>
      <c r="U42" s="86"/>
      <c r="V42" s="90">
        <f t="shared" si="6"/>
        <v>1183.9289988366716</v>
      </c>
      <c r="W42" s="86"/>
      <c r="X42" s="90">
        <f t="shared" si="7"/>
        <v>1224.7887501035696</v>
      </c>
      <c r="Y42" s="86"/>
      <c r="Z42" s="90">
        <f t="shared" si="8"/>
        <v>1195.5214243810692</v>
      </c>
      <c r="AA42" s="86"/>
      <c r="AB42" s="90">
        <f t="shared" si="9"/>
        <v>1175.3064092621785</v>
      </c>
      <c r="AC42" s="86"/>
      <c r="AD42" s="90">
        <f t="shared" si="10"/>
        <v>1665.4154440460147</v>
      </c>
      <c r="AE42" s="86"/>
      <c r="AF42" s="90">
        <f t="shared" si="11"/>
        <v>1573.3192400659275</v>
      </c>
      <c r="AG42" s="86"/>
      <c r="AH42" s="90">
        <f t="shared" si="12"/>
        <v>1532.5140406495586</v>
      </c>
      <c r="AI42" s="86"/>
      <c r="AJ42" s="90">
        <f t="shared" si="13"/>
        <v>1545.2496522889926</v>
      </c>
      <c r="AK42" s="86"/>
      <c r="AL42" s="90">
        <f t="shared" si="14"/>
        <v>0</v>
      </c>
      <c r="AM42" s="86"/>
      <c r="AN42" s="90">
        <f t="shared" si="15"/>
        <v>0</v>
      </c>
      <c r="AO42" s="86"/>
      <c r="AP42" s="90">
        <f t="shared" si="16"/>
        <v>0</v>
      </c>
      <c r="AQ42" s="86"/>
      <c r="AR42" s="90">
        <f t="shared" si="17"/>
        <v>0</v>
      </c>
      <c r="AT42" s="90">
        <f t="shared" si="18"/>
        <v>2892.2165236205046</v>
      </c>
      <c r="AV42" s="90">
        <f t="shared" si="19"/>
        <v>2840.852295542239</v>
      </c>
      <c r="AX42" s="90">
        <f t="shared" si="20"/>
        <v>2769.758360378155</v>
      </c>
      <c r="AZ42" s="90">
        <f t="shared" si="21"/>
        <v>2763.1159036692998</v>
      </c>
      <c r="BB42" s="90">
        <f t="shared" si="23"/>
        <v>2816.4857708025493</v>
      </c>
    </row>
    <row r="43" spans="2:54" ht="12.75">
      <c r="B43" s="88" t="s">
        <v>135</v>
      </c>
      <c r="D43" s="88" t="s">
        <v>34</v>
      </c>
      <c r="F43" s="90">
        <f t="shared" si="22"/>
        <v>85.7441614756364</v>
      </c>
      <c r="G43" s="86"/>
      <c r="H43" s="90">
        <f t="shared" si="22"/>
        <v>85.48861074548405</v>
      </c>
      <c r="I43" s="86"/>
      <c r="J43" s="90">
        <f t="shared" si="0"/>
        <v>81.84106395091884</v>
      </c>
      <c r="K43" s="86"/>
      <c r="L43" s="90">
        <f t="shared" si="1"/>
        <v>83.48276723171463</v>
      </c>
      <c r="M43" s="86"/>
      <c r="N43" s="90">
        <f t="shared" si="2"/>
        <v>0</v>
      </c>
      <c r="O43" s="86"/>
      <c r="P43" s="90">
        <f t="shared" si="3"/>
        <v>0</v>
      </c>
      <c r="Q43" s="86"/>
      <c r="R43" s="90">
        <f t="shared" si="4"/>
        <v>0</v>
      </c>
      <c r="S43" s="86"/>
      <c r="T43" s="90">
        <f t="shared" si="5"/>
        <v>0</v>
      </c>
      <c r="U43" s="86"/>
      <c r="V43" s="90">
        <f t="shared" si="6"/>
        <v>674.4108085295247</v>
      </c>
      <c r="W43" s="86"/>
      <c r="X43" s="90">
        <f t="shared" si="7"/>
        <v>697.0609799247161</v>
      </c>
      <c r="Y43" s="86"/>
      <c r="Z43" s="90">
        <f t="shared" si="8"/>
        <v>680.4041395135213</v>
      </c>
      <c r="AA43" s="86"/>
      <c r="AB43" s="90">
        <f t="shared" si="9"/>
        <v>669.4990548582605</v>
      </c>
      <c r="AC43" s="86"/>
      <c r="AD43" s="90">
        <f t="shared" si="10"/>
        <v>4171.783241026155</v>
      </c>
      <c r="AE43" s="86"/>
      <c r="AF43" s="90">
        <f t="shared" si="11"/>
        <v>3929.188070802055</v>
      </c>
      <c r="AG43" s="86"/>
      <c r="AH43" s="90">
        <f t="shared" si="12"/>
        <v>3835.2969184842354</v>
      </c>
      <c r="AI43" s="86"/>
      <c r="AJ43" s="90">
        <f t="shared" si="13"/>
        <v>3863.12413072248</v>
      </c>
      <c r="AK43" s="86"/>
      <c r="AL43" s="90">
        <f t="shared" si="14"/>
        <v>0</v>
      </c>
      <c r="AM43" s="86"/>
      <c r="AN43" s="90">
        <f t="shared" si="15"/>
        <v>0</v>
      </c>
      <c r="AO43" s="86"/>
      <c r="AP43" s="90">
        <f t="shared" si="16"/>
        <v>0</v>
      </c>
      <c r="AQ43" s="86"/>
      <c r="AR43" s="90">
        <f t="shared" si="17"/>
        <v>0</v>
      </c>
      <c r="AT43" s="90">
        <f t="shared" si="18"/>
        <v>4931.938211031316</v>
      </c>
      <c r="AV43" s="90">
        <f t="shared" si="19"/>
        <v>4711.737661472255</v>
      </c>
      <c r="AX43" s="90">
        <f t="shared" si="20"/>
        <v>4597.542121948675</v>
      </c>
      <c r="AZ43" s="90">
        <f t="shared" si="21"/>
        <v>4616.105952812455</v>
      </c>
      <c r="BB43" s="90">
        <f t="shared" si="23"/>
        <v>4714.330986816176</v>
      </c>
    </row>
    <row r="44" spans="2:54" ht="12.75">
      <c r="B44" s="88" t="s">
        <v>35</v>
      </c>
      <c r="D44" s="88" t="s">
        <v>34</v>
      </c>
      <c r="F44" s="90">
        <f>F36+F38</f>
        <v>934.9411453208814</v>
      </c>
      <c r="G44" s="86"/>
      <c r="H44" s="90">
        <f>H36+H38</f>
        <v>932.1546594747973</v>
      </c>
      <c r="I44" s="86"/>
      <c r="J44" s="90">
        <f>J36+J38</f>
        <v>900.2517034601071</v>
      </c>
      <c r="K44" s="86"/>
      <c r="L44" s="90">
        <f>L36+L38</f>
        <v>918.3104395488608</v>
      </c>
      <c r="M44" s="86"/>
      <c r="N44" s="90">
        <f>N36+N38</f>
        <v>0</v>
      </c>
      <c r="O44" s="86"/>
      <c r="P44" s="90">
        <f>P36+P38</f>
        <v>0</v>
      </c>
      <c r="Q44" s="86"/>
      <c r="R44" s="90">
        <f>R36+R38</f>
        <v>0</v>
      </c>
      <c r="S44" s="86"/>
      <c r="T44" s="90">
        <f>T36+T38</f>
        <v>0</v>
      </c>
      <c r="U44" s="86"/>
      <c r="V44" s="90">
        <f>V36+V38</f>
        <v>14922.781949125181</v>
      </c>
      <c r="W44" s="86"/>
      <c r="X44" s="90">
        <f>X36+X38</f>
        <v>15453.710403991347</v>
      </c>
      <c r="Y44" s="86"/>
      <c r="Z44" s="90">
        <f>Z36+Z38</f>
        <v>15084.431394875235</v>
      </c>
      <c r="AA44" s="86"/>
      <c r="AB44" s="90">
        <f>AB36+AB38</f>
        <v>14814.098891117988</v>
      </c>
      <c r="AC44" s="86"/>
      <c r="AD44" s="90">
        <f>AD36+AD38</f>
        <v>49170.97875391302</v>
      </c>
      <c r="AE44" s="86"/>
      <c r="AF44" s="90">
        <f>AF36+AF38</f>
        <v>46426.89168177825</v>
      </c>
      <c r="AG44" s="86"/>
      <c r="AH44" s="90">
        <f>AH36+AH38</f>
        <v>45301.43598694978</v>
      </c>
      <c r="AI44" s="86"/>
      <c r="AJ44" s="90">
        <f>AJ36+AJ38</f>
        <v>45539.03106639806</v>
      </c>
      <c r="AK44" s="86"/>
      <c r="AL44" s="90">
        <f>AL36+AL38</f>
        <v>0</v>
      </c>
      <c r="AM44" s="86"/>
      <c r="AN44" s="90">
        <f>AN36+AN38</f>
        <v>0</v>
      </c>
      <c r="AO44" s="86"/>
      <c r="AP44" s="90">
        <f>AP36+AP38</f>
        <v>0</v>
      </c>
      <c r="AQ44" s="86"/>
      <c r="AR44" s="90">
        <f>AR36+AR38</f>
        <v>0</v>
      </c>
      <c r="AT44" s="90">
        <f t="shared" si="18"/>
        <v>65028.70184835908</v>
      </c>
      <c r="AV44" s="90">
        <f t="shared" si="19"/>
        <v>62812.75674524439</v>
      </c>
      <c r="AX44" s="90">
        <f t="shared" si="20"/>
        <v>61286.11908528512</v>
      </c>
      <c r="AZ44" s="90">
        <f t="shared" si="21"/>
        <v>61271.440397064915</v>
      </c>
      <c r="BB44" s="90">
        <f t="shared" si="23"/>
        <v>62599.75451898838</v>
      </c>
    </row>
    <row r="45" spans="2:54" ht="12.75">
      <c r="B45" s="88" t="s">
        <v>36</v>
      </c>
      <c r="D45" s="88" t="s">
        <v>34</v>
      </c>
      <c r="F45" s="90">
        <f>F33+F35+F37</f>
        <v>554.0391972271891</v>
      </c>
      <c r="G45" s="86"/>
      <c r="H45" s="90">
        <f>H33+H35+H37</f>
        <v>552.3879463554355</v>
      </c>
      <c r="I45" s="86"/>
      <c r="J45" s="90">
        <f>J33+J35+J37</f>
        <v>532.7692790530402</v>
      </c>
      <c r="K45" s="86"/>
      <c r="L45" s="90">
        <f>L33+L35+L37</f>
        <v>543.4564455084168</v>
      </c>
      <c r="M45" s="86"/>
      <c r="N45" s="90">
        <f>N33+N35+N37</f>
        <v>0</v>
      </c>
      <c r="O45" s="86"/>
      <c r="P45" s="90">
        <f>P33+P35+P37</f>
        <v>0</v>
      </c>
      <c r="Q45" s="86"/>
      <c r="R45" s="90">
        <f>R33+R35+R37</f>
        <v>0</v>
      </c>
      <c r="S45" s="86"/>
      <c r="T45" s="90">
        <f>T33+T35+T37</f>
        <v>0</v>
      </c>
      <c r="U45" s="86"/>
      <c r="V45" s="90">
        <f>V33+V35+V37</f>
        <v>59524.58625209613</v>
      </c>
      <c r="W45" s="86"/>
      <c r="X45" s="90">
        <f>X33+X35+X37</f>
        <v>61739.21707569054</v>
      </c>
      <c r="Y45" s="86"/>
      <c r="Z45" s="90">
        <f>Z33+Z35+Z37</f>
        <v>60263.908149270705</v>
      </c>
      <c r="AA45" s="86"/>
      <c r="AB45" s="90">
        <f>AB33+AB35+AB37</f>
        <v>59091.06694701308</v>
      </c>
      <c r="AC45" s="86"/>
      <c r="AD45" s="90">
        <f>AD33+AD35+AD37</f>
        <v>43896.06389697916</v>
      </c>
      <c r="AE45" s="86"/>
      <c r="AF45" s="90">
        <f>AF33+AF35+AF37</f>
        <v>41360.047483363225</v>
      </c>
      <c r="AG45" s="86"/>
      <c r="AH45" s="90">
        <f>AH33+AH35+AH37</f>
        <v>40355.66816152366</v>
      </c>
      <c r="AI45" s="86"/>
      <c r="AJ45" s="90">
        <f>AJ33+AJ35+AJ37</f>
        <v>40656.107641845025</v>
      </c>
      <c r="AK45" s="86"/>
      <c r="AL45" s="90">
        <f>AL33+AL35+AL37</f>
        <v>0</v>
      </c>
      <c r="AM45" s="86"/>
      <c r="AN45" s="90">
        <f>AN33+AN35+AN37</f>
        <v>0</v>
      </c>
      <c r="AO45" s="86"/>
      <c r="AP45" s="90">
        <f>AP33+AP35+AP37</f>
        <v>0</v>
      </c>
      <c r="AQ45" s="86"/>
      <c r="AR45" s="90">
        <f>AR33+AR35+AR37</f>
        <v>0</v>
      </c>
      <c r="AT45" s="90">
        <f t="shared" si="18"/>
        <v>103974.68934630248</v>
      </c>
      <c r="AV45" s="90">
        <f t="shared" si="19"/>
        <v>103651.6525054092</v>
      </c>
      <c r="AX45" s="90">
        <f t="shared" si="20"/>
        <v>101152.3455898474</v>
      </c>
      <c r="AZ45" s="90">
        <f t="shared" si="21"/>
        <v>100290.63103436652</v>
      </c>
      <c r="BB45" s="90">
        <f t="shared" si="23"/>
        <v>102267.3296189814</v>
      </c>
    </row>
    <row r="46" spans="6:44" ht="12.75"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2:54" ht="12.75">
      <c r="B47" s="13" t="s">
        <v>198</v>
      </c>
      <c r="C47" s="13"/>
      <c r="D47" s="13"/>
      <c r="E47" s="13"/>
      <c r="F47" s="100" t="s">
        <v>181</v>
      </c>
      <c r="G47" s="100"/>
      <c r="H47" s="100" t="s">
        <v>182</v>
      </c>
      <c r="I47" s="100"/>
      <c r="J47" s="100" t="s">
        <v>183</v>
      </c>
      <c r="K47" s="100"/>
      <c r="L47" s="100" t="s">
        <v>201</v>
      </c>
      <c r="M47" s="100"/>
      <c r="N47" s="100" t="s">
        <v>181</v>
      </c>
      <c r="O47" s="100"/>
      <c r="P47" s="100" t="s">
        <v>182</v>
      </c>
      <c r="Q47" s="100"/>
      <c r="R47" s="100" t="s">
        <v>183</v>
      </c>
      <c r="S47" s="100"/>
      <c r="T47" s="100" t="s">
        <v>201</v>
      </c>
      <c r="U47" s="100"/>
      <c r="V47" s="100" t="s">
        <v>181</v>
      </c>
      <c r="W47" s="100"/>
      <c r="X47" s="100" t="s">
        <v>182</v>
      </c>
      <c r="Y47" s="100"/>
      <c r="Z47" s="100" t="s">
        <v>183</v>
      </c>
      <c r="AA47" s="100"/>
      <c r="AB47" s="100" t="s">
        <v>201</v>
      </c>
      <c r="AC47" s="100"/>
      <c r="AD47" s="100" t="s">
        <v>181</v>
      </c>
      <c r="AE47" s="100"/>
      <c r="AF47" s="100" t="s">
        <v>182</v>
      </c>
      <c r="AG47" s="100"/>
      <c r="AH47" s="100" t="s">
        <v>183</v>
      </c>
      <c r="AI47" s="100"/>
      <c r="AJ47" s="100" t="s">
        <v>201</v>
      </c>
      <c r="AK47" s="100"/>
      <c r="AL47" s="100" t="s">
        <v>181</v>
      </c>
      <c r="AM47" s="100"/>
      <c r="AN47" s="100" t="s">
        <v>182</v>
      </c>
      <c r="AO47" s="100"/>
      <c r="AP47" s="100" t="s">
        <v>183</v>
      </c>
      <c r="AQ47" s="100"/>
      <c r="AR47" s="100" t="s">
        <v>201</v>
      </c>
      <c r="AS47" s="100"/>
      <c r="AT47" s="100" t="s">
        <v>181</v>
      </c>
      <c r="AU47" s="100"/>
      <c r="AV47" s="100" t="s">
        <v>182</v>
      </c>
      <c r="AW47" s="100"/>
      <c r="AX47" s="100" t="s">
        <v>183</v>
      </c>
      <c r="AY47" s="100"/>
      <c r="AZ47" s="100" t="s">
        <v>201</v>
      </c>
      <c r="BA47" s="100"/>
      <c r="BB47" s="100" t="s">
        <v>180</v>
      </c>
    </row>
    <row r="48" spans="2:54" ht="12.75">
      <c r="B48" s="13"/>
      <c r="C48" s="13"/>
      <c r="D48" s="13"/>
      <c r="E48" s="13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</row>
    <row r="49" spans="2:54" ht="12.75">
      <c r="B49" s="8" t="s">
        <v>240</v>
      </c>
      <c r="C49" s="8"/>
      <c r="D49" s="13"/>
      <c r="E49" s="13"/>
      <c r="F49" s="100" t="s">
        <v>270</v>
      </c>
      <c r="G49" s="100"/>
      <c r="H49" s="100" t="s">
        <v>270</v>
      </c>
      <c r="I49" s="100"/>
      <c r="J49" s="100" t="s">
        <v>270</v>
      </c>
      <c r="K49" s="100"/>
      <c r="L49" s="100" t="s">
        <v>270</v>
      </c>
      <c r="M49" s="100"/>
      <c r="N49" s="100" t="s">
        <v>272</v>
      </c>
      <c r="O49" s="100"/>
      <c r="P49" s="100" t="s">
        <v>272</v>
      </c>
      <c r="Q49" s="100"/>
      <c r="R49" s="100" t="s">
        <v>272</v>
      </c>
      <c r="S49" s="100"/>
      <c r="T49" s="100" t="s">
        <v>272</v>
      </c>
      <c r="U49" s="100"/>
      <c r="V49" s="100" t="s">
        <v>274</v>
      </c>
      <c r="W49" s="100"/>
      <c r="X49" s="100" t="s">
        <v>274</v>
      </c>
      <c r="Y49" s="100"/>
      <c r="Z49" s="100" t="s">
        <v>274</v>
      </c>
      <c r="AA49" s="100"/>
      <c r="AB49" s="100" t="s">
        <v>274</v>
      </c>
      <c r="AC49" s="100"/>
      <c r="AD49" s="100" t="s">
        <v>275</v>
      </c>
      <c r="AE49" s="100"/>
      <c r="AF49" s="100" t="s">
        <v>275</v>
      </c>
      <c r="AG49" s="100"/>
      <c r="AH49" s="100" t="s">
        <v>275</v>
      </c>
      <c r="AI49" s="100"/>
      <c r="AJ49" s="100" t="s">
        <v>275</v>
      </c>
      <c r="AK49" s="100"/>
      <c r="AL49" s="100" t="s">
        <v>276</v>
      </c>
      <c r="AM49" s="100"/>
      <c r="AN49" s="100" t="s">
        <v>276</v>
      </c>
      <c r="AO49" s="100"/>
      <c r="AP49" s="100" t="s">
        <v>276</v>
      </c>
      <c r="AQ49" s="100"/>
      <c r="AR49" s="100" t="s">
        <v>276</v>
      </c>
      <c r="AS49" s="100"/>
      <c r="AT49" s="100" t="s">
        <v>277</v>
      </c>
      <c r="AU49" s="100"/>
      <c r="AV49" s="100" t="s">
        <v>277</v>
      </c>
      <c r="AW49" s="100"/>
      <c r="AX49" s="100" t="s">
        <v>277</v>
      </c>
      <c r="AY49" s="100"/>
      <c r="AZ49" s="100" t="s">
        <v>277</v>
      </c>
      <c r="BA49" s="100"/>
      <c r="BB49" s="100" t="s">
        <v>277</v>
      </c>
    </row>
    <row r="50" spans="2:54" ht="12.75">
      <c r="B50" s="8" t="s">
        <v>241</v>
      </c>
      <c r="C50" s="8"/>
      <c r="F50" s="88" t="s">
        <v>269</v>
      </c>
      <c r="H50" s="88" t="s">
        <v>269</v>
      </c>
      <c r="J50" s="88" t="s">
        <v>269</v>
      </c>
      <c r="L50" s="88" t="s">
        <v>269</v>
      </c>
      <c r="N50" s="88" t="s">
        <v>271</v>
      </c>
      <c r="P50" s="88" t="s">
        <v>271</v>
      </c>
      <c r="R50" s="88" t="s">
        <v>271</v>
      </c>
      <c r="T50" s="88" t="s">
        <v>271</v>
      </c>
      <c r="V50" s="88" t="s">
        <v>273</v>
      </c>
      <c r="X50" s="88" t="s">
        <v>273</v>
      </c>
      <c r="Z50" s="88" t="s">
        <v>273</v>
      </c>
      <c r="AB50" s="88" t="s">
        <v>273</v>
      </c>
      <c r="AD50" s="88" t="s">
        <v>33</v>
      </c>
      <c r="AF50" s="88" t="s">
        <v>33</v>
      </c>
      <c r="AH50" s="88" t="s">
        <v>33</v>
      </c>
      <c r="AJ50" s="88" t="s">
        <v>33</v>
      </c>
      <c r="AL50" s="88" t="s">
        <v>33</v>
      </c>
      <c r="AN50" s="88" t="s">
        <v>33</v>
      </c>
      <c r="AP50" s="88" t="s">
        <v>33</v>
      </c>
      <c r="AR50" s="88" t="s">
        <v>33</v>
      </c>
      <c r="AT50" s="88" t="s">
        <v>66</v>
      </c>
      <c r="AV50" s="88" t="s">
        <v>66</v>
      </c>
      <c r="AX50" s="88" t="s">
        <v>66</v>
      </c>
      <c r="AZ50" s="88" t="s">
        <v>66</v>
      </c>
      <c r="BB50" s="88" t="s">
        <v>66</v>
      </c>
    </row>
    <row r="51" spans="2:54" ht="12.75">
      <c r="B51" s="8" t="s">
        <v>278</v>
      </c>
      <c r="C51" s="8"/>
      <c r="F51" s="100" t="s">
        <v>40</v>
      </c>
      <c r="H51" s="100" t="s">
        <v>40</v>
      </c>
      <c r="J51" s="100" t="s">
        <v>40</v>
      </c>
      <c r="L51" s="100" t="s">
        <v>40</v>
      </c>
      <c r="V51" s="100" t="s">
        <v>279</v>
      </c>
      <c r="X51" s="100" t="s">
        <v>279</v>
      </c>
      <c r="Z51" s="100" t="s">
        <v>279</v>
      </c>
      <c r="AB51" s="100" t="s">
        <v>279</v>
      </c>
      <c r="AD51" s="88" t="s">
        <v>33</v>
      </c>
      <c r="AF51" s="88" t="s">
        <v>33</v>
      </c>
      <c r="AH51" s="88" t="s">
        <v>33</v>
      </c>
      <c r="AJ51" s="88" t="s">
        <v>33</v>
      </c>
      <c r="AT51" s="88" t="s">
        <v>66</v>
      </c>
      <c r="AV51" s="88" t="s">
        <v>66</v>
      </c>
      <c r="AX51" s="88" t="s">
        <v>66</v>
      </c>
      <c r="AZ51" s="88" t="s">
        <v>66</v>
      </c>
      <c r="BB51" s="88" t="s">
        <v>66</v>
      </c>
    </row>
    <row r="52" spans="2:54" ht="12.75">
      <c r="B52" s="8" t="s">
        <v>20</v>
      </c>
      <c r="C52" s="8"/>
      <c r="F52" s="88" t="s">
        <v>206</v>
      </c>
      <c r="H52" s="88" t="s">
        <v>206</v>
      </c>
      <c r="J52" s="88" t="s">
        <v>206</v>
      </c>
      <c r="L52" s="88" t="s">
        <v>206</v>
      </c>
      <c r="N52" s="88" t="s">
        <v>207</v>
      </c>
      <c r="P52" s="88" t="s">
        <v>207</v>
      </c>
      <c r="R52" s="88" t="s">
        <v>207</v>
      </c>
      <c r="T52" s="88" t="s">
        <v>207</v>
      </c>
      <c r="V52" s="88" t="s">
        <v>208</v>
      </c>
      <c r="X52" s="88" t="s">
        <v>208</v>
      </c>
      <c r="Z52" s="88" t="s">
        <v>208</v>
      </c>
      <c r="AB52" s="88" t="s">
        <v>208</v>
      </c>
      <c r="AD52" s="88" t="s">
        <v>209</v>
      </c>
      <c r="AF52" s="88" t="s">
        <v>209</v>
      </c>
      <c r="AH52" s="88" t="s">
        <v>209</v>
      </c>
      <c r="AJ52" s="88" t="s">
        <v>209</v>
      </c>
      <c r="AL52" s="88" t="s">
        <v>210</v>
      </c>
      <c r="AN52" s="88" t="s">
        <v>210</v>
      </c>
      <c r="AP52" s="88" t="s">
        <v>210</v>
      </c>
      <c r="AR52" s="88" t="s">
        <v>210</v>
      </c>
      <c r="AT52" s="88" t="s">
        <v>66</v>
      </c>
      <c r="AV52" s="88" t="s">
        <v>66</v>
      </c>
      <c r="AX52" s="88" t="s">
        <v>66</v>
      </c>
      <c r="AZ52" s="88" t="s">
        <v>66</v>
      </c>
      <c r="BB52" s="88" t="s">
        <v>66</v>
      </c>
    </row>
    <row r="53" spans="1:44" ht="12.75">
      <c r="A53" s="88" t="s">
        <v>198</v>
      </c>
      <c r="B53" s="88" t="s">
        <v>65</v>
      </c>
      <c r="D53" s="88" t="s">
        <v>28</v>
      </c>
      <c r="F53" s="86">
        <v>5306</v>
      </c>
      <c r="G53" s="86"/>
      <c r="H53" s="86">
        <v>5306</v>
      </c>
      <c r="I53" s="86"/>
      <c r="J53" s="86">
        <v>5358</v>
      </c>
      <c r="K53" s="86"/>
      <c r="L53" s="86">
        <v>5358</v>
      </c>
      <c r="M53" s="86"/>
      <c r="N53" s="86"/>
      <c r="O53" s="86"/>
      <c r="P53" s="86"/>
      <c r="Q53" s="86"/>
      <c r="R53" s="86"/>
      <c r="S53" s="86"/>
      <c r="T53" s="86"/>
      <c r="U53" s="86"/>
      <c r="V53" s="86">
        <v>50000</v>
      </c>
      <c r="W53" s="86"/>
      <c r="X53" s="86">
        <v>48000</v>
      </c>
      <c r="Y53" s="86"/>
      <c r="Z53" s="86">
        <v>48000</v>
      </c>
      <c r="AA53" s="86"/>
      <c r="AB53" s="86">
        <v>50000</v>
      </c>
      <c r="AC53" s="86"/>
      <c r="AD53" s="90">
        <v>104.0348</v>
      </c>
      <c r="AE53" s="90"/>
      <c r="AF53" s="90">
        <v>101.3217</v>
      </c>
      <c r="AG53" s="90"/>
      <c r="AH53" s="90">
        <v>104.64</v>
      </c>
      <c r="AI53" s="90"/>
      <c r="AJ53" s="90">
        <v>104.1818</v>
      </c>
      <c r="AK53" s="90"/>
      <c r="AL53" s="90">
        <v>529.08</v>
      </c>
      <c r="AM53" s="90"/>
      <c r="AN53" s="90">
        <v>537.82</v>
      </c>
      <c r="AO53" s="90"/>
      <c r="AP53" s="90">
        <v>554.09</v>
      </c>
      <c r="AQ53" s="90"/>
      <c r="AR53" s="90">
        <v>542.71</v>
      </c>
    </row>
    <row r="54" spans="1:44" ht="12.75">
      <c r="A54" s="88" t="s">
        <v>198</v>
      </c>
      <c r="B54" s="88" t="s">
        <v>21</v>
      </c>
      <c r="D54" s="88" t="s">
        <v>22</v>
      </c>
      <c r="F54" s="86">
        <v>10000</v>
      </c>
      <c r="G54" s="86"/>
      <c r="H54" s="86">
        <v>10000</v>
      </c>
      <c r="I54" s="86"/>
      <c r="J54" s="86">
        <v>11000</v>
      </c>
      <c r="K54" s="86"/>
      <c r="L54" s="86">
        <v>9800</v>
      </c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>
        <v>0</v>
      </c>
      <c r="AE54" s="86"/>
      <c r="AF54" s="86">
        <v>0</v>
      </c>
      <c r="AG54" s="86"/>
      <c r="AH54" s="86">
        <v>0</v>
      </c>
      <c r="AI54" s="86"/>
      <c r="AJ54" s="86">
        <v>0</v>
      </c>
      <c r="AK54" s="86"/>
      <c r="AL54" s="86">
        <v>0</v>
      </c>
      <c r="AM54" s="86"/>
      <c r="AN54" s="86">
        <v>0</v>
      </c>
      <c r="AO54" s="86"/>
      <c r="AP54" s="86">
        <v>0</v>
      </c>
      <c r="AQ54" s="86"/>
      <c r="AR54" s="86">
        <v>0</v>
      </c>
    </row>
    <row r="55" spans="2:54" ht="12.75">
      <c r="B55" s="4" t="s">
        <v>283</v>
      </c>
      <c r="D55" s="88" t="s">
        <v>32</v>
      </c>
      <c r="F55" s="86">
        <f>F53*F54/1000000</f>
        <v>53.06</v>
      </c>
      <c r="G55" s="86"/>
      <c r="H55" s="86">
        <f>H53*H54/1000000</f>
        <v>53.06</v>
      </c>
      <c r="I55" s="86"/>
      <c r="J55" s="86">
        <f>J53*J54/1000000</f>
        <v>58.938</v>
      </c>
      <c r="K55" s="86"/>
      <c r="L55" s="86">
        <f>L53*L54/1000000</f>
        <v>52.5084</v>
      </c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T55" s="108">
        <f>F55</f>
        <v>53.06</v>
      </c>
      <c r="AU55" s="108"/>
      <c r="AV55" s="108">
        <f>H55</f>
        <v>53.06</v>
      </c>
      <c r="AW55" s="108"/>
      <c r="AX55" s="108">
        <f>J55</f>
        <v>58.938</v>
      </c>
      <c r="AY55" s="108"/>
      <c r="AZ55" s="108">
        <f>L55</f>
        <v>52.5084</v>
      </c>
      <c r="BA55" s="108"/>
      <c r="BB55" s="108">
        <f>AVERAGE(AT55,AV55,AX55,AZ55)</f>
        <v>54.3916</v>
      </c>
    </row>
    <row r="56" spans="1:44" ht="12.75">
      <c r="A56" s="88" t="s">
        <v>198</v>
      </c>
      <c r="B56" s="88" t="s">
        <v>24</v>
      </c>
      <c r="D56" s="88" t="s">
        <v>28</v>
      </c>
      <c r="F56" s="86">
        <v>423</v>
      </c>
      <c r="G56" s="86"/>
      <c r="H56" s="86">
        <v>439</v>
      </c>
      <c r="I56" s="86"/>
      <c r="J56" s="86">
        <v>422</v>
      </c>
      <c r="K56" s="86"/>
      <c r="L56" s="86">
        <v>428</v>
      </c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>
        <v>379</v>
      </c>
      <c r="AM56" s="86"/>
      <c r="AN56" s="86">
        <v>385</v>
      </c>
      <c r="AO56" s="86"/>
      <c r="AP56" s="86">
        <v>396</v>
      </c>
      <c r="AQ56" s="86"/>
      <c r="AR56" s="86">
        <v>388</v>
      </c>
    </row>
    <row r="57" spans="1:44" ht="12.75">
      <c r="A57" s="88" t="s">
        <v>198</v>
      </c>
      <c r="B57" s="88" t="s">
        <v>124</v>
      </c>
      <c r="D57" s="88" t="s">
        <v>28</v>
      </c>
      <c r="F57" s="86">
        <v>0.0306</v>
      </c>
      <c r="G57" s="86"/>
      <c r="H57" s="86">
        <v>0.0306</v>
      </c>
      <c r="I57" s="86"/>
      <c r="J57" s="86">
        <v>0.0309</v>
      </c>
      <c r="K57" s="86"/>
      <c r="L57" s="86">
        <v>0.0309</v>
      </c>
      <c r="M57" s="86"/>
      <c r="N57" s="86"/>
      <c r="O57" s="86"/>
      <c r="P57" s="86"/>
      <c r="Q57" s="86"/>
      <c r="R57" s="86"/>
      <c r="S57" s="86"/>
      <c r="T57" s="86"/>
      <c r="U57" s="86"/>
      <c r="V57" s="86">
        <v>0.0835</v>
      </c>
      <c r="W57" s="86"/>
      <c r="X57" s="86">
        <v>0.0782</v>
      </c>
      <c r="Y57" s="86"/>
      <c r="Z57" s="86">
        <v>0.0619</v>
      </c>
      <c r="AA57" s="86"/>
      <c r="AB57" s="86">
        <v>0.0805</v>
      </c>
      <c r="AC57" s="86"/>
      <c r="AD57" s="86">
        <v>0.25</v>
      </c>
      <c r="AE57" s="86"/>
      <c r="AF57" s="86">
        <v>0.243</v>
      </c>
      <c r="AG57" s="86"/>
      <c r="AH57" s="86">
        <v>0.251</v>
      </c>
      <c r="AI57" s="86"/>
      <c r="AJ57" s="86">
        <v>0.25</v>
      </c>
      <c r="AK57" s="86"/>
      <c r="AL57" s="86"/>
      <c r="AM57" s="86"/>
      <c r="AN57" s="86"/>
      <c r="AO57" s="86"/>
      <c r="AP57" s="86"/>
      <c r="AQ57" s="86"/>
      <c r="AR57" s="86"/>
    </row>
    <row r="58" spans="1:44" ht="12.75">
      <c r="A58" s="88" t="s">
        <v>198</v>
      </c>
      <c r="B58" s="88" t="s">
        <v>123</v>
      </c>
      <c r="D58" s="88" t="s">
        <v>28</v>
      </c>
      <c r="F58" s="86">
        <v>0.0051</v>
      </c>
      <c r="G58" s="86"/>
      <c r="H58" s="86">
        <v>0.0051</v>
      </c>
      <c r="I58" s="86"/>
      <c r="J58" s="86">
        <v>0.0052</v>
      </c>
      <c r="K58" s="86"/>
      <c r="L58" s="86">
        <v>0.0052</v>
      </c>
      <c r="M58" s="86"/>
      <c r="N58" s="86"/>
      <c r="O58" s="86"/>
      <c r="P58" s="86"/>
      <c r="Q58" s="86"/>
      <c r="R58" s="86"/>
      <c r="S58" s="86"/>
      <c r="T58" s="86"/>
      <c r="U58" s="86"/>
      <c r="V58" s="86">
        <v>0.272</v>
      </c>
      <c r="W58" s="86"/>
      <c r="X58" s="86">
        <v>0.191</v>
      </c>
      <c r="Y58" s="86"/>
      <c r="Z58" s="86">
        <v>0.302</v>
      </c>
      <c r="AA58" s="86"/>
      <c r="AB58" s="86">
        <v>0.289</v>
      </c>
      <c r="AC58" s="86"/>
      <c r="AD58" s="86">
        <v>0.125</v>
      </c>
      <c r="AE58" s="86"/>
      <c r="AF58" s="86">
        <v>0.122</v>
      </c>
      <c r="AG58" s="86"/>
      <c r="AH58" s="86">
        <v>0.126</v>
      </c>
      <c r="AI58" s="86"/>
      <c r="AJ58" s="86">
        <v>0.125</v>
      </c>
      <c r="AK58" s="86"/>
      <c r="AL58" s="86"/>
      <c r="AM58" s="86"/>
      <c r="AN58" s="86"/>
      <c r="AO58" s="86"/>
      <c r="AP58" s="86"/>
      <c r="AQ58" s="86"/>
      <c r="AR58" s="86"/>
    </row>
    <row r="59" spans="1:44" ht="12.75">
      <c r="A59" s="88" t="s">
        <v>198</v>
      </c>
      <c r="B59" s="88" t="s">
        <v>125</v>
      </c>
      <c r="D59" s="88" t="s">
        <v>28</v>
      </c>
      <c r="F59" s="86">
        <v>0.0097</v>
      </c>
      <c r="G59" s="86"/>
      <c r="H59" s="86">
        <v>0.0097</v>
      </c>
      <c r="I59" s="86"/>
      <c r="J59" s="86">
        <v>0.0093</v>
      </c>
      <c r="K59" s="86"/>
      <c r="L59" s="86">
        <v>0.0088</v>
      </c>
      <c r="M59" s="86"/>
      <c r="N59" s="86"/>
      <c r="O59" s="86"/>
      <c r="P59" s="86"/>
      <c r="Q59" s="86"/>
      <c r="R59" s="86"/>
      <c r="S59" s="86"/>
      <c r="T59" s="86"/>
      <c r="U59" s="86"/>
      <c r="V59" s="86">
        <v>2.86</v>
      </c>
      <c r="W59" s="86"/>
      <c r="X59" s="86">
        <v>4.99</v>
      </c>
      <c r="Y59" s="86"/>
      <c r="Z59" s="86">
        <v>4.38</v>
      </c>
      <c r="AA59" s="86"/>
      <c r="AB59" s="86">
        <v>3.35</v>
      </c>
      <c r="AC59" s="86"/>
      <c r="AD59" s="86">
        <v>0.749</v>
      </c>
      <c r="AE59" s="86"/>
      <c r="AF59" s="86">
        <v>0.73</v>
      </c>
      <c r="AG59" s="86"/>
      <c r="AH59" s="86">
        <v>0.753</v>
      </c>
      <c r="AI59" s="86"/>
      <c r="AJ59" s="86">
        <v>0.75</v>
      </c>
      <c r="AK59" s="86"/>
      <c r="AL59" s="86"/>
      <c r="AM59" s="86"/>
      <c r="AN59" s="86"/>
      <c r="AO59" s="86"/>
      <c r="AP59" s="86"/>
      <c r="AQ59" s="86"/>
      <c r="AR59" s="86"/>
    </row>
    <row r="60" spans="1:44" ht="12.75">
      <c r="A60" s="88" t="s">
        <v>198</v>
      </c>
      <c r="B60" s="88" t="s">
        <v>126</v>
      </c>
      <c r="D60" s="88" t="s">
        <v>28</v>
      </c>
      <c r="F60" s="86">
        <v>0.0026</v>
      </c>
      <c r="G60" s="86"/>
      <c r="H60" s="86">
        <v>0.0026</v>
      </c>
      <c r="I60" s="86"/>
      <c r="J60" s="86">
        <v>0.0026</v>
      </c>
      <c r="K60" s="86"/>
      <c r="L60" s="86">
        <v>0.0026</v>
      </c>
      <c r="M60" s="86"/>
      <c r="N60" s="86"/>
      <c r="O60" s="86"/>
      <c r="P60" s="86"/>
      <c r="Q60" s="86"/>
      <c r="R60" s="86"/>
      <c r="S60" s="86"/>
      <c r="T60" s="86"/>
      <c r="U60" s="86"/>
      <c r="V60" s="86">
        <v>0.0384</v>
      </c>
      <c r="W60" s="86"/>
      <c r="X60" s="86">
        <v>0.0351</v>
      </c>
      <c r="Y60" s="86"/>
      <c r="Z60" s="86">
        <v>0.0358</v>
      </c>
      <c r="AA60" s="86"/>
      <c r="AB60" s="86">
        <v>0.0366</v>
      </c>
      <c r="AC60" s="86"/>
      <c r="AD60" s="86">
        <v>0.006</v>
      </c>
      <c r="AE60" s="86"/>
      <c r="AF60" s="86">
        <v>0.0059</v>
      </c>
      <c r="AG60" s="86"/>
      <c r="AH60" s="86">
        <v>0.0061</v>
      </c>
      <c r="AI60" s="86"/>
      <c r="AJ60" s="86">
        <v>0.006</v>
      </c>
      <c r="AK60" s="86"/>
      <c r="AL60" s="86"/>
      <c r="AM60" s="86"/>
      <c r="AN60" s="86"/>
      <c r="AO60" s="86"/>
      <c r="AP60" s="86"/>
      <c r="AQ60" s="86"/>
      <c r="AR60" s="86"/>
    </row>
    <row r="61" spans="1:44" ht="12.75">
      <c r="A61" s="88" t="s">
        <v>198</v>
      </c>
      <c r="B61" s="88" t="s">
        <v>127</v>
      </c>
      <c r="D61" s="88" t="s">
        <v>28</v>
      </c>
      <c r="F61" s="86">
        <v>0.0051</v>
      </c>
      <c r="G61" s="86"/>
      <c r="H61" s="86">
        <v>0.0051</v>
      </c>
      <c r="I61" s="86"/>
      <c r="J61" s="86">
        <v>0.0052</v>
      </c>
      <c r="K61" s="86"/>
      <c r="L61" s="86">
        <v>0.0052</v>
      </c>
      <c r="M61" s="86"/>
      <c r="N61" s="86"/>
      <c r="O61" s="86"/>
      <c r="P61" s="86"/>
      <c r="Q61" s="86"/>
      <c r="R61" s="86"/>
      <c r="S61" s="86"/>
      <c r="T61" s="86"/>
      <c r="U61" s="86"/>
      <c r="V61" s="86">
        <v>0.171</v>
      </c>
      <c r="W61" s="86"/>
      <c r="X61" s="86">
        <v>0.257</v>
      </c>
      <c r="Y61" s="86"/>
      <c r="Z61" s="86">
        <v>0.18</v>
      </c>
      <c r="AA61" s="86"/>
      <c r="AB61" s="86">
        <v>0.168</v>
      </c>
      <c r="AC61" s="86"/>
      <c r="AD61" s="86">
        <v>0.15</v>
      </c>
      <c r="AE61" s="86"/>
      <c r="AF61" s="86">
        <v>0.146</v>
      </c>
      <c r="AG61" s="86"/>
      <c r="AH61" s="86">
        <v>0.151</v>
      </c>
      <c r="AI61" s="86"/>
      <c r="AJ61" s="86">
        <v>0.15</v>
      </c>
      <c r="AK61" s="86"/>
      <c r="AL61" s="86"/>
      <c r="AM61" s="86"/>
      <c r="AN61" s="86"/>
      <c r="AO61" s="86"/>
      <c r="AP61" s="86"/>
      <c r="AQ61" s="86"/>
      <c r="AR61" s="86"/>
    </row>
    <row r="62" spans="1:44" ht="12.75">
      <c r="A62" s="88" t="s">
        <v>198</v>
      </c>
      <c r="B62" s="88" t="s">
        <v>128</v>
      </c>
      <c r="D62" s="88" t="s">
        <v>28</v>
      </c>
      <c r="F62" s="86">
        <v>0.0255</v>
      </c>
      <c r="G62" s="86"/>
      <c r="H62" s="86">
        <v>0.0255</v>
      </c>
      <c r="I62" s="86"/>
      <c r="J62" s="86">
        <v>0.0258</v>
      </c>
      <c r="K62" s="86"/>
      <c r="L62" s="86">
        <v>0.0258</v>
      </c>
      <c r="M62" s="86"/>
      <c r="N62" s="86"/>
      <c r="O62" s="86"/>
      <c r="P62" s="86"/>
      <c r="Q62" s="86"/>
      <c r="R62" s="86"/>
      <c r="S62" s="86"/>
      <c r="T62" s="86"/>
      <c r="U62" s="86"/>
      <c r="V62" s="86">
        <v>2.67</v>
      </c>
      <c r="W62" s="86"/>
      <c r="X62" s="86">
        <v>4.99</v>
      </c>
      <c r="Y62" s="86"/>
      <c r="Z62" s="86">
        <v>2.79</v>
      </c>
      <c r="AA62" s="86"/>
      <c r="AB62" s="86">
        <v>1.8</v>
      </c>
      <c r="AC62" s="86"/>
      <c r="AD62" s="86">
        <v>2.5</v>
      </c>
      <c r="AE62" s="86"/>
      <c r="AF62" s="86">
        <v>2.43</v>
      </c>
      <c r="AG62" s="86"/>
      <c r="AH62" s="86">
        <v>2.51</v>
      </c>
      <c r="AI62" s="86"/>
      <c r="AJ62" s="86">
        <v>2.5</v>
      </c>
      <c r="AK62" s="86"/>
      <c r="AL62" s="86"/>
      <c r="AM62" s="86"/>
      <c r="AN62" s="86"/>
      <c r="AO62" s="86"/>
      <c r="AP62" s="86"/>
      <c r="AQ62" s="86"/>
      <c r="AR62" s="86"/>
    </row>
    <row r="63" spans="1:44" ht="12.75">
      <c r="A63" s="88" t="s">
        <v>198</v>
      </c>
      <c r="B63" s="88" t="s">
        <v>130</v>
      </c>
      <c r="D63" s="88" t="s">
        <v>28</v>
      </c>
      <c r="F63" s="86">
        <v>0.051</v>
      </c>
      <c r="G63" s="86"/>
      <c r="H63" s="86">
        <v>0.051</v>
      </c>
      <c r="I63" s="86"/>
      <c r="J63" s="86">
        <v>0.0515</v>
      </c>
      <c r="K63" s="86"/>
      <c r="L63" s="86">
        <v>0.0515</v>
      </c>
      <c r="M63" s="86"/>
      <c r="N63" s="86"/>
      <c r="O63" s="86"/>
      <c r="P63" s="86"/>
      <c r="Q63" s="86"/>
      <c r="R63" s="86"/>
      <c r="S63" s="86"/>
      <c r="T63" s="86"/>
      <c r="U63" s="86"/>
      <c r="V63" s="86">
        <v>0.705</v>
      </c>
      <c r="W63" s="86"/>
      <c r="X63" s="86">
        <v>1.28</v>
      </c>
      <c r="Y63" s="86"/>
      <c r="Z63" s="86">
        <v>0.442</v>
      </c>
      <c r="AA63" s="86"/>
      <c r="AB63" s="86">
        <v>0.7</v>
      </c>
      <c r="AC63" s="86"/>
      <c r="AD63" s="86">
        <v>2.8</v>
      </c>
      <c r="AE63" s="86"/>
      <c r="AF63" s="86">
        <v>2.73</v>
      </c>
      <c r="AG63" s="86"/>
      <c r="AH63" s="86">
        <v>2.81</v>
      </c>
      <c r="AI63" s="86"/>
      <c r="AJ63" s="86">
        <v>2.8</v>
      </c>
      <c r="AK63" s="86"/>
      <c r="AL63" s="86"/>
      <c r="AM63" s="86"/>
      <c r="AN63" s="86"/>
      <c r="AO63" s="86"/>
      <c r="AP63" s="86"/>
      <c r="AQ63" s="86"/>
      <c r="AR63" s="86"/>
    </row>
    <row r="64" spans="1:44" ht="12.75">
      <c r="A64" s="88" t="s">
        <v>198</v>
      </c>
      <c r="B64" s="88" t="s">
        <v>131</v>
      </c>
      <c r="D64" s="88" t="s">
        <v>28</v>
      </c>
      <c r="F64" s="86">
        <v>0.001</v>
      </c>
      <c r="G64" s="86"/>
      <c r="H64" s="86">
        <v>0.001</v>
      </c>
      <c r="I64" s="86"/>
      <c r="J64" s="86">
        <v>0.001</v>
      </c>
      <c r="K64" s="86"/>
      <c r="L64" s="86">
        <v>0.001</v>
      </c>
      <c r="M64" s="86"/>
      <c r="N64" s="86"/>
      <c r="O64" s="86"/>
      <c r="P64" s="86"/>
      <c r="Q64" s="86"/>
      <c r="R64" s="86"/>
      <c r="S64" s="86"/>
      <c r="T64" s="86"/>
      <c r="U64" s="86"/>
      <c r="V64" s="86">
        <v>0.0049</v>
      </c>
      <c r="W64" s="86"/>
      <c r="X64" s="86">
        <v>0.0046</v>
      </c>
      <c r="Y64" s="86"/>
      <c r="Z64" s="86">
        <v>0.0042</v>
      </c>
      <c r="AA64" s="86"/>
      <c r="AB64" s="86">
        <v>0.0039</v>
      </c>
      <c r="AC64" s="86"/>
      <c r="AD64" s="86">
        <v>0.125</v>
      </c>
      <c r="AE64" s="86"/>
      <c r="AF64" s="86">
        <v>0.122</v>
      </c>
      <c r="AG64" s="86"/>
      <c r="AH64" s="86">
        <v>0.126</v>
      </c>
      <c r="AI64" s="86"/>
      <c r="AJ64" s="86">
        <v>0.125</v>
      </c>
      <c r="AK64" s="86"/>
      <c r="AL64" s="86"/>
      <c r="AM64" s="86"/>
      <c r="AN64" s="86"/>
      <c r="AO64" s="86"/>
      <c r="AP64" s="86"/>
      <c r="AQ64" s="86"/>
      <c r="AR64" s="86"/>
    </row>
    <row r="65" spans="1:44" ht="12.75">
      <c r="A65" s="88" t="s">
        <v>198</v>
      </c>
      <c r="B65" s="88" t="s">
        <v>132</v>
      </c>
      <c r="D65" s="88" t="s">
        <v>28</v>
      </c>
      <c r="F65" s="86">
        <v>0.0204</v>
      </c>
      <c r="G65" s="86"/>
      <c r="H65" s="86">
        <v>0.0204</v>
      </c>
      <c r="I65" s="86"/>
      <c r="J65" s="86">
        <v>0.0206</v>
      </c>
      <c r="K65" s="86"/>
      <c r="L65" s="86">
        <v>0.0206</v>
      </c>
      <c r="M65" s="86"/>
      <c r="N65" s="86"/>
      <c r="O65" s="86"/>
      <c r="P65" s="86"/>
      <c r="Q65" s="86"/>
      <c r="R65" s="86"/>
      <c r="S65" s="86"/>
      <c r="T65" s="86"/>
      <c r="U65" s="86"/>
      <c r="V65" s="86">
        <v>1.72</v>
      </c>
      <c r="W65" s="86"/>
      <c r="X65" s="86">
        <v>2.99</v>
      </c>
      <c r="Y65" s="86"/>
      <c r="Z65" s="86">
        <v>1.73</v>
      </c>
      <c r="AA65" s="86"/>
      <c r="AB65" s="86">
        <v>1.52</v>
      </c>
      <c r="AC65" s="86"/>
      <c r="AD65" s="86">
        <v>3</v>
      </c>
      <c r="AE65" s="86"/>
      <c r="AF65" s="86">
        <v>2.92</v>
      </c>
      <c r="AG65" s="86"/>
      <c r="AH65" s="86">
        <v>3.01</v>
      </c>
      <c r="AI65" s="86"/>
      <c r="AJ65" s="86">
        <v>3</v>
      </c>
      <c r="AK65" s="86"/>
      <c r="AL65" s="86"/>
      <c r="AM65" s="86"/>
      <c r="AN65" s="86"/>
      <c r="AO65" s="86"/>
      <c r="AP65" s="86"/>
      <c r="AQ65" s="86"/>
      <c r="AR65" s="86"/>
    </row>
    <row r="66" spans="1:44" ht="12.75">
      <c r="A66" s="88" t="s">
        <v>198</v>
      </c>
      <c r="B66" s="88" t="s">
        <v>133</v>
      </c>
      <c r="D66" s="88" t="s">
        <v>28</v>
      </c>
      <c r="F66" s="86">
        <v>0.0026</v>
      </c>
      <c r="G66" s="86"/>
      <c r="H66" s="86">
        <v>0.0026</v>
      </c>
      <c r="I66" s="86"/>
      <c r="J66" s="86">
        <v>0.0026</v>
      </c>
      <c r="K66" s="86"/>
      <c r="L66" s="86">
        <v>0.0026</v>
      </c>
      <c r="M66" s="86"/>
      <c r="N66" s="86"/>
      <c r="O66" s="86"/>
      <c r="P66" s="86"/>
      <c r="Q66" s="86"/>
      <c r="R66" s="86"/>
      <c r="S66" s="86"/>
      <c r="T66" s="86"/>
      <c r="U66" s="86"/>
      <c r="V66" s="86">
        <v>0.0384</v>
      </c>
      <c r="W66" s="86"/>
      <c r="X66" s="86">
        <v>0.0351</v>
      </c>
      <c r="Y66" s="86"/>
      <c r="Z66" s="86">
        <v>0.0358</v>
      </c>
      <c r="AA66" s="86"/>
      <c r="AB66" s="86">
        <v>0.0366</v>
      </c>
      <c r="AC66" s="86"/>
      <c r="AD66" s="86">
        <v>0.125</v>
      </c>
      <c r="AE66" s="86"/>
      <c r="AF66" s="86">
        <v>0.122</v>
      </c>
      <c r="AG66" s="86"/>
      <c r="AH66" s="86">
        <v>0.126</v>
      </c>
      <c r="AI66" s="86"/>
      <c r="AJ66" s="86">
        <v>0.125</v>
      </c>
      <c r="AK66" s="86"/>
      <c r="AL66" s="86"/>
      <c r="AM66" s="86"/>
      <c r="AN66" s="86"/>
      <c r="AO66" s="86"/>
      <c r="AP66" s="86"/>
      <c r="AQ66" s="86"/>
      <c r="AR66" s="86"/>
    </row>
    <row r="67" spans="1:44" ht="12.75">
      <c r="A67" s="88" t="s">
        <v>198</v>
      </c>
      <c r="B67" s="88" t="s">
        <v>134</v>
      </c>
      <c r="D67" s="88" t="s">
        <v>28</v>
      </c>
      <c r="F67" s="86">
        <v>0.0026</v>
      </c>
      <c r="G67" s="86"/>
      <c r="H67" s="86">
        <v>0.0026</v>
      </c>
      <c r="I67" s="86"/>
      <c r="J67" s="86">
        <v>0.0026</v>
      </c>
      <c r="K67" s="86"/>
      <c r="L67" s="86">
        <v>0.0026</v>
      </c>
      <c r="M67" s="86"/>
      <c r="N67" s="86"/>
      <c r="O67" s="86"/>
      <c r="P67" s="86"/>
      <c r="Q67" s="86"/>
      <c r="R67" s="86"/>
      <c r="S67" s="86"/>
      <c r="T67" s="86"/>
      <c r="U67" s="86"/>
      <c r="V67" s="86">
        <v>0.067</v>
      </c>
      <c r="W67" s="86"/>
      <c r="X67" s="86">
        <v>0.0614</v>
      </c>
      <c r="Y67" s="86"/>
      <c r="Z67" s="86">
        <v>0.0629</v>
      </c>
      <c r="AA67" s="86"/>
      <c r="AB67" s="86">
        <v>0.064</v>
      </c>
      <c r="AC67" s="86"/>
      <c r="AD67" s="86">
        <v>0.0999</v>
      </c>
      <c r="AE67" s="86"/>
      <c r="AF67" s="86">
        <v>0.0973</v>
      </c>
      <c r="AG67" s="86"/>
      <c r="AH67" s="86">
        <v>0.101</v>
      </c>
      <c r="AI67" s="86"/>
      <c r="AJ67" s="86">
        <v>0.1</v>
      </c>
      <c r="AK67" s="86"/>
      <c r="AL67" s="86"/>
      <c r="AM67" s="86"/>
      <c r="AN67" s="86"/>
      <c r="AO67" s="86"/>
      <c r="AP67" s="86"/>
      <c r="AQ67" s="86"/>
      <c r="AR67" s="86"/>
    </row>
    <row r="68" spans="1:44" ht="12.75">
      <c r="A68" s="88" t="s">
        <v>198</v>
      </c>
      <c r="B68" s="88" t="s">
        <v>135</v>
      </c>
      <c r="D68" s="88" t="s">
        <v>28</v>
      </c>
      <c r="F68" s="86">
        <v>0.0051</v>
      </c>
      <c r="G68" s="86"/>
      <c r="H68" s="86">
        <v>0.0051</v>
      </c>
      <c r="I68" s="86"/>
      <c r="J68" s="86">
        <v>0.0052</v>
      </c>
      <c r="K68" s="86"/>
      <c r="L68" s="86">
        <v>0.0052</v>
      </c>
      <c r="M68" s="86"/>
      <c r="N68" s="86"/>
      <c r="O68" s="86"/>
      <c r="P68" s="86"/>
      <c r="Q68" s="86"/>
      <c r="R68" s="86"/>
      <c r="S68" s="86"/>
      <c r="T68" s="86"/>
      <c r="U68" s="86"/>
      <c r="V68" s="86">
        <v>0.048</v>
      </c>
      <c r="W68" s="86"/>
      <c r="X68" s="86">
        <v>0.0439</v>
      </c>
      <c r="Y68" s="86"/>
      <c r="Z68" s="86">
        <v>0.0448</v>
      </c>
      <c r="AA68" s="86"/>
      <c r="AB68" s="86">
        <v>0.0457</v>
      </c>
      <c r="AC68" s="86"/>
      <c r="AD68" s="86">
        <v>0.25</v>
      </c>
      <c r="AE68" s="86"/>
      <c r="AF68" s="86">
        <v>0.243</v>
      </c>
      <c r="AG68" s="86"/>
      <c r="AH68" s="86">
        <v>0.251</v>
      </c>
      <c r="AI68" s="86"/>
      <c r="AJ68" s="86">
        <v>0.25</v>
      </c>
      <c r="AK68" s="86"/>
      <c r="AL68" s="86"/>
      <c r="AM68" s="86"/>
      <c r="AN68" s="86"/>
      <c r="AO68" s="86"/>
      <c r="AP68" s="86"/>
      <c r="AQ68" s="86"/>
      <c r="AR68" s="86"/>
    </row>
    <row r="69" spans="6:44" ht="12.75"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</row>
    <row r="70" spans="2:44" ht="12.75">
      <c r="B70" s="8" t="s">
        <v>37</v>
      </c>
      <c r="C70" s="8"/>
      <c r="D70" s="8" t="s">
        <v>17</v>
      </c>
      <c r="F70" s="86">
        <f>'emiss 2'!$G$85</f>
        <v>37427</v>
      </c>
      <c r="G70" s="86"/>
      <c r="H70" s="86">
        <f>'emiss 2'!$I$85</f>
        <v>37404</v>
      </c>
      <c r="I70" s="86"/>
      <c r="J70" s="86">
        <f>'emiss 2'!$K$85</f>
        <v>37980</v>
      </c>
      <c r="K70" s="86"/>
      <c r="L70" s="86">
        <f>'emiss 2'!$M$85</f>
        <v>38032</v>
      </c>
      <c r="M70" s="86"/>
      <c r="N70" s="86">
        <f>'emiss 2'!$G$85</f>
        <v>37427</v>
      </c>
      <c r="O70" s="86"/>
      <c r="P70" s="86">
        <f>'emiss 2'!$I$85</f>
        <v>37404</v>
      </c>
      <c r="Q70" s="86"/>
      <c r="R70" s="86">
        <f>'emiss 2'!$K$85</f>
        <v>37980</v>
      </c>
      <c r="S70" s="86"/>
      <c r="T70" s="86">
        <f>'emiss 2'!$M$85</f>
        <v>38032</v>
      </c>
      <c r="U70" s="86"/>
      <c r="V70" s="86">
        <f>'emiss 2'!$G$85</f>
        <v>37427</v>
      </c>
      <c r="W70" s="86"/>
      <c r="X70" s="86">
        <f>'emiss 2'!$I$85</f>
        <v>37404</v>
      </c>
      <c r="Y70" s="86"/>
      <c r="Z70" s="86">
        <f>'emiss 2'!$K$85</f>
        <v>37980</v>
      </c>
      <c r="AA70" s="86"/>
      <c r="AB70" s="86">
        <f>'emiss 2'!$M$85</f>
        <v>38032</v>
      </c>
      <c r="AC70" s="86"/>
      <c r="AD70" s="86">
        <f>'emiss 2'!$G$85</f>
        <v>37427</v>
      </c>
      <c r="AE70" s="86"/>
      <c r="AF70" s="86">
        <f>'emiss 2'!$I$85</f>
        <v>37404</v>
      </c>
      <c r="AG70" s="86"/>
      <c r="AH70" s="86">
        <f>'emiss 2'!$K$85</f>
        <v>37980</v>
      </c>
      <c r="AI70" s="86"/>
      <c r="AJ70" s="86">
        <f>'emiss 2'!$M$85</f>
        <v>38032</v>
      </c>
      <c r="AK70" s="86"/>
      <c r="AL70" s="86">
        <f>'emiss 2'!$G$85</f>
        <v>37427</v>
      </c>
      <c r="AM70" s="86"/>
      <c r="AN70" s="86">
        <f>'emiss 2'!$I$85</f>
        <v>37404</v>
      </c>
      <c r="AO70" s="86"/>
      <c r="AP70" s="86">
        <f>'emiss 2'!$K$85</f>
        <v>37980</v>
      </c>
      <c r="AQ70" s="86"/>
      <c r="AR70" s="86">
        <f>'emiss 2'!$M$85</f>
        <v>38032</v>
      </c>
    </row>
    <row r="71" spans="2:44" ht="12.75">
      <c r="B71" s="8" t="s">
        <v>38</v>
      </c>
      <c r="C71" s="8"/>
      <c r="D71" s="8" t="s">
        <v>18</v>
      </c>
      <c r="F71" s="86">
        <f>'emiss 2'!$G$86</f>
        <v>14.9</v>
      </c>
      <c r="G71" s="86"/>
      <c r="H71" s="86">
        <f>'emiss 2'!$I$86</f>
        <v>15.2</v>
      </c>
      <c r="I71" s="86"/>
      <c r="J71" s="86">
        <f>'emiss 2'!$K$86</f>
        <v>15.2</v>
      </c>
      <c r="K71" s="86"/>
      <c r="L71" s="86">
        <f>'emiss 2'!$M$86</f>
        <v>15.4</v>
      </c>
      <c r="M71" s="86"/>
      <c r="N71" s="86">
        <f>'emiss 2'!$G$86</f>
        <v>14.9</v>
      </c>
      <c r="O71" s="86"/>
      <c r="P71" s="86">
        <f>'emiss 2'!$I$86</f>
        <v>15.2</v>
      </c>
      <c r="Q71" s="86"/>
      <c r="R71" s="86">
        <f>'emiss 2'!$K$86</f>
        <v>15.2</v>
      </c>
      <c r="S71" s="86"/>
      <c r="T71" s="86">
        <f>'emiss 2'!$M$86</f>
        <v>15.4</v>
      </c>
      <c r="U71" s="86"/>
      <c r="V71" s="86">
        <f>'emiss 2'!$G$86</f>
        <v>14.9</v>
      </c>
      <c r="W71" s="86"/>
      <c r="X71" s="86">
        <f>'emiss 2'!$I$86</f>
        <v>15.2</v>
      </c>
      <c r="Y71" s="86"/>
      <c r="Z71" s="86">
        <f>'emiss 2'!$K$86</f>
        <v>15.2</v>
      </c>
      <c r="AA71" s="86"/>
      <c r="AB71" s="86">
        <f>'emiss 2'!$M$86</f>
        <v>15.4</v>
      </c>
      <c r="AC71" s="86"/>
      <c r="AD71" s="86">
        <f>'emiss 2'!$G$86</f>
        <v>14.9</v>
      </c>
      <c r="AE71" s="86"/>
      <c r="AF71" s="86">
        <f>'emiss 2'!$I$86</f>
        <v>15.2</v>
      </c>
      <c r="AG71" s="86"/>
      <c r="AH71" s="86">
        <f>'emiss 2'!$K$86</f>
        <v>15.2</v>
      </c>
      <c r="AI71" s="86"/>
      <c r="AJ71" s="86">
        <f>'emiss 2'!$M$86</f>
        <v>15.4</v>
      </c>
      <c r="AK71" s="86"/>
      <c r="AL71" s="86">
        <f>'emiss 2'!$G$86</f>
        <v>14.9</v>
      </c>
      <c r="AM71" s="86"/>
      <c r="AN71" s="86">
        <f>'emiss 2'!$I$86</f>
        <v>15.2</v>
      </c>
      <c r="AO71" s="86"/>
      <c r="AP71" s="86">
        <f>'emiss 2'!$K$86</f>
        <v>15.2</v>
      </c>
      <c r="AQ71" s="86"/>
      <c r="AR71" s="86">
        <f>'emiss 2'!$M$86</f>
        <v>15.4</v>
      </c>
    </row>
    <row r="72" spans="6:44" ht="12.75"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</row>
    <row r="73" spans="2:44" ht="12.75">
      <c r="B73" s="105" t="s">
        <v>47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</row>
    <row r="74" spans="2:54" ht="12.75">
      <c r="B74" s="88" t="s">
        <v>24</v>
      </c>
      <c r="D74" s="88" t="s">
        <v>34</v>
      </c>
      <c r="F74" s="90">
        <f>F56*454*1000000/0.0283/60*14/(21-F$71)/F$70</f>
        <v>6935403.252804699</v>
      </c>
      <c r="G74" s="86"/>
      <c r="H74" s="90">
        <f>H56*454*1000000/0.0283/60*14/(21-H$71)/H$70</f>
        <v>7574686.813096054</v>
      </c>
      <c r="I74" s="86"/>
      <c r="J74" s="90">
        <f aca="true" t="shared" si="24" ref="J74:J86">J56*454*1000000/0.0283/60*14/(21-J$71)/J$70</f>
        <v>7170933.575222596</v>
      </c>
      <c r="K74" s="86"/>
      <c r="L74" s="90">
        <f aca="true" t="shared" si="25" ref="L74:L86">L56*454*1000000/0.0283/60*14/(21-L$71)/L$70</f>
        <v>7522336.902579839</v>
      </c>
      <c r="M74" s="86"/>
      <c r="N74" s="90">
        <f aca="true" t="shared" si="26" ref="N74:N86">N56*454*1000000/0.0283/60*14/(21-N$71)/N$70</f>
        <v>0</v>
      </c>
      <c r="O74" s="86"/>
      <c r="P74" s="90">
        <f aca="true" t="shared" si="27" ref="P74:P86">P56*454*1000000/0.0283/60*14/(21-P$71)/P$70</f>
        <v>0</v>
      </c>
      <c r="Q74" s="86"/>
      <c r="R74" s="90">
        <f aca="true" t="shared" si="28" ref="R74:R86">R56*454*1000000/0.0283/60*14/(21-R$71)/R$70</f>
        <v>0</v>
      </c>
      <c r="S74" s="86"/>
      <c r="T74" s="90">
        <f aca="true" t="shared" si="29" ref="T74:T86">T56*454*1000000/0.0283/60*14/(21-T$71)/T$70</f>
        <v>0</v>
      </c>
      <c r="U74" s="86"/>
      <c r="V74" s="90">
        <f aca="true" t="shared" si="30" ref="V74:V86">V56*454*1000000/0.0283/60*14/(21-V$71)/V$70</f>
        <v>0</v>
      </c>
      <c r="W74" s="86"/>
      <c r="X74" s="90">
        <f aca="true" t="shared" si="31" ref="X74:X86">X56*454*1000000/0.0283/60*14/(21-X$71)/X$70</f>
        <v>0</v>
      </c>
      <c r="Y74" s="86"/>
      <c r="Z74" s="90">
        <f aca="true" t="shared" si="32" ref="Z74:Z86">Z56*454*1000000/0.0283/60*14/(21-Z$71)/Z$70</f>
        <v>0</v>
      </c>
      <c r="AA74" s="86"/>
      <c r="AB74" s="90">
        <f aca="true" t="shared" si="33" ref="AB74:AB86">AB56*454*1000000/0.0283/60*14/(21-AB$71)/AB$70</f>
        <v>0</v>
      </c>
      <c r="AC74" s="86"/>
      <c r="AD74" s="90">
        <f aca="true" t="shared" si="34" ref="AD74:AD86">AD56*454*1000000/0.0283/60*14/(21-AD$71)/AD$70</f>
        <v>0</v>
      </c>
      <c r="AE74" s="86"/>
      <c r="AF74" s="90">
        <f aca="true" t="shared" si="35" ref="AF74:AF86">AF56*454*1000000/0.0283/60*14/(21-AF$71)/AF$70</f>
        <v>0</v>
      </c>
      <c r="AG74" s="86"/>
      <c r="AH74" s="90">
        <f aca="true" t="shared" si="36" ref="AH74:AH86">AH56*454*1000000/0.0283/60*14/(21-AH$71)/AH$70</f>
        <v>0</v>
      </c>
      <c r="AI74" s="86"/>
      <c r="AJ74" s="90">
        <f aca="true" t="shared" si="37" ref="AJ74:AJ86">AJ56*454*1000000/0.0283/60*14/(21-AJ$71)/AJ$70</f>
        <v>0</v>
      </c>
      <c r="AK74" s="86"/>
      <c r="AL74" s="90">
        <f aca="true" t="shared" si="38" ref="AL74:AL86">AL56*454*1000000/0.0283/60*14/(21-AL$71)/AL$70</f>
        <v>6213990.148494043</v>
      </c>
      <c r="AM74" s="86"/>
      <c r="AN74" s="90">
        <f aca="true" t="shared" si="39" ref="AN74:AN86">AN56*454*1000000/0.0283/60*14/(21-AN$71)/AN$70</f>
        <v>6642948.571849613</v>
      </c>
      <c r="AO74" s="86"/>
      <c r="AP74" s="90">
        <f aca="true" t="shared" si="40" ref="AP74:AP86">AP56*454*1000000/0.0283/60*14/(21-AP$71)/AP$70</f>
        <v>6729122.50186765</v>
      </c>
      <c r="AQ74" s="86"/>
      <c r="AR74" s="90">
        <f aca="true" t="shared" si="41" ref="AR74:AR86">AR56*454*1000000/0.0283/60*14/(21-AR$71)/AR$70</f>
        <v>6819314.762151816</v>
      </c>
      <c r="AT74" s="90">
        <f aca="true" t="shared" si="42" ref="AT74:AT88">AL74+AD74+V74+N74+F74</f>
        <v>13149393.401298743</v>
      </c>
      <c r="AV74" s="90">
        <f aca="true" t="shared" si="43" ref="AV74:AV88">AN74+AF74+X74+P74+H74</f>
        <v>14217635.384945668</v>
      </c>
      <c r="AX74" s="90">
        <f aca="true" t="shared" si="44" ref="AX74:AX88">AP74+AH74+Z74+R74+J74</f>
        <v>13900056.077090245</v>
      </c>
      <c r="AZ74" s="90">
        <f aca="true" t="shared" si="45" ref="AZ74:AZ88">AR74+AJ74+AB74+T74+L74</f>
        <v>14341651.664731655</v>
      </c>
      <c r="BB74" s="90">
        <f>AVERAGE(AT74,AV74,AX74,AZ74)</f>
        <v>13902184.132016577</v>
      </c>
    </row>
    <row r="75" spans="2:54" ht="12.75">
      <c r="B75" s="88" t="s">
        <v>124</v>
      </c>
      <c r="D75" s="88" t="s">
        <v>34</v>
      </c>
      <c r="F75" s="90">
        <f aca="true" t="shared" si="46" ref="F75:H86">F57*454*1000000/0.0283/60*14/(21-F$71)/F$70</f>
        <v>501.71002254331853</v>
      </c>
      <c r="G75" s="86"/>
      <c r="H75" s="90">
        <f t="shared" si="46"/>
        <v>527.9850033729823</v>
      </c>
      <c r="I75" s="86"/>
      <c r="J75" s="90">
        <f t="shared" si="24"/>
        <v>525.0754679487636</v>
      </c>
      <c r="K75" s="86"/>
      <c r="L75" s="90">
        <f t="shared" si="25"/>
        <v>543.0846034806473</v>
      </c>
      <c r="M75" s="86"/>
      <c r="N75" s="90">
        <f t="shared" si="26"/>
        <v>0</v>
      </c>
      <c r="O75" s="86"/>
      <c r="P75" s="90">
        <f t="shared" si="27"/>
        <v>0</v>
      </c>
      <c r="Q75" s="86"/>
      <c r="R75" s="90">
        <f t="shared" si="28"/>
        <v>0</v>
      </c>
      <c r="S75" s="86"/>
      <c r="T75" s="90">
        <f t="shared" si="29"/>
        <v>0</v>
      </c>
      <c r="U75" s="86"/>
      <c r="V75" s="90">
        <f t="shared" si="30"/>
        <v>1369.0453229531734</v>
      </c>
      <c r="W75" s="86"/>
      <c r="X75" s="90">
        <f t="shared" si="31"/>
        <v>1349.2950086198439</v>
      </c>
      <c r="Y75" s="86"/>
      <c r="Z75" s="90">
        <f t="shared" si="32"/>
        <v>1051.8502092565845</v>
      </c>
      <c r="AA75" s="86"/>
      <c r="AB75" s="90">
        <f t="shared" si="33"/>
        <v>1414.832057611395</v>
      </c>
      <c r="AC75" s="86"/>
      <c r="AD75" s="90">
        <f t="shared" si="34"/>
        <v>4098.9380926741715</v>
      </c>
      <c r="AE75" s="86"/>
      <c r="AF75" s="90">
        <f t="shared" si="35"/>
        <v>4192.822085608977</v>
      </c>
      <c r="AG75" s="86"/>
      <c r="AH75" s="90">
        <f t="shared" si="36"/>
        <v>4265.176131234293</v>
      </c>
      <c r="AI75" s="86"/>
      <c r="AJ75" s="90">
        <f t="shared" si="37"/>
        <v>4393.888377675139</v>
      </c>
      <c r="AK75" s="86"/>
      <c r="AL75" s="90">
        <f t="shared" si="38"/>
        <v>0</v>
      </c>
      <c r="AM75" s="86"/>
      <c r="AN75" s="90">
        <f t="shared" si="39"/>
        <v>0</v>
      </c>
      <c r="AO75" s="86"/>
      <c r="AP75" s="90">
        <f t="shared" si="40"/>
        <v>0</v>
      </c>
      <c r="AQ75" s="86"/>
      <c r="AR75" s="90">
        <f t="shared" si="41"/>
        <v>0</v>
      </c>
      <c r="AT75" s="90">
        <f t="shared" si="42"/>
        <v>5969.693438170663</v>
      </c>
      <c r="AV75" s="90">
        <f t="shared" si="43"/>
        <v>6070.1020976018035</v>
      </c>
      <c r="AX75" s="90">
        <f t="shared" si="44"/>
        <v>5842.101808439642</v>
      </c>
      <c r="AZ75" s="90">
        <f t="shared" si="45"/>
        <v>6351.805038767181</v>
      </c>
      <c r="BB75" s="90">
        <f aca="true" t="shared" si="47" ref="BB75:BB88">AVERAGE(AT75,AV75,AX75,AZ75)</f>
        <v>6058.425595744822</v>
      </c>
    </row>
    <row r="76" spans="2:54" ht="12.75">
      <c r="B76" s="88" t="s">
        <v>123</v>
      </c>
      <c r="D76" s="88" t="s">
        <v>34</v>
      </c>
      <c r="F76" s="90">
        <f t="shared" si="46"/>
        <v>83.6183370905531</v>
      </c>
      <c r="G76" s="86"/>
      <c r="H76" s="90">
        <f t="shared" si="46"/>
        <v>87.99750056216372</v>
      </c>
      <c r="I76" s="86"/>
      <c r="J76" s="90">
        <f t="shared" si="24"/>
        <v>88.36221467098935</v>
      </c>
      <c r="K76" s="86"/>
      <c r="L76" s="90">
        <f t="shared" si="25"/>
        <v>91.3928782556429</v>
      </c>
      <c r="M76" s="86"/>
      <c r="N76" s="90">
        <f t="shared" si="26"/>
        <v>0</v>
      </c>
      <c r="O76" s="86"/>
      <c r="P76" s="90">
        <f t="shared" si="27"/>
        <v>0</v>
      </c>
      <c r="Q76" s="86"/>
      <c r="R76" s="90">
        <f t="shared" si="28"/>
        <v>0</v>
      </c>
      <c r="S76" s="86"/>
      <c r="T76" s="90">
        <f t="shared" si="29"/>
        <v>0</v>
      </c>
      <c r="U76" s="86"/>
      <c r="V76" s="90">
        <f t="shared" si="30"/>
        <v>4459.6446448295</v>
      </c>
      <c r="W76" s="86"/>
      <c r="X76" s="90">
        <f t="shared" si="31"/>
        <v>3295.592668112406</v>
      </c>
      <c r="Y76" s="86"/>
      <c r="Z76" s="90">
        <f t="shared" si="32"/>
        <v>5131.805544353611</v>
      </c>
      <c r="AA76" s="86"/>
      <c r="AB76" s="90">
        <f t="shared" si="33"/>
        <v>5079.33496459246</v>
      </c>
      <c r="AC76" s="86"/>
      <c r="AD76" s="90">
        <f t="shared" si="34"/>
        <v>2049.4690463370857</v>
      </c>
      <c r="AE76" s="86"/>
      <c r="AF76" s="90">
        <f t="shared" si="35"/>
        <v>2105.0382487419556</v>
      </c>
      <c r="AG76" s="86"/>
      <c r="AH76" s="90">
        <f t="shared" si="36"/>
        <v>2141.0844324124337</v>
      </c>
      <c r="AI76" s="86"/>
      <c r="AJ76" s="90">
        <f t="shared" si="37"/>
        <v>2196.9441888375695</v>
      </c>
      <c r="AK76" s="86"/>
      <c r="AL76" s="90">
        <f t="shared" si="38"/>
        <v>0</v>
      </c>
      <c r="AM76" s="86"/>
      <c r="AN76" s="90">
        <f t="shared" si="39"/>
        <v>0</v>
      </c>
      <c r="AO76" s="86"/>
      <c r="AP76" s="90">
        <f t="shared" si="40"/>
        <v>0</v>
      </c>
      <c r="AQ76" s="86"/>
      <c r="AR76" s="90">
        <f t="shared" si="41"/>
        <v>0</v>
      </c>
      <c r="AT76" s="90">
        <f t="shared" si="42"/>
        <v>6592.732028257138</v>
      </c>
      <c r="AV76" s="90">
        <f t="shared" si="43"/>
        <v>5488.628417416525</v>
      </c>
      <c r="AX76" s="90">
        <f t="shared" si="44"/>
        <v>7361.2521914370345</v>
      </c>
      <c r="AZ76" s="90">
        <f t="shared" si="45"/>
        <v>7367.672031685673</v>
      </c>
      <c r="BB76" s="90">
        <f t="shared" si="47"/>
        <v>6702.571167199093</v>
      </c>
    </row>
    <row r="77" spans="2:54" ht="12.75">
      <c r="B77" s="88" t="s">
        <v>125</v>
      </c>
      <c r="D77" s="88" t="s">
        <v>34</v>
      </c>
      <c r="F77" s="90">
        <f t="shared" si="46"/>
        <v>159.03879799575788</v>
      </c>
      <c r="G77" s="86"/>
      <c r="H77" s="90">
        <f t="shared" si="46"/>
        <v>167.3677951868604</v>
      </c>
      <c r="I77" s="86"/>
      <c r="J77" s="90">
        <f t="shared" si="24"/>
        <v>158.03242239234632</v>
      </c>
      <c r="K77" s="86"/>
      <c r="L77" s="90">
        <f t="shared" si="25"/>
        <v>154.6648708941649</v>
      </c>
      <c r="M77" s="86"/>
      <c r="N77" s="90">
        <f t="shared" si="26"/>
        <v>0</v>
      </c>
      <c r="O77" s="86"/>
      <c r="P77" s="90">
        <f t="shared" si="27"/>
        <v>0</v>
      </c>
      <c r="Q77" s="86"/>
      <c r="R77" s="90">
        <f t="shared" si="28"/>
        <v>0</v>
      </c>
      <c r="S77" s="86"/>
      <c r="T77" s="90">
        <f t="shared" si="29"/>
        <v>0</v>
      </c>
      <c r="U77" s="86"/>
      <c r="V77" s="90">
        <f t="shared" si="30"/>
        <v>46891.85178019252</v>
      </c>
      <c r="W77" s="86"/>
      <c r="X77" s="90">
        <f t="shared" si="31"/>
        <v>86099.51525592098</v>
      </c>
      <c r="Y77" s="86"/>
      <c r="Z77" s="90">
        <f t="shared" si="32"/>
        <v>74428.17312671794</v>
      </c>
      <c r="AA77" s="86"/>
      <c r="AB77" s="90">
        <f t="shared" si="33"/>
        <v>58878.10426084686</v>
      </c>
      <c r="AC77" s="86"/>
      <c r="AD77" s="90">
        <f t="shared" si="34"/>
        <v>12280.41852565182</v>
      </c>
      <c r="AE77" s="86"/>
      <c r="AF77" s="90">
        <f t="shared" si="35"/>
        <v>12595.720668701866</v>
      </c>
      <c r="AG77" s="86"/>
      <c r="AH77" s="90">
        <f t="shared" si="36"/>
        <v>12795.528393702878</v>
      </c>
      <c r="AI77" s="86"/>
      <c r="AJ77" s="90">
        <f t="shared" si="37"/>
        <v>13181.665133025419</v>
      </c>
      <c r="AK77" s="86"/>
      <c r="AL77" s="90">
        <f t="shared" si="38"/>
        <v>0</v>
      </c>
      <c r="AM77" s="86"/>
      <c r="AN77" s="90">
        <f t="shared" si="39"/>
        <v>0</v>
      </c>
      <c r="AO77" s="86"/>
      <c r="AP77" s="90">
        <f t="shared" si="40"/>
        <v>0</v>
      </c>
      <c r="AQ77" s="86"/>
      <c r="AR77" s="90">
        <f t="shared" si="41"/>
        <v>0</v>
      </c>
      <c r="AT77" s="90">
        <f t="shared" si="42"/>
        <v>59331.309103840096</v>
      </c>
      <c r="AV77" s="90">
        <f t="shared" si="43"/>
        <v>98862.6037198097</v>
      </c>
      <c r="AX77" s="90">
        <f t="shared" si="44"/>
        <v>87381.73394281317</v>
      </c>
      <c r="AZ77" s="90">
        <f t="shared" si="45"/>
        <v>72214.43426476645</v>
      </c>
      <c r="BB77" s="90">
        <f t="shared" si="47"/>
        <v>79447.52025780735</v>
      </c>
    </row>
    <row r="78" spans="2:54" ht="12.75">
      <c r="B78" s="88" t="s">
        <v>126</v>
      </c>
      <c r="D78" s="88" t="s">
        <v>34</v>
      </c>
      <c r="F78" s="90">
        <f t="shared" si="46"/>
        <v>42.62895616381139</v>
      </c>
      <c r="G78" s="86"/>
      <c r="H78" s="90">
        <f t="shared" si="46"/>
        <v>44.86147087482857</v>
      </c>
      <c r="I78" s="86"/>
      <c r="J78" s="90">
        <f t="shared" si="24"/>
        <v>44.18110733549467</v>
      </c>
      <c r="K78" s="86"/>
      <c r="L78" s="90">
        <f t="shared" si="25"/>
        <v>45.69643912782145</v>
      </c>
      <c r="M78" s="86"/>
      <c r="N78" s="90">
        <f t="shared" si="26"/>
        <v>0</v>
      </c>
      <c r="O78" s="86"/>
      <c r="P78" s="90">
        <f t="shared" si="27"/>
        <v>0</v>
      </c>
      <c r="Q78" s="86"/>
      <c r="R78" s="90">
        <f t="shared" si="28"/>
        <v>0</v>
      </c>
      <c r="S78" s="86"/>
      <c r="T78" s="90">
        <f t="shared" si="29"/>
        <v>0</v>
      </c>
      <c r="U78" s="86"/>
      <c r="V78" s="90">
        <f t="shared" si="30"/>
        <v>629.5968910347528</v>
      </c>
      <c r="W78" s="86"/>
      <c r="X78" s="90">
        <f t="shared" si="31"/>
        <v>605.6298568101856</v>
      </c>
      <c r="Y78" s="86"/>
      <c r="Z78" s="90">
        <f t="shared" si="32"/>
        <v>608.3398625425804</v>
      </c>
      <c r="AA78" s="86"/>
      <c r="AB78" s="90">
        <f t="shared" si="33"/>
        <v>643.2652584916403</v>
      </c>
      <c r="AC78" s="86"/>
      <c r="AD78" s="90">
        <f t="shared" si="34"/>
        <v>98.37451422418012</v>
      </c>
      <c r="AE78" s="86"/>
      <c r="AF78" s="90">
        <f t="shared" si="35"/>
        <v>101.80103006211097</v>
      </c>
      <c r="AG78" s="86"/>
      <c r="AH78" s="90">
        <f t="shared" si="36"/>
        <v>103.6556749025067</v>
      </c>
      <c r="AI78" s="86"/>
      <c r="AJ78" s="90">
        <f t="shared" si="37"/>
        <v>105.45332106420334</v>
      </c>
      <c r="AK78" s="86"/>
      <c r="AL78" s="90">
        <f t="shared" si="38"/>
        <v>0</v>
      </c>
      <c r="AM78" s="86"/>
      <c r="AN78" s="90">
        <f t="shared" si="39"/>
        <v>0</v>
      </c>
      <c r="AO78" s="86"/>
      <c r="AP78" s="90">
        <f t="shared" si="40"/>
        <v>0</v>
      </c>
      <c r="AQ78" s="86"/>
      <c r="AR78" s="90">
        <f t="shared" si="41"/>
        <v>0</v>
      </c>
      <c r="AT78" s="90">
        <f t="shared" si="42"/>
        <v>770.6003614227443</v>
      </c>
      <c r="AV78" s="90">
        <f t="shared" si="43"/>
        <v>752.2923577471252</v>
      </c>
      <c r="AX78" s="90">
        <f t="shared" si="44"/>
        <v>756.1766447805817</v>
      </c>
      <c r="AZ78" s="90">
        <f t="shared" si="45"/>
        <v>794.4150186836652</v>
      </c>
      <c r="BB78" s="90">
        <f t="shared" si="47"/>
        <v>768.371095658529</v>
      </c>
    </row>
    <row r="79" spans="2:54" ht="12.75">
      <c r="B79" s="88" t="s">
        <v>127</v>
      </c>
      <c r="D79" s="88" t="s">
        <v>34</v>
      </c>
      <c r="F79" s="90">
        <f t="shared" si="46"/>
        <v>83.6183370905531</v>
      </c>
      <c r="G79" s="86"/>
      <c r="H79" s="90">
        <f t="shared" si="46"/>
        <v>87.99750056216372</v>
      </c>
      <c r="I79" s="86"/>
      <c r="J79" s="90">
        <f t="shared" si="24"/>
        <v>88.36221467098935</v>
      </c>
      <c r="K79" s="86"/>
      <c r="L79" s="90">
        <f t="shared" si="25"/>
        <v>91.3928782556429</v>
      </c>
      <c r="M79" s="86"/>
      <c r="N79" s="90">
        <f t="shared" si="26"/>
        <v>0</v>
      </c>
      <c r="O79" s="86"/>
      <c r="P79" s="90">
        <f t="shared" si="27"/>
        <v>0</v>
      </c>
      <c r="Q79" s="86"/>
      <c r="R79" s="90">
        <f t="shared" si="28"/>
        <v>0</v>
      </c>
      <c r="S79" s="86"/>
      <c r="T79" s="90">
        <f t="shared" si="29"/>
        <v>0</v>
      </c>
      <c r="U79" s="86"/>
      <c r="V79" s="90">
        <f t="shared" si="30"/>
        <v>2803.6736553891337</v>
      </c>
      <c r="W79" s="86"/>
      <c r="X79" s="90">
        <f t="shared" si="31"/>
        <v>4434.383851858054</v>
      </c>
      <c r="Y79" s="86"/>
      <c r="Z79" s="90">
        <f t="shared" si="32"/>
        <v>3058.6920463034776</v>
      </c>
      <c r="AA79" s="86"/>
      <c r="AB79" s="90">
        <f t="shared" si="33"/>
        <v>2952.6929897976934</v>
      </c>
      <c r="AC79" s="86"/>
      <c r="AD79" s="90">
        <f t="shared" si="34"/>
        <v>2459.3628556045032</v>
      </c>
      <c r="AE79" s="86"/>
      <c r="AF79" s="90">
        <f t="shared" si="35"/>
        <v>2519.144133740373</v>
      </c>
      <c r="AG79" s="86"/>
      <c r="AH79" s="90">
        <f t="shared" si="36"/>
        <v>2565.9027721768057</v>
      </c>
      <c r="AI79" s="86"/>
      <c r="AJ79" s="90">
        <f t="shared" si="37"/>
        <v>2636.3330266050834</v>
      </c>
      <c r="AK79" s="86"/>
      <c r="AL79" s="90">
        <f t="shared" si="38"/>
        <v>0</v>
      </c>
      <c r="AM79" s="86"/>
      <c r="AN79" s="90">
        <f t="shared" si="39"/>
        <v>0</v>
      </c>
      <c r="AO79" s="86"/>
      <c r="AP79" s="90">
        <f t="shared" si="40"/>
        <v>0</v>
      </c>
      <c r="AQ79" s="86"/>
      <c r="AR79" s="90">
        <f t="shared" si="41"/>
        <v>0</v>
      </c>
      <c r="AT79" s="90">
        <f t="shared" si="42"/>
        <v>5346.65484808419</v>
      </c>
      <c r="AV79" s="90">
        <f t="shared" si="43"/>
        <v>7041.525486160591</v>
      </c>
      <c r="AX79" s="90">
        <f t="shared" si="44"/>
        <v>5712.957033151273</v>
      </c>
      <c r="AZ79" s="90">
        <f t="shared" si="45"/>
        <v>5680.41889465842</v>
      </c>
      <c r="BB79" s="90">
        <f t="shared" si="47"/>
        <v>5945.389065513618</v>
      </c>
    </row>
    <row r="80" spans="2:54" ht="12.75">
      <c r="B80" s="88" t="s">
        <v>128</v>
      </c>
      <c r="D80" s="88" t="s">
        <v>34</v>
      </c>
      <c r="F80" s="90">
        <f t="shared" si="46"/>
        <v>418.0916854527655</v>
      </c>
      <c r="G80" s="86"/>
      <c r="H80" s="90">
        <f t="shared" si="46"/>
        <v>439.98750281081857</v>
      </c>
      <c r="I80" s="86"/>
      <c r="J80" s="90">
        <f t="shared" si="24"/>
        <v>438.4125266368317</v>
      </c>
      <c r="K80" s="86"/>
      <c r="L80" s="90">
        <f t="shared" si="25"/>
        <v>453.4492805760744</v>
      </c>
      <c r="M80" s="86"/>
      <c r="N80" s="90">
        <f t="shared" si="26"/>
        <v>0</v>
      </c>
      <c r="O80" s="86"/>
      <c r="P80" s="90">
        <f t="shared" si="27"/>
        <v>0</v>
      </c>
      <c r="Q80" s="86"/>
      <c r="R80" s="90">
        <f t="shared" si="28"/>
        <v>0</v>
      </c>
      <c r="S80" s="86"/>
      <c r="T80" s="90">
        <f t="shared" si="29"/>
        <v>0</v>
      </c>
      <c r="U80" s="86"/>
      <c r="V80" s="90">
        <f t="shared" si="30"/>
        <v>43776.65882976015</v>
      </c>
      <c r="W80" s="86"/>
      <c r="X80" s="90">
        <f t="shared" si="31"/>
        <v>86099.51525592098</v>
      </c>
      <c r="Y80" s="86"/>
      <c r="Z80" s="90">
        <f t="shared" si="32"/>
        <v>47409.726717703896</v>
      </c>
      <c r="AA80" s="86"/>
      <c r="AB80" s="90">
        <f t="shared" si="33"/>
        <v>31635.996319261</v>
      </c>
      <c r="AC80" s="86"/>
      <c r="AD80" s="90">
        <f t="shared" si="34"/>
        <v>40989.38092674172</v>
      </c>
      <c r="AE80" s="86"/>
      <c r="AF80" s="90">
        <f t="shared" si="35"/>
        <v>41928.22085608977</v>
      </c>
      <c r="AG80" s="86"/>
      <c r="AH80" s="90">
        <f t="shared" si="36"/>
        <v>42651.76131234293</v>
      </c>
      <c r="AI80" s="86"/>
      <c r="AJ80" s="90">
        <f t="shared" si="37"/>
        <v>43938.88377675139</v>
      </c>
      <c r="AK80" s="86"/>
      <c r="AL80" s="90">
        <f t="shared" si="38"/>
        <v>0</v>
      </c>
      <c r="AM80" s="86"/>
      <c r="AN80" s="90">
        <f t="shared" si="39"/>
        <v>0</v>
      </c>
      <c r="AO80" s="86"/>
      <c r="AP80" s="90">
        <f t="shared" si="40"/>
        <v>0</v>
      </c>
      <c r="AQ80" s="86"/>
      <c r="AR80" s="90">
        <f t="shared" si="41"/>
        <v>0</v>
      </c>
      <c r="AT80" s="90">
        <f t="shared" si="42"/>
        <v>85184.13144195463</v>
      </c>
      <c r="AV80" s="90">
        <f t="shared" si="43"/>
        <v>128467.72361482157</v>
      </c>
      <c r="AX80" s="90">
        <f t="shared" si="44"/>
        <v>90499.90055668367</v>
      </c>
      <c r="AZ80" s="90">
        <f t="shared" si="45"/>
        <v>76028.32937658846</v>
      </c>
      <c r="BB80" s="90">
        <f t="shared" si="47"/>
        <v>95045.02124751208</v>
      </c>
    </row>
    <row r="81" spans="2:54" ht="12.75">
      <c r="B81" s="88" t="s">
        <v>130</v>
      </c>
      <c r="D81" s="88" t="s">
        <v>34</v>
      </c>
      <c r="F81" s="90">
        <f t="shared" si="46"/>
        <v>836.183370905531</v>
      </c>
      <c r="G81" s="86"/>
      <c r="H81" s="90">
        <f t="shared" si="46"/>
        <v>879.9750056216371</v>
      </c>
      <c r="I81" s="86"/>
      <c r="J81" s="90">
        <f t="shared" si="24"/>
        <v>875.125779914606</v>
      </c>
      <c r="K81" s="86"/>
      <c r="L81" s="90">
        <f t="shared" si="25"/>
        <v>905.1410058010787</v>
      </c>
      <c r="M81" s="86"/>
      <c r="N81" s="90">
        <f t="shared" si="26"/>
        <v>0</v>
      </c>
      <c r="O81" s="86"/>
      <c r="P81" s="90">
        <f t="shared" si="27"/>
        <v>0</v>
      </c>
      <c r="Q81" s="86"/>
      <c r="R81" s="90">
        <f t="shared" si="28"/>
        <v>0</v>
      </c>
      <c r="S81" s="86"/>
      <c r="T81" s="90">
        <f t="shared" si="29"/>
        <v>0</v>
      </c>
      <c r="U81" s="86"/>
      <c r="V81" s="90">
        <f t="shared" si="30"/>
        <v>11559.005421341162</v>
      </c>
      <c r="W81" s="86"/>
      <c r="X81" s="90">
        <f t="shared" si="31"/>
        <v>22085.647199915595</v>
      </c>
      <c r="Y81" s="86"/>
      <c r="Z81" s="90">
        <f t="shared" si="32"/>
        <v>7510.788247034095</v>
      </c>
      <c r="AA81" s="86"/>
      <c r="AB81" s="90">
        <f t="shared" si="33"/>
        <v>12302.88745749039</v>
      </c>
      <c r="AC81" s="86"/>
      <c r="AD81" s="90">
        <f t="shared" si="34"/>
        <v>45908.10663795072</v>
      </c>
      <c r="AE81" s="86"/>
      <c r="AF81" s="90">
        <f t="shared" si="35"/>
        <v>47104.54441856999</v>
      </c>
      <c r="AG81" s="86"/>
      <c r="AH81" s="90">
        <f t="shared" si="36"/>
        <v>47749.58138951539</v>
      </c>
      <c r="AI81" s="86"/>
      <c r="AJ81" s="90">
        <f t="shared" si="37"/>
        <v>49211.54982996156</v>
      </c>
      <c r="AK81" s="86"/>
      <c r="AL81" s="90">
        <f t="shared" si="38"/>
        <v>0</v>
      </c>
      <c r="AM81" s="86"/>
      <c r="AN81" s="90">
        <f t="shared" si="39"/>
        <v>0</v>
      </c>
      <c r="AO81" s="86"/>
      <c r="AP81" s="90">
        <f t="shared" si="40"/>
        <v>0</v>
      </c>
      <c r="AQ81" s="86"/>
      <c r="AR81" s="90">
        <f t="shared" si="41"/>
        <v>0</v>
      </c>
      <c r="AT81" s="90">
        <f t="shared" si="42"/>
        <v>58303.29543019741</v>
      </c>
      <c r="AV81" s="90">
        <f t="shared" si="43"/>
        <v>70070.16662410722</v>
      </c>
      <c r="AX81" s="90">
        <f t="shared" si="44"/>
        <v>56135.49541646409</v>
      </c>
      <c r="AZ81" s="90">
        <f t="shared" si="45"/>
        <v>62419.57829325303</v>
      </c>
      <c r="BB81" s="90">
        <f t="shared" si="47"/>
        <v>61732.133941005435</v>
      </c>
    </row>
    <row r="82" spans="2:54" ht="12.75">
      <c r="B82" s="88" t="s">
        <v>131</v>
      </c>
      <c r="D82" s="88" t="s">
        <v>34</v>
      </c>
      <c r="F82" s="90">
        <f t="shared" si="46"/>
        <v>16.395752370696687</v>
      </c>
      <c r="G82" s="86"/>
      <c r="H82" s="90">
        <f t="shared" si="46"/>
        <v>17.254411874934064</v>
      </c>
      <c r="I82" s="86"/>
      <c r="J82" s="90">
        <f t="shared" si="24"/>
        <v>16.992733590574876</v>
      </c>
      <c r="K82" s="86"/>
      <c r="L82" s="90">
        <f t="shared" si="25"/>
        <v>17.57555351070056</v>
      </c>
      <c r="M82" s="86"/>
      <c r="N82" s="90">
        <f t="shared" si="26"/>
        <v>0</v>
      </c>
      <c r="O82" s="86"/>
      <c r="P82" s="90">
        <f t="shared" si="27"/>
        <v>0</v>
      </c>
      <c r="Q82" s="86"/>
      <c r="R82" s="90">
        <f t="shared" si="28"/>
        <v>0</v>
      </c>
      <c r="S82" s="86"/>
      <c r="T82" s="90">
        <f t="shared" si="29"/>
        <v>0</v>
      </c>
      <c r="U82" s="86"/>
      <c r="V82" s="90">
        <f t="shared" si="30"/>
        <v>80.33918661641376</v>
      </c>
      <c r="W82" s="86"/>
      <c r="X82" s="90">
        <f t="shared" si="31"/>
        <v>79.37029462469668</v>
      </c>
      <c r="Y82" s="86"/>
      <c r="Z82" s="90">
        <f t="shared" si="32"/>
        <v>71.36948108041446</v>
      </c>
      <c r="AA82" s="86"/>
      <c r="AB82" s="90">
        <f t="shared" si="33"/>
        <v>68.54465869173215</v>
      </c>
      <c r="AC82" s="86"/>
      <c r="AD82" s="90">
        <f t="shared" si="34"/>
        <v>2049.4690463370857</v>
      </c>
      <c r="AE82" s="86"/>
      <c r="AF82" s="90">
        <f t="shared" si="35"/>
        <v>2105.0382487419556</v>
      </c>
      <c r="AG82" s="86"/>
      <c r="AH82" s="90">
        <f t="shared" si="36"/>
        <v>2141.0844324124337</v>
      </c>
      <c r="AI82" s="86"/>
      <c r="AJ82" s="90">
        <f t="shared" si="37"/>
        <v>2196.9441888375695</v>
      </c>
      <c r="AK82" s="86"/>
      <c r="AL82" s="90">
        <f t="shared" si="38"/>
        <v>0</v>
      </c>
      <c r="AM82" s="86"/>
      <c r="AN82" s="90">
        <f t="shared" si="39"/>
        <v>0</v>
      </c>
      <c r="AO82" s="86"/>
      <c r="AP82" s="90">
        <f t="shared" si="40"/>
        <v>0</v>
      </c>
      <c r="AQ82" s="86"/>
      <c r="AR82" s="90">
        <f t="shared" si="41"/>
        <v>0</v>
      </c>
      <c r="AT82" s="90">
        <f t="shared" si="42"/>
        <v>2146.2039853241963</v>
      </c>
      <c r="AV82" s="90">
        <f t="shared" si="43"/>
        <v>2201.6629552415866</v>
      </c>
      <c r="AX82" s="90">
        <f t="shared" si="44"/>
        <v>2229.446647083423</v>
      </c>
      <c r="AZ82" s="90">
        <f t="shared" si="45"/>
        <v>2283.0644010400024</v>
      </c>
      <c r="BB82" s="90">
        <f t="shared" si="47"/>
        <v>2215.094497172302</v>
      </c>
    </row>
    <row r="83" spans="2:54" ht="12.75">
      <c r="B83" s="88" t="s">
        <v>132</v>
      </c>
      <c r="D83" s="88" t="s">
        <v>34</v>
      </c>
      <c r="F83" s="90">
        <f t="shared" si="46"/>
        <v>334.4733483622124</v>
      </c>
      <c r="G83" s="86"/>
      <c r="H83" s="90">
        <f t="shared" si="46"/>
        <v>351.9900022486549</v>
      </c>
      <c r="I83" s="86"/>
      <c r="J83" s="90">
        <f t="shared" si="24"/>
        <v>350.05031196584235</v>
      </c>
      <c r="K83" s="86"/>
      <c r="L83" s="90">
        <f t="shared" si="25"/>
        <v>362.05640232043146</v>
      </c>
      <c r="M83" s="86"/>
      <c r="N83" s="90">
        <f t="shared" si="26"/>
        <v>0</v>
      </c>
      <c r="O83" s="86"/>
      <c r="P83" s="90">
        <f t="shared" si="27"/>
        <v>0</v>
      </c>
      <c r="Q83" s="86"/>
      <c r="R83" s="90">
        <f t="shared" si="28"/>
        <v>0</v>
      </c>
      <c r="S83" s="86"/>
      <c r="T83" s="90">
        <f t="shared" si="29"/>
        <v>0</v>
      </c>
      <c r="U83" s="86"/>
      <c r="V83" s="90">
        <f t="shared" si="30"/>
        <v>28200.694077598306</v>
      </c>
      <c r="W83" s="86"/>
      <c r="X83" s="90">
        <f t="shared" si="31"/>
        <v>51590.69150605284</v>
      </c>
      <c r="Y83" s="86"/>
      <c r="Z83" s="90">
        <f t="shared" si="32"/>
        <v>29397.42911169453</v>
      </c>
      <c r="AA83" s="86"/>
      <c r="AB83" s="90">
        <f t="shared" si="33"/>
        <v>26714.841336264846</v>
      </c>
      <c r="AC83" s="86"/>
      <c r="AD83" s="90">
        <f t="shared" si="34"/>
        <v>49187.25711209006</v>
      </c>
      <c r="AE83" s="86"/>
      <c r="AF83" s="90">
        <f t="shared" si="35"/>
        <v>50382.882674807464</v>
      </c>
      <c r="AG83" s="86"/>
      <c r="AH83" s="90">
        <f t="shared" si="36"/>
        <v>51148.128107630364</v>
      </c>
      <c r="AI83" s="86"/>
      <c r="AJ83" s="90">
        <f t="shared" si="37"/>
        <v>52726.660532101676</v>
      </c>
      <c r="AK83" s="86"/>
      <c r="AL83" s="90">
        <f t="shared" si="38"/>
        <v>0</v>
      </c>
      <c r="AM83" s="86"/>
      <c r="AN83" s="90">
        <f t="shared" si="39"/>
        <v>0</v>
      </c>
      <c r="AO83" s="86"/>
      <c r="AP83" s="90">
        <f t="shared" si="40"/>
        <v>0</v>
      </c>
      <c r="AQ83" s="86"/>
      <c r="AR83" s="90">
        <f t="shared" si="41"/>
        <v>0</v>
      </c>
      <c r="AT83" s="90">
        <f t="shared" si="42"/>
        <v>77722.42453805057</v>
      </c>
      <c r="AV83" s="90">
        <f t="shared" si="43"/>
        <v>102325.56418310896</v>
      </c>
      <c r="AX83" s="90">
        <f t="shared" si="44"/>
        <v>80895.60753129073</v>
      </c>
      <c r="AZ83" s="90">
        <f t="shared" si="45"/>
        <v>79803.55827068696</v>
      </c>
      <c r="BB83" s="90">
        <f t="shared" si="47"/>
        <v>85186.7886307843</v>
      </c>
    </row>
    <row r="84" spans="2:54" ht="12.75">
      <c r="B84" s="88" t="s">
        <v>133</v>
      </c>
      <c r="D84" s="88" t="s">
        <v>34</v>
      </c>
      <c r="F84" s="90">
        <f t="shared" si="46"/>
        <v>42.62895616381139</v>
      </c>
      <c r="G84" s="86"/>
      <c r="H84" s="90">
        <f t="shared" si="46"/>
        <v>44.86147087482857</v>
      </c>
      <c r="I84" s="86"/>
      <c r="J84" s="90">
        <f t="shared" si="24"/>
        <v>44.18110733549467</v>
      </c>
      <c r="K84" s="86"/>
      <c r="L84" s="90">
        <f t="shared" si="25"/>
        <v>45.69643912782145</v>
      </c>
      <c r="M84" s="86"/>
      <c r="N84" s="90">
        <f t="shared" si="26"/>
        <v>0</v>
      </c>
      <c r="O84" s="86"/>
      <c r="P84" s="90">
        <f t="shared" si="27"/>
        <v>0</v>
      </c>
      <c r="Q84" s="86"/>
      <c r="R84" s="90">
        <f t="shared" si="28"/>
        <v>0</v>
      </c>
      <c r="S84" s="86"/>
      <c r="T84" s="90">
        <f t="shared" si="29"/>
        <v>0</v>
      </c>
      <c r="U84" s="86"/>
      <c r="V84" s="90">
        <f t="shared" si="30"/>
        <v>629.5968910347528</v>
      </c>
      <c r="W84" s="86"/>
      <c r="X84" s="90">
        <f t="shared" si="31"/>
        <v>605.6298568101856</v>
      </c>
      <c r="Y84" s="86"/>
      <c r="Z84" s="90">
        <f t="shared" si="32"/>
        <v>608.3398625425804</v>
      </c>
      <c r="AA84" s="86"/>
      <c r="AB84" s="90">
        <f t="shared" si="33"/>
        <v>643.2652584916403</v>
      </c>
      <c r="AC84" s="86"/>
      <c r="AD84" s="90">
        <f t="shared" si="34"/>
        <v>2049.4690463370857</v>
      </c>
      <c r="AE84" s="86"/>
      <c r="AF84" s="90">
        <f t="shared" si="35"/>
        <v>2105.0382487419556</v>
      </c>
      <c r="AG84" s="86"/>
      <c r="AH84" s="90">
        <f t="shared" si="36"/>
        <v>2141.0844324124337</v>
      </c>
      <c r="AI84" s="86"/>
      <c r="AJ84" s="90">
        <f t="shared" si="37"/>
        <v>2196.9441888375695</v>
      </c>
      <c r="AK84" s="86"/>
      <c r="AL84" s="90">
        <f t="shared" si="38"/>
        <v>0</v>
      </c>
      <c r="AM84" s="86"/>
      <c r="AN84" s="90">
        <f t="shared" si="39"/>
        <v>0</v>
      </c>
      <c r="AO84" s="86"/>
      <c r="AP84" s="90">
        <f t="shared" si="40"/>
        <v>0</v>
      </c>
      <c r="AQ84" s="86"/>
      <c r="AR84" s="90">
        <f t="shared" si="41"/>
        <v>0</v>
      </c>
      <c r="AT84" s="90">
        <f t="shared" si="42"/>
        <v>2721.69489353565</v>
      </c>
      <c r="AV84" s="90">
        <f t="shared" si="43"/>
        <v>2755.52957642697</v>
      </c>
      <c r="AX84" s="90">
        <f t="shared" si="44"/>
        <v>2793.6054022905087</v>
      </c>
      <c r="AZ84" s="90">
        <f t="shared" si="45"/>
        <v>2885.9058864570316</v>
      </c>
      <c r="BB84" s="90">
        <f t="shared" si="47"/>
        <v>2789.1839396775404</v>
      </c>
    </row>
    <row r="85" spans="2:54" ht="12.75">
      <c r="B85" s="88" t="s">
        <v>134</v>
      </c>
      <c r="D85" s="88" t="s">
        <v>34</v>
      </c>
      <c r="F85" s="90">
        <f t="shared" si="46"/>
        <v>42.62895616381139</v>
      </c>
      <c r="G85" s="86"/>
      <c r="H85" s="90">
        <f t="shared" si="46"/>
        <v>44.86147087482857</v>
      </c>
      <c r="I85" s="86"/>
      <c r="J85" s="90">
        <f t="shared" si="24"/>
        <v>44.18110733549467</v>
      </c>
      <c r="K85" s="86"/>
      <c r="L85" s="90">
        <f t="shared" si="25"/>
        <v>45.69643912782145</v>
      </c>
      <c r="M85" s="86"/>
      <c r="N85" s="90">
        <f t="shared" si="26"/>
        <v>0</v>
      </c>
      <c r="O85" s="86"/>
      <c r="P85" s="90">
        <f t="shared" si="27"/>
        <v>0</v>
      </c>
      <c r="Q85" s="86"/>
      <c r="R85" s="90">
        <f t="shared" si="28"/>
        <v>0</v>
      </c>
      <c r="S85" s="86"/>
      <c r="T85" s="90">
        <f t="shared" si="29"/>
        <v>0</v>
      </c>
      <c r="U85" s="86"/>
      <c r="V85" s="90">
        <f t="shared" si="30"/>
        <v>1098.515408836678</v>
      </c>
      <c r="W85" s="86"/>
      <c r="X85" s="90">
        <f t="shared" si="31"/>
        <v>1059.4208891209516</v>
      </c>
      <c r="Y85" s="86"/>
      <c r="Z85" s="90">
        <f t="shared" si="32"/>
        <v>1068.8429428471597</v>
      </c>
      <c r="AA85" s="86"/>
      <c r="AB85" s="90">
        <f t="shared" si="33"/>
        <v>1124.8354246848357</v>
      </c>
      <c r="AC85" s="86"/>
      <c r="AD85" s="90">
        <f t="shared" si="34"/>
        <v>1637.9356618325992</v>
      </c>
      <c r="AE85" s="86"/>
      <c r="AF85" s="90">
        <f t="shared" si="35"/>
        <v>1678.8542754310845</v>
      </c>
      <c r="AG85" s="86"/>
      <c r="AH85" s="90">
        <f t="shared" si="36"/>
        <v>1716.2660926480623</v>
      </c>
      <c r="AI85" s="86"/>
      <c r="AJ85" s="90">
        <f t="shared" si="37"/>
        <v>1757.5553510700558</v>
      </c>
      <c r="AK85" s="86"/>
      <c r="AL85" s="90">
        <f t="shared" si="38"/>
        <v>0</v>
      </c>
      <c r="AM85" s="86"/>
      <c r="AN85" s="90">
        <f t="shared" si="39"/>
        <v>0</v>
      </c>
      <c r="AO85" s="86"/>
      <c r="AP85" s="90">
        <f t="shared" si="40"/>
        <v>0</v>
      </c>
      <c r="AQ85" s="86"/>
      <c r="AR85" s="90">
        <f t="shared" si="41"/>
        <v>0</v>
      </c>
      <c r="AT85" s="90">
        <f t="shared" si="42"/>
        <v>2779.0800268330886</v>
      </c>
      <c r="AV85" s="90">
        <f t="shared" si="43"/>
        <v>2783.136635426865</v>
      </c>
      <c r="AX85" s="90">
        <f t="shared" si="44"/>
        <v>2829.290142830717</v>
      </c>
      <c r="AZ85" s="90">
        <f t="shared" si="45"/>
        <v>2928.087214882713</v>
      </c>
      <c r="BB85" s="90">
        <f t="shared" si="47"/>
        <v>2829.898504993346</v>
      </c>
    </row>
    <row r="86" spans="2:54" ht="12.75">
      <c r="B86" s="88" t="s">
        <v>135</v>
      </c>
      <c r="D86" s="88" t="s">
        <v>34</v>
      </c>
      <c r="F86" s="90">
        <f t="shared" si="46"/>
        <v>83.6183370905531</v>
      </c>
      <c r="G86" s="86"/>
      <c r="H86" s="90">
        <f t="shared" si="46"/>
        <v>87.99750056216372</v>
      </c>
      <c r="I86" s="86"/>
      <c r="J86" s="90">
        <f t="shared" si="24"/>
        <v>88.36221467098935</v>
      </c>
      <c r="K86" s="86"/>
      <c r="L86" s="90">
        <f t="shared" si="25"/>
        <v>91.3928782556429</v>
      </c>
      <c r="M86" s="86"/>
      <c r="N86" s="90">
        <f t="shared" si="26"/>
        <v>0</v>
      </c>
      <c r="O86" s="86"/>
      <c r="P86" s="90">
        <f t="shared" si="27"/>
        <v>0</v>
      </c>
      <c r="Q86" s="86"/>
      <c r="R86" s="90">
        <f t="shared" si="28"/>
        <v>0</v>
      </c>
      <c r="S86" s="86"/>
      <c r="T86" s="90">
        <f t="shared" si="29"/>
        <v>0</v>
      </c>
      <c r="U86" s="86"/>
      <c r="V86" s="90">
        <f t="shared" si="30"/>
        <v>786.9961137934409</v>
      </c>
      <c r="W86" s="86"/>
      <c r="X86" s="90">
        <f t="shared" si="31"/>
        <v>757.4686813096056</v>
      </c>
      <c r="Y86" s="86"/>
      <c r="Z86" s="90">
        <f t="shared" si="32"/>
        <v>761.2744648577542</v>
      </c>
      <c r="AA86" s="86"/>
      <c r="AB86" s="90">
        <f t="shared" si="33"/>
        <v>803.2027954390154</v>
      </c>
      <c r="AC86" s="86"/>
      <c r="AD86" s="90">
        <f t="shared" si="34"/>
        <v>4098.9380926741715</v>
      </c>
      <c r="AE86" s="86"/>
      <c r="AF86" s="90">
        <f t="shared" si="35"/>
        <v>4192.822085608977</v>
      </c>
      <c r="AG86" s="86"/>
      <c r="AH86" s="90">
        <f t="shared" si="36"/>
        <v>4265.176131234293</v>
      </c>
      <c r="AI86" s="86"/>
      <c r="AJ86" s="90">
        <f t="shared" si="37"/>
        <v>4393.888377675139</v>
      </c>
      <c r="AK86" s="86"/>
      <c r="AL86" s="90">
        <f t="shared" si="38"/>
        <v>0</v>
      </c>
      <c r="AM86" s="86"/>
      <c r="AN86" s="90">
        <f t="shared" si="39"/>
        <v>0</v>
      </c>
      <c r="AO86" s="86"/>
      <c r="AP86" s="90">
        <f t="shared" si="40"/>
        <v>0</v>
      </c>
      <c r="AQ86" s="86"/>
      <c r="AR86" s="90">
        <f t="shared" si="41"/>
        <v>0</v>
      </c>
      <c r="AT86" s="90">
        <f t="shared" si="42"/>
        <v>4969.552543558165</v>
      </c>
      <c r="AV86" s="90">
        <f t="shared" si="43"/>
        <v>5038.288267480747</v>
      </c>
      <c r="AX86" s="90">
        <f t="shared" si="44"/>
        <v>5114.812810763037</v>
      </c>
      <c r="AZ86" s="90">
        <f t="shared" si="45"/>
        <v>5288.484051369797</v>
      </c>
      <c r="BB86" s="90">
        <f t="shared" si="47"/>
        <v>5102.784418292937</v>
      </c>
    </row>
    <row r="87" spans="2:54" ht="12.75">
      <c r="B87" s="88" t="s">
        <v>35</v>
      </c>
      <c r="D87" s="88" t="s">
        <v>34</v>
      </c>
      <c r="F87" s="90">
        <f>F81+F79</f>
        <v>919.8017079960841</v>
      </c>
      <c r="G87" s="86"/>
      <c r="H87" s="90">
        <f>H81+H79</f>
        <v>967.9725061838009</v>
      </c>
      <c r="I87" s="86"/>
      <c r="J87" s="90">
        <f>J81+J79</f>
        <v>963.4879945855954</v>
      </c>
      <c r="K87" s="86"/>
      <c r="L87" s="90">
        <f>L81+L79</f>
        <v>996.5338840567216</v>
      </c>
      <c r="M87" s="86"/>
      <c r="N87" s="90">
        <f>N81+N79</f>
        <v>0</v>
      </c>
      <c r="O87" s="86"/>
      <c r="P87" s="90">
        <f>P81+P79</f>
        <v>0</v>
      </c>
      <c r="Q87" s="86"/>
      <c r="R87" s="90">
        <f>R81+R79</f>
        <v>0</v>
      </c>
      <c r="S87" s="86"/>
      <c r="T87" s="90">
        <f>T81+T79</f>
        <v>0</v>
      </c>
      <c r="U87" s="86"/>
      <c r="V87" s="90">
        <f>V81+V79</f>
        <v>14362.679076730295</v>
      </c>
      <c r="W87" s="86"/>
      <c r="X87" s="90">
        <f>X81+X79</f>
        <v>26520.03105177365</v>
      </c>
      <c r="Y87" s="86"/>
      <c r="Z87" s="90">
        <f>Z81+Z79</f>
        <v>10569.480293337572</v>
      </c>
      <c r="AA87" s="86"/>
      <c r="AB87" s="90">
        <f>AB81+AB79</f>
        <v>15255.580447288083</v>
      </c>
      <c r="AC87" s="86"/>
      <c r="AD87" s="90">
        <f>AD81+AD79</f>
        <v>48367.46949355522</v>
      </c>
      <c r="AE87" s="86"/>
      <c r="AF87" s="90">
        <f>AF81+AF79</f>
        <v>49623.68855231036</v>
      </c>
      <c r="AG87" s="86"/>
      <c r="AH87" s="90">
        <f>AH81+AH79</f>
        <v>50315.4841616922</v>
      </c>
      <c r="AI87" s="86"/>
      <c r="AJ87" s="90">
        <f>AJ81+AJ79</f>
        <v>51847.88285656664</v>
      </c>
      <c r="AK87" s="86"/>
      <c r="AL87" s="90">
        <f>AL81+AL79</f>
        <v>0</v>
      </c>
      <c r="AM87" s="86"/>
      <c r="AN87" s="90">
        <f>AN81+AN79</f>
        <v>0</v>
      </c>
      <c r="AO87" s="86"/>
      <c r="AP87" s="90">
        <f>AP81+AP79</f>
        <v>0</v>
      </c>
      <c r="AQ87" s="86"/>
      <c r="AR87" s="90">
        <f>AR81+AR79</f>
        <v>0</v>
      </c>
      <c r="AT87" s="90">
        <f t="shared" si="42"/>
        <v>63649.9502782816</v>
      </c>
      <c r="AV87" s="90">
        <f t="shared" si="43"/>
        <v>77111.6921102678</v>
      </c>
      <c r="AX87" s="90">
        <f t="shared" si="44"/>
        <v>61848.45244961536</v>
      </c>
      <c r="AZ87" s="90">
        <f t="shared" si="45"/>
        <v>68099.99718791145</v>
      </c>
      <c r="BB87" s="90">
        <f t="shared" si="47"/>
        <v>67677.52300651904</v>
      </c>
    </row>
    <row r="88" spans="2:54" ht="12.75">
      <c r="B88" s="88" t="s">
        <v>36</v>
      </c>
      <c r="D88" s="88" t="s">
        <v>34</v>
      </c>
      <c r="F88" s="90">
        <f>F76+F78+F80</f>
        <v>544.33897870713</v>
      </c>
      <c r="G88" s="86"/>
      <c r="H88" s="90">
        <f>H76+H78+H80</f>
        <v>572.8464742478109</v>
      </c>
      <c r="I88" s="86"/>
      <c r="J88" s="90">
        <f>J76+J78+J80</f>
        <v>570.9558486433157</v>
      </c>
      <c r="K88" s="86"/>
      <c r="L88" s="90">
        <f>L76+L78+L80</f>
        <v>590.5385979595387</v>
      </c>
      <c r="M88" s="86"/>
      <c r="N88" s="90">
        <f>N76+N78+N80</f>
        <v>0</v>
      </c>
      <c r="O88" s="86"/>
      <c r="P88" s="90">
        <f>P76+P78+P80</f>
        <v>0</v>
      </c>
      <c r="Q88" s="86"/>
      <c r="R88" s="90">
        <f>R76+R78+R80</f>
        <v>0</v>
      </c>
      <c r="S88" s="86"/>
      <c r="T88" s="90">
        <f>T76+T78+T80</f>
        <v>0</v>
      </c>
      <c r="U88" s="86"/>
      <c r="V88" s="90">
        <f>V76+V78+V80</f>
        <v>48865.9003656244</v>
      </c>
      <c r="W88" s="86"/>
      <c r="X88" s="90">
        <f>X76+X78+X80</f>
        <v>90000.73778084357</v>
      </c>
      <c r="Y88" s="86"/>
      <c r="Z88" s="90">
        <f>Z76+Z78+Z80</f>
        <v>53149.872124600086</v>
      </c>
      <c r="AA88" s="86"/>
      <c r="AB88" s="90">
        <f>AB76+AB78+AB80</f>
        <v>37358.5965423451</v>
      </c>
      <c r="AC88" s="86"/>
      <c r="AD88" s="90">
        <f>AD76+AD78+AD80</f>
        <v>43137.224487302985</v>
      </c>
      <c r="AE88" s="86"/>
      <c r="AF88" s="90">
        <f>AF76+AF78+AF80</f>
        <v>44135.060134893836</v>
      </c>
      <c r="AG88" s="86"/>
      <c r="AH88" s="90">
        <f>AH76+AH78+AH80</f>
        <v>44896.50141965787</v>
      </c>
      <c r="AI88" s="86"/>
      <c r="AJ88" s="90">
        <f>AJ76+AJ78+AJ80</f>
        <v>46241.28128665316</v>
      </c>
      <c r="AK88" s="86"/>
      <c r="AL88" s="90">
        <f>AL76+AL78+AL80</f>
        <v>0</v>
      </c>
      <c r="AM88" s="86"/>
      <c r="AN88" s="90">
        <f>AN76+AN78+AN80</f>
        <v>0</v>
      </c>
      <c r="AO88" s="86"/>
      <c r="AP88" s="90">
        <f>AP76+AP78+AP80</f>
        <v>0</v>
      </c>
      <c r="AQ88" s="86"/>
      <c r="AR88" s="90">
        <f>AR76+AR78+AR80</f>
        <v>0</v>
      </c>
      <c r="AT88" s="90">
        <f t="shared" si="42"/>
        <v>92547.46383163452</v>
      </c>
      <c r="AV88" s="90">
        <f t="shared" si="43"/>
        <v>134708.64438998522</v>
      </c>
      <c r="AX88" s="90">
        <f t="shared" si="44"/>
        <v>98617.32939290126</v>
      </c>
      <c r="AZ88" s="90">
        <f t="shared" si="45"/>
        <v>84190.4164269578</v>
      </c>
      <c r="BB88" s="90">
        <f t="shared" si="47"/>
        <v>102515.96351036971</v>
      </c>
    </row>
    <row r="89" spans="6:44" ht="12.75"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</row>
    <row r="90" spans="2:70" ht="12.75">
      <c r="B90" s="13" t="s">
        <v>199</v>
      </c>
      <c r="C90" s="13"/>
      <c r="D90" s="13"/>
      <c r="F90" s="100" t="s">
        <v>181</v>
      </c>
      <c r="G90" s="100"/>
      <c r="H90" s="100" t="s">
        <v>182</v>
      </c>
      <c r="I90" s="100"/>
      <c r="J90" s="100" t="s">
        <v>183</v>
      </c>
      <c r="K90" s="100"/>
      <c r="L90" s="100" t="s">
        <v>201</v>
      </c>
      <c r="M90" s="100"/>
      <c r="N90" s="100" t="s">
        <v>181</v>
      </c>
      <c r="O90" s="100"/>
      <c r="P90" s="100" t="s">
        <v>182</v>
      </c>
      <c r="Q90" s="100"/>
      <c r="R90" s="100" t="s">
        <v>183</v>
      </c>
      <c r="S90" s="100"/>
      <c r="T90" s="100" t="s">
        <v>201</v>
      </c>
      <c r="U90" s="100"/>
      <c r="V90" s="100" t="s">
        <v>181</v>
      </c>
      <c r="W90" s="100"/>
      <c r="X90" s="100" t="s">
        <v>182</v>
      </c>
      <c r="Y90" s="100"/>
      <c r="Z90" s="100" t="s">
        <v>183</v>
      </c>
      <c r="AA90" s="100"/>
      <c r="AB90" s="100" t="s">
        <v>201</v>
      </c>
      <c r="AC90" s="100"/>
      <c r="AD90" s="100" t="s">
        <v>181</v>
      </c>
      <c r="AE90" s="100"/>
      <c r="AF90" s="100" t="s">
        <v>182</v>
      </c>
      <c r="AG90" s="100"/>
      <c r="AH90" s="100" t="s">
        <v>183</v>
      </c>
      <c r="AI90" s="100"/>
      <c r="AJ90" s="100" t="s">
        <v>201</v>
      </c>
      <c r="AK90" s="100"/>
      <c r="AL90" s="100" t="s">
        <v>181</v>
      </c>
      <c r="AM90" s="100"/>
      <c r="AN90" s="100" t="s">
        <v>182</v>
      </c>
      <c r="AO90" s="100"/>
      <c r="AP90" s="100" t="s">
        <v>183</v>
      </c>
      <c r="AQ90" s="100"/>
      <c r="AR90" s="100" t="s">
        <v>201</v>
      </c>
      <c r="AS90" s="100"/>
      <c r="AT90" s="100" t="s">
        <v>181</v>
      </c>
      <c r="AU90" s="100"/>
      <c r="AV90" s="100" t="s">
        <v>182</v>
      </c>
      <c r="AW90" s="100"/>
      <c r="AX90" s="100" t="s">
        <v>183</v>
      </c>
      <c r="AY90" s="100"/>
      <c r="AZ90" s="100" t="s">
        <v>201</v>
      </c>
      <c r="BA90" s="100"/>
      <c r="BB90" s="100" t="s">
        <v>180</v>
      </c>
      <c r="BD90" s="100" t="s">
        <v>181</v>
      </c>
      <c r="BE90" s="100"/>
      <c r="BF90" s="100" t="s">
        <v>182</v>
      </c>
      <c r="BG90" s="100"/>
      <c r="BH90" s="100" t="s">
        <v>183</v>
      </c>
      <c r="BI90" s="100"/>
      <c r="BJ90" s="100" t="s">
        <v>201</v>
      </c>
      <c r="BL90" s="100" t="s">
        <v>181</v>
      </c>
      <c r="BM90" s="100"/>
      <c r="BN90" s="100" t="s">
        <v>182</v>
      </c>
      <c r="BO90" s="100"/>
      <c r="BP90" s="100" t="s">
        <v>183</v>
      </c>
      <c r="BQ90" s="100"/>
      <c r="BR90" s="100" t="s">
        <v>201</v>
      </c>
    </row>
    <row r="91" spans="2:54" ht="12.75">
      <c r="B91" s="13"/>
      <c r="C91" s="13"/>
      <c r="D91" s="13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</row>
    <row r="92" spans="2:54" ht="12.75">
      <c r="B92" s="8" t="s">
        <v>240</v>
      </c>
      <c r="C92" s="8"/>
      <c r="D92" s="13"/>
      <c r="E92" s="13"/>
      <c r="F92" s="100" t="s">
        <v>270</v>
      </c>
      <c r="G92" s="100"/>
      <c r="H92" s="100" t="s">
        <v>270</v>
      </c>
      <c r="I92" s="100"/>
      <c r="J92" s="100" t="s">
        <v>270</v>
      </c>
      <c r="K92" s="100"/>
      <c r="L92" s="100" t="s">
        <v>270</v>
      </c>
      <c r="M92" s="100"/>
      <c r="N92" s="100" t="s">
        <v>272</v>
      </c>
      <c r="O92" s="100"/>
      <c r="P92" s="100" t="s">
        <v>272</v>
      </c>
      <c r="Q92" s="100"/>
      <c r="R92" s="100" t="s">
        <v>272</v>
      </c>
      <c r="S92" s="100"/>
      <c r="T92" s="100" t="s">
        <v>272</v>
      </c>
      <c r="U92" s="100"/>
      <c r="V92" s="100" t="s">
        <v>274</v>
      </c>
      <c r="W92" s="100"/>
      <c r="X92" s="100" t="s">
        <v>274</v>
      </c>
      <c r="Y92" s="100"/>
      <c r="Z92" s="100" t="s">
        <v>274</v>
      </c>
      <c r="AA92" s="100"/>
      <c r="AB92" s="100" t="s">
        <v>274</v>
      </c>
      <c r="AC92" s="100"/>
      <c r="AD92" s="100" t="s">
        <v>275</v>
      </c>
      <c r="AE92" s="100"/>
      <c r="AF92" s="100" t="s">
        <v>275</v>
      </c>
      <c r="AG92" s="100"/>
      <c r="AH92" s="100" t="s">
        <v>275</v>
      </c>
      <c r="AI92" s="100"/>
      <c r="AJ92" s="100" t="s">
        <v>275</v>
      </c>
      <c r="AK92" s="100"/>
      <c r="AL92" s="100" t="s">
        <v>276</v>
      </c>
      <c r="AM92" s="100"/>
      <c r="AN92" s="100" t="s">
        <v>276</v>
      </c>
      <c r="AO92" s="100"/>
      <c r="AP92" s="100" t="s">
        <v>276</v>
      </c>
      <c r="AQ92" s="100"/>
      <c r="AR92" s="100" t="s">
        <v>276</v>
      </c>
      <c r="AS92" s="100"/>
      <c r="AT92" s="100" t="s">
        <v>277</v>
      </c>
      <c r="AU92" s="100"/>
      <c r="AV92" s="100" t="s">
        <v>277</v>
      </c>
      <c r="AW92" s="100"/>
      <c r="AX92" s="100" t="s">
        <v>277</v>
      </c>
      <c r="AY92" s="100"/>
      <c r="AZ92" s="100" t="s">
        <v>277</v>
      </c>
      <c r="BA92" s="100"/>
      <c r="BB92" s="100" t="s">
        <v>277</v>
      </c>
    </row>
    <row r="93" spans="2:54" ht="12.75">
      <c r="B93" s="8" t="s">
        <v>241</v>
      </c>
      <c r="C93" s="8"/>
      <c r="F93" s="88" t="s">
        <v>269</v>
      </c>
      <c r="H93" s="88" t="s">
        <v>269</v>
      </c>
      <c r="J93" s="88" t="s">
        <v>269</v>
      </c>
      <c r="L93" s="88" t="s">
        <v>269</v>
      </c>
      <c r="N93" s="88" t="s">
        <v>271</v>
      </c>
      <c r="P93" s="88" t="s">
        <v>271</v>
      </c>
      <c r="R93" s="88" t="s">
        <v>271</v>
      </c>
      <c r="T93" s="88" t="s">
        <v>271</v>
      </c>
      <c r="V93" s="88" t="s">
        <v>273</v>
      </c>
      <c r="X93" s="88" t="s">
        <v>273</v>
      </c>
      <c r="Z93" s="88" t="s">
        <v>273</v>
      </c>
      <c r="AB93" s="88" t="s">
        <v>273</v>
      </c>
      <c r="AD93" s="88" t="s">
        <v>33</v>
      </c>
      <c r="AF93" s="88" t="s">
        <v>33</v>
      </c>
      <c r="AH93" s="88" t="s">
        <v>33</v>
      </c>
      <c r="AJ93" s="88" t="s">
        <v>33</v>
      </c>
      <c r="AL93" s="88" t="s">
        <v>33</v>
      </c>
      <c r="AN93" s="88" t="s">
        <v>33</v>
      </c>
      <c r="AP93" s="88" t="s">
        <v>33</v>
      </c>
      <c r="AR93" s="88" t="s">
        <v>33</v>
      </c>
      <c r="AT93" s="88" t="s">
        <v>66</v>
      </c>
      <c r="AV93" s="88" t="s">
        <v>66</v>
      </c>
      <c r="AX93" s="88" t="s">
        <v>66</v>
      </c>
      <c r="AZ93" s="88" t="s">
        <v>66</v>
      </c>
      <c r="BB93" s="88" t="s">
        <v>66</v>
      </c>
    </row>
    <row r="94" spans="2:70" ht="12.75">
      <c r="B94" s="8" t="s">
        <v>278</v>
      </c>
      <c r="C94" s="8"/>
      <c r="V94" s="100" t="s">
        <v>279</v>
      </c>
      <c r="X94" s="100" t="s">
        <v>279</v>
      </c>
      <c r="Z94" s="100" t="s">
        <v>279</v>
      </c>
      <c r="AB94" s="100" t="s">
        <v>279</v>
      </c>
      <c r="AT94" s="88" t="s">
        <v>66</v>
      </c>
      <c r="AV94" s="88" t="s">
        <v>66</v>
      </c>
      <c r="AX94" s="88" t="s">
        <v>66</v>
      </c>
      <c r="AZ94" s="88" t="s">
        <v>66</v>
      </c>
      <c r="BB94" s="88" t="s">
        <v>66</v>
      </c>
      <c r="BD94" s="88" t="s">
        <v>40</v>
      </c>
      <c r="BF94" s="88" t="s">
        <v>40</v>
      </c>
      <c r="BH94" s="88" t="s">
        <v>40</v>
      </c>
      <c r="BJ94" s="88" t="s">
        <v>40</v>
      </c>
      <c r="BL94" s="88" t="s">
        <v>33</v>
      </c>
      <c r="BN94" s="88" t="s">
        <v>33</v>
      </c>
      <c r="BP94" s="88" t="s">
        <v>33</v>
      </c>
      <c r="BR94" s="88" t="s">
        <v>33</v>
      </c>
    </row>
    <row r="95" spans="2:54" ht="12.75">
      <c r="B95" s="8" t="s">
        <v>20</v>
      </c>
      <c r="C95" s="8"/>
      <c r="F95" s="88" t="s">
        <v>206</v>
      </c>
      <c r="H95" s="88" t="s">
        <v>206</v>
      </c>
      <c r="J95" s="88" t="s">
        <v>206</v>
      </c>
      <c r="L95" s="88" t="s">
        <v>206</v>
      </c>
      <c r="N95" s="88" t="s">
        <v>207</v>
      </c>
      <c r="P95" s="88" t="s">
        <v>207</v>
      </c>
      <c r="R95" s="88" t="s">
        <v>207</v>
      </c>
      <c r="T95" s="88" t="s">
        <v>207</v>
      </c>
      <c r="V95" s="88" t="s">
        <v>208</v>
      </c>
      <c r="X95" s="88" t="s">
        <v>208</v>
      </c>
      <c r="Z95" s="88" t="s">
        <v>208</v>
      </c>
      <c r="AB95" s="88" t="s">
        <v>208</v>
      </c>
      <c r="AD95" s="88" t="s">
        <v>209</v>
      </c>
      <c r="AF95" s="88" t="s">
        <v>209</v>
      </c>
      <c r="AH95" s="88" t="s">
        <v>209</v>
      </c>
      <c r="AJ95" s="88" t="s">
        <v>209</v>
      </c>
      <c r="AL95" s="88" t="s">
        <v>210</v>
      </c>
      <c r="AN95" s="88" t="s">
        <v>210</v>
      </c>
      <c r="AP95" s="88" t="s">
        <v>210</v>
      </c>
      <c r="AR95" s="88" t="s">
        <v>210</v>
      </c>
      <c r="AT95" s="88" t="s">
        <v>66</v>
      </c>
      <c r="AV95" s="88" t="s">
        <v>66</v>
      </c>
      <c r="AX95" s="88" t="s">
        <v>66</v>
      </c>
      <c r="AZ95" s="88" t="s">
        <v>66</v>
      </c>
      <c r="BB95" s="88" t="s">
        <v>66</v>
      </c>
    </row>
    <row r="96" spans="1:44" ht="12.75">
      <c r="A96" s="88" t="s">
        <v>199</v>
      </c>
      <c r="B96" s="88" t="s">
        <v>65</v>
      </c>
      <c r="D96" s="88" t="s">
        <v>28</v>
      </c>
      <c r="F96" s="86">
        <v>5306</v>
      </c>
      <c r="G96" s="86"/>
      <c r="H96" s="86">
        <v>5306</v>
      </c>
      <c r="I96" s="86"/>
      <c r="J96" s="86">
        <v>5358</v>
      </c>
      <c r="K96" s="86"/>
      <c r="L96" s="86">
        <v>5358</v>
      </c>
      <c r="M96" s="86"/>
      <c r="N96" s="86">
        <v>1142</v>
      </c>
      <c r="O96" s="86"/>
      <c r="P96" s="86">
        <v>1037</v>
      </c>
      <c r="Q96" s="86"/>
      <c r="R96" s="86">
        <v>978</v>
      </c>
      <c r="S96" s="86"/>
      <c r="T96" s="86">
        <v>1038</v>
      </c>
      <c r="U96" s="86"/>
      <c r="V96" s="86">
        <v>50000</v>
      </c>
      <c r="W96" s="86"/>
      <c r="X96" s="86">
        <v>54000</v>
      </c>
      <c r="Y96" s="86"/>
      <c r="Z96" s="86">
        <v>52000</v>
      </c>
      <c r="AA96" s="86"/>
      <c r="AB96" s="86">
        <v>52000</v>
      </c>
      <c r="AC96" s="86"/>
      <c r="AD96" s="86">
        <v>98.8571</v>
      </c>
      <c r="AE96" s="86"/>
      <c r="AF96" s="86">
        <v>99.6571</v>
      </c>
      <c r="AG96" s="86"/>
      <c r="AH96" s="86">
        <v>99.7565</v>
      </c>
      <c r="AI96" s="86"/>
      <c r="AJ96" s="86">
        <v>100.6909</v>
      </c>
      <c r="AK96" s="86"/>
      <c r="AL96" s="86">
        <v>189.94</v>
      </c>
      <c r="AM96" s="86"/>
      <c r="AN96" s="86">
        <v>167.71</v>
      </c>
      <c r="AO96" s="86"/>
      <c r="AP96" s="86">
        <v>152.87</v>
      </c>
      <c r="AQ96" s="86"/>
      <c r="AR96" s="86">
        <v>152.34</v>
      </c>
    </row>
    <row r="97" spans="1:44" ht="12.75">
      <c r="A97" s="88" t="s">
        <v>199</v>
      </c>
      <c r="B97" s="88" t="s">
        <v>21</v>
      </c>
      <c r="D97" s="88" t="s">
        <v>22</v>
      </c>
      <c r="F97" s="86">
        <v>8200</v>
      </c>
      <c r="G97" s="86"/>
      <c r="H97" s="86">
        <v>8200</v>
      </c>
      <c r="I97" s="86"/>
      <c r="J97" s="86">
        <v>8600</v>
      </c>
      <c r="K97" s="86"/>
      <c r="L97" s="86">
        <v>8600</v>
      </c>
      <c r="M97" s="86"/>
      <c r="N97" s="86">
        <v>0</v>
      </c>
      <c r="O97" s="86"/>
      <c r="P97" s="86">
        <v>0</v>
      </c>
      <c r="Q97" s="86"/>
      <c r="R97" s="86">
        <v>0</v>
      </c>
      <c r="S97" s="86"/>
      <c r="T97" s="86">
        <v>0</v>
      </c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</row>
    <row r="98" spans="2:62" ht="12.75">
      <c r="B98" s="4" t="s">
        <v>283</v>
      </c>
      <c r="D98" s="88" t="s">
        <v>32</v>
      </c>
      <c r="F98" s="87">
        <f>F96*F97/1000000</f>
        <v>43.5092</v>
      </c>
      <c r="G98" s="86"/>
      <c r="H98" s="87">
        <f>H96*H97/1000000</f>
        <v>43.5092</v>
      </c>
      <c r="I98" s="86"/>
      <c r="J98" s="87">
        <f>J96*J97/1000000</f>
        <v>46.0788</v>
      </c>
      <c r="K98" s="86"/>
      <c r="L98" s="87">
        <f>L96*L97/1000000</f>
        <v>46.0788</v>
      </c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T98" s="87">
        <f>F98</f>
        <v>43.5092</v>
      </c>
      <c r="AV98" s="87">
        <f>H98</f>
        <v>43.5092</v>
      </c>
      <c r="AX98" s="87">
        <f>J98</f>
        <v>46.0788</v>
      </c>
      <c r="AZ98" s="87">
        <f>L98</f>
        <v>46.0788</v>
      </c>
      <c r="BB98" s="87">
        <f>AVERAGE(AT98,AV98,AX98,AZ98)</f>
        <v>44.794</v>
      </c>
      <c r="BD98" s="87">
        <f>F98</f>
        <v>43.5092</v>
      </c>
      <c r="BF98" s="87">
        <f>H98</f>
        <v>43.5092</v>
      </c>
      <c r="BH98" s="87">
        <f>J98</f>
        <v>46.0788</v>
      </c>
      <c r="BJ98" s="87">
        <f>L98</f>
        <v>46.0788</v>
      </c>
    </row>
    <row r="99" spans="1:44" ht="12.75">
      <c r="A99" s="88" t="s">
        <v>199</v>
      </c>
      <c r="B99" s="88" t="s">
        <v>24</v>
      </c>
      <c r="D99" s="88" t="s">
        <v>28</v>
      </c>
      <c r="F99" s="86">
        <v>211</v>
      </c>
      <c r="G99" s="86"/>
      <c r="H99" s="86">
        <v>175</v>
      </c>
      <c r="I99" s="86"/>
      <c r="J99" s="86">
        <v>134</v>
      </c>
      <c r="K99" s="86"/>
      <c r="L99" s="86">
        <v>175</v>
      </c>
      <c r="M99" s="86"/>
      <c r="N99" s="86">
        <v>159</v>
      </c>
      <c r="O99" s="86"/>
      <c r="P99" s="86">
        <v>163</v>
      </c>
      <c r="Q99" s="86"/>
      <c r="R99" s="86">
        <v>183</v>
      </c>
      <c r="S99" s="86"/>
      <c r="T99" s="86">
        <v>195</v>
      </c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>
        <v>136</v>
      </c>
      <c r="AM99" s="86"/>
      <c r="AN99" s="86">
        <v>120</v>
      </c>
      <c r="AO99" s="86"/>
      <c r="AP99" s="86">
        <v>109</v>
      </c>
      <c r="AQ99" s="86"/>
      <c r="AR99" s="86">
        <v>109</v>
      </c>
    </row>
    <row r="100" spans="1:44" ht="12.75">
      <c r="A100" s="88" t="s">
        <v>199</v>
      </c>
      <c r="B100" s="88" t="s">
        <v>124</v>
      </c>
      <c r="D100" s="88" t="s">
        <v>28</v>
      </c>
      <c r="F100" s="86">
        <v>0.0309</v>
      </c>
      <c r="G100" s="86"/>
      <c r="H100" s="86">
        <v>0.0309</v>
      </c>
      <c r="I100" s="86"/>
      <c r="J100" s="86">
        <v>0.0309</v>
      </c>
      <c r="K100" s="86"/>
      <c r="L100" s="86">
        <v>0.0309</v>
      </c>
      <c r="M100" s="86"/>
      <c r="N100" s="86">
        <v>0.0068</v>
      </c>
      <c r="O100" s="86"/>
      <c r="P100" s="86">
        <v>0.0059</v>
      </c>
      <c r="Q100" s="86"/>
      <c r="R100" s="86">
        <v>0.0061</v>
      </c>
      <c r="S100" s="86"/>
      <c r="T100" s="86">
        <v>0.0347</v>
      </c>
      <c r="U100" s="86"/>
      <c r="V100" s="86">
        <v>0.0925</v>
      </c>
      <c r="W100" s="86"/>
      <c r="X100" s="86">
        <v>0.0527</v>
      </c>
      <c r="Y100" s="86"/>
      <c r="Z100" s="86">
        <v>0.053</v>
      </c>
      <c r="AA100" s="86"/>
      <c r="AB100" s="86">
        <v>0.0471</v>
      </c>
      <c r="AC100" s="86"/>
      <c r="AD100" s="86">
        <v>0.237</v>
      </c>
      <c r="AE100" s="86"/>
      <c r="AF100" s="86">
        <v>0.239</v>
      </c>
      <c r="AG100" s="86"/>
      <c r="AH100" s="86">
        <v>0.239</v>
      </c>
      <c r="AI100" s="86"/>
      <c r="AJ100" s="86">
        <v>0.242</v>
      </c>
      <c r="AK100" s="86"/>
      <c r="AL100" s="86"/>
      <c r="AM100" s="86"/>
      <c r="AN100" s="86"/>
      <c r="AO100" s="86"/>
      <c r="AP100" s="86"/>
      <c r="AQ100" s="86"/>
      <c r="AR100" s="86"/>
    </row>
    <row r="101" spans="1:44" ht="12.75">
      <c r="A101" s="88" t="s">
        <v>199</v>
      </c>
      <c r="B101" s="88" t="s">
        <v>123</v>
      </c>
      <c r="D101" s="88" t="s">
        <v>28</v>
      </c>
      <c r="F101" s="86">
        <v>0.0031</v>
      </c>
      <c r="G101" s="86"/>
      <c r="H101" s="86">
        <v>0.0052</v>
      </c>
      <c r="I101" s="86"/>
      <c r="J101" s="86">
        <v>0.0052</v>
      </c>
      <c r="K101" s="86"/>
      <c r="L101" s="86">
        <v>0.0052</v>
      </c>
      <c r="M101" s="86"/>
      <c r="N101" s="86">
        <v>0.0011</v>
      </c>
      <c r="O101" s="86"/>
      <c r="P101" s="86">
        <v>0.0013</v>
      </c>
      <c r="Q101" s="86"/>
      <c r="R101" s="86">
        <v>0.0027</v>
      </c>
      <c r="S101" s="86"/>
      <c r="T101" s="86">
        <v>0.002</v>
      </c>
      <c r="U101" s="86"/>
      <c r="V101" s="86">
        <v>0.66</v>
      </c>
      <c r="W101" s="86"/>
      <c r="X101" s="86">
        <v>0.166</v>
      </c>
      <c r="Y101" s="86"/>
      <c r="Z101" s="86">
        <v>0.499</v>
      </c>
      <c r="AA101" s="86"/>
      <c r="AB101" s="86">
        <v>0.374</v>
      </c>
      <c r="AC101" s="86"/>
      <c r="AD101" s="86">
        <v>0.119</v>
      </c>
      <c r="AE101" s="86"/>
      <c r="AF101" s="86">
        <v>0.12</v>
      </c>
      <c r="AG101" s="86"/>
      <c r="AH101" s="86">
        <v>0.12</v>
      </c>
      <c r="AI101" s="86"/>
      <c r="AJ101" s="86">
        <v>0.121</v>
      </c>
      <c r="AK101" s="86"/>
      <c r="AL101" s="86"/>
      <c r="AM101" s="86"/>
      <c r="AN101" s="86"/>
      <c r="AO101" s="86"/>
      <c r="AP101" s="86"/>
      <c r="AQ101" s="86"/>
      <c r="AR101" s="86"/>
    </row>
    <row r="102" spans="1:44" ht="12.75">
      <c r="A102" s="88" t="s">
        <v>199</v>
      </c>
      <c r="B102" s="88" t="s">
        <v>125</v>
      </c>
      <c r="D102" s="88" t="s">
        <v>28</v>
      </c>
      <c r="F102" s="86">
        <v>0.0422</v>
      </c>
      <c r="G102" s="86"/>
      <c r="H102" s="86">
        <v>0.0113</v>
      </c>
      <c r="I102" s="86"/>
      <c r="J102" s="86">
        <v>0.0057</v>
      </c>
      <c r="K102" s="86"/>
      <c r="L102" s="86">
        <v>0.0072</v>
      </c>
      <c r="M102" s="86"/>
      <c r="N102" s="86">
        <v>0.0148</v>
      </c>
      <c r="O102" s="86"/>
      <c r="P102" s="86">
        <v>0.0752</v>
      </c>
      <c r="Q102" s="86"/>
      <c r="R102" s="86">
        <v>0.0804</v>
      </c>
      <c r="S102" s="86"/>
      <c r="T102" s="86">
        <v>1.52</v>
      </c>
      <c r="U102" s="86"/>
      <c r="V102" s="86">
        <v>7.95</v>
      </c>
      <c r="W102" s="86"/>
      <c r="X102" s="86">
        <v>4.33</v>
      </c>
      <c r="Y102" s="86"/>
      <c r="Z102" s="86">
        <v>6.29</v>
      </c>
      <c r="AA102" s="86"/>
      <c r="AB102" s="86">
        <v>6.71</v>
      </c>
      <c r="AC102" s="86"/>
      <c r="AD102" s="86">
        <v>0.712</v>
      </c>
      <c r="AE102" s="86"/>
      <c r="AF102" s="86">
        <v>0.718</v>
      </c>
      <c r="AG102" s="86"/>
      <c r="AH102" s="86">
        <v>0.718</v>
      </c>
      <c r="AI102" s="86"/>
      <c r="AJ102" s="86">
        <v>0.725</v>
      </c>
      <c r="AK102" s="86"/>
      <c r="AL102" s="86"/>
      <c r="AM102" s="86"/>
      <c r="AN102" s="86"/>
      <c r="AO102" s="86"/>
      <c r="AP102" s="86"/>
      <c r="AQ102" s="86"/>
      <c r="AR102" s="86"/>
    </row>
    <row r="103" spans="1:44" ht="12.75">
      <c r="A103" s="88" t="s">
        <v>199</v>
      </c>
      <c r="B103" s="88" t="s">
        <v>126</v>
      </c>
      <c r="D103" s="88" t="s">
        <v>28</v>
      </c>
      <c r="F103" s="86">
        <v>0.0026</v>
      </c>
      <c r="G103" s="86"/>
      <c r="H103" s="86">
        <v>0.0026</v>
      </c>
      <c r="I103" s="86"/>
      <c r="J103" s="86">
        <v>0.0026</v>
      </c>
      <c r="K103" s="86"/>
      <c r="L103" s="86">
        <v>0.0026</v>
      </c>
      <c r="M103" s="86"/>
      <c r="N103" s="86">
        <v>0.0006</v>
      </c>
      <c r="O103" s="86"/>
      <c r="P103" s="86">
        <v>0.0005</v>
      </c>
      <c r="Q103" s="86"/>
      <c r="R103" s="86">
        <v>0.0005</v>
      </c>
      <c r="S103" s="86"/>
      <c r="T103" s="86">
        <v>0.0005</v>
      </c>
      <c r="U103" s="86"/>
      <c r="V103" s="86">
        <v>0.0393</v>
      </c>
      <c r="W103" s="86"/>
      <c r="X103" s="86">
        <v>0.0421</v>
      </c>
      <c r="Y103" s="86"/>
      <c r="Z103" s="86">
        <v>0.0408</v>
      </c>
      <c r="AA103" s="86"/>
      <c r="AB103" s="86">
        <v>0.0377</v>
      </c>
      <c r="AC103" s="86"/>
      <c r="AD103" s="86">
        <v>0.0057</v>
      </c>
      <c r="AE103" s="86"/>
      <c r="AF103" s="86">
        <v>0.0058</v>
      </c>
      <c r="AG103" s="86"/>
      <c r="AH103" s="86">
        <v>0.0058</v>
      </c>
      <c r="AI103" s="86"/>
      <c r="AJ103" s="86">
        <v>0.0058</v>
      </c>
      <c r="AK103" s="86"/>
      <c r="AL103" s="86"/>
      <c r="AM103" s="86"/>
      <c r="AN103" s="86"/>
      <c r="AO103" s="86"/>
      <c r="AP103" s="86"/>
      <c r="AQ103" s="86"/>
      <c r="AR103" s="86"/>
    </row>
    <row r="104" spans="1:44" ht="12.75">
      <c r="A104" s="88" t="s">
        <v>199</v>
      </c>
      <c r="B104" s="88" t="s">
        <v>127</v>
      </c>
      <c r="D104" s="88" t="s">
        <v>28</v>
      </c>
      <c r="F104" s="86">
        <v>0.0052</v>
      </c>
      <c r="G104" s="86"/>
      <c r="H104" s="86">
        <v>0.0052</v>
      </c>
      <c r="I104" s="86"/>
      <c r="J104" s="86">
        <v>0.0052</v>
      </c>
      <c r="K104" s="86"/>
      <c r="L104" s="86">
        <v>0.0052</v>
      </c>
      <c r="M104" s="86"/>
      <c r="N104" s="86">
        <v>0.0011</v>
      </c>
      <c r="O104" s="86"/>
      <c r="P104" s="86">
        <v>0.0032</v>
      </c>
      <c r="Q104" s="86"/>
      <c r="R104" s="86">
        <v>0.0034</v>
      </c>
      <c r="S104" s="86"/>
      <c r="T104" s="86">
        <v>0.0521</v>
      </c>
      <c r="U104" s="86"/>
      <c r="V104" s="86">
        <v>0.155</v>
      </c>
      <c r="W104" s="86"/>
      <c r="X104" s="86">
        <v>0.131</v>
      </c>
      <c r="Y104" s="86"/>
      <c r="Z104" s="86">
        <v>0.202</v>
      </c>
      <c r="AA104" s="86"/>
      <c r="AB104" s="86">
        <v>0.156</v>
      </c>
      <c r="AC104" s="86"/>
      <c r="AD104" s="86">
        <v>0.142</v>
      </c>
      <c r="AE104" s="86"/>
      <c r="AF104" s="86">
        <v>0.144</v>
      </c>
      <c r="AG104" s="86"/>
      <c r="AH104" s="86">
        <v>0.144</v>
      </c>
      <c r="AI104" s="86"/>
      <c r="AJ104" s="86">
        <v>0.145</v>
      </c>
      <c r="AK104" s="86"/>
      <c r="AL104" s="86"/>
      <c r="AM104" s="86"/>
      <c r="AN104" s="86"/>
      <c r="AO104" s="86"/>
      <c r="AP104" s="86"/>
      <c r="AQ104" s="86"/>
      <c r="AR104" s="86"/>
    </row>
    <row r="105" spans="1:44" ht="12.75">
      <c r="A105" s="88" t="s">
        <v>199</v>
      </c>
      <c r="B105" s="88" t="s">
        <v>128</v>
      </c>
      <c r="D105" s="88" t="s">
        <v>28</v>
      </c>
      <c r="F105" s="86">
        <v>0.0263</v>
      </c>
      <c r="G105" s="86"/>
      <c r="H105" s="86">
        <v>0.0258</v>
      </c>
      <c r="I105" s="86"/>
      <c r="J105" s="86">
        <v>0.0258</v>
      </c>
      <c r="K105" s="86"/>
      <c r="L105" s="86">
        <v>0.0258</v>
      </c>
      <c r="M105" s="86"/>
      <c r="N105" s="86">
        <v>0.0057</v>
      </c>
      <c r="O105" s="86"/>
      <c r="P105" s="86">
        <v>0.0336</v>
      </c>
      <c r="Q105" s="86"/>
      <c r="R105" s="86">
        <v>0.0468</v>
      </c>
      <c r="S105" s="86"/>
      <c r="T105" s="86">
        <v>0.575</v>
      </c>
      <c r="U105" s="86"/>
      <c r="V105" s="86">
        <v>2.47</v>
      </c>
      <c r="W105" s="86"/>
      <c r="X105" s="86">
        <v>2.28</v>
      </c>
      <c r="Y105" s="86"/>
      <c r="Z105" s="86">
        <v>3.1</v>
      </c>
      <c r="AA105" s="86"/>
      <c r="AB105" s="86">
        <v>2.97</v>
      </c>
      <c r="AC105" s="86"/>
      <c r="AD105" s="86">
        <v>2.37</v>
      </c>
      <c r="AE105" s="86"/>
      <c r="AF105" s="86">
        <v>2.39</v>
      </c>
      <c r="AG105" s="86"/>
      <c r="AH105" s="86">
        <v>2.39</v>
      </c>
      <c r="AI105" s="86"/>
      <c r="AJ105" s="86">
        <v>2.42</v>
      </c>
      <c r="AK105" s="86"/>
      <c r="AL105" s="86"/>
      <c r="AM105" s="86"/>
      <c r="AN105" s="86"/>
      <c r="AO105" s="86"/>
      <c r="AP105" s="86"/>
      <c r="AQ105" s="86"/>
      <c r="AR105" s="86"/>
    </row>
    <row r="106" spans="1:44" ht="12.75">
      <c r="A106" s="88" t="s">
        <v>199</v>
      </c>
      <c r="B106" s="88" t="s">
        <v>130</v>
      </c>
      <c r="D106" s="88" t="s">
        <v>28</v>
      </c>
      <c r="F106" s="86">
        <v>0.206</v>
      </c>
      <c r="G106" s="86"/>
      <c r="H106" s="86">
        <v>0.0515</v>
      </c>
      <c r="I106" s="86"/>
      <c r="J106" s="86">
        <v>0.0515</v>
      </c>
      <c r="K106" s="86"/>
      <c r="L106" s="86">
        <v>0.0515</v>
      </c>
      <c r="M106" s="86"/>
      <c r="N106" s="86">
        <v>0.0295</v>
      </c>
      <c r="O106" s="86"/>
      <c r="P106" s="86">
        <v>0.093</v>
      </c>
      <c r="Q106" s="86"/>
      <c r="R106" s="86">
        <v>0.102</v>
      </c>
      <c r="S106" s="86"/>
      <c r="T106" s="86">
        <v>1.85</v>
      </c>
      <c r="U106" s="86"/>
      <c r="V106" s="86">
        <v>1.65</v>
      </c>
      <c r="W106" s="86"/>
      <c r="X106" s="86">
        <v>0.291</v>
      </c>
      <c r="Y106" s="86"/>
      <c r="Z106" s="86">
        <v>1.01</v>
      </c>
      <c r="AA106" s="86"/>
      <c r="AB106" s="86">
        <v>0.822</v>
      </c>
      <c r="AC106" s="86"/>
      <c r="AD106" s="86">
        <v>2.66</v>
      </c>
      <c r="AE106" s="86"/>
      <c r="AF106" s="86">
        <v>2.68</v>
      </c>
      <c r="AG106" s="86"/>
      <c r="AH106" s="86">
        <v>2.68</v>
      </c>
      <c r="AI106" s="86"/>
      <c r="AJ106" s="86">
        <v>2.71</v>
      </c>
      <c r="AK106" s="86"/>
      <c r="AL106" s="86"/>
      <c r="AM106" s="86"/>
      <c r="AN106" s="86"/>
      <c r="AO106" s="86"/>
      <c r="AP106" s="86"/>
      <c r="AQ106" s="86"/>
      <c r="AR106" s="86"/>
    </row>
    <row r="107" spans="1:44" ht="12.75">
      <c r="A107" s="88" t="s">
        <v>199</v>
      </c>
      <c r="B107" s="88" t="s">
        <v>131</v>
      </c>
      <c r="D107" s="88" t="s">
        <v>28</v>
      </c>
      <c r="F107" s="86">
        <v>0.001</v>
      </c>
      <c r="G107" s="86"/>
      <c r="H107" s="86">
        <v>0.001</v>
      </c>
      <c r="I107" s="86"/>
      <c r="J107" s="86">
        <v>0.001</v>
      </c>
      <c r="K107" s="86"/>
      <c r="L107" s="86">
        <v>0.001</v>
      </c>
      <c r="M107" s="86"/>
      <c r="N107" s="86">
        <v>0.0002</v>
      </c>
      <c r="O107" s="86"/>
      <c r="P107" s="86">
        <v>0.0004</v>
      </c>
      <c r="Q107" s="86"/>
      <c r="R107" s="86">
        <v>0.0006</v>
      </c>
      <c r="S107" s="86"/>
      <c r="T107" s="86">
        <v>0.0002</v>
      </c>
      <c r="U107" s="86"/>
      <c r="V107" s="86">
        <v>0.0046</v>
      </c>
      <c r="W107" s="86"/>
      <c r="X107" s="86">
        <v>0.0042</v>
      </c>
      <c r="Y107" s="86"/>
      <c r="Z107" s="86">
        <v>0.0041</v>
      </c>
      <c r="AA107" s="86"/>
      <c r="AB107" s="86">
        <v>0.0051</v>
      </c>
      <c r="AC107" s="86"/>
      <c r="AD107" s="86">
        <v>0.119</v>
      </c>
      <c r="AE107" s="86"/>
      <c r="AF107" s="86">
        <v>0.12</v>
      </c>
      <c r="AG107" s="86"/>
      <c r="AH107" s="86">
        <v>0.12</v>
      </c>
      <c r="AI107" s="86"/>
      <c r="AJ107" s="86">
        <v>0.121</v>
      </c>
      <c r="AK107" s="86"/>
      <c r="AL107" s="86"/>
      <c r="AM107" s="86"/>
      <c r="AN107" s="86"/>
      <c r="AO107" s="86"/>
      <c r="AP107" s="86"/>
      <c r="AQ107" s="86"/>
      <c r="AR107" s="86"/>
    </row>
    <row r="108" spans="1:44" ht="12.75">
      <c r="A108" s="88" t="s">
        <v>199</v>
      </c>
      <c r="B108" s="88" t="s">
        <v>132</v>
      </c>
      <c r="D108" s="88" t="s">
        <v>28</v>
      </c>
      <c r="F108" s="86">
        <v>0.0567</v>
      </c>
      <c r="G108" s="86"/>
      <c r="H108" s="86">
        <v>0.0206</v>
      </c>
      <c r="I108" s="86"/>
      <c r="J108" s="86">
        <v>0.0206</v>
      </c>
      <c r="K108" s="86"/>
      <c r="L108" s="86">
        <v>0.0206</v>
      </c>
      <c r="M108" s="86"/>
      <c r="N108" s="86">
        <v>0.0045</v>
      </c>
      <c r="O108" s="86"/>
      <c r="P108" s="86">
        <v>0.0415</v>
      </c>
      <c r="Q108" s="86"/>
      <c r="R108" s="86">
        <v>0.054</v>
      </c>
      <c r="S108" s="86"/>
      <c r="T108" s="86">
        <v>0.499</v>
      </c>
      <c r="U108" s="86"/>
      <c r="V108" s="86">
        <v>2.46</v>
      </c>
      <c r="W108" s="86"/>
      <c r="X108" s="86">
        <v>1.32</v>
      </c>
      <c r="Y108" s="86"/>
      <c r="Z108" s="86">
        <v>2.19</v>
      </c>
      <c r="AA108" s="86"/>
      <c r="AB108" s="86">
        <v>2.18</v>
      </c>
      <c r="AC108" s="86"/>
      <c r="AD108" s="86">
        <v>2.85</v>
      </c>
      <c r="AE108" s="86"/>
      <c r="AF108" s="86">
        <v>2.87</v>
      </c>
      <c r="AG108" s="86"/>
      <c r="AH108" s="86">
        <v>2.87</v>
      </c>
      <c r="AI108" s="86"/>
      <c r="AJ108" s="86">
        <v>2.9</v>
      </c>
      <c r="AK108" s="86"/>
      <c r="AL108" s="86"/>
      <c r="AM108" s="86"/>
      <c r="AN108" s="86"/>
      <c r="AO108" s="86"/>
      <c r="AP108" s="86"/>
      <c r="AQ108" s="86"/>
      <c r="AR108" s="86"/>
    </row>
    <row r="109" spans="1:44" ht="12.75">
      <c r="A109" s="88" t="s">
        <v>199</v>
      </c>
      <c r="B109" s="88" t="s">
        <v>133</v>
      </c>
      <c r="D109" s="88" t="s">
        <v>28</v>
      </c>
      <c r="F109" s="86">
        <v>0.0026</v>
      </c>
      <c r="G109" s="86"/>
      <c r="H109" s="86">
        <v>0.0026</v>
      </c>
      <c r="I109" s="86"/>
      <c r="J109" s="86">
        <v>0.0026</v>
      </c>
      <c r="K109" s="86"/>
      <c r="L109" s="86">
        <v>0.0026</v>
      </c>
      <c r="M109" s="86"/>
      <c r="N109" s="86">
        <v>0.0006</v>
      </c>
      <c r="O109" s="86"/>
      <c r="P109" s="86">
        <v>0.0005</v>
      </c>
      <c r="Q109" s="86"/>
      <c r="R109" s="86">
        <v>0.002</v>
      </c>
      <c r="S109" s="86"/>
      <c r="T109" s="86">
        <v>0.0109</v>
      </c>
      <c r="U109" s="86"/>
      <c r="V109" s="86">
        <v>0.0433</v>
      </c>
      <c r="W109" s="86"/>
      <c r="X109" s="86">
        <v>0.0421</v>
      </c>
      <c r="Y109" s="86"/>
      <c r="Z109" s="86">
        <v>0.0446</v>
      </c>
      <c r="AA109" s="86"/>
      <c r="AB109" s="86">
        <v>0.0377</v>
      </c>
      <c r="AC109" s="86"/>
      <c r="AD109" s="86">
        <v>0.119</v>
      </c>
      <c r="AE109" s="86"/>
      <c r="AF109" s="86">
        <v>0.12</v>
      </c>
      <c r="AG109" s="86"/>
      <c r="AH109" s="86">
        <v>0.12</v>
      </c>
      <c r="AI109" s="86"/>
      <c r="AJ109" s="86">
        <v>0.121</v>
      </c>
      <c r="AK109" s="86"/>
      <c r="AL109" s="86"/>
      <c r="AM109" s="86"/>
      <c r="AN109" s="86"/>
      <c r="AO109" s="86"/>
      <c r="AP109" s="86"/>
      <c r="AQ109" s="86"/>
      <c r="AR109" s="86"/>
    </row>
    <row r="110" spans="1:44" ht="12.75">
      <c r="A110" s="88" t="s">
        <v>199</v>
      </c>
      <c r="B110" s="88" t="s">
        <v>134</v>
      </c>
      <c r="D110" s="88" t="s">
        <v>28</v>
      </c>
      <c r="F110" s="86">
        <v>0.0026</v>
      </c>
      <c r="G110" s="86"/>
      <c r="H110" s="86">
        <v>0.0026</v>
      </c>
      <c r="I110" s="86"/>
      <c r="J110" s="86">
        <v>0.0026</v>
      </c>
      <c r="K110" s="86"/>
      <c r="L110" s="86">
        <v>0.0026</v>
      </c>
      <c r="M110" s="86"/>
      <c r="N110" s="86">
        <v>0.0006</v>
      </c>
      <c r="O110" s="86"/>
      <c r="P110" s="86">
        <v>0.0021</v>
      </c>
      <c r="Q110" s="86"/>
      <c r="R110" s="86">
        <v>0.0042</v>
      </c>
      <c r="S110" s="86"/>
      <c r="T110" s="86">
        <v>0.0966</v>
      </c>
      <c r="U110" s="86"/>
      <c r="V110" s="86">
        <v>0.069</v>
      </c>
      <c r="W110" s="86"/>
      <c r="X110" s="86">
        <v>0.0734</v>
      </c>
      <c r="Y110" s="86"/>
      <c r="Z110" s="86">
        <v>0.0712</v>
      </c>
      <c r="AA110" s="86"/>
      <c r="AB110" s="86">
        <v>0.066</v>
      </c>
      <c r="AC110" s="86"/>
      <c r="AD110" s="86">
        <v>0.0949</v>
      </c>
      <c r="AE110" s="86"/>
      <c r="AF110" s="86">
        <v>0.0957</v>
      </c>
      <c r="AG110" s="86"/>
      <c r="AH110" s="86">
        <v>0.0958</v>
      </c>
      <c r="AI110" s="86"/>
      <c r="AJ110" s="86">
        <v>0.0967</v>
      </c>
      <c r="AK110" s="86"/>
      <c r="AL110" s="86"/>
      <c r="AM110" s="86"/>
      <c r="AN110" s="86"/>
      <c r="AO110" s="86"/>
      <c r="AP110" s="86"/>
      <c r="AQ110" s="86"/>
      <c r="AR110" s="86"/>
    </row>
    <row r="111" spans="1:44" ht="12.75">
      <c r="A111" s="88" t="s">
        <v>199</v>
      </c>
      <c r="B111" s="88" t="s">
        <v>135</v>
      </c>
      <c r="D111" s="88" t="s">
        <v>28</v>
      </c>
      <c r="F111" s="86">
        <v>0.0052</v>
      </c>
      <c r="G111" s="86"/>
      <c r="H111" s="86">
        <v>0.0052</v>
      </c>
      <c r="I111" s="86"/>
      <c r="J111" s="86">
        <v>0.0052</v>
      </c>
      <c r="K111" s="86"/>
      <c r="L111" s="86">
        <v>0.0052</v>
      </c>
      <c r="M111" s="86"/>
      <c r="N111" s="86">
        <v>0.0011</v>
      </c>
      <c r="O111" s="86"/>
      <c r="P111" s="86">
        <v>0.001</v>
      </c>
      <c r="Q111" s="86"/>
      <c r="R111" s="86">
        <v>0.001</v>
      </c>
      <c r="S111" s="86"/>
      <c r="T111" s="86">
        <v>0.0011</v>
      </c>
      <c r="U111" s="86"/>
      <c r="V111" s="86">
        <v>0.0393</v>
      </c>
      <c r="W111" s="86"/>
      <c r="X111" s="86">
        <v>0.0421</v>
      </c>
      <c r="Y111" s="86"/>
      <c r="Z111" s="86">
        <v>0.0408</v>
      </c>
      <c r="AA111" s="86"/>
      <c r="AB111" s="86">
        <v>0.0377</v>
      </c>
      <c r="AC111" s="86"/>
      <c r="AD111" s="86">
        <v>0.237</v>
      </c>
      <c r="AE111" s="86"/>
      <c r="AF111" s="86">
        <v>0.239</v>
      </c>
      <c r="AG111" s="86"/>
      <c r="AH111" s="86">
        <v>0.239</v>
      </c>
      <c r="AI111" s="86"/>
      <c r="AJ111" s="86">
        <v>0.242</v>
      </c>
      <c r="AK111" s="86"/>
      <c r="AL111" s="86"/>
      <c r="AM111" s="86"/>
      <c r="AN111" s="86"/>
      <c r="AO111" s="86"/>
      <c r="AP111" s="86"/>
      <c r="AQ111" s="86"/>
      <c r="AR111" s="86"/>
    </row>
    <row r="112" spans="6:44" ht="12.75"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</row>
    <row r="113" spans="2:44" ht="12.75">
      <c r="B113" s="8" t="s">
        <v>37</v>
      </c>
      <c r="C113" s="8"/>
      <c r="D113" s="8" t="s">
        <v>17</v>
      </c>
      <c r="F113" s="86">
        <f>'emiss 2'!$G$131</f>
        <v>37835</v>
      </c>
      <c r="G113" s="86"/>
      <c r="H113" s="86">
        <f>'emiss 2'!$I$131</f>
        <v>37326</v>
      </c>
      <c r="I113" s="86"/>
      <c r="J113" s="86">
        <f>'emiss 2'!$K$131</f>
        <v>37623</v>
      </c>
      <c r="K113" s="86"/>
      <c r="L113" s="86">
        <f>'emiss 2'!$M$131</f>
        <v>37183</v>
      </c>
      <c r="M113" s="86"/>
      <c r="N113" s="86">
        <f>'emiss 2'!$G$131</f>
        <v>37835</v>
      </c>
      <c r="O113" s="86"/>
      <c r="P113" s="86">
        <f>'emiss 2'!$I$131</f>
        <v>37326</v>
      </c>
      <c r="Q113" s="86"/>
      <c r="R113" s="86">
        <f>'emiss 2'!$K$131</f>
        <v>37623</v>
      </c>
      <c r="S113" s="86"/>
      <c r="T113" s="86">
        <f>'emiss 2'!$M$131</f>
        <v>37183</v>
      </c>
      <c r="U113" s="86"/>
      <c r="V113" s="86">
        <f>'emiss 2'!$G$131</f>
        <v>37835</v>
      </c>
      <c r="W113" s="86"/>
      <c r="X113" s="86">
        <f>'emiss 2'!$I$131</f>
        <v>37326</v>
      </c>
      <c r="Y113" s="86"/>
      <c r="Z113" s="86">
        <f>'emiss 2'!$K$131</f>
        <v>37623</v>
      </c>
      <c r="AA113" s="86"/>
      <c r="AB113" s="86">
        <f>'emiss 2'!$M$131</f>
        <v>37183</v>
      </c>
      <c r="AC113" s="86"/>
      <c r="AD113" s="86">
        <f>'emiss 2'!$G$131</f>
        <v>37835</v>
      </c>
      <c r="AE113" s="86"/>
      <c r="AF113" s="86">
        <f>'emiss 2'!$I$131</f>
        <v>37326</v>
      </c>
      <c r="AG113" s="86"/>
      <c r="AH113" s="86">
        <f>'emiss 2'!$K$131</f>
        <v>37623</v>
      </c>
      <c r="AI113" s="86"/>
      <c r="AJ113" s="86">
        <f>'emiss 2'!$M$131</f>
        <v>37183</v>
      </c>
      <c r="AK113" s="86"/>
      <c r="AL113" s="86">
        <f>'emiss 2'!$G$131</f>
        <v>37835</v>
      </c>
      <c r="AM113" s="86"/>
      <c r="AN113" s="86">
        <f>'emiss 2'!$I$131</f>
        <v>37326</v>
      </c>
      <c r="AO113" s="86"/>
      <c r="AP113" s="86">
        <f>'emiss 2'!$K$131</f>
        <v>37623</v>
      </c>
      <c r="AQ113" s="86"/>
      <c r="AR113" s="86">
        <f>'emiss 2'!$M$131</f>
        <v>37183</v>
      </c>
    </row>
    <row r="114" spans="2:44" ht="12.75">
      <c r="B114" s="8" t="s">
        <v>38</v>
      </c>
      <c r="C114" s="8"/>
      <c r="D114" s="8" t="s">
        <v>18</v>
      </c>
      <c r="F114" s="86">
        <f>'emiss 2'!$G$132</f>
        <v>15</v>
      </c>
      <c r="G114" s="86"/>
      <c r="H114" s="86">
        <f>'emiss 2'!$I$132</f>
        <v>14.9</v>
      </c>
      <c r="I114" s="86"/>
      <c r="J114" s="86">
        <f>'emiss 2'!$K$132</f>
        <v>14.8</v>
      </c>
      <c r="K114" s="86"/>
      <c r="L114" s="86">
        <f>'emiss 2'!$M$132</f>
        <v>14.85</v>
      </c>
      <c r="M114" s="86"/>
      <c r="N114" s="86">
        <f>'emiss 2'!$G$132</f>
        <v>15</v>
      </c>
      <c r="O114" s="86"/>
      <c r="P114" s="86">
        <f>'emiss 2'!$I$132</f>
        <v>14.9</v>
      </c>
      <c r="Q114" s="86"/>
      <c r="R114" s="86">
        <f>'emiss 2'!$K$132</f>
        <v>14.8</v>
      </c>
      <c r="S114" s="86"/>
      <c r="T114" s="86">
        <f>'emiss 2'!$M$132</f>
        <v>14.85</v>
      </c>
      <c r="U114" s="86"/>
      <c r="V114" s="86">
        <f>'emiss 2'!$G$132</f>
        <v>15</v>
      </c>
      <c r="W114" s="86"/>
      <c r="X114" s="86">
        <f>'emiss 2'!$I$132</f>
        <v>14.9</v>
      </c>
      <c r="Y114" s="86"/>
      <c r="Z114" s="86">
        <f>'emiss 2'!$K$132</f>
        <v>14.8</v>
      </c>
      <c r="AA114" s="86"/>
      <c r="AB114" s="86">
        <f>'emiss 2'!$M$132</f>
        <v>14.85</v>
      </c>
      <c r="AC114" s="86"/>
      <c r="AD114" s="86">
        <f>'emiss 2'!$G$132</f>
        <v>15</v>
      </c>
      <c r="AE114" s="86"/>
      <c r="AF114" s="86">
        <f>'emiss 2'!$I$132</f>
        <v>14.9</v>
      </c>
      <c r="AG114" s="86"/>
      <c r="AH114" s="86">
        <f>'emiss 2'!$K$132</f>
        <v>14.8</v>
      </c>
      <c r="AI114" s="86"/>
      <c r="AJ114" s="86">
        <f>'emiss 2'!$M$132</f>
        <v>14.85</v>
      </c>
      <c r="AK114" s="86"/>
      <c r="AL114" s="86">
        <f>'emiss 2'!$G$132</f>
        <v>15</v>
      </c>
      <c r="AM114" s="86"/>
      <c r="AN114" s="86">
        <f>'emiss 2'!$I$132</f>
        <v>14.9</v>
      </c>
      <c r="AO114" s="86"/>
      <c r="AP114" s="86">
        <f>'emiss 2'!$K$132</f>
        <v>14.8</v>
      </c>
      <c r="AQ114" s="86"/>
      <c r="AR114" s="86">
        <f>'emiss 2'!$M$132</f>
        <v>14.85</v>
      </c>
    </row>
    <row r="115" spans="6:44" ht="12.75"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</row>
    <row r="116" spans="2:44" ht="12.75">
      <c r="B116" s="105" t="s">
        <v>47</v>
      </c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</row>
    <row r="117" spans="2:70" ht="12.75">
      <c r="B117" s="88" t="s">
        <v>24</v>
      </c>
      <c r="D117" s="88" t="s">
        <v>34</v>
      </c>
      <c r="F117" s="90">
        <f>F99*454*1000000*14/(21-F$114)/0.0283/60/F$113</f>
        <v>3479234.244492169</v>
      </c>
      <c r="G117" s="86"/>
      <c r="H117" s="90">
        <f>H99*454*1000000*14/(21-H$114)/0.0283/60/H$113</f>
        <v>2877020.553934559</v>
      </c>
      <c r="I117" s="86"/>
      <c r="J117" s="90">
        <f aca="true" t="shared" si="48" ref="J117:J129">J99*454*1000000*14/(21-J$114)/0.0283/60/J$113</f>
        <v>2150333.8371417895</v>
      </c>
      <c r="K117" s="86"/>
      <c r="L117" s="90">
        <f aca="true" t="shared" si="49" ref="L117:L129">L99*454*1000000*14/(21-L$114)/0.0283/60/L$113</f>
        <v>2864604.7579509923</v>
      </c>
      <c r="M117" s="86"/>
      <c r="N117" s="90">
        <f aca="true" t="shared" si="50" ref="N117:N129">N99*454*1000000*14/(21-N$114)/0.0283/60/N$113</f>
        <v>2621792.629735805</v>
      </c>
      <c r="O117" s="86"/>
      <c r="P117" s="90">
        <f aca="true" t="shared" si="51" ref="P117:P129">P99*454*1000000*14/(21-P$114)/0.0283/60/P$113</f>
        <v>2679739.1445219037</v>
      </c>
      <c r="Q117" s="86"/>
      <c r="R117" s="90">
        <f aca="true" t="shared" si="52" ref="R117:R129">R99*454*1000000*14/(21-R$114)/0.0283/60/R$113</f>
        <v>2936649.9417682644</v>
      </c>
      <c r="S117" s="86"/>
      <c r="T117" s="90">
        <f aca="true" t="shared" si="53" ref="T117:T129">T99*454*1000000*14/(21-T$114)/0.0283/60/T$113</f>
        <v>3191988.1588596767</v>
      </c>
      <c r="U117" s="86"/>
      <c r="V117" s="90">
        <f aca="true" t="shared" si="54" ref="V117:V129">V99*454*1000000*14/(21-V$114)/0.0283/60/V$113</f>
        <v>0</v>
      </c>
      <c r="W117" s="86"/>
      <c r="X117" s="90">
        <f aca="true" t="shared" si="55" ref="X117:X129">X99*454*1000000*14/(21-X$114)/0.0283/60/X$113</f>
        <v>0</v>
      </c>
      <c r="Y117" s="86"/>
      <c r="Z117" s="90">
        <f aca="true" t="shared" si="56" ref="Z117:Z129">Z99*454*1000000*14/(21-Z$114)/0.0283/60/Z$113</f>
        <v>0</v>
      </c>
      <c r="AA117" s="86"/>
      <c r="AB117" s="90">
        <f aca="true" t="shared" si="57" ref="AB117:AB129">AB99*454*1000000*14/(21-AB$114)/0.0283/60/AB$113</f>
        <v>0</v>
      </c>
      <c r="AC117" s="86"/>
      <c r="AD117" s="90">
        <f aca="true" t="shared" si="58" ref="AD117:AD129">AD99*454*1000000*14/(21-AD$114)/0.0283/60/AD$113</f>
        <v>0</v>
      </c>
      <c r="AE117" s="86"/>
      <c r="AF117" s="90">
        <f aca="true" t="shared" si="59" ref="AF117:AF129">AF99*454*1000000*14/(21-AF$114)/0.0283/60/AF$113</f>
        <v>0</v>
      </c>
      <c r="AG117" s="86"/>
      <c r="AH117" s="90">
        <f aca="true" t="shared" si="60" ref="AH117:AH129">AH99*454*1000000*14/(21-AH$114)/0.0283/60/AH$113</f>
        <v>0</v>
      </c>
      <c r="AI117" s="86"/>
      <c r="AJ117" s="90">
        <f aca="true" t="shared" si="61" ref="AJ117:AJ129">AJ99*454*1000000*14/(21-AJ$114)/0.0283/60/AJ$113</f>
        <v>0</v>
      </c>
      <c r="AK117" s="86"/>
      <c r="AL117" s="90">
        <f aca="true" t="shared" si="62" ref="AL117:AL129">AL99*454*1000000*14/(21-AL$114)/0.0283/60/AL$113</f>
        <v>2242539.6078243363</v>
      </c>
      <c r="AM117" s="86"/>
      <c r="AN117" s="90">
        <f aca="true" t="shared" si="63" ref="AN117:AN129">AN99*454*1000000*14/(21-AN$114)/0.0283/60/AN$113</f>
        <v>1972814.0941265547</v>
      </c>
      <c r="AO117" s="86"/>
      <c r="AP117" s="90">
        <f aca="true" t="shared" si="64" ref="AP117:AP129">AP99*454*1000000*14/(21-AP$114)/0.0283/60/AP$113</f>
        <v>1749152.151107873</v>
      </c>
      <c r="AQ117" s="86"/>
      <c r="AR117" s="90">
        <f aca="true" t="shared" si="65" ref="AR117:AR129">AR99*454*1000000*14/(21-AR$114)/0.0283/60/AR$113</f>
        <v>1784239.5349523323</v>
      </c>
      <c r="AT117" s="90">
        <f aca="true" t="shared" si="66" ref="AT117:AT131">AL117+AD117+V117+N117+F117</f>
        <v>8343566.482052311</v>
      </c>
      <c r="AV117" s="90">
        <f aca="true" t="shared" si="67" ref="AV117:AV131">AN117+AF117+X117+P117+H117</f>
        <v>7529573.792583018</v>
      </c>
      <c r="AX117" s="90">
        <f aca="true" t="shared" si="68" ref="AX117:AX131">AP117+AH117+Z117+R117+J117</f>
        <v>6836135.930017927</v>
      </c>
      <c r="AZ117" s="90">
        <f aca="true" t="shared" si="69" ref="AZ117:AZ131">AR117+AJ117+AB117+T117+L117</f>
        <v>7840832.451763001</v>
      </c>
      <c r="BB117" s="90">
        <f aca="true" t="shared" si="70" ref="BB117:BB131">AVERAGE(AT117,AV117,AX117,AZ117)</f>
        <v>7637527.164104064</v>
      </c>
      <c r="BD117" s="90">
        <f>SUM(F117,N117)</f>
        <v>6101026.874227975</v>
      </c>
      <c r="BF117" s="90">
        <f>SUM(H117,P117)</f>
        <v>5556759.6984564625</v>
      </c>
      <c r="BH117" s="90">
        <f>SUM(J117,R117)</f>
        <v>5086983.778910054</v>
      </c>
      <c r="BJ117" s="90">
        <f>SUM(L117,T117)</f>
        <v>6056592.916810669</v>
      </c>
      <c r="BL117" s="90">
        <f>SUM(AL117,AD117)</f>
        <v>2242539.6078243363</v>
      </c>
      <c r="BN117" s="90">
        <f>SUM(AN117,AF117)</f>
        <v>1972814.0941265547</v>
      </c>
      <c r="BP117" s="90">
        <f>SUM(AP117,AH117)</f>
        <v>1749152.151107873</v>
      </c>
      <c r="BR117" s="90">
        <f>SUM(AR117,AJ117)</f>
        <v>1784239.5349523323</v>
      </c>
    </row>
    <row r="118" spans="2:70" ht="12.75">
      <c r="B118" s="88" t="s">
        <v>124</v>
      </c>
      <c r="D118" s="88" t="s">
        <v>34</v>
      </c>
      <c r="F118" s="90">
        <f aca="true" t="shared" si="71" ref="F118:H129">F100*454*1000000*14/(21-F$114)/0.0283/60/F$113</f>
        <v>509.518190307147</v>
      </c>
      <c r="G118" s="86"/>
      <c r="H118" s="90">
        <f t="shared" si="71"/>
        <v>507.99962923758795</v>
      </c>
      <c r="I118" s="86"/>
      <c r="J118" s="90">
        <f t="shared" si="48"/>
        <v>495.86056393792</v>
      </c>
      <c r="K118" s="86"/>
      <c r="L118" s="90">
        <f t="shared" si="49"/>
        <v>505.80735440391805</v>
      </c>
      <c r="M118" s="86"/>
      <c r="N118" s="90">
        <f t="shared" si="50"/>
        <v>112.1269803912168</v>
      </c>
      <c r="O118" s="86"/>
      <c r="P118" s="90">
        <f t="shared" si="51"/>
        <v>96.99669296122228</v>
      </c>
      <c r="Q118" s="86"/>
      <c r="R118" s="90">
        <f t="shared" si="52"/>
        <v>97.88833139227548</v>
      </c>
      <c r="S118" s="86"/>
      <c r="T118" s="90">
        <f t="shared" si="53"/>
        <v>568.0102005765682</v>
      </c>
      <c r="U118" s="86"/>
      <c r="V118" s="90">
        <f t="shared" si="54"/>
        <v>1525.2567185569935</v>
      </c>
      <c r="W118" s="86"/>
      <c r="X118" s="90">
        <f t="shared" si="55"/>
        <v>866.3941896705786</v>
      </c>
      <c r="Y118" s="86"/>
      <c r="Z118" s="90">
        <f t="shared" si="56"/>
        <v>850.5051743919014</v>
      </c>
      <c r="AA118" s="86"/>
      <c r="AB118" s="90">
        <f t="shared" si="57"/>
        <v>770.9879091399528</v>
      </c>
      <c r="AC118" s="86"/>
      <c r="AD118" s="90">
        <f t="shared" si="58"/>
        <v>3907.9550518703504</v>
      </c>
      <c r="AE118" s="86"/>
      <c r="AF118" s="90">
        <f t="shared" si="59"/>
        <v>3929.1880708020553</v>
      </c>
      <c r="AG118" s="86"/>
      <c r="AH118" s="90">
        <f t="shared" si="60"/>
        <v>3835.2969184842354</v>
      </c>
      <c r="AI118" s="86"/>
      <c r="AJ118" s="90">
        <f t="shared" si="61"/>
        <v>3961.3391509950857</v>
      </c>
      <c r="AK118" s="86"/>
      <c r="AL118" s="90">
        <f t="shared" si="62"/>
        <v>0</v>
      </c>
      <c r="AM118" s="86"/>
      <c r="AN118" s="90">
        <f t="shared" si="63"/>
        <v>0</v>
      </c>
      <c r="AO118" s="86"/>
      <c r="AP118" s="90">
        <f t="shared" si="64"/>
        <v>0</v>
      </c>
      <c r="AQ118" s="86"/>
      <c r="AR118" s="90">
        <f t="shared" si="65"/>
        <v>0</v>
      </c>
      <c r="AT118" s="90">
        <f t="shared" si="66"/>
        <v>6054.856941125708</v>
      </c>
      <c r="AV118" s="90">
        <f t="shared" si="67"/>
        <v>5400.578582671444</v>
      </c>
      <c r="AX118" s="90">
        <f t="shared" si="68"/>
        <v>5279.5509882063325</v>
      </c>
      <c r="AZ118" s="90">
        <f t="shared" si="69"/>
        <v>5806.144615115525</v>
      </c>
      <c r="BB118" s="90">
        <f t="shared" si="70"/>
        <v>5635.2827817797515</v>
      </c>
      <c r="BD118" s="90">
        <f aca="true" t="shared" si="72" ref="BD118:BJ131">SUM(F118,N118)</f>
        <v>621.6451706983638</v>
      </c>
      <c r="BF118" s="90">
        <f t="shared" si="72"/>
        <v>604.9963221988103</v>
      </c>
      <c r="BH118" s="90">
        <f t="shared" si="72"/>
        <v>593.7488953301955</v>
      </c>
      <c r="BJ118" s="90">
        <f t="shared" si="72"/>
        <v>1073.8175549804862</v>
      </c>
      <c r="BL118" s="90">
        <f aca="true" t="shared" si="73" ref="BL118:BL131">SUM(AL118,AD118)</f>
        <v>3907.9550518703504</v>
      </c>
      <c r="BN118" s="90">
        <f aca="true" t="shared" si="74" ref="BN118:BR131">SUM(AN118,AF118)</f>
        <v>3929.1880708020553</v>
      </c>
      <c r="BP118" s="90">
        <f t="shared" si="74"/>
        <v>3835.2969184842354</v>
      </c>
      <c r="BR118" s="90">
        <f t="shared" si="74"/>
        <v>3961.3391509950857</v>
      </c>
    </row>
    <row r="119" spans="2:70" ht="12.75">
      <c r="B119" s="88" t="s">
        <v>123</v>
      </c>
      <c r="D119" s="88" t="s">
        <v>34</v>
      </c>
      <c r="F119" s="90">
        <f t="shared" si="71"/>
        <v>51.116711648937084</v>
      </c>
      <c r="G119" s="86"/>
      <c r="H119" s="90">
        <f t="shared" si="71"/>
        <v>85.48861074548405</v>
      </c>
      <c r="I119" s="86"/>
      <c r="J119" s="90">
        <f t="shared" si="48"/>
        <v>83.44579069505448</v>
      </c>
      <c r="K119" s="86"/>
      <c r="L119" s="90">
        <f t="shared" si="49"/>
        <v>85.11968423625805</v>
      </c>
      <c r="M119" s="86"/>
      <c r="N119" s="90">
        <f t="shared" si="50"/>
        <v>18.138188004461547</v>
      </c>
      <c r="O119" s="86"/>
      <c r="P119" s="90">
        <f t="shared" si="51"/>
        <v>21.372152686371013</v>
      </c>
      <c r="Q119" s="86"/>
      <c r="R119" s="90">
        <f t="shared" si="52"/>
        <v>43.32762209166292</v>
      </c>
      <c r="S119" s="86"/>
      <c r="T119" s="90">
        <f t="shared" si="53"/>
        <v>32.73834009086848</v>
      </c>
      <c r="U119" s="86"/>
      <c r="V119" s="90">
        <f t="shared" si="54"/>
        <v>10882.912802676927</v>
      </c>
      <c r="W119" s="86"/>
      <c r="X119" s="90">
        <f t="shared" si="55"/>
        <v>2729.0594968750675</v>
      </c>
      <c r="Y119" s="86"/>
      <c r="Z119" s="90">
        <f t="shared" si="56"/>
        <v>8007.586453236962</v>
      </c>
      <c r="AA119" s="86"/>
      <c r="AB119" s="90">
        <f t="shared" si="57"/>
        <v>6122.069596992406</v>
      </c>
      <c r="AC119" s="86"/>
      <c r="AD119" s="90">
        <f t="shared" si="58"/>
        <v>1962.222156846294</v>
      </c>
      <c r="AE119" s="86"/>
      <c r="AF119" s="90">
        <f t="shared" si="59"/>
        <v>1972.8140941265547</v>
      </c>
      <c r="AG119" s="86"/>
      <c r="AH119" s="90">
        <f t="shared" si="60"/>
        <v>1925.672092962796</v>
      </c>
      <c r="AI119" s="86"/>
      <c r="AJ119" s="90">
        <f t="shared" si="61"/>
        <v>1980.6695754975428</v>
      </c>
      <c r="AK119" s="86"/>
      <c r="AL119" s="90">
        <f t="shared" si="62"/>
        <v>0</v>
      </c>
      <c r="AM119" s="86"/>
      <c r="AN119" s="90">
        <f t="shared" si="63"/>
        <v>0</v>
      </c>
      <c r="AO119" s="86"/>
      <c r="AP119" s="90">
        <f t="shared" si="64"/>
        <v>0</v>
      </c>
      <c r="AQ119" s="86"/>
      <c r="AR119" s="90">
        <f t="shared" si="65"/>
        <v>0</v>
      </c>
      <c r="AT119" s="90">
        <f t="shared" si="66"/>
        <v>12914.38985917662</v>
      </c>
      <c r="AV119" s="90">
        <f t="shared" si="67"/>
        <v>4808.734354433477</v>
      </c>
      <c r="AX119" s="90">
        <f t="shared" si="68"/>
        <v>10060.031958986476</v>
      </c>
      <c r="AZ119" s="90">
        <f t="shared" si="69"/>
        <v>8220.597196817076</v>
      </c>
      <c r="BB119" s="90">
        <f t="shared" si="70"/>
        <v>9000.938342353413</v>
      </c>
      <c r="BD119" s="90">
        <f t="shared" si="72"/>
        <v>69.25489965339864</v>
      </c>
      <c r="BF119" s="90">
        <f t="shared" si="72"/>
        <v>106.86076343185506</v>
      </c>
      <c r="BH119" s="90">
        <f t="shared" si="72"/>
        <v>126.7734127867174</v>
      </c>
      <c r="BJ119" s="90">
        <f t="shared" si="72"/>
        <v>117.85802432712654</v>
      </c>
      <c r="BL119" s="90">
        <f t="shared" si="73"/>
        <v>1962.222156846294</v>
      </c>
      <c r="BN119" s="90">
        <f t="shared" si="74"/>
        <v>1972.8140941265547</v>
      </c>
      <c r="BP119" s="90">
        <f t="shared" si="74"/>
        <v>1925.672092962796</v>
      </c>
      <c r="BR119" s="90">
        <f t="shared" si="74"/>
        <v>1980.6695754975428</v>
      </c>
    </row>
    <row r="120" spans="2:70" ht="12.75">
      <c r="B120" s="88" t="s">
        <v>125</v>
      </c>
      <c r="D120" s="88" t="s">
        <v>34</v>
      </c>
      <c r="F120" s="90">
        <f t="shared" si="71"/>
        <v>695.8468488984338</v>
      </c>
      <c r="G120" s="86"/>
      <c r="H120" s="90">
        <f t="shared" si="71"/>
        <v>185.77332719691722</v>
      </c>
      <c r="I120" s="86"/>
      <c r="J120" s="90">
        <f t="shared" si="48"/>
        <v>91.46942441573282</v>
      </c>
      <c r="K120" s="86"/>
      <c r="L120" s="90">
        <f t="shared" si="49"/>
        <v>117.85802432712653</v>
      </c>
      <c r="M120" s="86"/>
      <c r="N120" s="90">
        <f t="shared" si="50"/>
        <v>244.041074969119</v>
      </c>
      <c r="O120" s="86"/>
      <c r="P120" s="90">
        <f t="shared" si="51"/>
        <v>1236.2968323193077</v>
      </c>
      <c r="Q120" s="86"/>
      <c r="R120" s="90">
        <f t="shared" si="52"/>
        <v>1290.2003022850733</v>
      </c>
      <c r="S120" s="86"/>
      <c r="T120" s="90">
        <f t="shared" si="53"/>
        <v>24881.138469060046</v>
      </c>
      <c r="U120" s="86"/>
      <c r="V120" s="90">
        <f t="shared" si="54"/>
        <v>131089.63148679023</v>
      </c>
      <c r="W120" s="86"/>
      <c r="X120" s="90">
        <f t="shared" si="55"/>
        <v>71185.70856306651</v>
      </c>
      <c r="Y120" s="86"/>
      <c r="Z120" s="90">
        <f t="shared" si="56"/>
        <v>100937.31220613323</v>
      </c>
      <c r="AA120" s="86"/>
      <c r="AB120" s="90">
        <f t="shared" si="57"/>
        <v>109837.13100486374</v>
      </c>
      <c r="AC120" s="86"/>
      <c r="AD120" s="90">
        <f t="shared" si="58"/>
        <v>11740.354417433293</v>
      </c>
      <c r="AE120" s="86"/>
      <c r="AF120" s="90">
        <f t="shared" si="59"/>
        <v>11804.004329857222</v>
      </c>
      <c r="AG120" s="86"/>
      <c r="AH120" s="90">
        <f t="shared" si="60"/>
        <v>11521.938022894063</v>
      </c>
      <c r="AI120" s="86"/>
      <c r="AJ120" s="90">
        <f t="shared" si="61"/>
        <v>11867.648282939823</v>
      </c>
      <c r="AK120" s="86"/>
      <c r="AL120" s="90">
        <f t="shared" si="62"/>
        <v>0</v>
      </c>
      <c r="AM120" s="86"/>
      <c r="AN120" s="90">
        <f t="shared" si="63"/>
        <v>0</v>
      </c>
      <c r="AO120" s="86"/>
      <c r="AP120" s="90">
        <f t="shared" si="64"/>
        <v>0</v>
      </c>
      <c r="AQ120" s="86"/>
      <c r="AR120" s="90">
        <f t="shared" si="65"/>
        <v>0</v>
      </c>
      <c r="AT120" s="90">
        <f t="shared" si="66"/>
        <v>143769.87382809105</v>
      </c>
      <c r="AV120" s="90">
        <f t="shared" si="67"/>
        <v>84411.78305243996</v>
      </c>
      <c r="AX120" s="90">
        <f t="shared" si="68"/>
        <v>113840.91995572808</v>
      </c>
      <c r="AZ120" s="90">
        <f t="shared" si="69"/>
        <v>146703.77578119072</v>
      </c>
      <c r="BB120" s="90">
        <f t="shared" si="70"/>
        <v>122181.58815436246</v>
      </c>
      <c r="BD120" s="90">
        <f t="shared" si="72"/>
        <v>939.8879238675528</v>
      </c>
      <c r="BF120" s="90">
        <f t="shared" si="72"/>
        <v>1422.070159516225</v>
      </c>
      <c r="BH120" s="90">
        <f t="shared" si="72"/>
        <v>1381.6697267008062</v>
      </c>
      <c r="BJ120" s="90">
        <f t="shared" si="72"/>
        <v>24998.996493387174</v>
      </c>
      <c r="BL120" s="90">
        <f t="shared" si="73"/>
        <v>11740.354417433293</v>
      </c>
      <c r="BN120" s="90">
        <f t="shared" si="74"/>
        <v>11804.004329857222</v>
      </c>
      <c r="BP120" s="90">
        <f t="shared" si="74"/>
        <v>11521.938022894063</v>
      </c>
      <c r="BR120" s="90">
        <f t="shared" si="74"/>
        <v>11867.648282939823</v>
      </c>
    </row>
    <row r="121" spans="2:70" ht="12.75">
      <c r="B121" s="88" t="s">
        <v>126</v>
      </c>
      <c r="D121" s="88" t="s">
        <v>34</v>
      </c>
      <c r="F121" s="90">
        <f t="shared" si="71"/>
        <v>42.872080737818195</v>
      </c>
      <c r="G121" s="86"/>
      <c r="H121" s="90">
        <f t="shared" si="71"/>
        <v>42.744305372742026</v>
      </c>
      <c r="I121" s="86"/>
      <c r="J121" s="90">
        <f t="shared" si="48"/>
        <v>41.72289534752724</v>
      </c>
      <c r="K121" s="86"/>
      <c r="L121" s="90">
        <f t="shared" si="49"/>
        <v>42.559842118129026</v>
      </c>
      <c r="M121" s="86"/>
      <c r="N121" s="90">
        <f t="shared" si="50"/>
        <v>9.893557093342661</v>
      </c>
      <c r="O121" s="86"/>
      <c r="P121" s="90">
        <f t="shared" si="51"/>
        <v>8.220058725527313</v>
      </c>
      <c r="Q121" s="86"/>
      <c r="R121" s="90">
        <f t="shared" si="52"/>
        <v>8.023633720678315</v>
      </c>
      <c r="S121" s="86"/>
      <c r="T121" s="90">
        <f t="shared" si="53"/>
        <v>8.18458502271712</v>
      </c>
      <c r="U121" s="86"/>
      <c r="V121" s="90">
        <f t="shared" si="54"/>
        <v>648.0279896139443</v>
      </c>
      <c r="W121" s="86"/>
      <c r="X121" s="90">
        <f t="shared" si="55"/>
        <v>692.1289446893998</v>
      </c>
      <c r="Y121" s="86"/>
      <c r="Z121" s="90">
        <f t="shared" si="56"/>
        <v>654.7285116073509</v>
      </c>
      <c r="AA121" s="86"/>
      <c r="AB121" s="90">
        <f t="shared" si="57"/>
        <v>617.1177107128708</v>
      </c>
      <c r="AC121" s="86"/>
      <c r="AD121" s="90">
        <f t="shared" si="58"/>
        <v>93.98879238675528</v>
      </c>
      <c r="AE121" s="86"/>
      <c r="AF121" s="90">
        <f t="shared" si="59"/>
        <v>95.35268121611684</v>
      </c>
      <c r="AG121" s="86"/>
      <c r="AH121" s="90">
        <f t="shared" si="60"/>
        <v>93.07415115986848</v>
      </c>
      <c r="AI121" s="86"/>
      <c r="AJ121" s="90">
        <f t="shared" si="61"/>
        <v>94.9411862635186</v>
      </c>
      <c r="AK121" s="86"/>
      <c r="AL121" s="90">
        <f t="shared" si="62"/>
        <v>0</v>
      </c>
      <c r="AM121" s="86"/>
      <c r="AN121" s="90">
        <f t="shared" si="63"/>
        <v>0</v>
      </c>
      <c r="AO121" s="86"/>
      <c r="AP121" s="90">
        <f t="shared" si="64"/>
        <v>0</v>
      </c>
      <c r="AQ121" s="86"/>
      <c r="AR121" s="90">
        <f t="shared" si="65"/>
        <v>0</v>
      </c>
      <c r="AT121" s="90">
        <f t="shared" si="66"/>
        <v>794.7824198318605</v>
      </c>
      <c r="AV121" s="90">
        <f t="shared" si="67"/>
        <v>838.4459900037859</v>
      </c>
      <c r="AX121" s="90">
        <f t="shared" si="68"/>
        <v>797.549191835425</v>
      </c>
      <c r="AZ121" s="90">
        <f t="shared" si="69"/>
        <v>762.8033241172355</v>
      </c>
      <c r="BB121" s="90">
        <f t="shared" si="70"/>
        <v>798.3952314470768</v>
      </c>
      <c r="BD121" s="90">
        <f t="shared" si="72"/>
        <v>52.76563783116086</v>
      </c>
      <c r="BF121" s="90">
        <f t="shared" si="72"/>
        <v>50.96436409826934</v>
      </c>
      <c r="BH121" s="90">
        <f t="shared" si="72"/>
        <v>49.74652906820556</v>
      </c>
      <c r="BJ121" s="90">
        <f t="shared" si="72"/>
        <v>50.74442714084615</v>
      </c>
      <c r="BL121" s="90">
        <f t="shared" si="73"/>
        <v>93.98879238675528</v>
      </c>
      <c r="BN121" s="90">
        <f t="shared" si="74"/>
        <v>95.35268121611684</v>
      </c>
      <c r="BP121" s="90">
        <f t="shared" si="74"/>
        <v>93.07415115986848</v>
      </c>
      <c r="BR121" s="90">
        <f t="shared" si="74"/>
        <v>94.9411862635186</v>
      </c>
    </row>
    <row r="122" spans="2:70" ht="12.75">
      <c r="B122" s="88" t="s">
        <v>127</v>
      </c>
      <c r="D122" s="88" t="s">
        <v>34</v>
      </c>
      <c r="F122" s="90">
        <f t="shared" si="71"/>
        <v>85.74416147563639</v>
      </c>
      <c r="G122" s="86"/>
      <c r="H122" s="90">
        <f t="shared" si="71"/>
        <v>85.48861074548405</v>
      </c>
      <c r="I122" s="86"/>
      <c r="J122" s="90">
        <f t="shared" si="48"/>
        <v>83.44579069505448</v>
      </c>
      <c r="K122" s="86"/>
      <c r="L122" s="90">
        <f t="shared" si="49"/>
        <v>85.11968423625805</v>
      </c>
      <c r="M122" s="86"/>
      <c r="N122" s="90">
        <f t="shared" si="50"/>
        <v>18.138188004461547</v>
      </c>
      <c r="O122" s="86"/>
      <c r="P122" s="90">
        <f t="shared" si="51"/>
        <v>52.608375843374795</v>
      </c>
      <c r="Q122" s="86"/>
      <c r="R122" s="90">
        <f t="shared" si="52"/>
        <v>54.560709300612544</v>
      </c>
      <c r="S122" s="86"/>
      <c r="T122" s="90">
        <f t="shared" si="53"/>
        <v>852.833759367124</v>
      </c>
      <c r="U122" s="86"/>
      <c r="V122" s="90">
        <f t="shared" si="54"/>
        <v>2555.835582446854</v>
      </c>
      <c r="W122" s="86"/>
      <c r="X122" s="90">
        <f t="shared" si="55"/>
        <v>2153.6553860881563</v>
      </c>
      <c r="Y122" s="86"/>
      <c r="Z122" s="90">
        <f t="shared" si="56"/>
        <v>3241.548023154041</v>
      </c>
      <c r="AA122" s="86"/>
      <c r="AB122" s="90">
        <f t="shared" si="57"/>
        <v>2553.5905270877415</v>
      </c>
      <c r="AC122" s="86"/>
      <c r="AD122" s="90">
        <f t="shared" si="58"/>
        <v>2341.475178757763</v>
      </c>
      <c r="AE122" s="86"/>
      <c r="AF122" s="90">
        <f t="shared" si="59"/>
        <v>2367.3769129518655</v>
      </c>
      <c r="AG122" s="86"/>
      <c r="AH122" s="90">
        <f t="shared" si="60"/>
        <v>2310.806511555355</v>
      </c>
      <c r="AI122" s="86"/>
      <c r="AJ122" s="90">
        <f t="shared" si="61"/>
        <v>2373.529656587965</v>
      </c>
      <c r="AK122" s="86"/>
      <c r="AL122" s="90">
        <f t="shared" si="62"/>
        <v>0</v>
      </c>
      <c r="AM122" s="86"/>
      <c r="AN122" s="90">
        <f t="shared" si="63"/>
        <v>0</v>
      </c>
      <c r="AO122" s="86"/>
      <c r="AP122" s="90">
        <f t="shared" si="64"/>
        <v>0</v>
      </c>
      <c r="AQ122" s="86"/>
      <c r="AR122" s="90">
        <f t="shared" si="65"/>
        <v>0</v>
      </c>
      <c r="AT122" s="90">
        <f t="shared" si="66"/>
        <v>5001.193110684715</v>
      </c>
      <c r="AV122" s="90">
        <f t="shared" si="67"/>
        <v>4659.129285628881</v>
      </c>
      <c r="AX122" s="90">
        <f t="shared" si="68"/>
        <v>5690.3610347050635</v>
      </c>
      <c r="AZ122" s="90">
        <f t="shared" si="69"/>
        <v>5865.073627279088</v>
      </c>
      <c r="BB122" s="90">
        <f t="shared" si="70"/>
        <v>5303.939264574437</v>
      </c>
      <c r="BD122" s="90">
        <f t="shared" si="72"/>
        <v>103.88234948009793</v>
      </c>
      <c r="BF122" s="90">
        <f t="shared" si="72"/>
        <v>138.09698658885884</v>
      </c>
      <c r="BH122" s="90">
        <f t="shared" si="72"/>
        <v>138.006499995667</v>
      </c>
      <c r="BJ122" s="90">
        <f t="shared" si="72"/>
        <v>937.9534436033821</v>
      </c>
      <c r="BL122" s="90">
        <f t="shared" si="73"/>
        <v>2341.475178757763</v>
      </c>
      <c r="BN122" s="90">
        <f t="shared" si="74"/>
        <v>2367.3769129518655</v>
      </c>
      <c r="BP122" s="90">
        <f t="shared" si="74"/>
        <v>2310.806511555355</v>
      </c>
      <c r="BR122" s="90">
        <f t="shared" si="74"/>
        <v>2373.529656587965</v>
      </c>
    </row>
    <row r="123" spans="2:70" ht="12.75">
      <c r="B123" s="88" t="s">
        <v>128</v>
      </c>
      <c r="D123" s="88" t="s">
        <v>34</v>
      </c>
      <c r="F123" s="90">
        <f t="shared" si="71"/>
        <v>433.6675859248533</v>
      </c>
      <c r="G123" s="86"/>
      <c r="H123" s="90">
        <f t="shared" si="71"/>
        <v>424.1550302372093</v>
      </c>
      <c r="I123" s="86"/>
      <c r="J123" s="90">
        <f t="shared" si="48"/>
        <v>414.01949998700115</v>
      </c>
      <c r="K123" s="86"/>
      <c r="L123" s="90">
        <f t="shared" si="49"/>
        <v>422.3245871722034</v>
      </c>
      <c r="M123" s="86"/>
      <c r="N123" s="90">
        <f t="shared" si="50"/>
        <v>93.98879238675528</v>
      </c>
      <c r="O123" s="86"/>
      <c r="P123" s="90">
        <f t="shared" si="51"/>
        <v>552.3879463554352</v>
      </c>
      <c r="Q123" s="86"/>
      <c r="R123" s="90">
        <f t="shared" si="52"/>
        <v>751.0121162554905</v>
      </c>
      <c r="S123" s="86"/>
      <c r="T123" s="90">
        <f t="shared" si="53"/>
        <v>9412.272776124686</v>
      </c>
      <c r="U123" s="86"/>
      <c r="V123" s="90">
        <f t="shared" si="54"/>
        <v>40728.47670092729</v>
      </c>
      <c r="W123" s="86"/>
      <c r="X123" s="90">
        <f t="shared" si="55"/>
        <v>37483.46778840454</v>
      </c>
      <c r="Y123" s="86"/>
      <c r="Z123" s="90">
        <f t="shared" si="56"/>
        <v>49746.52906820557</v>
      </c>
      <c r="AA123" s="86"/>
      <c r="AB123" s="90">
        <f t="shared" si="57"/>
        <v>48616.43503493969</v>
      </c>
      <c r="AC123" s="86"/>
      <c r="AD123" s="90">
        <f t="shared" si="58"/>
        <v>39079.55051870351</v>
      </c>
      <c r="AE123" s="86"/>
      <c r="AF123" s="90">
        <f t="shared" si="59"/>
        <v>39291.88070802055</v>
      </c>
      <c r="AG123" s="86"/>
      <c r="AH123" s="90">
        <f t="shared" si="60"/>
        <v>38352.96918484235</v>
      </c>
      <c r="AI123" s="86"/>
      <c r="AJ123" s="90">
        <f t="shared" si="61"/>
        <v>39613.39150995087</v>
      </c>
      <c r="AK123" s="86"/>
      <c r="AL123" s="90">
        <f t="shared" si="62"/>
        <v>0</v>
      </c>
      <c r="AM123" s="86"/>
      <c r="AN123" s="90">
        <f t="shared" si="63"/>
        <v>0</v>
      </c>
      <c r="AO123" s="86"/>
      <c r="AP123" s="90">
        <f t="shared" si="64"/>
        <v>0</v>
      </c>
      <c r="AQ123" s="86"/>
      <c r="AR123" s="90">
        <f t="shared" si="65"/>
        <v>0</v>
      </c>
      <c r="AT123" s="90">
        <f t="shared" si="66"/>
        <v>80335.6835979424</v>
      </c>
      <c r="AV123" s="90">
        <f t="shared" si="67"/>
        <v>77751.89147301772</v>
      </c>
      <c r="AX123" s="90">
        <f t="shared" si="68"/>
        <v>89264.52986929042</v>
      </c>
      <c r="AZ123" s="90">
        <f t="shared" si="69"/>
        <v>98064.42390818744</v>
      </c>
      <c r="BB123" s="90">
        <f t="shared" si="70"/>
        <v>86354.1322121095</v>
      </c>
      <c r="BD123" s="90">
        <f t="shared" si="72"/>
        <v>527.6563783116086</v>
      </c>
      <c r="BF123" s="90">
        <f t="shared" si="72"/>
        <v>976.5429765926445</v>
      </c>
      <c r="BH123" s="90">
        <f t="shared" si="72"/>
        <v>1165.0316162424915</v>
      </c>
      <c r="BJ123" s="90">
        <f t="shared" si="72"/>
        <v>9834.597363296889</v>
      </c>
      <c r="BL123" s="90">
        <f t="shared" si="73"/>
        <v>39079.55051870351</v>
      </c>
      <c r="BN123" s="90">
        <f t="shared" si="74"/>
        <v>39291.88070802055</v>
      </c>
      <c r="BP123" s="90">
        <f t="shared" si="74"/>
        <v>38352.96918484235</v>
      </c>
      <c r="BR123" s="90">
        <f t="shared" si="74"/>
        <v>39613.39150995087</v>
      </c>
    </row>
    <row r="124" spans="2:70" ht="12.75">
      <c r="B124" s="88" t="s">
        <v>130</v>
      </c>
      <c r="D124" s="88" t="s">
        <v>34</v>
      </c>
      <c r="F124" s="90">
        <f t="shared" si="71"/>
        <v>3396.78793538098</v>
      </c>
      <c r="G124" s="86"/>
      <c r="H124" s="90">
        <f t="shared" si="71"/>
        <v>846.666048729313</v>
      </c>
      <c r="I124" s="86"/>
      <c r="J124" s="90">
        <f t="shared" si="48"/>
        <v>826.4342732298667</v>
      </c>
      <c r="K124" s="86"/>
      <c r="L124" s="90">
        <f t="shared" si="49"/>
        <v>843.0122573398635</v>
      </c>
      <c r="M124" s="86"/>
      <c r="N124" s="90">
        <f t="shared" si="50"/>
        <v>486.4332237560141</v>
      </c>
      <c r="O124" s="86"/>
      <c r="P124" s="90">
        <f t="shared" si="51"/>
        <v>1528.93092294808</v>
      </c>
      <c r="Q124" s="86"/>
      <c r="R124" s="90">
        <f t="shared" si="52"/>
        <v>1636.8212790183768</v>
      </c>
      <c r="S124" s="86"/>
      <c r="T124" s="90">
        <f t="shared" si="53"/>
        <v>30282.96458405335</v>
      </c>
      <c r="U124" s="86"/>
      <c r="V124" s="90">
        <f t="shared" si="54"/>
        <v>27207.282006692312</v>
      </c>
      <c r="W124" s="86"/>
      <c r="X124" s="90">
        <f t="shared" si="55"/>
        <v>4784.074178256897</v>
      </c>
      <c r="Y124" s="86"/>
      <c r="Z124" s="90">
        <f t="shared" si="56"/>
        <v>16207.7401157702</v>
      </c>
      <c r="AA124" s="86"/>
      <c r="AB124" s="90">
        <f t="shared" si="57"/>
        <v>13455.457777346946</v>
      </c>
      <c r="AC124" s="86"/>
      <c r="AD124" s="90">
        <f t="shared" si="58"/>
        <v>43861.43644715246</v>
      </c>
      <c r="AE124" s="86"/>
      <c r="AF124" s="90">
        <f t="shared" si="59"/>
        <v>44059.5147688264</v>
      </c>
      <c r="AG124" s="86"/>
      <c r="AH124" s="90">
        <f t="shared" si="60"/>
        <v>43006.676742835785</v>
      </c>
      <c r="AI124" s="86"/>
      <c r="AJ124" s="90">
        <f t="shared" si="61"/>
        <v>44360.45082312679</v>
      </c>
      <c r="AK124" s="86"/>
      <c r="AL124" s="90">
        <f t="shared" si="62"/>
        <v>0</v>
      </c>
      <c r="AM124" s="86"/>
      <c r="AN124" s="90">
        <f t="shared" si="63"/>
        <v>0</v>
      </c>
      <c r="AO124" s="86"/>
      <c r="AP124" s="90">
        <f t="shared" si="64"/>
        <v>0</v>
      </c>
      <c r="AQ124" s="86"/>
      <c r="AR124" s="90">
        <f t="shared" si="65"/>
        <v>0</v>
      </c>
      <c r="AT124" s="90">
        <f t="shared" si="66"/>
        <v>74951.93961298178</v>
      </c>
      <c r="AV124" s="90">
        <f t="shared" si="67"/>
        <v>51219.18591876068</v>
      </c>
      <c r="AX124" s="90">
        <f t="shared" si="68"/>
        <v>61677.672410854226</v>
      </c>
      <c r="AZ124" s="90">
        <f t="shared" si="69"/>
        <v>88941.88544186695</v>
      </c>
      <c r="BB124" s="90">
        <f t="shared" si="70"/>
        <v>69197.67084611591</v>
      </c>
      <c r="BD124" s="90">
        <f t="shared" si="72"/>
        <v>3883.221159136994</v>
      </c>
      <c r="BF124" s="90">
        <f t="shared" si="72"/>
        <v>2375.596971677393</v>
      </c>
      <c r="BH124" s="90">
        <f t="shared" si="72"/>
        <v>2463.2555522482435</v>
      </c>
      <c r="BJ124" s="90">
        <f t="shared" si="72"/>
        <v>31125.97684139321</v>
      </c>
      <c r="BL124" s="90">
        <f t="shared" si="73"/>
        <v>43861.43644715246</v>
      </c>
      <c r="BN124" s="90">
        <f t="shared" si="74"/>
        <v>44059.5147688264</v>
      </c>
      <c r="BP124" s="90">
        <f t="shared" si="74"/>
        <v>43006.676742835785</v>
      </c>
      <c r="BR124" s="90">
        <f t="shared" si="74"/>
        <v>44360.45082312679</v>
      </c>
    </row>
    <row r="125" spans="2:70" ht="12.75">
      <c r="B125" s="88" t="s">
        <v>131</v>
      </c>
      <c r="D125" s="88" t="s">
        <v>34</v>
      </c>
      <c r="F125" s="90">
        <f t="shared" si="71"/>
        <v>16.489261822237765</v>
      </c>
      <c r="G125" s="86"/>
      <c r="H125" s="90">
        <f t="shared" si="71"/>
        <v>16.440117451054626</v>
      </c>
      <c r="I125" s="86"/>
      <c r="J125" s="90">
        <f t="shared" si="48"/>
        <v>16.04726744135663</v>
      </c>
      <c r="K125" s="86"/>
      <c r="L125" s="90">
        <f t="shared" si="49"/>
        <v>16.36917004543424</v>
      </c>
      <c r="M125" s="86"/>
      <c r="N125" s="90">
        <f t="shared" si="50"/>
        <v>3.2978523644475537</v>
      </c>
      <c r="O125" s="86"/>
      <c r="P125" s="90">
        <f t="shared" si="51"/>
        <v>6.576046980421849</v>
      </c>
      <c r="Q125" s="86"/>
      <c r="R125" s="90">
        <f t="shared" si="52"/>
        <v>9.628360464813982</v>
      </c>
      <c r="S125" s="86"/>
      <c r="T125" s="90">
        <f t="shared" si="53"/>
        <v>3.2738340090868485</v>
      </c>
      <c r="U125" s="86"/>
      <c r="V125" s="90">
        <f t="shared" si="54"/>
        <v>75.85060438229374</v>
      </c>
      <c r="W125" s="86"/>
      <c r="X125" s="90">
        <f t="shared" si="55"/>
        <v>69.0484932944294</v>
      </c>
      <c r="Y125" s="86"/>
      <c r="Z125" s="90">
        <f t="shared" si="56"/>
        <v>65.7937965095622</v>
      </c>
      <c r="AA125" s="86"/>
      <c r="AB125" s="90">
        <f t="shared" si="57"/>
        <v>83.48276723171466</v>
      </c>
      <c r="AC125" s="86"/>
      <c r="AD125" s="90">
        <f t="shared" si="58"/>
        <v>1962.222156846294</v>
      </c>
      <c r="AE125" s="86"/>
      <c r="AF125" s="90">
        <f t="shared" si="59"/>
        <v>1972.8140941265547</v>
      </c>
      <c r="AG125" s="86"/>
      <c r="AH125" s="90">
        <f t="shared" si="60"/>
        <v>1925.672092962796</v>
      </c>
      <c r="AI125" s="86"/>
      <c r="AJ125" s="90">
        <f t="shared" si="61"/>
        <v>1980.6695754975428</v>
      </c>
      <c r="AK125" s="86"/>
      <c r="AL125" s="90">
        <f t="shared" si="62"/>
        <v>0</v>
      </c>
      <c r="AM125" s="86"/>
      <c r="AN125" s="90">
        <f t="shared" si="63"/>
        <v>0</v>
      </c>
      <c r="AO125" s="86"/>
      <c r="AP125" s="90">
        <f t="shared" si="64"/>
        <v>0</v>
      </c>
      <c r="AQ125" s="86"/>
      <c r="AR125" s="90">
        <f t="shared" si="65"/>
        <v>0</v>
      </c>
      <c r="AT125" s="90">
        <f t="shared" si="66"/>
        <v>2057.859875415273</v>
      </c>
      <c r="AV125" s="90">
        <f t="shared" si="67"/>
        <v>2064.8787518524605</v>
      </c>
      <c r="AX125" s="90">
        <f t="shared" si="68"/>
        <v>2017.1415173785288</v>
      </c>
      <c r="AZ125" s="90">
        <f t="shared" si="69"/>
        <v>2083.7953467837788</v>
      </c>
      <c r="BB125" s="90">
        <f t="shared" si="70"/>
        <v>2055.9188728575105</v>
      </c>
      <c r="BD125" s="90">
        <f t="shared" si="72"/>
        <v>19.78711418668532</v>
      </c>
      <c r="BF125" s="90">
        <f t="shared" si="72"/>
        <v>23.016164431476476</v>
      </c>
      <c r="BH125" s="90">
        <f t="shared" si="72"/>
        <v>25.67562790617061</v>
      </c>
      <c r="BJ125" s="90">
        <f t="shared" si="72"/>
        <v>19.64300405452109</v>
      </c>
      <c r="BL125" s="90">
        <f t="shared" si="73"/>
        <v>1962.222156846294</v>
      </c>
      <c r="BN125" s="90">
        <f t="shared" si="74"/>
        <v>1972.8140941265547</v>
      </c>
      <c r="BP125" s="90">
        <f t="shared" si="74"/>
        <v>1925.672092962796</v>
      </c>
      <c r="BR125" s="90">
        <f t="shared" si="74"/>
        <v>1980.6695754975428</v>
      </c>
    </row>
    <row r="126" spans="2:70" ht="12.75">
      <c r="B126" s="88" t="s">
        <v>132</v>
      </c>
      <c r="D126" s="88" t="s">
        <v>34</v>
      </c>
      <c r="F126" s="90">
        <f t="shared" si="71"/>
        <v>934.9411453208814</v>
      </c>
      <c r="G126" s="86"/>
      <c r="H126" s="90">
        <f t="shared" si="71"/>
        <v>338.66641949172526</v>
      </c>
      <c r="I126" s="86"/>
      <c r="J126" s="90">
        <f t="shared" si="48"/>
        <v>330.57370929194667</v>
      </c>
      <c r="K126" s="86"/>
      <c r="L126" s="90">
        <f t="shared" si="49"/>
        <v>337.20490293594537</v>
      </c>
      <c r="M126" s="86"/>
      <c r="N126" s="90">
        <f t="shared" si="50"/>
        <v>74.20167820006994</v>
      </c>
      <c r="O126" s="86"/>
      <c r="P126" s="90">
        <f t="shared" si="51"/>
        <v>682.2648742187669</v>
      </c>
      <c r="Q126" s="86"/>
      <c r="R126" s="90">
        <f t="shared" si="52"/>
        <v>866.5524418332584</v>
      </c>
      <c r="S126" s="86"/>
      <c r="T126" s="90">
        <f t="shared" si="53"/>
        <v>8168.215852671686</v>
      </c>
      <c r="U126" s="86"/>
      <c r="V126" s="90">
        <f t="shared" si="54"/>
        <v>40563.5840827049</v>
      </c>
      <c r="W126" s="86"/>
      <c r="X126" s="90">
        <f t="shared" si="55"/>
        <v>21700.955035392104</v>
      </c>
      <c r="Y126" s="86"/>
      <c r="Z126" s="90">
        <f t="shared" si="56"/>
        <v>35143.51569657103</v>
      </c>
      <c r="AA126" s="86"/>
      <c r="AB126" s="90">
        <f t="shared" si="57"/>
        <v>35684.79069904664</v>
      </c>
      <c r="AC126" s="86"/>
      <c r="AD126" s="90">
        <f t="shared" si="58"/>
        <v>46994.396193377645</v>
      </c>
      <c r="AE126" s="86"/>
      <c r="AF126" s="90">
        <f t="shared" si="59"/>
        <v>47183.13708452677</v>
      </c>
      <c r="AG126" s="86"/>
      <c r="AH126" s="90">
        <f t="shared" si="60"/>
        <v>46055.657556693535</v>
      </c>
      <c r="AI126" s="86"/>
      <c r="AJ126" s="90">
        <f t="shared" si="61"/>
        <v>47470.59313175929</v>
      </c>
      <c r="AK126" s="86"/>
      <c r="AL126" s="90">
        <f t="shared" si="62"/>
        <v>0</v>
      </c>
      <c r="AM126" s="86"/>
      <c r="AN126" s="90">
        <f t="shared" si="63"/>
        <v>0</v>
      </c>
      <c r="AO126" s="86"/>
      <c r="AP126" s="90">
        <f t="shared" si="64"/>
        <v>0</v>
      </c>
      <c r="AQ126" s="86"/>
      <c r="AR126" s="90">
        <f t="shared" si="65"/>
        <v>0</v>
      </c>
      <c r="AT126" s="90">
        <f t="shared" si="66"/>
        <v>88567.12309960352</v>
      </c>
      <c r="AV126" s="90">
        <f t="shared" si="67"/>
        <v>69905.02341362937</v>
      </c>
      <c r="AX126" s="90">
        <f t="shared" si="68"/>
        <v>82396.29940438978</v>
      </c>
      <c r="AZ126" s="90">
        <f t="shared" si="69"/>
        <v>91660.80458641356</v>
      </c>
      <c r="BB126" s="90">
        <f t="shared" si="70"/>
        <v>83132.31262600906</v>
      </c>
      <c r="BD126" s="90">
        <f t="shared" si="72"/>
        <v>1009.1428235209514</v>
      </c>
      <c r="BF126" s="90">
        <f t="shared" si="72"/>
        <v>1020.9312937104921</v>
      </c>
      <c r="BH126" s="90">
        <f t="shared" si="72"/>
        <v>1197.126151125205</v>
      </c>
      <c r="BJ126" s="90">
        <f t="shared" si="72"/>
        <v>8505.42075560763</v>
      </c>
      <c r="BL126" s="90">
        <f t="shared" si="73"/>
        <v>46994.396193377645</v>
      </c>
      <c r="BN126" s="90">
        <f t="shared" si="74"/>
        <v>47183.13708452677</v>
      </c>
      <c r="BP126" s="90">
        <f t="shared" si="74"/>
        <v>46055.657556693535</v>
      </c>
      <c r="BR126" s="90">
        <f t="shared" si="74"/>
        <v>47470.59313175929</v>
      </c>
    </row>
    <row r="127" spans="2:70" ht="12.75">
      <c r="B127" s="88" t="s">
        <v>133</v>
      </c>
      <c r="D127" s="88" t="s">
        <v>34</v>
      </c>
      <c r="F127" s="90">
        <f t="shared" si="71"/>
        <v>42.872080737818195</v>
      </c>
      <c r="G127" s="86"/>
      <c r="H127" s="90">
        <f t="shared" si="71"/>
        <v>42.744305372742026</v>
      </c>
      <c r="I127" s="86"/>
      <c r="J127" s="90">
        <f t="shared" si="48"/>
        <v>41.72289534752724</v>
      </c>
      <c r="K127" s="86"/>
      <c r="L127" s="90">
        <f t="shared" si="49"/>
        <v>42.559842118129026</v>
      </c>
      <c r="M127" s="86"/>
      <c r="N127" s="90">
        <f t="shared" si="50"/>
        <v>9.893557093342661</v>
      </c>
      <c r="O127" s="86"/>
      <c r="P127" s="90">
        <f t="shared" si="51"/>
        <v>8.220058725527313</v>
      </c>
      <c r="Q127" s="86"/>
      <c r="R127" s="90">
        <f t="shared" si="52"/>
        <v>32.09453488271326</v>
      </c>
      <c r="S127" s="86"/>
      <c r="T127" s="90">
        <f t="shared" si="53"/>
        <v>178.42395349523318</v>
      </c>
      <c r="U127" s="86"/>
      <c r="V127" s="90">
        <f t="shared" si="54"/>
        <v>713.9850369028953</v>
      </c>
      <c r="W127" s="86"/>
      <c r="X127" s="90">
        <f t="shared" si="55"/>
        <v>692.1289446893998</v>
      </c>
      <c r="Y127" s="86"/>
      <c r="Z127" s="90">
        <f t="shared" si="56"/>
        <v>715.708127884506</v>
      </c>
      <c r="AA127" s="86"/>
      <c r="AB127" s="90">
        <f t="shared" si="57"/>
        <v>617.1177107128708</v>
      </c>
      <c r="AC127" s="86"/>
      <c r="AD127" s="90">
        <f t="shared" si="58"/>
        <v>1962.222156846294</v>
      </c>
      <c r="AE127" s="86"/>
      <c r="AF127" s="90">
        <f t="shared" si="59"/>
        <v>1972.8140941265547</v>
      </c>
      <c r="AG127" s="86"/>
      <c r="AH127" s="90">
        <f t="shared" si="60"/>
        <v>1925.672092962796</v>
      </c>
      <c r="AI127" s="86"/>
      <c r="AJ127" s="90">
        <f t="shared" si="61"/>
        <v>1980.6695754975428</v>
      </c>
      <c r="AK127" s="86"/>
      <c r="AL127" s="90">
        <f t="shared" si="62"/>
        <v>0</v>
      </c>
      <c r="AM127" s="86"/>
      <c r="AN127" s="90">
        <f t="shared" si="63"/>
        <v>0</v>
      </c>
      <c r="AO127" s="86"/>
      <c r="AP127" s="90">
        <f t="shared" si="64"/>
        <v>0</v>
      </c>
      <c r="AQ127" s="86"/>
      <c r="AR127" s="90">
        <f t="shared" si="65"/>
        <v>0</v>
      </c>
      <c r="AT127" s="90">
        <f t="shared" si="66"/>
        <v>2728.97283158035</v>
      </c>
      <c r="AV127" s="90">
        <f t="shared" si="67"/>
        <v>2715.907402914224</v>
      </c>
      <c r="AX127" s="90">
        <f t="shared" si="68"/>
        <v>2715.197651077542</v>
      </c>
      <c r="AZ127" s="90">
        <f t="shared" si="69"/>
        <v>2818.7710818237756</v>
      </c>
      <c r="BB127" s="90">
        <f t="shared" si="70"/>
        <v>2744.712241848973</v>
      </c>
      <c r="BD127" s="90">
        <f t="shared" si="72"/>
        <v>52.76563783116086</v>
      </c>
      <c r="BF127" s="90">
        <f t="shared" si="72"/>
        <v>50.96436409826934</v>
      </c>
      <c r="BH127" s="90">
        <f t="shared" si="72"/>
        <v>73.8174302302405</v>
      </c>
      <c r="BJ127" s="90">
        <f t="shared" si="72"/>
        <v>220.9837956133622</v>
      </c>
      <c r="BL127" s="90">
        <f t="shared" si="73"/>
        <v>1962.222156846294</v>
      </c>
      <c r="BN127" s="90">
        <f t="shared" si="74"/>
        <v>1972.8140941265547</v>
      </c>
      <c r="BP127" s="90">
        <f t="shared" si="74"/>
        <v>1925.672092962796</v>
      </c>
      <c r="BR127" s="90">
        <f t="shared" si="74"/>
        <v>1980.6695754975428</v>
      </c>
    </row>
    <row r="128" spans="2:70" ht="12.75">
      <c r="B128" s="88" t="s">
        <v>134</v>
      </c>
      <c r="D128" s="88" t="s">
        <v>34</v>
      </c>
      <c r="F128" s="90">
        <f t="shared" si="71"/>
        <v>42.872080737818195</v>
      </c>
      <c r="G128" s="86"/>
      <c r="H128" s="90">
        <f t="shared" si="71"/>
        <v>42.744305372742026</v>
      </c>
      <c r="I128" s="86"/>
      <c r="J128" s="90">
        <f t="shared" si="48"/>
        <v>41.72289534752724</v>
      </c>
      <c r="K128" s="86"/>
      <c r="L128" s="90">
        <f t="shared" si="49"/>
        <v>42.559842118129026</v>
      </c>
      <c r="M128" s="86"/>
      <c r="N128" s="90">
        <f t="shared" si="50"/>
        <v>9.893557093342661</v>
      </c>
      <c r="O128" s="86"/>
      <c r="P128" s="90">
        <f t="shared" si="51"/>
        <v>34.5242466472147</v>
      </c>
      <c r="Q128" s="86"/>
      <c r="R128" s="90">
        <f t="shared" si="52"/>
        <v>67.39852325369785</v>
      </c>
      <c r="S128" s="86"/>
      <c r="T128" s="90">
        <f t="shared" si="53"/>
        <v>1581.2618263889476</v>
      </c>
      <c r="U128" s="86"/>
      <c r="V128" s="90">
        <f t="shared" si="54"/>
        <v>1137.759065734406</v>
      </c>
      <c r="W128" s="86"/>
      <c r="X128" s="90">
        <f t="shared" si="55"/>
        <v>1206.7046209074097</v>
      </c>
      <c r="Y128" s="86"/>
      <c r="Z128" s="90">
        <f t="shared" si="56"/>
        <v>1142.5654418245922</v>
      </c>
      <c r="AA128" s="86"/>
      <c r="AB128" s="90">
        <f t="shared" si="57"/>
        <v>1080.36522299866</v>
      </c>
      <c r="AC128" s="86"/>
      <c r="AD128" s="90">
        <f t="shared" si="58"/>
        <v>1564.830946930364</v>
      </c>
      <c r="AE128" s="86"/>
      <c r="AF128" s="90">
        <f t="shared" si="59"/>
        <v>1573.3192400659275</v>
      </c>
      <c r="AG128" s="86"/>
      <c r="AH128" s="90">
        <f t="shared" si="60"/>
        <v>1537.3282208819655</v>
      </c>
      <c r="AI128" s="86"/>
      <c r="AJ128" s="90">
        <f t="shared" si="61"/>
        <v>1582.8987433934908</v>
      </c>
      <c r="AK128" s="86"/>
      <c r="AL128" s="90">
        <f t="shared" si="62"/>
        <v>0</v>
      </c>
      <c r="AM128" s="86"/>
      <c r="AN128" s="90">
        <f t="shared" si="63"/>
        <v>0</v>
      </c>
      <c r="AO128" s="86"/>
      <c r="AP128" s="90">
        <f t="shared" si="64"/>
        <v>0</v>
      </c>
      <c r="AQ128" s="86"/>
      <c r="AR128" s="90">
        <f t="shared" si="65"/>
        <v>0</v>
      </c>
      <c r="AT128" s="90">
        <f t="shared" si="66"/>
        <v>2755.355650495931</v>
      </c>
      <c r="AV128" s="90">
        <f t="shared" si="67"/>
        <v>2857.2924129932935</v>
      </c>
      <c r="AX128" s="90">
        <f t="shared" si="68"/>
        <v>2789.015081307783</v>
      </c>
      <c r="AZ128" s="90">
        <f t="shared" si="69"/>
        <v>4287.085634899227</v>
      </c>
      <c r="BB128" s="90">
        <f t="shared" si="70"/>
        <v>3172.187194924059</v>
      </c>
      <c r="BD128" s="90">
        <f t="shared" si="72"/>
        <v>52.76563783116086</v>
      </c>
      <c r="BF128" s="90">
        <f t="shared" si="72"/>
        <v>77.26855201995673</v>
      </c>
      <c r="BH128" s="90">
        <f t="shared" si="72"/>
        <v>109.12141860122509</v>
      </c>
      <c r="BJ128" s="90">
        <f t="shared" si="72"/>
        <v>1623.8216685070765</v>
      </c>
      <c r="BL128" s="90">
        <f t="shared" si="73"/>
        <v>1564.830946930364</v>
      </c>
      <c r="BN128" s="90">
        <f t="shared" si="74"/>
        <v>1573.3192400659275</v>
      </c>
      <c r="BP128" s="90">
        <f t="shared" si="74"/>
        <v>1537.3282208819655</v>
      </c>
      <c r="BR128" s="90">
        <f t="shared" si="74"/>
        <v>1582.8987433934908</v>
      </c>
    </row>
    <row r="129" spans="2:70" ht="12.75">
      <c r="B129" s="88" t="s">
        <v>135</v>
      </c>
      <c r="D129" s="88" t="s">
        <v>34</v>
      </c>
      <c r="F129" s="90">
        <f t="shared" si="71"/>
        <v>85.74416147563639</v>
      </c>
      <c r="G129" s="86"/>
      <c r="H129" s="90">
        <f t="shared" si="71"/>
        <v>85.48861074548405</v>
      </c>
      <c r="I129" s="86"/>
      <c r="J129" s="90">
        <f t="shared" si="48"/>
        <v>83.44579069505448</v>
      </c>
      <c r="K129" s="86"/>
      <c r="L129" s="90">
        <f t="shared" si="49"/>
        <v>85.11968423625805</v>
      </c>
      <c r="M129" s="86"/>
      <c r="N129" s="90">
        <f t="shared" si="50"/>
        <v>18.138188004461547</v>
      </c>
      <c r="O129" s="86"/>
      <c r="P129" s="90">
        <f t="shared" si="51"/>
        <v>16.440117451054626</v>
      </c>
      <c r="Q129" s="86"/>
      <c r="R129" s="90">
        <f t="shared" si="52"/>
        <v>16.04726744135663</v>
      </c>
      <c r="S129" s="86"/>
      <c r="T129" s="90">
        <f t="shared" si="53"/>
        <v>18.006087049977666</v>
      </c>
      <c r="U129" s="86"/>
      <c r="V129" s="90">
        <f t="shared" si="54"/>
        <v>648.0279896139443</v>
      </c>
      <c r="W129" s="86"/>
      <c r="X129" s="90">
        <f t="shared" si="55"/>
        <v>692.1289446893998</v>
      </c>
      <c r="Y129" s="86"/>
      <c r="Z129" s="90">
        <f t="shared" si="56"/>
        <v>654.7285116073509</v>
      </c>
      <c r="AA129" s="86"/>
      <c r="AB129" s="90">
        <f t="shared" si="57"/>
        <v>617.1177107128708</v>
      </c>
      <c r="AC129" s="86"/>
      <c r="AD129" s="90">
        <f t="shared" si="58"/>
        <v>3907.9550518703504</v>
      </c>
      <c r="AE129" s="86"/>
      <c r="AF129" s="90">
        <f t="shared" si="59"/>
        <v>3929.1880708020553</v>
      </c>
      <c r="AG129" s="86"/>
      <c r="AH129" s="90">
        <f t="shared" si="60"/>
        <v>3835.2969184842354</v>
      </c>
      <c r="AI129" s="86"/>
      <c r="AJ129" s="90">
        <f t="shared" si="61"/>
        <v>3961.3391509950857</v>
      </c>
      <c r="AK129" s="86"/>
      <c r="AL129" s="90">
        <f t="shared" si="62"/>
        <v>0</v>
      </c>
      <c r="AM129" s="86"/>
      <c r="AN129" s="90">
        <f t="shared" si="63"/>
        <v>0</v>
      </c>
      <c r="AO129" s="86"/>
      <c r="AP129" s="90">
        <f t="shared" si="64"/>
        <v>0</v>
      </c>
      <c r="AQ129" s="86"/>
      <c r="AR129" s="90">
        <f t="shared" si="65"/>
        <v>0</v>
      </c>
      <c r="AT129" s="90">
        <f t="shared" si="66"/>
        <v>4659.865390964393</v>
      </c>
      <c r="AV129" s="90">
        <f t="shared" si="67"/>
        <v>4723.245743687994</v>
      </c>
      <c r="AX129" s="90">
        <f t="shared" si="68"/>
        <v>4589.518488227998</v>
      </c>
      <c r="AZ129" s="90">
        <f t="shared" si="69"/>
        <v>4681.582632994192</v>
      </c>
      <c r="BB129" s="90">
        <f t="shared" si="70"/>
        <v>4663.553063968644</v>
      </c>
      <c r="BD129" s="90">
        <f t="shared" si="72"/>
        <v>103.88234948009793</v>
      </c>
      <c r="BF129" s="90">
        <f t="shared" si="72"/>
        <v>101.92872819653869</v>
      </c>
      <c r="BH129" s="90">
        <f t="shared" si="72"/>
        <v>99.49305813641112</v>
      </c>
      <c r="BJ129" s="90">
        <f t="shared" si="72"/>
        <v>103.12577128623572</v>
      </c>
      <c r="BL129" s="90">
        <f t="shared" si="73"/>
        <v>3907.9550518703504</v>
      </c>
      <c r="BN129" s="90">
        <f t="shared" si="74"/>
        <v>3929.1880708020553</v>
      </c>
      <c r="BP129" s="90">
        <f t="shared" si="74"/>
        <v>3835.2969184842354</v>
      </c>
      <c r="BR129" s="90">
        <f t="shared" si="74"/>
        <v>3961.3391509950857</v>
      </c>
    </row>
    <row r="130" spans="2:70" ht="12.75">
      <c r="B130" s="88" t="s">
        <v>35</v>
      </c>
      <c r="D130" s="88" t="s">
        <v>34</v>
      </c>
      <c r="F130" s="90">
        <f>F124+F122</f>
        <v>3482.532096856616</v>
      </c>
      <c r="G130" s="86"/>
      <c r="H130" s="90">
        <f>H124+H122</f>
        <v>932.1546594747971</v>
      </c>
      <c r="I130" s="86"/>
      <c r="J130" s="90">
        <f>J124+J122</f>
        <v>909.8800639249212</v>
      </c>
      <c r="K130" s="86"/>
      <c r="L130" s="90">
        <f>L124+L122</f>
        <v>928.1319415761216</v>
      </c>
      <c r="M130" s="86"/>
      <c r="N130" s="90">
        <f>N124+N122</f>
        <v>504.57141176047566</v>
      </c>
      <c r="O130" s="86"/>
      <c r="P130" s="90">
        <f>P124+P122</f>
        <v>1581.5392987914547</v>
      </c>
      <c r="Q130" s="86"/>
      <c r="R130" s="90">
        <f>R124+R122</f>
        <v>1691.3819883189894</v>
      </c>
      <c r="S130" s="86"/>
      <c r="T130" s="90">
        <f>T124+T122</f>
        <v>31135.798343420473</v>
      </c>
      <c r="U130" s="86"/>
      <c r="V130" s="90">
        <f>V124+V122</f>
        <v>29763.117589139165</v>
      </c>
      <c r="W130" s="86"/>
      <c r="X130" s="90">
        <f>X124+X122</f>
        <v>6937.7295643450525</v>
      </c>
      <c r="Y130" s="86"/>
      <c r="Z130" s="90">
        <f>Z124+Z122</f>
        <v>19449.288138924243</v>
      </c>
      <c r="AA130" s="86"/>
      <c r="AB130" s="90">
        <f>AB124+AB122</f>
        <v>16009.048304434687</v>
      </c>
      <c r="AC130" s="86"/>
      <c r="AD130" s="90">
        <f>AD124+AD122</f>
        <v>46202.91162591022</v>
      </c>
      <c r="AE130" s="86"/>
      <c r="AF130" s="90">
        <f>AF124+AF122</f>
        <v>46426.89168177826</v>
      </c>
      <c r="AG130" s="86"/>
      <c r="AH130" s="90">
        <f>AH124+AH122</f>
        <v>45317.48325439114</v>
      </c>
      <c r="AI130" s="86"/>
      <c r="AJ130" s="90">
        <f>AJ124+AJ122</f>
        <v>46733.98047971475</v>
      </c>
      <c r="AK130" s="86"/>
      <c r="AL130" s="90">
        <f>AL124+AL122</f>
        <v>0</v>
      </c>
      <c r="AM130" s="86"/>
      <c r="AN130" s="90">
        <f>AN124+AN122</f>
        <v>0</v>
      </c>
      <c r="AO130" s="86"/>
      <c r="AP130" s="90">
        <f>AP124+AP122</f>
        <v>0</v>
      </c>
      <c r="AQ130" s="86"/>
      <c r="AR130" s="90">
        <f>AR124+AR122</f>
        <v>0</v>
      </c>
      <c r="AT130" s="90">
        <f t="shared" si="66"/>
        <v>79953.1327236665</v>
      </c>
      <c r="AV130" s="90">
        <f t="shared" si="67"/>
        <v>55878.31520438956</v>
      </c>
      <c r="AX130" s="90">
        <f t="shared" si="68"/>
        <v>67368.0334455593</v>
      </c>
      <c r="AZ130" s="90">
        <f t="shared" si="69"/>
        <v>94806.95906914603</v>
      </c>
      <c r="BB130" s="90">
        <f t="shared" si="70"/>
        <v>74501.61011069035</v>
      </c>
      <c r="BD130" s="90">
        <f t="shared" si="72"/>
        <v>3987.103508617092</v>
      </c>
      <c r="BF130" s="90">
        <f t="shared" si="72"/>
        <v>2513.6939582662517</v>
      </c>
      <c r="BH130" s="90">
        <f t="shared" si="72"/>
        <v>2601.2620522439106</v>
      </c>
      <c r="BJ130" s="90">
        <f t="shared" si="72"/>
        <v>32063.930284996593</v>
      </c>
      <c r="BL130" s="90">
        <f t="shared" si="73"/>
        <v>46202.91162591022</v>
      </c>
      <c r="BN130" s="90">
        <f t="shared" si="74"/>
        <v>46426.89168177826</v>
      </c>
      <c r="BP130" s="90">
        <f t="shared" si="74"/>
        <v>45317.48325439114</v>
      </c>
      <c r="BR130" s="90">
        <f t="shared" si="74"/>
        <v>46733.98047971475</v>
      </c>
    </row>
    <row r="131" spans="2:70" ht="12.75">
      <c r="B131" s="88" t="s">
        <v>36</v>
      </c>
      <c r="D131" s="88" t="s">
        <v>34</v>
      </c>
      <c r="F131" s="90">
        <f>F119+F121+F123</f>
        <v>527.6563783116086</v>
      </c>
      <c r="G131" s="86"/>
      <c r="H131" s="90">
        <f>H119+H121+H123</f>
        <v>552.3879463554354</v>
      </c>
      <c r="I131" s="86"/>
      <c r="J131" s="90">
        <f>J119+J121+J123</f>
        <v>539.1881860295829</v>
      </c>
      <c r="K131" s="86"/>
      <c r="L131" s="90">
        <f>L119+L121+L123</f>
        <v>550.0041135265905</v>
      </c>
      <c r="M131" s="86"/>
      <c r="N131" s="90">
        <f>N119+N121+N123</f>
        <v>122.02053748455948</v>
      </c>
      <c r="O131" s="86"/>
      <c r="P131" s="90">
        <f>P119+P121+P123</f>
        <v>581.9801577673336</v>
      </c>
      <c r="Q131" s="86"/>
      <c r="R131" s="90">
        <f>R119+R121+R123</f>
        <v>802.3633720678317</v>
      </c>
      <c r="S131" s="86"/>
      <c r="T131" s="90">
        <f>T119+T121+T123</f>
        <v>9453.195701238272</v>
      </c>
      <c r="U131" s="86"/>
      <c r="V131" s="90">
        <f>V119+V121+V123</f>
        <v>52259.41749321816</v>
      </c>
      <c r="W131" s="86"/>
      <c r="X131" s="90">
        <f>X119+X121+X123</f>
        <v>40904.656229969005</v>
      </c>
      <c r="Y131" s="86"/>
      <c r="Z131" s="90">
        <f>Z119+Z121+Z123</f>
        <v>58408.844033049885</v>
      </c>
      <c r="AA131" s="86"/>
      <c r="AB131" s="90">
        <f>AB119+AB121+AB123</f>
        <v>55355.62234264497</v>
      </c>
      <c r="AC131" s="86"/>
      <c r="AD131" s="90">
        <f>AD119+AD121+AD123</f>
        <v>41135.76146793656</v>
      </c>
      <c r="AE131" s="86"/>
      <c r="AF131" s="90">
        <f>AF119+AF121+AF123</f>
        <v>41360.047483363225</v>
      </c>
      <c r="AG131" s="86"/>
      <c r="AH131" s="90">
        <f>AH119+AH121+AH123</f>
        <v>40371.71542896502</v>
      </c>
      <c r="AI131" s="86"/>
      <c r="AJ131" s="90">
        <f>AJ119+AJ121+AJ123</f>
        <v>41689.00227171193</v>
      </c>
      <c r="AK131" s="86"/>
      <c r="AL131" s="90">
        <f>AL119+AL121+AL123</f>
        <v>0</v>
      </c>
      <c r="AM131" s="86"/>
      <c r="AN131" s="90">
        <f>AN119+AN121+AN123</f>
        <v>0</v>
      </c>
      <c r="AO131" s="86"/>
      <c r="AP131" s="90">
        <f>AP119+AP121+AP123</f>
        <v>0</v>
      </c>
      <c r="AQ131" s="86"/>
      <c r="AR131" s="90">
        <f>AR119+AR121+AR123</f>
        <v>0</v>
      </c>
      <c r="AT131" s="90">
        <f t="shared" si="66"/>
        <v>94044.85587695088</v>
      </c>
      <c r="AV131" s="90">
        <f t="shared" si="67"/>
        <v>83399.071817455</v>
      </c>
      <c r="AX131" s="90">
        <f t="shared" si="68"/>
        <v>100122.11102011232</v>
      </c>
      <c r="AZ131" s="90">
        <f t="shared" si="69"/>
        <v>107047.82442912177</v>
      </c>
      <c r="BB131" s="90">
        <f t="shared" si="70"/>
        <v>96153.46578591</v>
      </c>
      <c r="BD131" s="90">
        <f t="shared" si="72"/>
        <v>649.676915796168</v>
      </c>
      <c r="BF131" s="90">
        <f t="shared" si="72"/>
        <v>1134.368104122769</v>
      </c>
      <c r="BH131" s="90">
        <f t="shared" si="72"/>
        <v>1341.5515580974147</v>
      </c>
      <c r="BJ131" s="90">
        <f t="shared" si="72"/>
        <v>10003.199814764863</v>
      </c>
      <c r="BL131" s="90">
        <f t="shared" si="73"/>
        <v>41135.76146793656</v>
      </c>
      <c r="BN131" s="90">
        <f t="shared" si="74"/>
        <v>41360.047483363225</v>
      </c>
      <c r="BP131" s="90">
        <f t="shared" si="74"/>
        <v>40371.71542896502</v>
      </c>
      <c r="BR131" s="90">
        <f t="shared" si="74"/>
        <v>41689.00227171193</v>
      </c>
    </row>
    <row r="132" spans="6:44" ht="12.75"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</row>
    <row r="133" spans="6:44" ht="12.75"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</row>
    <row r="134" spans="2:70" ht="12.75">
      <c r="B134" s="13" t="s">
        <v>200</v>
      </c>
      <c r="C134" s="13"/>
      <c r="D134" s="13"/>
      <c r="F134" s="100" t="s">
        <v>181</v>
      </c>
      <c r="G134" s="100"/>
      <c r="H134" s="100" t="s">
        <v>182</v>
      </c>
      <c r="I134" s="100"/>
      <c r="J134" s="100" t="s">
        <v>183</v>
      </c>
      <c r="K134" s="100"/>
      <c r="L134" s="100" t="s">
        <v>201</v>
      </c>
      <c r="M134" s="100"/>
      <c r="N134" s="100" t="s">
        <v>181</v>
      </c>
      <c r="O134" s="100"/>
      <c r="P134" s="100" t="s">
        <v>182</v>
      </c>
      <c r="Q134" s="100"/>
      <c r="R134" s="100" t="s">
        <v>183</v>
      </c>
      <c r="S134" s="100"/>
      <c r="T134" s="100" t="s">
        <v>201</v>
      </c>
      <c r="U134" s="100"/>
      <c r="V134" s="100" t="s">
        <v>181</v>
      </c>
      <c r="W134" s="100"/>
      <c r="X134" s="100" t="s">
        <v>182</v>
      </c>
      <c r="Y134" s="100"/>
      <c r="Z134" s="100" t="s">
        <v>183</v>
      </c>
      <c r="AA134" s="100"/>
      <c r="AB134" s="100" t="s">
        <v>201</v>
      </c>
      <c r="AC134" s="100"/>
      <c r="AD134" s="100" t="s">
        <v>181</v>
      </c>
      <c r="AE134" s="100"/>
      <c r="AF134" s="100" t="s">
        <v>182</v>
      </c>
      <c r="AG134" s="100"/>
      <c r="AH134" s="100" t="s">
        <v>183</v>
      </c>
      <c r="AI134" s="100"/>
      <c r="AJ134" s="100" t="s">
        <v>201</v>
      </c>
      <c r="AK134" s="100"/>
      <c r="AL134" s="100" t="s">
        <v>181</v>
      </c>
      <c r="AM134" s="100"/>
      <c r="AN134" s="100" t="s">
        <v>182</v>
      </c>
      <c r="AO134" s="100"/>
      <c r="AP134" s="100" t="s">
        <v>183</v>
      </c>
      <c r="AQ134" s="100"/>
      <c r="AR134" s="100" t="s">
        <v>201</v>
      </c>
      <c r="AS134" s="100"/>
      <c r="AT134" s="100" t="s">
        <v>181</v>
      </c>
      <c r="AU134" s="100"/>
      <c r="AV134" s="100" t="s">
        <v>182</v>
      </c>
      <c r="AW134" s="100"/>
      <c r="AX134" s="100" t="s">
        <v>183</v>
      </c>
      <c r="AY134" s="100"/>
      <c r="AZ134" s="100" t="s">
        <v>201</v>
      </c>
      <c r="BA134" s="100"/>
      <c r="BB134" s="100" t="s">
        <v>180</v>
      </c>
      <c r="BD134" s="100" t="s">
        <v>181</v>
      </c>
      <c r="BE134" s="100"/>
      <c r="BF134" s="100" t="s">
        <v>182</v>
      </c>
      <c r="BG134" s="100"/>
      <c r="BH134" s="100" t="s">
        <v>183</v>
      </c>
      <c r="BI134" s="100"/>
      <c r="BJ134" s="100" t="s">
        <v>201</v>
      </c>
      <c r="BL134" s="100" t="s">
        <v>181</v>
      </c>
      <c r="BM134" s="100"/>
      <c r="BN134" s="100" t="s">
        <v>182</v>
      </c>
      <c r="BO134" s="100"/>
      <c r="BP134" s="100" t="s">
        <v>183</v>
      </c>
      <c r="BQ134" s="100"/>
      <c r="BR134" s="100" t="s">
        <v>201</v>
      </c>
    </row>
    <row r="135" spans="2:54" ht="12.75">
      <c r="B135" s="13"/>
      <c r="C135" s="13"/>
      <c r="D135" s="13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</row>
    <row r="136" spans="2:54" ht="12.75">
      <c r="B136" s="8" t="s">
        <v>240</v>
      </c>
      <c r="C136" s="8"/>
      <c r="D136" s="13"/>
      <c r="E136" s="13"/>
      <c r="F136" s="100" t="s">
        <v>270</v>
      </c>
      <c r="G136" s="100"/>
      <c r="H136" s="100" t="s">
        <v>270</v>
      </c>
      <c r="I136" s="100"/>
      <c r="J136" s="100" t="s">
        <v>270</v>
      </c>
      <c r="K136" s="100"/>
      <c r="L136" s="100" t="s">
        <v>270</v>
      </c>
      <c r="M136" s="100"/>
      <c r="N136" s="100" t="s">
        <v>272</v>
      </c>
      <c r="O136" s="100"/>
      <c r="P136" s="100" t="s">
        <v>272</v>
      </c>
      <c r="Q136" s="100"/>
      <c r="R136" s="100" t="s">
        <v>272</v>
      </c>
      <c r="S136" s="100"/>
      <c r="T136" s="100" t="s">
        <v>272</v>
      </c>
      <c r="U136" s="100"/>
      <c r="V136" s="100" t="s">
        <v>274</v>
      </c>
      <c r="W136" s="100"/>
      <c r="X136" s="100" t="s">
        <v>274</v>
      </c>
      <c r="Y136" s="100"/>
      <c r="Z136" s="100" t="s">
        <v>274</v>
      </c>
      <c r="AA136" s="100"/>
      <c r="AB136" s="100" t="s">
        <v>274</v>
      </c>
      <c r="AC136" s="100"/>
      <c r="AD136" s="100" t="s">
        <v>275</v>
      </c>
      <c r="AE136" s="100"/>
      <c r="AF136" s="100" t="s">
        <v>275</v>
      </c>
      <c r="AG136" s="100"/>
      <c r="AH136" s="100" t="s">
        <v>275</v>
      </c>
      <c r="AI136" s="100"/>
      <c r="AJ136" s="100" t="s">
        <v>275</v>
      </c>
      <c r="AK136" s="100"/>
      <c r="AL136" s="100" t="s">
        <v>276</v>
      </c>
      <c r="AM136" s="100"/>
      <c r="AN136" s="100" t="s">
        <v>276</v>
      </c>
      <c r="AO136" s="100"/>
      <c r="AP136" s="100" t="s">
        <v>276</v>
      </c>
      <c r="AQ136" s="100"/>
      <c r="AR136" s="100" t="s">
        <v>276</v>
      </c>
      <c r="AS136" s="100"/>
      <c r="AT136" s="100" t="s">
        <v>277</v>
      </c>
      <c r="AU136" s="100"/>
      <c r="AV136" s="100" t="s">
        <v>277</v>
      </c>
      <c r="AW136" s="100"/>
      <c r="AX136" s="100" t="s">
        <v>277</v>
      </c>
      <c r="AY136" s="100"/>
      <c r="AZ136" s="100" t="s">
        <v>277</v>
      </c>
      <c r="BA136" s="100"/>
      <c r="BB136" s="100" t="s">
        <v>277</v>
      </c>
    </row>
    <row r="137" spans="2:54" ht="12.75">
      <c r="B137" s="8" t="s">
        <v>241</v>
      </c>
      <c r="C137" s="8"/>
      <c r="F137" s="88" t="s">
        <v>269</v>
      </c>
      <c r="H137" s="88" t="s">
        <v>269</v>
      </c>
      <c r="J137" s="88" t="s">
        <v>269</v>
      </c>
      <c r="L137" s="88" t="s">
        <v>269</v>
      </c>
      <c r="N137" s="88" t="s">
        <v>271</v>
      </c>
      <c r="P137" s="88" t="s">
        <v>271</v>
      </c>
      <c r="R137" s="88" t="s">
        <v>271</v>
      </c>
      <c r="T137" s="88" t="s">
        <v>271</v>
      </c>
      <c r="V137" s="88" t="s">
        <v>273</v>
      </c>
      <c r="X137" s="88" t="s">
        <v>273</v>
      </c>
      <c r="Z137" s="88" t="s">
        <v>273</v>
      </c>
      <c r="AB137" s="88" t="s">
        <v>273</v>
      </c>
      <c r="AD137" s="88" t="s">
        <v>33</v>
      </c>
      <c r="AF137" s="88" t="s">
        <v>33</v>
      </c>
      <c r="AH137" s="88" t="s">
        <v>33</v>
      </c>
      <c r="AJ137" s="88" t="s">
        <v>33</v>
      </c>
      <c r="AL137" s="88" t="s">
        <v>33</v>
      </c>
      <c r="AN137" s="88" t="s">
        <v>33</v>
      </c>
      <c r="AP137" s="88" t="s">
        <v>33</v>
      </c>
      <c r="AR137" s="88" t="s">
        <v>33</v>
      </c>
      <c r="AT137" s="88" t="s">
        <v>66</v>
      </c>
      <c r="AV137" s="88" t="s">
        <v>66</v>
      </c>
      <c r="AX137" s="88" t="s">
        <v>66</v>
      </c>
      <c r="AZ137" s="88" t="s">
        <v>66</v>
      </c>
      <c r="BB137" s="88" t="s">
        <v>66</v>
      </c>
    </row>
    <row r="138" spans="2:70" ht="12.75">
      <c r="B138" s="8" t="s">
        <v>278</v>
      </c>
      <c r="C138" s="8"/>
      <c r="V138" s="100" t="s">
        <v>279</v>
      </c>
      <c r="X138" s="100" t="s">
        <v>279</v>
      </c>
      <c r="Z138" s="100" t="s">
        <v>279</v>
      </c>
      <c r="AB138" s="100" t="s">
        <v>279</v>
      </c>
      <c r="AT138" s="88" t="s">
        <v>66</v>
      </c>
      <c r="AV138" s="88" t="s">
        <v>66</v>
      </c>
      <c r="AX138" s="88" t="s">
        <v>66</v>
      </c>
      <c r="AZ138" s="88" t="s">
        <v>66</v>
      </c>
      <c r="BB138" s="88" t="s">
        <v>66</v>
      </c>
      <c r="BD138" s="88" t="s">
        <v>40</v>
      </c>
      <c r="BF138" s="88" t="s">
        <v>40</v>
      </c>
      <c r="BH138" s="88" t="s">
        <v>40</v>
      </c>
      <c r="BJ138" s="88" t="s">
        <v>40</v>
      </c>
      <c r="BL138" s="88" t="s">
        <v>33</v>
      </c>
      <c r="BN138" s="88" t="s">
        <v>33</v>
      </c>
      <c r="BP138" s="88" t="s">
        <v>33</v>
      </c>
      <c r="BR138" s="88" t="s">
        <v>33</v>
      </c>
    </row>
    <row r="139" spans="2:54" ht="12.75">
      <c r="B139" s="8" t="s">
        <v>20</v>
      </c>
      <c r="C139" s="8"/>
      <c r="F139" s="88" t="s">
        <v>206</v>
      </c>
      <c r="H139" s="88" t="s">
        <v>206</v>
      </c>
      <c r="J139" s="88" t="s">
        <v>206</v>
      </c>
      <c r="L139" s="88" t="s">
        <v>206</v>
      </c>
      <c r="N139" s="88" t="s">
        <v>207</v>
      </c>
      <c r="P139" s="88" t="s">
        <v>207</v>
      </c>
      <c r="R139" s="88" t="s">
        <v>207</v>
      </c>
      <c r="T139" s="88" t="s">
        <v>207</v>
      </c>
      <c r="V139" s="88" t="s">
        <v>208</v>
      </c>
      <c r="X139" s="88" t="s">
        <v>208</v>
      </c>
      <c r="Z139" s="88" t="s">
        <v>208</v>
      </c>
      <c r="AB139" s="88" t="s">
        <v>208</v>
      </c>
      <c r="AD139" s="88" t="s">
        <v>209</v>
      </c>
      <c r="AF139" s="88" t="s">
        <v>209</v>
      </c>
      <c r="AH139" s="88" t="s">
        <v>209</v>
      </c>
      <c r="AJ139" s="88" t="s">
        <v>209</v>
      </c>
      <c r="AL139" s="88" t="s">
        <v>210</v>
      </c>
      <c r="AN139" s="88" t="s">
        <v>210</v>
      </c>
      <c r="AP139" s="88" t="s">
        <v>210</v>
      </c>
      <c r="AR139" s="88" t="s">
        <v>210</v>
      </c>
      <c r="AT139" s="88" t="s">
        <v>66</v>
      </c>
      <c r="AV139" s="88" t="s">
        <v>66</v>
      </c>
      <c r="AX139" s="88" t="s">
        <v>66</v>
      </c>
      <c r="AZ139" s="88" t="s">
        <v>66</v>
      </c>
      <c r="BB139" s="88" t="s">
        <v>66</v>
      </c>
    </row>
    <row r="140" spans="1:44" ht="12.75">
      <c r="A140" s="88" t="s">
        <v>200</v>
      </c>
      <c r="B140" s="88" t="s">
        <v>65</v>
      </c>
      <c r="D140" s="88" t="s">
        <v>28</v>
      </c>
      <c r="F140" s="86">
        <v>5306</v>
      </c>
      <c r="G140" s="86"/>
      <c r="H140" s="86">
        <v>5306</v>
      </c>
      <c r="I140" s="86"/>
      <c r="J140" s="86">
        <v>5358</v>
      </c>
      <c r="K140" s="86"/>
      <c r="L140" s="86"/>
      <c r="M140" s="86"/>
      <c r="N140" s="86">
        <v>1136</v>
      </c>
      <c r="O140" s="86"/>
      <c r="P140" s="86">
        <v>842</v>
      </c>
      <c r="Q140" s="86"/>
      <c r="R140" s="86"/>
      <c r="S140" s="86"/>
      <c r="T140" s="86"/>
      <c r="U140" s="86"/>
      <c r="V140" s="86">
        <v>52000</v>
      </c>
      <c r="W140" s="86"/>
      <c r="X140" s="86">
        <v>52000</v>
      </c>
      <c r="Y140" s="86"/>
      <c r="Z140" s="86">
        <v>54000</v>
      </c>
      <c r="AA140" s="86"/>
      <c r="AB140" s="86"/>
      <c r="AC140" s="86"/>
      <c r="AD140" s="86">
        <v>104.76</v>
      </c>
      <c r="AE140" s="86"/>
      <c r="AF140" s="86">
        <v>108.72</v>
      </c>
      <c r="AG140" s="86"/>
      <c r="AH140" s="86">
        <v>105.6</v>
      </c>
      <c r="AI140" s="86"/>
      <c r="AJ140" s="86"/>
      <c r="AK140" s="86"/>
      <c r="AL140" s="86">
        <v>265.8</v>
      </c>
      <c r="AM140" s="86"/>
      <c r="AN140" s="86">
        <v>389.16</v>
      </c>
      <c r="AO140" s="86"/>
      <c r="AP140" s="86">
        <v>512.76</v>
      </c>
      <c r="AQ140" s="86"/>
      <c r="AR140" s="86"/>
    </row>
    <row r="141" spans="1:44" ht="12.75">
      <c r="A141" s="88" t="s">
        <v>200</v>
      </c>
      <c r="B141" s="88" t="s">
        <v>21</v>
      </c>
      <c r="D141" s="88" t="s">
        <v>22</v>
      </c>
      <c r="F141" s="86">
        <v>9500</v>
      </c>
      <c r="G141" s="86"/>
      <c r="H141" s="86">
        <v>11000</v>
      </c>
      <c r="I141" s="86"/>
      <c r="J141" s="86">
        <v>11000</v>
      </c>
      <c r="K141" s="86"/>
      <c r="L141" s="86"/>
      <c r="M141" s="86"/>
      <c r="N141" s="86">
        <v>0</v>
      </c>
      <c r="O141" s="86"/>
      <c r="P141" s="86">
        <v>0</v>
      </c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>
        <v>0</v>
      </c>
      <c r="AE141" s="86"/>
      <c r="AF141" s="86">
        <v>0</v>
      </c>
      <c r="AG141" s="86"/>
      <c r="AH141" s="86">
        <v>0</v>
      </c>
      <c r="AI141" s="86"/>
      <c r="AJ141" s="86"/>
      <c r="AK141" s="86"/>
      <c r="AL141" s="86">
        <v>0</v>
      </c>
      <c r="AM141" s="86"/>
      <c r="AN141" s="86">
        <v>0</v>
      </c>
      <c r="AO141" s="86"/>
      <c r="AP141" s="86">
        <v>0</v>
      </c>
      <c r="AQ141" s="86"/>
      <c r="AR141" s="86"/>
    </row>
    <row r="142" spans="2:60" ht="12.75">
      <c r="B142" s="4" t="s">
        <v>283</v>
      </c>
      <c r="D142" s="88" t="s">
        <v>32</v>
      </c>
      <c r="F142" s="86">
        <f>F140*F141/1000000</f>
        <v>50.407</v>
      </c>
      <c r="G142" s="86"/>
      <c r="H142" s="86">
        <f>H140*H141/1000000</f>
        <v>58.366</v>
      </c>
      <c r="I142" s="86"/>
      <c r="J142" s="86">
        <f>J140*J141/1000000</f>
        <v>58.938</v>
      </c>
      <c r="K142" s="86"/>
      <c r="L142" s="86"/>
      <c r="M142" s="86"/>
      <c r="N142" s="86">
        <f>N140*N141/1000000</f>
        <v>0</v>
      </c>
      <c r="O142" s="86"/>
      <c r="P142" s="86">
        <f>P140*P141/1000000</f>
        <v>0</v>
      </c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T142" s="88">
        <f>F142+N142</f>
        <v>50.407</v>
      </c>
      <c r="AV142" s="88">
        <f>H142+P142</f>
        <v>58.366</v>
      </c>
      <c r="AX142" s="88">
        <f>J142+R142</f>
        <v>58.938</v>
      </c>
      <c r="BB142" s="106">
        <f>AVERAGE(AT142,AV142,AX142)</f>
        <v>55.90366666666667</v>
      </c>
      <c r="BD142" s="88">
        <f>F142</f>
        <v>50.407</v>
      </c>
      <c r="BF142" s="88">
        <f>H142</f>
        <v>58.366</v>
      </c>
      <c r="BH142" s="88">
        <f>J142</f>
        <v>58.938</v>
      </c>
    </row>
    <row r="143" spans="1:44" ht="12.75">
      <c r="A143" s="88" t="s">
        <v>200</v>
      </c>
      <c r="B143" s="88" t="s">
        <v>24</v>
      </c>
      <c r="D143" s="88" t="s">
        <v>28</v>
      </c>
      <c r="F143" s="86">
        <v>193</v>
      </c>
      <c r="G143" s="86"/>
      <c r="H143" s="86">
        <v>278</v>
      </c>
      <c r="I143" s="86"/>
      <c r="J143" s="86">
        <v>438</v>
      </c>
      <c r="K143" s="86"/>
      <c r="L143" s="86"/>
      <c r="M143" s="86"/>
      <c r="N143" s="86">
        <v>197</v>
      </c>
      <c r="O143" s="86"/>
      <c r="P143" s="86">
        <v>166</v>
      </c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>
        <v>190</v>
      </c>
      <c r="AM143" s="86"/>
      <c r="AN143" s="86">
        <v>278</v>
      </c>
      <c r="AO143" s="86"/>
      <c r="AP143" s="86">
        <v>367</v>
      </c>
      <c r="AQ143" s="86"/>
      <c r="AR143" s="86"/>
    </row>
    <row r="144" spans="1:44" ht="12.75">
      <c r="A144" s="88" t="s">
        <v>200</v>
      </c>
      <c r="B144" s="88" t="s">
        <v>124</v>
      </c>
      <c r="D144" s="88" t="s">
        <v>28</v>
      </c>
      <c r="F144" s="86">
        <v>0.0306</v>
      </c>
      <c r="G144" s="86"/>
      <c r="H144" s="86">
        <v>0.0309</v>
      </c>
      <c r="I144" s="86"/>
      <c r="J144" s="86">
        <v>0.0309</v>
      </c>
      <c r="K144" s="86"/>
      <c r="L144" s="86"/>
      <c r="M144" s="86"/>
      <c r="N144" s="86">
        <v>0.0074</v>
      </c>
      <c r="O144" s="86"/>
      <c r="P144" s="86">
        <v>0.0059</v>
      </c>
      <c r="Q144" s="86"/>
      <c r="R144" s="86"/>
      <c r="S144" s="86"/>
      <c r="T144" s="86"/>
      <c r="U144" s="86"/>
      <c r="V144" s="86">
        <v>0.0946</v>
      </c>
      <c r="W144" s="86"/>
      <c r="X144" s="86">
        <v>0.0614</v>
      </c>
      <c r="Y144" s="86"/>
      <c r="Z144" s="86">
        <v>0.068</v>
      </c>
      <c r="AA144" s="86"/>
      <c r="AB144" s="86"/>
      <c r="AC144" s="86"/>
      <c r="AD144" s="86">
        <v>0.251</v>
      </c>
      <c r="AE144" s="86"/>
      <c r="AF144" s="86">
        <v>0.261</v>
      </c>
      <c r="AG144" s="86"/>
      <c r="AH144" s="86">
        <v>0.253</v>
      </c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</row>
    <row r="145" spans="1:44" ht="12.75">
      <c r="A145" s="88" t="s">
        <v>200</v>
      </c>
      <c r="B145" s="88" t="s">
        <v>123</v>
      </c>
      <c r="D145" s="88" t="s">
        <v>28</v>
      </c>
      <c r="F145" s="86">
        <v>0.0051</v>
      </c>
      <c r="G145" s="86"/>
      <c r="H145" s="86">
        <v>0.0052</v>
      </c>
      <c r="I145" s="86"/>
      <c r="J145" s="86">
        <v>0.0052</v>
      </c>
      <c r="K145" s="86"/>
      <c r="L145" s="86"/>
      <c r="M145" s="86"/>
      <c r="N145" s="86">
        <v>0.0012</v>
      </c>
      <c r="O145" s="86"/>
      <c r="P145" s="86">
        <v>0.0003</v>
      </c>
      <c r="Q145" s="86"/>
      <c r="R145" s="86"/>
      <c r="S145" s="86"/>
      <c r="T145" s="86"/>
      <c r="U145" s="86"/>
      <c r="V145" s="86">
        <v>0.31</v>
      </c>
      <c r="W145" s="86"/>
      <c r="X145" s="86">
        <v>0.17</v>
      </c>
      <c r="Y145" s="86"/>
      <c r="Z145" s="86">
        <v>0.298</v>
      </c>
      <c r="AA145" s="86"/>
      <c r="AB145" s="86"/>
      <c r="AC145" s="86"/>
      <c r="AD145" s="86">
        <v>0.126</v>
      </c>
      <c r="AE145" s="86"/>
      <c r="AF145" s="86">
        <v>0.131</v>
      </c>
      <c r="AG145" s="86"/>
      <c r="AH145" s="86">
        <v>0.127</v>
      </c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</row>
    <row r="146" spans="1:44" ht="12.75">
      <c r="A146" s="88" t="s">
        <v>200</v>
      </c>
      <c r="B146" s="88" t="s">
        <v>125</v>
      </c>
      <c r="D146" s="88" t="s">
        <v>28</v>
      </c>
      <c r="F146" s="86">
        <v>0.0092</v>
      </c>
      <c r="G146" s="86"/>
      <c r="H146" s="86">
        <v>0.0067</v>
      </c>
      <c r="I146" s="86"/>
      <c r="J146" s="86">
        <v>0.0077</v>
      </c>
      <c r="K146" s="86"/>
      <c r="L146" s="86"/>
      <c r="M146" s="86"/>
      <c r="N146" s="86">
        <v>0.16</v>
      </c>
      <c r="O146" s="86"/>
      <c r="P146" s="86">
        <v>0.043</v>
      </c>
      <c r="Q146" s="86"/>
      <c r="R146" s="86"/>
      <c r="S146" s="86"/>
      <c r="T146" s="86"/>
      <c r="U146" s="86"/>
      <c r="V146" s="86">
        <v>3.58</v>
      </c>
      <c r="W146" s="86"/>
      <c r="X146" s="86">
        <v>3.16</v>
      </c>
      <c r="Y146" s="86"/>
      <c r="Z146" s="86">
        <v>3.56</v>
      </c>
      <c r="AA146" s="86"/>
      <c r="AB146" s="86"/>
      <c r="AC146" s="86"/>
      <c r="AD146" s="86">
        <v>0.754</v>
      </c>
      <c r="AE146" s="86"/>
      <c r="AF146" s="86">
        <v>0.783</v>
      </c>
      <c r="AG146" s="86"/>
      <c r="AH146" s="86">
        <v>0.76</v>
      </c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</row>
    <row r="147" spans="1:44" ht="12.75">
      <c r="A147" s="88" t="s">
        <v>200</v>
      </c>
      <c r="B147" s="88" t="s">
        <v>126</v>
      </c>
      <c r="D147" s="88" t="s">
        <v>28</v>
      </c>
      <c r="F147" s="86">
        <v>0.0026</v>
      </c>
      <c r="G147" s="86"/>
      <c r="H147" s="86">
        <v>0.0026</v>
      </c>
      <c r="I147" s="86"/>
      <c r="J147" s="86">
        <v>0.0026</v>
      </c>
      <c r="K147" s="86"/>
      <c r="L147" s="86"/>
      <c r="M147" s="86"/>
      <c r="N147" s="86">
        <v>0.0006</v>
      </c>
      <c r="O147" s="86"/>
      <c r="P147" s="86">
        <v>0.0005</v>
      </c>
      <c r="Q147" s="86"/>
      <c r="R147" s="86"/>
      <c r="S147" s="86"/>
      <c r="T147" s="86"/>
      <c r="U147" s="86"/>
      <c r="V147" s="86">
        <v>0.0588</v>
      </c>
      <c r="W147" s="86"/>
      <c r="X147" s="86">
        <v>0.0198</v>
      </c>
      <c r="Y147" s="86"/>
      <c r="Z147" s="86">
        <v>0.0197</v>
      </c>
      <c r="AA147" s="86"/>
      <c r="AB147" s="86"/>
      <c r="AC147" s="86"/>
      <c r="AD147" s="86">
        <v>0.0061</v>
      </c>
      <c r="AE147" s="86"/>
      <c r="AF147" s="86">
        <v>0.0063</v>
      </c>
      <c r="AG147" s="86"/>
      <c r="AH147" s="86">
        <v>0.0061</v>
      </c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</row>
    <row r="148" spans="1:44" ht="12.75">
      <c r="A148" s="88" t="s">
        <v>200</v>
      </c>
      <c r="B148" s="88" t="s">
        <v>127</v>
      </c>
      <c r="D148" s="88" t="s">
        <v>28</v>
      </c>
      <c r="F148" s="86">
        <v>0.0051</v>
      </c>
      <c r="G148" s="86"/>
      <c r="H148" s="86">
        <v>0.0052</v>
      </c>
      <c r="I148" s="86"/>
      <c r="J148" s="86">
        <v>0.0052</v>
      </c>
      <c r="K148" s="86"/>
      <c r="L148" s="86"/>
      <c r="M148" s="86"/>
      <c r="N148" s="86">
        <v>0.0068</v>
      </c>
      <c r="O148" s="86"/>
      <c r="P148" s="86">
        <v>0.0018</v>
      </c>
      <c r="Q148" s="86"/>
      <c r="R148" s="86"/>
      <c r="S148" s="86"/>
      <c r="T148" s="86"/>
      <c r="U148" s="86"/>
      <c r="V148" s="86">
        <v>0.25</v>
      </c>
      <c r="W148" s="86"/>
      <c r="X148" s="86">
        <v>0.172</v>
      </c>
      <c r="Y148" s="86"/>
      <c r="Z148" s="86">
        <v>0.164</v>
      </c>
      <c r="AA148" s="86"/>
      <c r="AB148" s="86"/>
      <c r="AC148" s="86"/>
      <c r="AD148" s="86">
        <v>0.151</v>
      </c>
      <c r="AE148" s="86"/>
      <c r="AF148" s="86">
        <v>0.157</v>
      </c>
      <c r="AG148" s="86"/>
      <c r="AH148" s="86">
        <v>0.152</v>
      </c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</row>
    <row r="149" spans="1:44" ht="12.75">
      <c r="A149" s="88" t="s">
        <v>200</v>
      </c>
      <c r="B149" s="88" t="s">
        <v>128</v>
      </c>
      <c r="D149" s="88" t="s">
        <v>28</v>
      </c>
      <c r="F149" s="86">
        <v>0.0255</v>
      </c>
      <c r="G149" s="86"/>
      <c r="H149" s="86">
        <v>0.0258</v>
      </c>
      <c r="I149" s="86"/>
      <c r="J149" s="86">
        <v>0.0258</v>
      </c>
      <c r="K149" s="86"/>
      <c r="L149" s="86"/>
      <c r="M149" s="86"/>
      <c r="N149" s="86">
        <v>0.0811</v>
      </c>
      <c r="O149" s="86"/>
      <c r="P149" s="86">
        <v>0.0186</v>
      </c>
      <c r="Q149" s="86"/>
      <c r="R149" s="86"/>
      <c r="S149" s="86"/>
      <c r="T149" s="86"/>
      <c r="U149" s="86"/>
      <c r="V149" s="86">
        <v>2.89</v>
      </c>
      <c r="W149" s="86"/>
      <c r="X149" s="86">
        <v>2.68</v>
      </c>
      <c r="Y149" s="86"/>
      <c r="Z149" s="86">
        <v>2.8</v>
      </c>
      <c r="AA149" s="86"/>
      <c r="AB149" s="86"/>
      <c r="AC149" s="86"/>
      <c r="AD149" s="86">
        <v>2.51</v>
      </c>
      <c r="AE149" s="86"/>
      <c r="AF149" s="86">
        <v>2.61</v>
      </c>
      <c r="AG149" s="86"/>
      <c r="AH149" s="86">
        <v>2.53</v>
      </c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</row>
    <row r="150" spans="1:44" ht="12.75">
      <c r="A150" s="88" t="s">
        <v>200</v>
      </c>
      <c r="B150" s="88" t="s">
        <v>130</v>
      </c>
      <c r="D150" s="88" t="s">
        <v>28</v>
      </c>
      <c r="F150" s="86">
        <v>0.051</v>
      </c>
      <c r="G150" s="86"/>
      <c r="H150" s="86">
        <v>0.0515</v>
      </c>
      <c r="I150" s="86"/>
      <c r="J150" s="86">
        <v>0.0515</v>
      </c>
      <c r="K150" s="86"/>
      <c r="L150" s="86"/>
      <c r="M150" s="86"/>
      <c r="N150" s="86">
        <v>0.209</v>
      </c>
      <c r="O150" s="86"/>
      <c r="P150" s="86">
        <v>0.0064</v>
      </c>
      <c r="Q150" s="86"/>
      <c r="R150" s="86"/>
      <c r="S150" s="86"/>
      <c r="T150" s="86"/>
      <c r="U150" s="86"/>
      <c r="V150" s="86">
        <v>0.723</v>
      </c>
      <c r="W150" s="86"/>
      <c r="X150" s="86">
        <v>0.796</v>
      </c>
      <c r="Y150" s="86"/>
      <c r="Z150" s="86">
        <v>0.864</v>
      </c>
      <c r="AA150" s="86"/>
      <c r="AB150" s="86"/>
      <c r="AC150" s="86"/>
      <c r="AD150" s="86">
        <v>2.82</v>
      </c>
      <c r="AE150" s="86"/>
      <c r="AF150" s="86">
        <v>2.92</v>
      </c>
      <c r="AG150" s="86"/>
      <c r="AH150" s="86">
        <v>2.84</v>
      </c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</row>
    <row r="151" spans="1:44" ht="12.75">
      <c r="A151" s="88" t="s">
        <v>200</v>
      </c>
      <c r="B151" s="88" t="s">
        <v>131</v>
      </c>
      <c r="D151" s="88" t="s">
        <v>28</v>
      </c>
      <c r="F151" s="86">
        <v>0.001</v>
      </c>
      <c r="G151" s="86"/>
      <c r="H151" s="86">
        <v>0.001</v>
      </c>
      <c r="I151" s="86"/>
      <c r="J151" s="86">
        <v>0.0009</v>
      </c>
      <c r="K151" s="86"/>
      <c r="L151" s="86"/>
      <c r="M151" s="86"/>
      <c r="N151" s="86">
        <v>0.0008</v>
      </c>
      <c r="O151" s="86"/>
      <c r="P151" s="86">
        <v>0.0002</v>
      </c>
      <c r="Q151" s="86"/>
      <c r="R151" s="86"/>
      <c r="S151" s="86"/>
      <c r="T151" s="86"/>
      <c r="U151" s="86"/>
      <c r="V151" s="86">
        <v>0.0046</v>
      </c>
      <c r="W151" s="86"/>
      <c r="X151" s="86">
        <v>0.005</v>
      </c>
      <c r="Y151" s="86"/>
      <c r="Z151" s="86">
        <v>0.005</v>
      </c>
      <c r="AA151" s="86"/>
      <c r="AB151" s="86"/>
      <c r="AC151" s="86"/>
      <c r="AD151" s="86">
        <v>0.126</v>
      </c>
      <c r="AE151" s="86"/>
      <c r="AF151" s="86">
        <v>0.131</v>
      </c>
      <c r="AG151" s="86"/>
      <c r="AH151" s="86">
        <v>0.127</v>
      </c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</row>
    <row r="152" spans="1:44" ht="12.75">
      <c r="A152" s="88" t="s">
        <v>200</v>
      </c>
      <c r="B152" s="88" t="s">
        <v>132</v>
      </c>
      <c r="D152" s="88" t="s">
        <v>28</v>
      </c>
      <c r="F152" s="86">
        <v>0.0204</v>
      </c>
      <c r="G152" s="86"/>
      <c r="H152" s="86">
        <v>0.0206</v>
      </c>
      <c r="I152" s="86"/>
      <c r="J152" s="86">
        <v>0.0206</v>
      </c>
      <c r="K152" s="86"/>
      <c r="L152" s="86"/>
      <c r="M152" s="86"/>
      <c r="N152" s="86">
        <v>0.0946</v>
      </c>
      <c r="O152" s="86"/>
      <c r="P152" s="86">
        <v>0.0234</v>
      </c>
      <c r="Q152" s="86"/>
      <c r="R152" s="86"/>
      <c r="S152" s="86"/>
      <c r="T152" s="86"/>
      <c r="U152" s="86"/>
      <c r="V152" s="86">
        <v>1.99</v>
      </c>
      <c r="W152" s="86"/>
      <c r="X152" s="86">
        <v>1.9</v>
      </c>
      <c r="Y152" s="86"/>
      <c r="Z152" s="86">
        <v>1.96</v>
      </c>
      <c r="AA152" s="86"/>
      <c r="AB152" s="86"/>
      <c r="AC152" s="86"/>
      <c r="AD152" s="86">
        <v>3.02</v>
      </c>
      <c r="AE152" s="86"/>
      <c r="AF152" s="86">
        <v>3.13</v>
      </c>
      <c r="AG152" s="86"/>
      <c r="AH152" s="86">
        <v>3.04</v>
      </c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</row>
    <row r="153" spans="1:44" ht="12.75">
      <c r="A153" s="88" t="s">
        <v>200</v>
      </c>
      <c r="B153" s="88" t="s">
        <v>133</v>
      </c>
      <c r="D153" s="88" t="s">
        <v>28</v>
      </c>
      <c r="F153" s="86">
        <v>0.0026</v>
      </c>
      <c r="G153" s="86"/>
      <c r="H153" s="86">
        <v>0.0026</v>
      </c>
      <c r="I153" s="86"/>
      <c r="J153" s="86">
        <v>0.0026</v>
      </c>
      <c r="K153" s="86"/>
      <c r="L153" s="86"/>
      <c r="M153" s="86"/>
      <c r="N153" s="86">
        <v>0.0007</v>
      </c>
      <c r="O153" s="86"/>
      <c r="P153" s="86">
        <v>0.0012</v>
      </c>
      <c r="Q153" s="86"/>
      <c r="R153" s="86"/>
      <c r="S153" s="86"/>
      <c r="T153" s="86"/>
      <c r="U153" s="86"/>
      <c r="V153" s="86">
        <v>0.039</v>
      </c>
      <c r="W153" s="86"/>
      <c r="X153" s="86">
        <v>0.0395</v>
      </c>
      <c r="Y153" s="86"/>
      <c r="Z153" s="86">
        <v>0.0394</v>
      </c>
      <c r="AA153" s="86"/>
      <c r="AB153" s="86"/>
      <c r="AC153" s="86"/>
      <c r="AD153" s="86">
        <v>0.126</v>
      </c>
      <c r="AE153" s="86"/>
      <c r="AF153" s="86">
        <v>0.131</v>
      </c>
      <c r="AG153" s="86"/>
      <c r="AH153" s="86">
        <v>0.127</v>
      </c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</row>
    <row r="154" spans="1:44" ht="12.75">
      <c r="A154" s="88" t="s">
        <v>200</v>
      </c>
      <c r="B154" s="88" t="s">
        <v>134</v>
      </c>
      <c r="D154" s="88" t="s">
        <v>28</v>
      </c>
      <c r="F154" s="86">
        <v>0.0026</v>
      </c>
      <c r="G154" s="86"/>
      <c r="H154" s="86">
        <v>0.0026</v>
      </c>
      <c r="I154" s="86"/>
      <c r="J154" s="86">
        <v>0.0026</v>
      </c>
      <c r="K154" s="86"/>
      <c r="L154" s="86"/>
      <c r="M154" s="86"/>
      <c r="N154" s="86">
        <v>0.0053</v>
      </c>
      <c r="O154" s="86"/>
      <c r="P154" s="86">
        <v>0.0005</v>
      </c>
      <c r="Q154" s="86"/>
      <c r="R154" s="86"/>
      <c r="S154" s="86"/>
      <c r="T154" s="86"/>
      <c r="U154" s="86"/>
      <c r="V154" s="86">
        <v>0.0681</v>
      </c>
      <c r="W154" s="86"/>
      <c r="X154" s="86">
        <v>0.0692</v>
      </c>
      <c r="Y154" s="86"/>
      <c r="Z154" s="86">
        <v>0.0691</v>
      </c>
      <c r="AA154" s="86"/>
      <c r="AB154" s="86"/>
      <c r="AC154" s="86"/>
      <c r="AD154" s="86">
        <v>0.101</v>
      </c>
      <c r="AE154" s="86"/>
      <c r="AF154" s="86">
        <v>0.104</v>
      </c>
      <c r="AG154" s="86"/>
      <c r="AH154" s="86">
        <v>0.101</v>
      </c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</row>
    <row r="155" spans="1:44" ht="12.75">
      <c r="A155" s="88" t="s">
        <v>200</v>
      </c>
      <c r="B155" s="88" t="s">
        <v>135</v>
      </c>
      <c r="D155" s="88" t="s">
        <v>28</v>
      </c>
      <c r="F155" s="86">
        <v>0.0051</v>
      </c>
      <c r="G155" s="86"/>
      <c r="H155" s="86">
        <v>0.0052</v>
      </c>
      <c r="I155" s="86"/>
      <c r="J155" s="86">
        <v>0.0052</v>
      </c>
      <c r="K155" s="86"/>
      <c r="L155" s="86"/>
      <c r="M155" s="86"/>
      <c r="N155" s="86">
        <v>0.0012</v>
      </c>
      <c r="O155" s="86"/>
      <c r="P155" s="86">
        <v>0.001</v>
      </c>
      <c r="Q155" s="86"/>
      <c r="R155" s="86"/>
      <c r="S155" s="86"/>
      <c r="T155" s="86"/>
      <c r="U155" s="86"/>
      <c r="V155" s="86">
        <v>0.287</v>
      </c>
      <c r="W155" s="86"/>
      <c r="X155" s="86">
        <v>0.0395</v>
      </c>
      <c r="Y155" s="86"/>
      <c r="Z155" s="86">
        <v>0.0394</v>
      </c>
      <c r="AA155" s="86"/>
      <c r="AB155" s="86"/>
      <c r="AC155" s="86"/>
      <c r="AD155" s="86">
        <v>0.251</v>
      </c>
      <c r="AE155" s="86"/>
      <c r="AF155" s="86">
        <v>0.261</v>
      </c>
      <c r="AG155" s="86"/>
      <c r="AH155" s="86">
        <v>0.253</v>
      </c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</row>
    <row r="157" spans="2:42" ht="12.75">
      <c r="B157" s="8" t="s">
        <v>37</v>
      </c>
      <c r="C157" s="8"/>
      <c r="D157" s="8" t="s">
        <v>17</v>
      </c>
      <c r="F157" s="88">
        <f>'emiss 2'!$G$172</f>
        <v>35170</v>
      </c>
      <c r="H157" s="88">
        <f>'emiss 2'!$I$172</f>
        <v>35535</v>
      </c>
      <c r="J157" s="88">
        <f>'emiss 2'!$K$172</f>
        <v>36136</v>
      </c>
      <c r="N157" s="88">
        <f>'emiss 2'!$G$172</f>
        <v>35170</v>
      </c>
      <c r="P157" s="88">
        <f>'emiss 2'!$I$172</f>
        <v>35535</v>
      </c>
      <c r="R157" s="88">
        <f>'emiss 2'!$K$172</f>
        <v>36136</v>
      </c>
      <c r="V157" s="88">
        <f>'emiss 2'!$G$172</f>
        <v>35170</v>
      </c>
      <c r="X157" s="88">
        <f>'emiss 2'!$I$172</f>
        <v>35535</v>
      </c>
      <c r="Z157" s="88">
        <f>'emiss 2'!$K$172</f>
        <v>36136</v>
      </c>
      <c r="AD157" s="88">
        <f>'emiss 2'!$G$172</f>
        <v>35170</v>
      </c>
      <c r="AF157" s="88">
        <f>'emiss 2'!$I$172</f>
        <v>35535</v>
      </c>
      <c r="AH157" s="88">
        <f>'emiss 2'!$K$172</f>
        <v>36136</v>
      </c>
      <c r="AL157" s="88">
        <f>'emiss 2'!$G$172</f>
        <v>35170</v>
      </c>
      <c r="AN157" s="88">
        <f>'emiss 2'!$I$172</f>
        <v>35535</v>
      </c>
      <c r="AP157" s="88">
        <f>'emiss 2'!$K$172</f>
        <v>36136</v>
      </c>
    </row>
    <row r="158" spans="2:42" ht="12.75">
      <c r="B158" s="8" t="s">
        <v>38</v>
      </c>
      <c r="C158" s="8"/>
      <c r="D158" s="8" t="s">
        <v>18</v>
      </c>
      <c r="F158" s="88">
        <f>'emiss 2'!$G$173</f>
        <v>14.2</v>
      </c>
      <c r="H158" s="88">
        <f>'emiss 2'!$I$173</f>
        <v>14.9</v>
      </c>
      <c r="J158" s="88">
        <f>'emiss 2'!$K$173</f>
        <v>15.4</v>
      </c>
      <c r="N158" s="88">
        <f>'emiss 2'!$G$173</f>
        <v>14.2</v>
      </c>
      <c r="P158" s="88">
        <f>'emiss 2'!$I$173</f>
        <v>14.9</v>
      </c>
      <c r="R158" s="88">
        <f>'emiss 2'!$K$173</f>
        <v>15.4</v>
      </c>
      <c r="V158" s="88">
        <f>'emiss 2'!$G$173</f>
        <v>14.2</v>
      </c>
      <c r="X158" s="88">
        <f>'emiss 2'!$I$173</f>
        <v>14.9</v>
      </c>
      <c r="Z158" s="88">
        <f>'emiss 2'!$K$173</f>
        <v>15.4</v>
      </c>
      <c r="AD158" s="88">
        <f>'emiss 2'!$G$173</f>
        <v>14.2</v>
      </c>
      <c r="AF158" s="88">
        <f>'emiss 2'!$I$173</f>
        <v>14.9</v>
      </c>
      <c r="AH158" s="88">
        <f>'emiss 2'!$K$173</f>
        <v>15.4</v>
      </c>
      <c r="AL158" s="88">
        <f>'emiss 2'!$G$173</f>
        <v>14.2</v>
      </c>
      <c r="AN158" s="88">
        <f>'emiss 2'!$I$173</f>
        <v>14.9</v>
      </c>
      <c r="AP158" s="88">
        <f>'emiss 2'!$K$173</f>
        <v>15.4</v>
      </c>
    </row>
    <row r="160" ht="12.75">
      <c r="B160" s="105" t="s">
        <v>47</v>
      </c>
    </row>
    <row r="161" spans="2:80" ht="12.75">
      <c r="B161" s="88" t="s">
        <v>24</v>
      </c>
      <c r="D161" s="88" t="s">
        <v>34</v>
      </c>
      <c r="F161" s="90">
        <f>F143*454*1000000/0.0283/60/F$157*14/(21-F$158)</f>
        <v>3020801.7945164484</v>
      </c>
      <c r="H161" s="90">
        <f>H143*454*1000000/0.0283/60/H$157*14/(21-H$158)</f>
        <v>4800703.055182272</v>
      </c>
      <c r="J161" s="90">
        <f aca="true" t="shared" si="75" ref="J161:J173">J143*454*1000000/0.0283/60/J$157*14/(21-J$158)</f>
        <v>8101999.435192221</v>
      </c>
      <c r="L161"/>
      <c r="N161" s="90">
        <f aca="true" t="shared" si="76" ref="N161:N173">N143*454*1000000/0.0283/60/N$157*14/(21-N$158)</f>
        <v>3083409.0855945097</v>
      </c>
      <c r="P161" s="90">
        <f aca="true" t="shared" si="77" ref="P161:P173">P143*454*1000000/0.0283/60/P$157*14/(21-P$158)</f>
        <v>2866606.860288695</v>
      </c>
      <c r="R161" s="90">
        <f aca="true" t="shared" si="78" ref="R161:R173">R143*454*1000000/0.0283/60/R$157*14/(21-R$158)</f>
        <v>0</v>
      </c>
      <c r="V161" s="90">
        <f aca="true" t="shared" si="79" ref="V161:V173">V143*454*1000000/0.0283/60/V$157*14/(21-V$158)</f>
        <v>0</v>
      </c>
      <c r="X161" s="90">
        <f aca="true" t="shared" si="80" ref="X161:X173">X143*454*1000000/0.0283/60/X$157*14/(21-X$158)</f>
        <v>0</v>
      </c>
      <c r="Z161" s="90">
        <f aca="true" t="shared" si="81" ref="Z161:Z173">Z143*454*1000000/0.0283/60/Z$157*14/(21-Z$158)</f>
        <v>0</v>
      </c>
      <c r="AD161" s="90">
        <f aca="true" t="shared" si="82" ref="AD161:AD173">AD143*454*1000000/0.0283/60/AD$157*14/(21-AD$158)</f>
        <v>0</v>
      </c>
      <c r="AF161" s="90">
        <f aca="true" t="shared" si="83" ref="AF161:AF173">AF143*454*1000000/0.0283/60/AF$157*14/(21-AF$158)</f>
        <v>0</v>
      </c>
      <c r="AH161" s="90">
        <f aca="true" t="shared" si="84" ref="AH161:AH173">AH143*454*1000000/0.0283/60/AH$157*14/(21-AH$158)</f>
        <v>0</v>
      </c>
      <c r="AL161" s="90">
        <f aca="true" t="shared" si="85" ref="AL161:AL173">AL143*454*1000000/0.0283/60/AL$157*14/(21-AL$158)</f>
        <v>2973846.3262079023</v>
      </c>
      <c r="AN161" s="90">
        <f aca="true" t="shared" si="86" ref="AN161:AN173">AN143*454*1000000/0.0283/60/AN$157*14/(21-AN$158)</f>
        <v>4800703.055182272</v>
      </c>
      <c r="AP161" s="90">
        <f aca="true" t="shared" si="87" ref="AP161:AP173">AP143*454*1000000/0.0283/60/AP$157*14/(21-AP$158)</f>
        <v>6788661.627204441</v>
      </c>
      <c r="AT161" s="90">
        <f aca="true" t="shared" si="88" ref="AT161:AT175">AL161+AD161+V161+N161+F161</f>
        <v>9078057.20631886</v>
      </c>
      <c r="AV161" s="90">
        <f aca="true" t="shared" si="89" ref="AV161:AV175">AN161+AF161+X161+P161+H161</f>
        <v>12468012.97065324</v>
      </c>
      <c r="AX161" s="90">
        <f aca="true" t="shared" si="90" ref="AX161:AX175">AP161+AH161+Z161+R161+J161</f>
        <v>14890661.062396662</v>
      </c>
      <c r="AZ161" s="90"/>
      <c r="BB161" s="90">
        <f aca="true" t="shared" si="91" ref="BB161:BB175">AVERAGE(AT161,AV161,AX161,AZ161)</f>
        <v>12145577.079789586</v>
      </c>
      <c r="BD161" s="90">
        <f>SUM(F161,N161)</f>
        <v>6104210.880110959</v>
      </c>
      <c r="BF161" s="90">
        <f>SUM(H161,P161)</f>
        <v>7667309.915470967</v>
      </c>
      <c r="BH161" s="90">
        <f>SUM(J161,R161)</f>
        <v>8101999.435192221</v>
      </c>
      <c r="BJ161" s="90"/>
      <c r="BL161" s="90">
        <f>SUM(AL161,AD161)</f>
        <v>2973846.3262079023</v>
      </c>
      <c r="BN161" s="90">
        <f>SUM(AN161,AF161)</f>
        <v>4800703.055182272</v>
      </c>
      <c r="BP161" s="90">
        <f>SUM(AP161,AH161)</f>
        <v>6788661.627204441</v>
      </c>
      <c r="BR161" s="90"/>
      <c r="BT161" s="90"/>
      <c r="BV161" s="90"/>
      <c r="BX161" s="90"/>
      <c r="BZ161" s="90"/>
      <c r="CB161" s="90"/>
    </row>
    <row r="162" spans="2:80" ht="12.75">
      <c r="B162" s="88" t="s">
        <v>124</v>
      </c>
      <c r="D162" s="88" t="s">
        <v>34</v>
      </c>
      <c r="F162" s="90">
        <f aca="true" t="shared" si="92" ref="F162:H173">F144*454*1000000/0.0283/60/F$157*14/(21-F$158)</f>
        <v>478.9457767471674</v>
      </c>
      <c r="H162" s="90">
        <f t="shared" si="92"/>
        <v>533.6033251983174</v>
      </c>
      <c r="J162" s="90">
        <f t="shared" si="75"/>
        <v>571.5794122087661</v>
      </c>
      <c r="L162"/>
      <c r="N162" s="90">
        <f t="shared" si="76"/>
        <v>115.82348849441307</v>
      </c>
      <c r="P162" s="90">
        <f t="shared" si="77"/>
        <v>101.88542455242953</v>
      </c>
      <c r="R162" s="90">
        <f t="shared" si="78"/>
        <v>0</v>
      </c>
      <c r="V162" s="90">
        <f t="shared" si="79"/>
        <v>1480.6624339961452</v>
      </c>
      <c r="X162" s="90">
        <f t="shared" si="80"/>
        <v>1060.2991639863005</v>
      </c>
      <c r="Z162" s="90">
        <f t="shared" si="81"/>
        <v>1257.844661171395</v>
      </c>
      <c r="AD162" s="90">
        <f t="shared" si="82"/>
        <v>3928.607515148334</v>
      </c>
      <c r="AF162" s="90">
        <f t="shared" si="83"/>
        <v>4507.134882743068</v>
      </c>
      <c r="AH162" s="90">
        <f t="shared" si="84"/>
        <v>4679.922048181807</v>
      </c>
      <c r="AL162" s="90">
        <f t="shared" si="85"/>
        <v>0</v>
      </c>
      <c r="AN162" s="90">
        <f t="shared" si="86"/>
        <v>0</v>
      </c>
      <c r="AP162" s="90">
        <f t="shared" si="87"/>
        <v>0</v>
      </c>
      <c r="AT162" s="90">
        <f t="shared" si="88"/>
        <v>6004.03921438606</v>
      </c>
      <c r="AV162" s="90">
        <f t="shared" si="89"/>
        <v>6202.922796480116</v>
      </c>
      <c r="AX162" s="90">
        <f t="shared" si="90"/>
        <v>6509.346121561969</v>
      </c>
      <c r="AZ162" s="90"/>
      <c r="BB162" s="90">
        <f t="shared" si="91"/>
        <v>6238.769377476048</v>
      </c>
      <c r="BD162" s="90">
        <f aca="true" t="shared" si="93" ref="BD162:BD175">SUM(F162,N162)</f>
        <v>594.7692652415805</v>
      </c>
      <c r="BF162" s="90">
        <f aca="true" t="shared" si="94" ref="BF162:BF175">SUM(H162,P162)</f>
        <v>635.4887497507469</v>
      </c>
      <c r="BH162" s="90">
        <f aca="true" t="shared" si="95" ref="BH162:BH175">SUM(J162,R162)</f>
        <v>571.5794122087661</v>
      </c>
      <c r="BJ162" s="90"/>
      <c r="BL162" s="90">
        <f aca="true" t="shared" si="96" ref="BL162:BL175">SUM(AL162,AD162)</f>
        <v>3928.607515148334</v>
      </c>
      <c r="BN162" s="90">
        <f aca="true" t="shared" si="97" ref="BN162:BN175">SUM(AN162,AF162)</f>
        <v>4507.134882743068</v>
      </c>
      <c r="BP162" s="90">
        <f aca="true" t="shared" si="98" ref="BP162:BP175">SUM(AP162,AH162)</f>
        <v>4679.922048181807</v>
      </c>
      <c r="BR162" s="90"/>
      <c r="BT162" s="90"/>
      <c r="BX162" s="90"/>
      <c r="BZ162" s="90"/>
      <c r="CB162" s="90"/>
    </row>
    <row r="163" spans="2:80" ht="12.75">
      <c r="B163" s="88" t="s">
        <v>123</v>
      </c>
      <c r="D163" s="88" t="s">
        <v>34</v>
      </c>
      <c r="F163" s="90">
        <f t="shared" si="92"/>
        <v>79.82429612452792</v>
      </c>
      <c r="H163" s="90">
        <f t="shared" si="92"/>
        <v>89.79732333434465</v>
      </c>
      <c r="J163" s="90">
        <f t="shared" si="75"/>
        <v>96.18812114840077</v>
      </c>
      <c r="L163"/>
      <c r="N163" s="90">
        <f t="shared" si="76"/>
        <v>18.782187323418334</v>
      </c>
      <c r="P163" s="90">
        <f t="shared" si="77"/>
        <v>5.180614807750653</v>
      </c>
      <c r="R163" s="90">
        <f t="shared" si="78"/>
        <v>0</v>
      </c>
      <c r="V163" s="90">
        <f t="shared" si="79"/>
        <v>4852.065058549735</v>
      </c>
      <c r="X163" s="90">
        <f t="shared" si="80"/>
        <v>2935.681724392037</v>
      </c>
      <c r="Z163" s="90">
        <f t="shared" si="81"/>
        <v>5512.319250427583</v>
      </c>
      <c r="AD163" s="90">
        <f t="shared" si="82"/>
        <v>1972.1296689589244</v>
      </c>
      <c r="AF163" s="90">
        <f t="shared" si="83"/>
        <v>2262.201799384452</v>
      </c>
      <c r="AH163" s="90">
        <f t="shared" si="84"/>
        <v>2349.2098818936342</v>
      </c>
      <c r="AL163" s="90">
        <f t="shared" si="85"/>
        <v>0</v>
      </c>
      <c r="AN163" s="90">
        <f t="shared" si="86"/>
        <v>0</v>
      </c>
      <c r="AP163" s="90">
        <f t="shared" si="87"/>
        <v>0</v>
      </c>
      <c r="AT163" s="90">
        <f t="shared" si="88"/>
        <v>6922.801210956605</v>
      </c>
      <c r="AV163" s="90">
        <f t="shared" si="89"/>
        <v>5292.861461918584</v>
      </c>
      <c r="AX163" s="90">
        <f t="shared" si="90"/>
        <v>7957.717253469617</v>
      </c>
      <c r="AZ163" s="90"/>
      <c r="BB163" s="90">
        <f t="shared" si="91"/>
        <v>6724.459975448269</v>
      </c>
      <c r="BD163" s="90">
        <f t="shared" si="93"/>
        <v>98.60648344794626</v>
      </c>
      <c r="BF163" s="90">
        <f t="shared" si="94"/>
        <v>94.97793814209531</v>
      </c>
      <c r="BH163" s="90">
        <f t="shared" si="95"/>
        <v>96.18812114840077</v>
      </c>
      <c r="BJ163" s="90"/>
      <c r="BL163" s="90">
        <f t="shared" si="96"/>
        <v>1972.1296689589244</v>
      </c>
      <c r="BN163" s="90">
        <f t="shared" si="97"/>
        <v>2262.201799384452</v>
      </c>
      <c r="BP163" s="90">
        <f t="shared" si="98"/>
        <v>2349.2098818936342</v>
      </c>
      <c r="BR163" s="90"/>
      <c r="BT163" s="90"/>
      <c r="BX163" s="90"/>
      <c r="BZ163" s="90"/>
      <c r="CB163" s="90"/>
    </row>
    <row r="164" spans="2:80" ht="12.75">
      <c r="B164" s="88" t="s">
        <v>125</v>
      </c>
      <c r="D164" s="88" t="s">
        <v>34</v>
      </c>
      <c r="F164" s="90">
        <f t="shared" si="92"/>
        <v>143.99676947954055</v>
      </c>
      <c r="H164" s="90">
        <f t="shared" si="92"/>
        <v>115.70039737309796</v>
      </c>
      <c r="J164" s="90">
        <f t="shared" si="75"/>
        <v>142.432410162055</v>
      </c>
      <c r="L164"/>
      <c r="N164" s="90">
        <f t="shared" si="76"/>
        <v>2504.2916431224435</v>
      </c>
      <c r="P164" s="90">
        <f t="shared" si="77"/>
        <v>742.554789110927</v>
      </c>
      <c r="R164" s="90">
        <f t="shared" si="78"/>
        <v>0</v>
      </c>
      <c r="V164" s="90">
        <f t="shared" si="79"/>
        <v>56033.52551486468</v>
      </c>
      <c r="X164" s="90">
        <f t="shared" si="80"/>
        <v>54569.14264164022</v>
      </c>
      <c r="Z164" s="90">
        <f t="shared" si="81"/>
        <v>65851.8675554436</v>
      </c>
      <c r="AD164" s="90">
        <f t="shared" si="82"/>
        <v>11801.474368214518</v>
      </c>
      <c r="AF164" s="90">
        <f t="shared" si="83"/>
        <v>13521.404648229207</v>
      </c>
      <c r="AH164" s="90">
        <f t="shared" si="84"/>
        <v>14058.263860150884</v>
      </c>
      <c r="AL164" s="90">
        <f t="shared" si="85"/>
        <v>0</v>
      </c>
      <c r="AN164" s="90">
        <f t="shared" si="86"/>
        <v>0</v>
      </c>
      <c r="AP164" s="90">
        <f t="shared" si="87"/>
        <v>0</v>
      </c>
      <c r="AT164" s="90">
        <f t="shared" si="88"/>
        <v>70483.28829568118</v>
      </c>
      <c r="AV164" s="90">
        <f t="shared" si="89"/>
        <v>68948.80247635346</v>
      </c>
      <c r="AX164" s="90">
        <f t="shared" si="90"/>
        <v>80052.56382575654</v>
      </c>
      <c r="AZ164" s="90"/>
      <c r="BB164" s="90">
        <f t="shared" si="91"/>
        <v>73161.55153259706</v>
      </c>
      <c r="BD164" s="90">
        <f t="shared" si="93"/>
        <v>2648.288412601984</v>
      </c>
      <c r="BF164" s="90">
        <f t="shared" si="94"/>
        <v>858.255186484025</v>
      </c>
      <c r="BH164" s="90">
        <f t="shared" si="95"/>
        <v>142.432410162055</v>
      </c>
      <c r="BJ164" s="90"/>
      <c r="BL164" s="90">
        <f t="shared" si="96"/>
        <v>11801.474368214518</v>
      </c>
      <c r="BN164" s="90">
        <f t="shared" si="97"/>
        <v>13521.404648229207</v>
      </c>
      <c r="BP164" s="90">
        <f t="shared" si="98"/>
        <v>14058.263860150884</v>
      </c>
      <c r="BR164" s="90"/>
      <c r="BT164" s="90"/>
      <c r="BX164" s="90"/>
      <c r="BZ164" s="90"/>
      <c r="CB164" s="90"/>
    </row>
    <row r="165" spans="2:80" ht="12.75">
      <c r="B165" s="88" t="s">
        <v>126</v>
      </c>
      <c r="D165" s="88" t="s">
        <v>34</v>
      </c>
      <c r="F165" s="90">
        <f t="shared" si="92"/>
        <v>40.69473920073972</v>
      </c>
      <c r="H165" s="90">
        <f t="shared" si="92"/>
        <v>44.89866166717233</v>
      </c>
      <c r="J165" s="90">
        <f t="shared" si="75"/>
        <v>48.094060574200384</v>
      </c>
      <c r="L165"/>
      <c r="N165" s="90">
        <f t="shared" si="76"/>
        <v>9.391093661709167</v>
      </c>
      <c r="P165" s="90">
        <f t="shared" si="77"/>
        <v>8.634358012917756</v>
      </c>
      <c r="R165" s="90">
        <f t="shared" si="78"/>
        <v>0</v>
      </c>
      <c r="V165" s="90">
        <f t="shared" si="79"/>
        <v>920.3271788474982</v>
      </c>
      <c r="X165" s="90">
        <f t="shared" si="80"/>
        <v>341.9205773115431</v>
      </c>
      <c r="Z165" s="90">
        <f t="shared" si="81"/>
        <v>364.4049974275952</v>
      </c>
      <c r="AD165" s="90">
        <f t="shared" si="82"/>
        <v>95.47611889404317</v>
      </c>
      <c r="AF165" s="90">
        <f t="shared" si="83"/>
        <v>108.79291096276371</v>
      </c>
      <c r="AH165" s="90">
        <f t="shared" si="84"/>
        <v>112.8360651933163</v>
      </c>
      <c r="AL165" s="90">
        <f t="shared" si="85"/>
        <v>0</v>
      </c>
      <c r="AN165" s="90">
        <f t="shared" si="86"/>
        <v>0</v>
      </c>
      <c r="AP165" s="90">
        <f t="shared" si="87"/>
        <v>0</v>
      </c>
      <c r="AT165" s="90">
        <f t="shared" si="88"/>
        <v>1065.8891306039905</v>
      </c>
      <c r="AV165" s="90">
        <f t="shared" si="89"/>
        <v>504.2465079543969</v>
      </c>
      <c r="AX165" s="90">
        <f t="shared" si="90"/>
        <v>525.3351231951119</v>
      </c>
      <c r="AZ165" s="90"/>
      <c r="BB165" s="90">
        <f t="shared" si="91"/>
        <v>698.4902539178332</v>
      </c>
      <c r="BD165" s="90">
        <f t="shared" si="93"/>
        <v>50.08583286244888</v>
      </c>
      <c r="BF165" s="90">
        <f t="shared" si="94"/>
        <v>53.533019680090085</v>
      </c>
      <c r="BH165" s="90">
        <f t="shared" si="95"/>
        <v>48.094060574200384</v>
      </c>
      <c r="BJ165" s="90"/>
      <c r="BL165" s="90">
        <f t="shared" si="96"/>
        <v>95.47611889404317</v>
      </c>
      <c r="BN165" s="90">
        <f t="shared" si="97"/>
        <v>108.79291096276371</v>
      </c>
      <c r="BP165" s="90">
        <f t="shared" si="98"/>
        <v>112.8360651933163</v>
      </c>
      <c r="BR165" s="90"/>
      <c r="BT165" s="90"/>
      <c r="BX165" s="90"/>
      <c r="BZ165" s="90"/>
      <c r="CB165" s="90"/>
    </row>
    <row r="166" spans="2:80" ht="12.75">
      <c r="B166" s="88" t="s">
        <v>127</v>
      </c>
      <c r="D166" s="88" t="s">
        <v>34</v>
      </c>
      <c r="F166" s="90">
        <f t="shared" si="92"/>
        <v>79.82429612452792</v>
      </c>
      <c r="H166" s="90">
        <f t="shared" si="92"/>
        <v>89.79732333434465</v>
      </c>
      <c r="J166" s="90">
        <f t="shared" si="75"/>
        <v>96.18812114840077</v>
      </c>
      <c r="L166"/>
      <c r="N166" s="90">
        <f t="shared" si="76"/>
        <v>106.43239483270386</v>
      </c>
      <c r="P166" s="90">
        <f t="shared" si="77"/>
        <v>31.083688846503915</v>
      </c>
      <c r="R166" s="90">
        <f t="shared" si="78"/>
        <v>0</v>
      </c>
      <c r="V166" s="90">
        <f t="shared" si="79"/>
        <v>3912.9556923788186</v>
      </c>
      <c r="X166" s="90">
        <f t="shared" si="80"/>
        <v>2970.219156443708</v>
      </c>
      <c r="Z166" s="90">
        <f t="shared" si="81"/>
        <v>3033.625359295717</v>
      </c>
      <c r="AD166" s="90">
        <f t="shared" si="82"/>
        <v>2363.4252381968067</v>
      </c>
      <c r="AF166" s="90">
        <f t="shared" si="83"/>
        <v>2711.188416056175</v>
      </c>
      <c r="AH166" s="90">
        <f t="shared" si="84"/>
        <v>2811.6527720301765</v>
      </c>
      <c r="AL166" s="90">
        <f t="shared" si="85"/>
        <v>0</v>
      </c>
      <c r="AN166" s="90">
        <f t="shared" si="86"/>
        <v>0</v>
      </c>
      <c r="AP166" s="90">
        <f t="shared" si="87"/>
        <v>0</v>
      </c>
      <c r="AT166" s="90">
        <f t="shared" si="88"/>
        <v>6462.637621532857</v>
      </c>
      <c r="AV166" s="90">
        <f t="shared" si="89"/>
        <v>5802.288584680731</v>
      </c>
      <c r="AX166" s="90">
        <f t="shared" si="90"/>
        <v>5941.4662524742935</v>
      </c>
      <c r="AZ166" s="90"/>
      <c r="BB166" s="90">
        <f t="shared" si="91"/>
        <v>6068.797486229294</v>
      </c>
      <c r="BD166" s="90">
        <f t="shared" si="93"/>
        <v>186.2566909572318</v>
      </c>
      <c r="BF166" s="90">
        <f t="shared" si="94"/>
        <v>120.88101218084857</v>
      </c>
      <c r="BH166" s="90">
        <f t="shared" si="95"/>
        <v>96.18812114840077</v>
      </c>
      <c r="BJ166" s="90"/>
      <c r="BL166" s="90">
        <f t="shared" si="96"/>
        <v>2363.4252381968067</v>
      </c>
      <c r="BN166" s="90">
        <f t="shared" si="97"/>
        <v>2711.188416056175</v>
      </c>
      <c r="BP166" s="90">
        <f t="shared" si="98"/>
        <v>2811.6527720301765</v>
      </c>
      <c r="BR166" s="90"/>
      <c r="BT166" s="90"/>
      <c r="BX166" s="90"/>
      <c r="BZ166" s="90"/>
      <c r="CB166" s="90"/>
    </row>
    <row r="167" spans="2:80" ht="12.75">
      <c r="B167" s="88" t="s">
        <v>128</v>
      </c>
      <c r="D167" s="88" t="s">
        <v>34</v>
      </c>
      <c r="F167" s="90">
        <f t="shared" si="92"/>
        <v>399.1214806226395</v>
      </c>
      <c r="H167" s="90">
        <f t="shared" si="92"/>
        <v>445.5328734665563</v>
      </c>
      <c r="J167" s="90">
        <f t="shared" si="75"/>
        <v>477.2410626209116</v>
      </c>
      <c r="L167"/>
      <c r="N167" s="90">
        <f t="shared" si="76"/>
        <v>1269.362826607689</v>
      </c>
      <c r="P167" s="90">
        <f t="shared" si="77"/>
        <v>321.19811808054055</v>
      </c>
      <c r="R167" s="90">
        <f t="shared" si="78"/>
        <v>0</v>
      </c>
      <c r="V167" s="90">
        <f t="shared" si="79"/>
        <v>45233.76780389914</v>
      </c>
      <c r="X167" s="90">
        <f t="shared" si="80"/>
        <v>46280.15894923918</v>
      </c>
      <c r="Z167" s="90">
        <f t="shared" si="81"/>
        <v>51793.60369529272</v>
      </c>
      <c r="AD167" s="90">
        <f t="shared" si="82"/>
        <v>39286.07515148335</v>
      </c>
      <c r="AF167" s="90">
        <f t="shared" si="83"/>
        <v>45071.34882743069</v>
      </c>
      <c r="AH167" s="90">
        <f t="shared" si="84"/>
        <v>46799.22048181807</v>
      </c>
      <c r="AL167" s="90">
        <f t="shared" si="85"/>
        <v>0</v>
      </c>
      <c r="AN167" s="90">
        <f t="shared" si="86"/>
        <v>0</v>
      </c>
      <c r="AP167" s="90">
        <f t="shared" si="87"/>
        <v>0</v>
      </c>
      <c r="AT167" s="90">
        <f t="shared" si="88"/>
        <v>86188.3272626128</v>
      </c>
      <c r="AV167" s="90">
        <f t="shared" si="89"/>
        <v>92118.23876821696</v>
      </c>
      <c r="AX167" s="90">
        <f t="shared" si="90"/>
        <v>99070.0652397317</v>
      </c>
      <c r="AZ167" s="90"/>
      <c r="BB167" s="90">
        <f t="shared" si="91"/>
        <v>92458.87709018716</v>
      </c>
      <c r="BD167" s="90">
        <f t="shared" si="93"/>
        <v>1668.4843072303283</v>
      </c>
      <c r="BF167" s="90">
        <f t="shared" si="94"/>
        <v>766.7309915470969</v>
      </c>
      <c r="BH167" s="90">
        <f t="shared" si="95"/>
        <v>477.2410626209116</v>
      </c>
      <c r="BJ167" s="90"/>
      <c r="BL167" s="90">
        <f t="shared" si="96"/>
        <v>39286.07515148335</v>
      </c>
      <c r="BN167" s="90">
        <f t="shared" si="97"/>
        <v>45071.34882743069</v>
      </c>
      <c r="BP167" s="90">
        <f t="shared" si="98"/>
        <v>46799.22048181807</v>
      </c>
      <c r="BR167" s="90"/>
      <c r="BT167" s="90"/>
      <c r="BX167" s="90"/>
      <c r="BZ167" s="90"/>
      <c r="CB167" s="90"/>
    </row>
    <row r="168" spans="2:80" ht="12.75">
      <c r="B168" s="88" t="s">
        <v>130</v>
      </c>
      <c r="D168" s="88" t="s">
        <v>34</v>
      </c>
      <c r="F168" s="90">
        <f t="shared" si="92"/>
        <v>798.242961245279</v>
      </c>
      <c r="H168" s="90">
        <f t="shared" si="92"/>
        <v>889.3388753305289</v>
      </c>
      <c r="J168" s="90">
        <f t="shared" si="75"/>
        <v>952.6323536812771</v>
      </c>
      <c r="L168"/>
      <c r="N168" s="90">
        <f t="shared" si="76"/>
        <v>3271.2309588286926</v>
      </c>
      <c r="P168" s="90">
        <f t="shared" si="77"/>
        <v>110.51978256534728</v>
      </c>
      <c r="R168" s="90">
        <f t="shared" si="78"/>
        <v>0</v>
      </c>
      <c r="V168" s="90">
        <f t="shared" si="79"/>
        <v>11316.267862359544</v>
      </c>
      <c r="X168" s="90">
        <f t="shared" si="80"/>
        <v>13745.897956565068</v>
      </c>
      <c r="Z168" s="90">
        <f t="shared" si="81"/>
        <v>15982.0262831189</v>
      </c>
      <c r="AD168" s="90">
        <f t="shared" si="82"/>
        <v>44138.140210033074</v>
      </c>
      <c r="AF168" s="90">
        <f t="shared" si="83"/>
        <v>50424.650795439695</v>
      </c>
      <c r="AH168" s="90">
        <f t="shared" si="84"/>
        <v>52533.512319511196</v>
      </c>
      <c r="AL168" s="90">
        <f t="shared" si="85"/>
        <v>0</v>
      </c>
      <c r="AN168" s="90">
        <f t="shared" si="86"/>
        <v>0</v>
      </c>
      <c r="AP168" s="90">
        <f t="shared" si="87"/>
        <v>0</v>
      </c>
      <c r="AT168" s="90">
        <f t="shared" si="88"/>
        <v>59523.88199246659</v>
      </c>
      <c r="AV168" s="90">
        <f t="shared" si="89"/>
        <v>65170.40740990063</v>
      </c>
      <c r="AX168" s="90">
        <f t="shared" si="90"/>
        <v>69468.17095631137</v>
      </c>
      <c r="AZ168" s="90"/>
      <c r="BB168" s="90">
        <f t="shared" si="91"/>
        <v>64720.82011955953</v>
      </c>
      <c r="BD168" s="90">
        <f t="shared" si="93"/>
        <v>4069.4739200739714</v>
      </c>
      <c r="BF168" s="90">
        <f t="shared" si="94"/>
        <v>999.8586578958763</v>
      </c>
      <c r="BH168" s="90">
        <f t="shared" si="95"/>
        <v>952.6323536812771</v>
      </c>
      <c r="BJ168" s="90"/>
      <c r="BL168" s="90">
        <f t="shared" si="96"/>
        <v>44138.140210033074</v>
      </c>
      <c r="BN168" s="90">
        <f t="shared" si="97"/>
        <v>50424.650795439695</v>
      </c>
      <c r="BP168" s="90">
        <f t="shared" si="98"/>
        <v>52533.512319511196</v>
      </c>
      <c r="BR168" s="90"/>
      <c r="BT168" s="90"/>
      <c r="BX168" s="90"/>
      <c r="BZ168" s="90"/>
      <c r="CB168" s="90"/>
    </row>
    <row r="169" spans="2:80" ht="12.75">
      <c r="B169" s="88" t="s">
        <v>131</v>
      </c>
      <c r="D169" s="88" t="s">
        <v>34</v>
      </c>
      <c r="F169" s="90">
        <f t="shared" si="92"/>
        <v>15.651822769515277</v>
      </c>
      <c r="H169" s="90">
        <f t="shared" si="92"/>
        <v>17.268716025835513</v>
      </c>
      <c r="J169" s="90">
        <f t="shared" si="75"/>
        <v>16.647944044915516</v>
      </c>
      <c r="L169"/>
      <c r="N169" s="90">
        <f t="shared" si="76"/>
        <v>12.52145821561222</v>
      </c>
      <c r="P169" s="90">
        <f t="shared" si="77"/>
        <v>3.4537432051671026</v>
      </c>
      <c r="R169" s="90">
        <f t="shared" si="78"/>
        <v>0</v>
      </c>
      <c r="V169" s="90">
        <f t="shared" si="79"/>
        <v>71.99838473977027</v>
      </c>
      <c r="X169" s="90">
        <f t="shared" si="80"/>
        <v>86.34358012917755</v>
      </c>
      <c r="Z169" s="90">
        <f t="shared" si="81"/>
        <v>92.48857802730844</v>
      </c>
      <c r="AD169" s="90">
        <f t="shared" si="82"/>
        <v>1972.1296689589244</v>
      </c>
      <c r="AF169" s="90">
        <f t="shared" si="83"/>
        <v>2262.201799384452</v>
      </c>
      <c r="AH169" s="90">
        <f t="shared" si="84"/>
        <v>2349.2098818936342</v>
      </c>
      <c r="AL169" s="90">
        <f t="shared" si="85"/>
        <v>0</v>
      </c>
      <c r="AN169" s="90">
        <f t="shared" si="86"/>
        <v>0</v>
      </c>
      <c r="AP169" s="90">
        <f t="shared" si="87"/>
        <v>0</v>
      </c>
      <c r="AT169" s="90">
        <f t="shared" si="88"/>
        <v>2072.301334683822</v>
      </c>
      <c r="AV169" s="90">
        <f t="shared" si="89"/>
        <v>2369.267838744632</v>
      </c>
      <c r="AX169" s="90">
        <f t="shared" si="90"/>
        <v>2458.3464039658584</v>
      </c>
      <c r="AZ169" s="90"/>
      <c r="BB169" s="90">
        <f t="shared" si="91"/>
        <v>2299.971859131437</v>
      </c>
      <c r="BD169" s="90">
        <f t="shared" si="93"/>
        <v>28.173280985127498</v>
      </c>
      <c r="BF169" s="90">
        <f t="shared" si="94"/>
        <v>20.722459231002617</v>
      </c>
      <c r="BH169" s="90">
        <f t="shared" si="95"/>
        <v>16.647944044915516</v>
      </c>
      <c r="BJ169" s="90"/>
      <c r="BL169" s="90">
        <f t="shared" si="96"/>
        <v>1972.1296689589244</v>
      </c>
      <c r="BN169" s="90">
        <f t="shared" si="97"/>
        <v>2262.201799384452</v>
      </c>
      <c r="BP169" s="90">
        <f t="shared" si="98"/>
        <v>2349.2098818936342</v>
      </c>
      <c r="BR169" s="90"/>
      <c r="BT169" s="90"/>
      <c r="BX169" s="90"/>
      <c r="BZ169" s="90"/>
      <c r="CB169" s="90"/>
    </row>
    <row r="170" spans="2:80" ht="12.75">
      <c r="B170" s="88" t="s">
        <v>132</v>
      </c>
      <c r="D170" s="88" t="s">
        <v>34</v>
      </c>
      <c r="F170" s="90">
        <f t="shared" si="92"/>
        <v>319.2971844981117</v>
      </c>
      <c r="H170" s="90">
        <f t="shared" si="92"/>
        <v>355.7355501322116</v>
      </c>
      <c r="J170" s="90">
        <f t="shared" si="75"/>
        <v>381.05294147251084</v>
      </c>
      <c r="L170"/>
      <c r="N170" s="90">
        <f t="shared" si="76"/>
        <v>1480.6624339961452</v>
      </c>
      <c r="P170" s="90">
        <f t="shared" si="77"/>
        <v>404.08795500455096</v>
      </c>
      <c r="R170" s="90">
        <f t="shared" si="78"/>
        <v>0</v>
      </c>
      <c r="V170" s="90">
        <f t="shared" si="79"/>
        <v>31147.1273113354</v>
      </c>
      <c r="X170" s="90">
        <f t="shared" si="80"/>
        <v>32810.56044908746</v>
      </c>
      <c r="Z170" s="90">
        <f t="shared" si="81"/>
        <v>36255.52258670491</v>
      </c>
      <c r="AD170" s="90">
        <f t="shared" si="82"/>
        <v>47268.50476393614</v>
      </c>
      <c r="AF170" s="90">
        <f t="shared" si="83"/>
        <v>54051.08116086516</v>
      </c>
      <c r="AH170" s="90">
        <f t="shared" si="84"/>
        <v>56233.05544060354</v>
      </c>
      <c r="AL170" s="90">
        <f t="shared" si="85"/>
        <v>0</v>
      </c>
      <c r="AN170" s="90">
        <f t="shared" si="86"/>
        <v>0</v>
      </c>
      <c r="AP170" s="90">
        <f t="shared" si="87"/>
        <v>0</v>
      </c>
      <c r="AT170" s="90">
        <f t="shared" si="88"/>
        <v>80215.59169376579</v>
      </c>
      <c r="AV170" s="90">
        <f t="shared" si="89"/>
        <v>87621.46511508938</v>
      </c>
      <c r="AX170" s="90">
        <f t="shared" si="90"/>
        <v>92869.63096878097</v>
      </c>
      <c r="AZ170" s="90"/>
      <c r="BB170" s="90">
        <f t="shared" si="91"/>
        <v>86902.22925921204</v>
      </c>
      <c r="BD170" s="90">
        <f t="shared" si="93"/>
        <v>1799.9596184942568</v>
      </c>
      <c r="BF170" s="90">
        <f t="shared" si="94"/>
        <v>759.8235051367626</v>
      </c>
      <c r="BH170" s="90">
        <f t="shared" si="95"/>
        <v>381.05294147251084</v>
      </c>
      <c r="BJ170" s="90"/>
      <c r="BL170" s="90">
        <f t="shared" si="96"/>
        <v>47268.50476393614</v>
      </c>
      <c r="BN170" s="90">
        <f t="shared" si="97"/>
        <v>54051.08116086516</v>
      </c>
      <c r="BP170" s="90">
        <f t="shared" si="98"/>
        <v>56233.05544060354</v>
      </c>
      <c r="BR170" s="90"/>
      <c r="BT170" s="90"/>
      <c r="BX170" s="90"/>
      <c r="BZ170" s="90"/>
      <c r="CB170" s="90"/>
    </row>
    <row r="171" spans="2:80" ht="12.75">
      <c r="B171" s="88" t="s">
        <v>133</v>
      </c>
      <c r="D171" s="88" t="s">
        <v>34</v>
      </c>
      <c r="F171" s="90">
        <f t="shared" si="92"/>
        <v>40.69473920073972</v>
      </c>
      <c r="H171" s="90">
        <f t="shared" si="92"/>
        <v>44.89866166717233</v>
      </c>
      <c r="J171" s="90">
        <f t="shared" si="75"/>
        <v>48.094060574200384</v>
      </c>
      <c r="L171"/>
      <c r="N171" s="90">
        <f t="shared" si="76"/>
        <v>10.956275938660692</v>
      </c>
      <c r="P171" s="90">
        <f t="shared" si="77"/>
        <v>20.722459231002613</v>
      </c>
      <c r="R171" s="90">
        <f t="shared" si="78"/>
        <v>0</v>
      </c>
      <c r="V171" s="90">
        <f t="shared" si="79"/>
        <v>610.4210880110958</v>
      </c>
      <c r="X171" s="90">
        <f t="shared" si="80"/>
        <v>682.1142830205027</v>
      </c>
      <c r="Z171" s="90">
        <f t="shared" si="81"/>
        <v>728.8099948551904</v>
      </c>
      <c r="AD171" s="90">
        <f t="shared" si="82"/>
        <v>1972.1296689589244</v>
      </c>
      <c r="AF171" s="90">
        <f t="shared" si="83"/>
        <v>2262.201799384452</v>
      </c>
      <c r="AH171" s="90">
        <f t="shared" si="84"/>
        <v>2349.2098818936342</v>
      </c>
      <c r="AL171" s="90">
        <f t="shared" si="85"/>
        <v>0</v>
      </c>
      <c r="AN171" s="90">
        <f t="shared" si="86"/>
        <v>0</v>
      </c>
      <c r="AP171" s="90">
        <f t="shared" si="87"/>
        <v>0</v>
      </c>
      <c r="AT171" s="90">
        <f t="shared" si="88"/>
        <v>2634.2017721094207</v>
      </c>
      <c r="AV171" s="90">
        <f t="shared" si="89"/>
        <v>3009.9372033031295</v>
      </c>
      <c r="AX171" s="90">
        <f t="shared" si="90"/>
        <v>3126.113937323025</v>
      </c>
      <c r="AZ171" s="90"/>
      <c r="BB171" s="90">
        <f t="shared" si="91"/>
        <v>2923.417637578525</v>
      </c>
      <c r="BD171" s="90">
        <f t="shared" si="93"/>
        <v>51.651015139400414</v>
      </c>
      <c r="BF171" s="90">
        <f t="shared" si="94"/>
        <v>65.62112089817494</v>
      </c>
      <c r="BH171" s="90">
        <f t="shared" si="95"/>
        <v>48.094060574200384</v>
      </c>
      <c r="BJ171" s="90"/>
      <c r="BL171" s="90">
        <f t="shared" si="96"/>
        <v>1972.1296689589244</v>
      </c>
      <c r="BN171" s="90">
        <f t="shared" si="97"/>
        <v>2262.201799384452</v>
      </c>
      <c r="BP171" s="90">
        <f t="shared" si="98"/>
        <v>2349.2098818936342</v>
      </c>
      <c r="BR171" s="90"/>
      <c r="BT171" s="90"/>
      <c r="BX171" s="90"/>
      <c r="BZ171" s="90"/>
      <c r="CB171" s="90"/>
    </row>
    <row r="172" spans="2:80" ht="12.75">
      <c r="B172" s="88" t="s">
        <v>134</v>
      </c>
      <c r="D172" s="88" t="s">
        <v>34</v>
      </c>
      <c r="F172" s="90">
        <f t="shared" si="92"/>
        <v>40.69473920073972</v>
      </c>
      <c r="H172" s="90">
        <f t="shared" si="92"/>
        <v>44.89866166717233</v>
      </c>
      <c r="J172" s="90">
        <f t="shared" si="75"/>
        <v>48.094060574200384</v>
      </c>
      <c r="L172"/>
      <c r="N172" s="90">
        <f t="shared" si="76"/>
        <v>82.95466067843095</v>
      </c>
      <c r="P172" s="90">
        <f t="shared" si="77"/>
        <v>8.634358012917756</v>
      </c>
      <c r="R172" s="90">
        <f t="shared" si="78"/>
        <v>0</v>
      </c>
      <c r="V172" s="90">
        <f t="shared" si="79"/>
        <v>1065.8891306039902</v>
      </c>
      <c r="X172" s="90">
        <f t="shared" si="80"/>
        <v>1194.9951489878176</v>
      </c>
      <c r="Z172" s="90">
        <f t="shared" si="81"/>
        <v>1278.1921483374026</v>
      </c>
      <c r="AD172" s="90">
        <f t="shared" si="82"/>
        <v>1580.834099721043</v>
      </c>
      <c r="AF172" s="90">
        <f t="shared" si="83"/>
        <v>1795.9464666868935</v>
      </c>
      <c r="AH172" s="90">
        <f t="shared" si="84"/>
        <v>1868.2692761516307</v>
      </c>
      <c r="AL172" s="90">
        <f t="shared" si="85"/>
        <v>0</v>
      </c>
      <c r="AN172" s="90">
        <f t="shared" si="86"/>
        <v>0</v>
      </c>
      <c r="AP172" s="90">
        <f t="shared" si="87"/>
        <v>0</v>
      </c>
      <c r="AT172" s="90">
        <f t="shared" si="88"/>
        <v>2770.3726302042037</v>
      </c>
      <c r="AV172" s="90">
        <f t="shared" si="89"/>
        <v>3044.474635354801</v>
      </c>
      <c r="AX172" s="90">
        <f t="shared" si="90"/>
        <v>3194.555485063234</v>
      </c>
      <c r="AZ172" s="90"/>
      <c r="BB172" s="90">
        <f t="shared" si="91"/>
        <v>3003.134250207413</v>
      </c>
      <c r="BD172" s="90">
        <f t="shared" si="93"/>
        <v>123.64939987917067</v>
      </c>
      <c r="BF172" s="90">
        <f t="shared" si="94"/>
        <v>53.533019680090085</v>
      </c>
      <c r="BH172" s="90">
        <f t="shared" si="95"/>
        <v>48.094060574200384</v>
      </c>
      <c r="BJ172" s="90"/>
      <c r="BL172" s="90">
        <f t="shared" si="96"/>
        <v>1580.834099721043</v>
      </c>
      <c r="BN172" s="90">
        <f t="shared" si="97"/>
        <v>1795.9464666868935</v>
      </c>
      <c r="BP172" s="90">
        <f t="shared" si="98"/>
        <v>1868.2692761516307</v>
      </c>
      <c r="BR172" s="90"/>
      <c r="BT172" s="90"/>
      <c r="BX172" s="90"/>
      <c r="BZ172" s="90"/>
      <c r="CB172" s="90"/>
    </row>
    <row r="173" spans="2:80" ht="12.75">
      <c r="B173" s="88" t="s">
        <v>135</v>
      </c>
      <c r="D173" s="88" t="s">
        <v>34</v>
      </c>
      <c r="F173" s="90">
        <f t="shared" si="92"/>
        <v>79.82429612452792</v>
      </c>
      <c r="H173" s="90">
        <f t="shared" si="92"/>
        <v>89.79732333434465</v>
      </c>
      <c r="J173" s="90">
        <f t="shared" si="75"/>
        <v>96.18812114840077</v>
      </c>
      <c r="L173"/>
      <c r="N173" s="90">
        <f t="shared" si="76"/>
        <v>18.782187323418334</v>
      </c>
      <c r="P173" s="90">
        <f t="shared" si="77"/>
        <v>17.268716025835513</v>
      </c>
      <c r="R173" s="90">
        <f t="shared" si="78"/>
        <v>0</v>
      </c>
      <c r="V173" s="90">
        <f t="shared" si="79"/>
        <v>4492.073134850883</v>
      </c>
      <c r="X173" s="90">
        <f t="shared" si="80"/>
        <v>682.1142830205027</v>
      </c>
      <c r="Z173" s="90">
        <f t="shared" si="81"/>
        <v>728.8099948551904</v>
      </c>
      <c r="AD173" s="90">
        <f t="shared" si="82"/>
        <v>3928.607515148334</v>
      </c>
      <c r="AF173" s="90">
        <f t="shared" si="83"/>
        <v>4507.134882743068</v>
      </c>
      <c r="AH173" s="90">
        <f t="shared" si="84"/>
        <v>4679.922048181807</v>
      </c>
      <c r="AL173" s="90">
        <f t="shared" si="85"/>
        <v>0</v>
      </c>
      <c r="AN173" s="90">
        <f t="shared" si="86"/>
        <v>0</v>
      </c>
      <c r="AP173" s="90">
        <f t="shared" si="87"/>
        <v>0</v>
      </c>
      <c r="AT173" s="90">
        <f t="shared" si="88"/>
        <v>8519.287133447166</v>
      </c>
      <c r="AV173" s="90">
        <f t="shared" si="89"/>
        <v>5296.315205123751</v>
      </c>
      <c r="AX173" s="90">
        <f t="shared" si="90"/>
        <v>5504.920164185399</v>
      </c>
      <c r="AZ173" s="90"/>
      <c r="BB173" s="90">
        <f t="shared" si="91"/>
        <v>6440.174167585438</v>
      </c>
      <c r="BD173" s="90">
        <f t="shared" si="93"/>
        <v>98.60648344794626</v>
      </c>
      <c r="BF173" s="90">
        <f t="shared" si="94"/>
        <v>107.06603936018017</v>
      </c>
      <c r="BH173" s="90">
        <f t="shared" si="95"/>
        <v>96.18812114840077</v>
      </c>
      <c r="BJ173" s="90"/>
      <c r="BL173" s="90">
        <f t="shared" si="96"/>
        <v>3928.607515148334</v>
      </c>
      <c r="BN173" s="90">
        <f t="shared" si="97"/>
        <v>4507.134882743068</v>
      </c>
      <c r="BP173" s="90">
        <f t="shared" si="98"/>
        <v>4679.922048181807</v>
      </c>
      <c r="BR173" s="90"/>
      <c r="BT173" s="90"/>
      <c r="BX173" s="90"/>
      <c r="BZ173" s="90"/>
      <c r="CB173" s="90"/>
    </row>
    <row r="174" spans="2:80" ht="12.75">
      <c r="B174" s="88" t="s">
        <v>35</v>
      </c>
      <c r="D174" s="88" t="s">
        <v>34</v>
      </c>
      <c r="F174" s="90">
        <f>F166+F168</f>
        <v>878.067257369807</v>
      </c>
      <c r="H174" s="90">
        <f>H166+H168</f>
        <v>979.1361986648736</v>
      </c>
      <c r="J174" s="90">
        <f>J166+J168</f>
        <v>1048.8204748296778</v>
      </c>
      <c r="L174"/>
      <c r="N174" s="90">
        <f>N166+N168</f>
        <v>3377.6633536613963</v>
      </c>
      <c r="P174" s="90">
        <f>P166+P168</f>
        <v>141.6034714118512</v>
      </c>
      <c r="R174" s="90">
        <f>R166+R168</f>
        <v>0</v>
      </c>
      <c r="V174" s="90">
        <f>V166+V168</f>
        <v>15229.223554738363</v>
      </c>
      <c r="X174" s="90">
        <f>X166+X168</f>
        <v>16716.117113008775</v>
      </c>
      <c r="Z174" s="90">
        <f>Z166+Z168</f>
        <v>19015.651642414618</v>
      </c>
      <c r="AD174" s="90">
        <f>AD166+AD168</f>
        <v>46501.56544822988</v>
      </c>
      <c r="AF174" s="90">
        <f>AF166+AF168</f>
        <v>53135.83921149587</v>
      </c>
      <c r="AH174" s="90">
        <f>AH166+AH168</f>
        <v>55345.16509154137</v>
      </c>
      <c r="AL174" s="90">
        <f>AL166+AL168</f>
        <v>0</v>
      </c>
      <c r="AN174" s="90">
        <f>AN166+AN168</f>
        <v>0</v>
      </c>
      <c r="AP174" s="90">
        <f>AP166+AP168</f>
        <v>0</v>
      </c>
      <c r="AT174" s="90">
        <f t="shared" si="88"/>
        <v>65986.51961399944</v>
      </c>
      <c r="AV174" s="90">
        <f t="shared" si="89"/>
        <v>70972.69599458137</v>
      </c>
      <c r="AX174" s="90">
        <f t="shared" si="90"/>
        <v>75409.63720878567</v>
      </c>
      <c r="AZ174" s="90"/>
      <c r="BB174" s="90">
        <f t="shared" si="91"/>
        <v>70789.61760578882</v>
      </c>
      <c r="BD174" s="90">
        <f t="shared" si="93"/>
        <v>4255.730611031203</v>
      </c>
      <c r="BF174" s="90">
        <f t="shared" si="94"/>
        <v>1120.739670076725</v>
      </c>
      <c r="BH174" s="90">
        <f t="shared" si="95"/>
        <v>1048.8204748296778</v>
      </c>
      <c r="BJ174" s="90"/>
      <c r="BL174" s="90">
        <f t="shared" si="96"/>
        <v>46501.56544822988</v>
      </c>
      <c r="BN174" s="90">
        <f t="shared" si="97"/>
        <v>53135.83921149587</v>
      </c>
      <c r="BP174" s="90">
        <f t="shared" si="98"/>
        <v>55345.16509154137</v>
      </c>
      <c r="BR174" s="90"/>
      <c r="BT174" s="90"/>
      <c r="BX174" s="90"/>
      <c r="BZ174" s="90"/>
      <c r="CB174" s="90"/>
    </row>
    <row r="175" spans="2:80" ht="12.75">
      <c r="B175" s="88" t="s">
        <v>36</v>
      </c>
      <c r="D175" s="88" t="s">
        <v>34</v>
      </c>
      <c r="F175" s="90">
        <f>F163+F165+F167</f>
        <v>519.6405159479071</v>
      </c>
      <c r="H175" s="90">
        <f>H163+H165+H167</f>
        <v>580.2288584680732</v>
      </c>
      <c r="J175" s="90">
        <f>J163+J165+J167</f>
        <v>621.5232443435127</v>
      </c>
      <c r="L175"/>
      <c r="N175" s="90">
        <f>N163+N165+N167</f>
        <v>1297.5361075928165</v>
      </c>
      <c r="P175" s="90">
        <f>P163+P165+P167</f>
        <v>335.01309090120895</v>
      </c>
      <c r="R175" s="90">
        <f>R163+R165+R167</f>
        <v>0</v>
      </c>
      <c r="V175" s="90">
        <f>V163+V165+V167</f>
        <v>51006.160041296374</v>
      </c>
      <c r="X175" s="90">
        <f>X163+X165+X167</f>
        <v>49557.761250942756</v>
      </c>
      <c r="Z175" s="90">
        <f>Z163+Z165+Z167</f>
        <v>57670.327943147895</v>
      </c>
      <c r="AD175" s="90">
        <f>AD163+AD165+AD167</f>
        <v>41353.680939336315</v>
      </c>
      <c r="AF175" s="90">
        <f>AF163+AF165+AF167</f>
        <v>47442.3435377779</v>
      </c>
      <c r="AH175" s="90">
        <f>AH163+AH165+AH167</f>
        <v>49261.26642890502</v>
      </c>
      <c r="AL175" s="90">
        <f>AL163+AL165+AL167</f>
        <v>0</v>
      </c>
      <c r="AN175" s="90">
        <f>AN163+AN165+AN167</f>
        <v>0</v>
      </c>
      <c r="AP175" s="90">
        <f>AP163+AP165+AP167</f>
        <v>0</v>
      </c>
      <c r="AT175" s="90">
        <f t="shared" si="88"/>
        <v>94177.01760417342</v>
      </c>
      <c r="AV175" s="90">
        <f t="shared" si="89"/>
        <v>97915.34673808995</v>
      </c>
      <c r="AX175" s="90">
        <f t="shared" si="90"/>
        <v>107553.11761639643</v>
      </c>
      <c r="AZ175" s="90"/>
      <c r="BB175" s="90">
        <f t="shared" si="91"/>
        <v>99881.82731955328</v>
      </c>
      <c r="BD175" s="90">
        <f t="shared" si="93"/>
        <v>1817.1766235407235</v>
      </c>
      <c r="BF175" s="90">
        <f t="shared" si="94"/>
        <v>915.2419493692821</v>
      </c>
      <c r="BH175" s="90">
        <f t="shared" si="95"/>
        <v>621.5232443435127</v>
      </c>
      <c r="BJ175" s="90"/>
      <c r="BL175" s="90">
        <f t="shared" si="96"/>
        <v>41353.680939336315</v>
      </c>
      <c r="BN175" s="90">
        <f t="shared" si="97"/>
        <v>47442.3435377779</v>
      </c>
      <c r="BP175" s="90">
        <f t="shared" si="98"/>
        <v>49261.26642890502</v>
      </c>
      <c r="BR175" s="90"/>
      <c r="BT175" s="90"/>
      <c r="BX175" s="90"/>
      <c r="BZ175" s="90"/>
      <c r="CB175" s="9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B1">
      <selection activeCell="C1" sqref="C1"/>
    </sheetView>
  </sheetViews>
  <sheetFormatPr defaultColWidth="9.140625" defaultRowHeight="12.75"/>
  <cols>
    <col min="1" max="1" width="3.7109375" style="0" hidden="1" customWidth="1"/>
    <col min="2" max="2" width="38.8515625" style="0" customWidth="1"/>
    <col min="3" max="3" width="6.421875" style="0" customWidth="1"/>
    <col min="4" max="4" width="3.140625" style="0" customWidth="1"/>
    <col min="6" max="6" width="8.57421875" style="0" customWidth="1"/>
    <col min="7" max="7" width="10.00390625" style="0" customWidth="1"/>
    <col min="8" max="8" width="9.8515625" style="0" customWidth="1"/>
    <col min="9" max="9" width="12.421875" style="0" customWidth="1"/>
  </cols>
  <sheetData>
    <row r="1" spans="2:9" ht="12.75">
      <c r="B1" s="2" t="s">
        <v>234</v>
      </c>
      <c r="C1" s="9"/>
      <c r="D1" s="9"/>
      <c r="E1" s="9"/>
      <c r="F1" s="9"/>
      <c r="G1" s="9"/>
      <c r="H1" s="9"/>
      <c r="I1" s="9"/>
    </row>
    <row r="2" spans="2:9" ht="12.75">
      <c r="B2" s="9"/>
      <c r="C2" s="9" t="s">
        <v>12</v>
      </c>
      <c r="D2" s="9"/>
      <c r="E2" s="134" t="s">
        <v>181</v>
      </c>
      <c r="F2" s="134" t="s">
        <v>182</v>
      </c>
      <c r="G2" s="134" t="s">
        <v>183</v>
      </c>
      <c r="H2" s="134" t="s">
        <v>180</v>
      </c>
      <c r="I2" s="9"/>
    </row>
    <row r="3" spans="2:9" ht="12.75">
      <c r="B3" s="9"/>
      <c r="C3" s="9"/>
      <c r="D3" s="9"/>
      <c r="E3" s="9"/>
      <c r="F3" s="9"/>
      <c r="G3" s="9"/>
      <c r="H3" s="9"/>
      <c r="I3" s="9"/>
    </row>
    <row r="4" spans="1:9" ht="12.75">
      <c r="A4" t="s">
        <v>61</v>
      </c>
      <c r="B4" s="2" t="s">
        <v>169</v>
      </c>
      <c r="C4" s="9" t="s">
        <v>60</v>
      </c>
      <c r="D4" s="9"/>
      <c r="E4" s="9"/>
      <c r="F4" s="9"/>
      <c r="G4" s="9"/>
      <c r="H4" s="9"/>
      <c r="I4" s="9"/>
    </row>
    <row r="5" spans="2:9" ht="12.75">
      <c r="B5" s="2"/>
      <c r="C5" s="63"/>
      <c r="D5" s="9"/>
      <c r="E5" s="9"/>
      <c r="F5" s="9"/>
      <c r="G5" s="9"/>
      <c r="H5" s="9"/>
      <c r="I5" s="9"/>
    </row>
    <row r="6" spans="2:9" ht="12.75">
      <c r="B6" s="9" t="s">
        <v>145</v>
      </c>
      <c r="C6" s="9" t="s">
        <v>19</v>
      </c>
      <c r="D6" s="9"/>
      <c r="E6" s="9">
        <v>865</v>
      </c>
      <c r="F6" s="9">
        <v>866</v>
      </c>
      <c r="G6" s="9">
        <v>866</v>
      </c>
      <c r="H6" s="9">
        <v>866</v>
      </c>
      <c r="I6" s="9"/>
    </row>
    <row r="7" spans="2:9" ht="12.75">
      <c r="B7" s="9" t="s">
        <v>146</v>
      </c>
      <c r="C7" s="9" t="s">
        <v>147</v>
      </c>
      <c r="D7" s="9"/>
      <c r="E7" s="9"/>
      <c r="F7" s="9"/>
      <c r="G7" s="9"/>
      <c r="H7" s="9">
        <v>-1.16</v>
      </c>
      <c r="I7" s="9"/>
    </row>
    <row r="8" spans="2:9" ht="12.75">
      <c r="B8" s="9" t="s">
        <v>148</v>
      </c>
      <c r="C8" s="9" t="s">
        <v>19</v>
      </c>
      <c r="D8" s="9"/>
      <c r="E8" s="9">
        <v>425</v>
      </c>
      <c r="F8" s="9">
        <v>425</v>
      </c>
      <c r="G8" s="9">
        <v>425</v>
      </c>
      <c r="H8" s="9">
        <v>425</v>
      </c>
      <c r="I8" s="9"/>
    </row>
    <row r="9" spans="2:10" ht="12.75">
      <c r="B9" s="9" t="s">
        <v>149</v>
      </c>
      <c r="C9" s="9" t="s">
        <v>147</v>
      </c>
      <c r="D9" s="9"/>
      <c r="E9" s="9"/>
      <c r="F9" s="9"/>
      <c r="G9" s="9"/>
      <c r="H9" s="9">
        <v>3.75</v>
      </c>
      <c r="I9" s="9"/>
      <c r="J9" s="31"/>
    </row>
    <row r="10" spans="2:9" ht="12.75">
      <c r="B10" s="9" t="s">
        <v>150</v>
      </c>
      <c r="C10" s="9" t="s">
        <v>151</v>
      </c>
      <c r="D10" s="9"/>
      <c r="E10" s="9"/>
      <c r="F10" s="9"/>
      <c r="G10" s="9"/>
      <c r="H10" s="9">
        <v>179</v>
      </c>
      <c r="I10" s="9"/>
    </row>
    <row r="11" spans="2:9" ht="14.25">
      <c r="B11" s="9" t="s">
        <v>152</v>
      </c>
      <c r="C11" s="9"/>
      <c r="D11" s="3"/>
      <c r="E11" s="3"/>
      <c r="F11" s="3"/>
      <c r="G11" s="3"/>
      <c r="H11" s="9">
        <v>7.95</v>
      </c>
      <c r="I11" s="9"/>
    </row>
    <row r="12" spans="2:9" ht="12.75">
      <c r="B12" s="9"/>
      <c r="C12" s="9"/>
      <c r="D12" s="9"/>
      <c r="E12" s="9"/>
      <c r="F12" s="9"/>
      <c r="G12" s="9"/>
      <c r="H12" s="9"/>
      <c r="I12" s="9"/>
    </row>
    <row r="13" spans="1:9" ht="12.75">
      <c r="A13" t="s">
        <v>61</v>
      </c>
      <c r="B13" s="2" t="s">
        <v>170</v>
      </c>
      <c r="C13" s="9" t="s">
        <v>60</v>
      </c>
      <c r="D13" s="9"/>
      <c r="E13" s="9"/>
      <c r="F13" s="9"/>
      <c r="G13" s="9"/>
      <c r="H13" s="9"/>
      <c r="I13" s="9"/>
    </row>
    <row r="14" spans="2:9" ht="12.75">
      <c r="B14" s="2"/>
      <c r="C14" s="63"/>
      <c r="D14" s="9"/>
      <c r="E14" s="9"/>
      <c r="F14" s="9"/>
      <c r="G14" s="9"/>
      <c r="H14" s="9"/>
      <c r="I14" s="9"/>
    </row>
    <row r="15" spans="2:9" ht="12.75">
      <c r="B15" s="9" t="s">
        <v>145</v>
      </c>
      <c r="C15" s="9" t="s">
        <v>19</v>
      </c>
      <c r="D15" s="9"/>
      <c r="E15" s="9">
        <v>1064</v>
      </c>
      <c r="F15" s="9">
        <v>1054</v>
      </c>
      <c r="G15" s="9">
        <v>1057</v>
      </c>
      <c r="H15" s="9">
        <v>1058</v>
      </c>
      <c r="I15" s="9"/>
    </row>
    <row r="16" spans="2:9" ht="12.75">
      <c r="B16" s="9" t="s">
        <v>148</v>
      </c>
      <c r="C16" s="9" t="s">
        <v>19</v>
      </c>
      <c r="D16" s="9"/>
      <c r="E16" s="9">
        <v>439</v>
      </c>
      <c r="F16" s="9">
        <v>441</v>
      </c>
      <c r="G16" s="9">
        <v>443</v>
      </c>
      <c r="H16" s="9">
        <v>441</v>
      </c>
      <c r="I16" s="9"/>
    </row>
    <row r="17" spans="2:9" ht="12.75">
      <c r="B17" s="9" t="s">
        <v>149</v>
      </c>
      <c r="C17" s="9" t="s">
        <v>147</v>
      </c>
      <c r="D17" s="9"/>
      <c r="E17" s="9"/>
      <c r="F17" s="9"/>
      <c r="G17" s="9"/>
      <c r="H17" s="9">
        <v>4.4</v>
      </c>
      <c r="I17" s="9"/>
    </row>
    <row r="18" spans="2:9" ht="12.75">
      <c r="B18" s="9" t="s">
        <v>150</v>
      </c>
      <c r="C18" s="9" t="s">
        <v>151</v>
      </c>
      <c r="D18" s="9"/>
      <c r="E18" s="9"/>
      <c r="F18" s="9"/>
      <c r="G18" s="9"/>
      <c r="H18" s="9">
        <v>180</v>
      </c>
      <c r="I18" s="9"/>
    </row>
    <row r="19" spans="2:9" ht="14.25">
      <c r="B19" s="9" t="s">
        <v>152</v>
      </c>
      <c r="C19" s="9"/>
      <c r="D19" s="3"/>
      <c r="E19" s="3"/>
      <c r="F19" s="3"/>
      <c r="G19" s="3"/>
      <c r="H19" s="9">
        <v>7.95</v>
      </c>
      <c r="I19" s="9"/>
    </row>
    <row r="20" spans="2:9" ht="12.75">
      <c r="B20" s="9"/>
      <c r="C20" s="9"/>
      <c r="D20" s="9"/>
      <c r="E20" s="9"/>
      <c r="F20" s="9"/>
      <c r="G20" s="9"/>
      <c r="H20" s="25"/>
      <c r="I20" s="9"/>
    </row>
    <row r="21" spans="1:9" ht="12.75">
      <c r="A21" t="s">
        <v>61</v>
      </c>
      <c r="B21" s="2" t="s">
        <v>171</v>
      </c>
      <c r="C21" s="9" t="s">
        <v>157</v>
      </c>
      <c r="D21" s="9"/>
      <c r="E21" s="9"/>
      <c r="F21" s="9"/>
      <c r="G21" s="9"/>
      <c r="H21" s="9"/>
      <c r="I21" s="9"/>
    </row>
    <row r="22" spans="2:9" ht="12.75">
      <c r="B22" s="2"/>
      <c r="C22" s="63"/>
      <c r="D22" s="9"/>
      <c r="E22" s="9"/>
      <c r="F22" s="9"/>
      <c r="G22" s="9"/>
      <c r="H22" s="9"/>
      <c r="I22" s="9"/>
    </row>
    <row r="23" spans="2:8" ht="12.75">
      <c r="B23" s="9" t="s">
        <v>145</v>
      </c>
      <c r="C23" s="9" t="s">
        <v>19</v>
      </c>
      <c r="D23" s="9"/>
      <c r="E23" s="9">
        <v>1056</v>
      </c>
      <c r="F23" s="9">
        <v>1069</v>
      </c>
      <c r="G23" s="9">
        <v>1052</v>
      </c>
      <c r="H23" s="9">
        <v>1059</v>
      </c>
    </row>
    <row r="24" spans="2:8" ht="12.75">
      <c r="B24" s="9" t="s">
        <v>148</v>
      </c>
      <c r="C24" s="9" t="s">
        <v>19</v>
      </c>
      <c r="D24" s="9"/>
      <c r="E24" s="9">
        <v>400</v>
      </c>
      <c r="F24" s="9">
        <v>400</v>
      </c>
      <c r="G24" s="9">
        <v>400</v>
      </c>
      <c r="H24" s="9">
        <v>400</v>
      </c>
    </row>
    <row r="25" spans="2:8" ht="12.75">
      <c r="B25" s="9" t="s">
        <v>149</v>
      </c>
      <c r="C25" s="9" t="s">
        <v>147</v>
      </c>
      <c r="D25" s="9"/>
      <c r="E25" s="9"/>
      <c r="F25" s="9"/>
      <c r="G25" s="9"/>
      <c r="H25" s="9">
        <v>4.36</v>
      </c>
    </row>
    <row r="26" spans="2:8" ht="12.75">
      <c r="B26" s="9" t="s">
        <v>150</v>
      </c>
      <c r="C26" s="9" t="s">
        <v>151</v>
      </c>
      <c r="D26" s="9"/>
      <c r="E26" s="9"/>
      <c r="F26" s="9"/>
      <c r="G26" s="9"/>
      <c r="H26" s="9">
        <v>174</v>
      </c>
    </row>
    <row r="27" spans="2:8" ht="14.25">
      <c r="B27" s="9" t="s">
        <v>152</v>
      </c>
      <c r="C27" s="9"/>
      <c r="D27" s="3"/>
      <c r="E27" s="3"/>
      <c r="F27" s="3"/>
      <c r="G27" s="3"/>
      <c r="H27" s="9">
        <v>8.05</v>
      </c>
    </row>
    <row r="28" spans="2:8" ht="14.25">
      <c r="B28" s="9"/>
      <c r="C28" s="9"/>
      <c r="D28" s="3"/>
      <c r="E28" s="3"/>
      <c r="F28" s="3"/>
      <c r="G28" s="3"/>
      <c r="H28" s="9"/>
    </row>
    <row r="29" spans="1:8" ht="12.75">
      <c r="A29" t="s">
        <v>61</v>
      </c>
      <c r="B29" s="2" t="s">
        <v>172</v>
      </c>
      <c r="C29" s="9" t="s">
        <v>157</v>
      </c>
      <c r="D29" s="9"/>
      <c r="E29" s="9"/>
      <c r="F29" s="9"/>
      <c r="G29" s="9"/>
      <c r="H29" s="9"/>
    </row>
    <row r="30" spans="2:8" ht="12.75">
      <c r="B30" s="2"/>
      <c r="C30" s="63"/>
      <c r="D30" s="9"/>
      <c r="E30" s="9"/>
      <c r="F30" s="9"/>
      <c r="G30" s="9"/>
      <c r="H30" s="9"/>
    </row>
    <row r="31" spans="2:8" ht="12.75">
      <c r="B31" s="9" t="s">
        <v>145</v>
      </c>
      <c r="C31" s="9" t="s">
        <v>19</v>
      </c>
      <c r="D31" s="9"/>
      <c r="E31" s="9">
        <v>1030</v>
      </c>
      <c r="F31" s="9">
        <v>1032</v>
      </c>
      <c r="G31" s="9">
        <v>1027</v>
      </c>
      <c r="H31" s="9">
        <v>1032</v>
      </c>
    </row>
    <row r="32" spans="2:8" ht="12.75">
      <c r="B32" s="9" t="s">
        <v>148</v>
      </c>
      <c r="C32" s="9" t="s">
        <v>19</v>
      </c>
      <c r="D32" s="9"/>
      <c r="E32" s="9">
        <v>400</v>
      </c>
      <c r="F32" s="9">
        <v>400</v>
      </c>
      <c r="G32" s="9">
        <v>399</v>
      </c>
      <c r="H32" s="9">
        <v>400</v>
      </c>
    </row>
    <row r="33" spans="2:8" ht="12.75">
      <c r="B33" s="9" t="s">
        <v>149</v>
      </c>
      <c r="C33" s="9" t="s">
        <v>147</v>
      </c>
      <c r="D33" s="9"/>
      <c r="E33" s="9"/>
      <c r="F33" s="9"/>
      <c r="G33" s="9"/>
      <c r="H33" s="9">
        <v>5.12</v>
      </c>
    </row>
    <row r="34" spans="2:8" ht="12.75">
      <c r="B34" s="9" t="s">
        <v>150</v>
      </c>
      <c r="C34" s="9" t="s">
        <v>151</v>
      </c>
      <c r="D34" s="9"/>
      <c r="E34" s="9"/>
      <c r="F34" s="9"/>
      <c r="G34" s="9"/>
      <c r="H34" s="9">
        <v>177</v>
      </c>
    </row>
    <row r="35" spans="2:8" ht="14.25">
      <c r="B35" s="9" t="s">
        <v>152</v>
      </c>
      <c r="C35" s="9"/>
      <c r="D35" s="3"/>
      <c r="E35" s="3"/>
      <c r="F35" s="3"/>
      <c r="G35" s="3"/>
      <c r="H35" s="9">
        <v>7.99</v>
      </c>
    </row>
    <row r="37" spans="1:8" ht="12.75">
      <c r="A37" t="s">
        <v>61</v>
      </c>
      <c r="B37" s="2" t="s">
        <v>173</v>
      </c>
      <c r="C37" s="9" t="s">
        <v>157</v>
      </c>
      <c r="D37" s="9"/>
      <c r="E37" s="9"/>
      <c r="F37" s="9"/>
      <c r="G37" s="9"/>
      <c r="H37" s="9"/>
    </row>
    <row r="38" spans="2:8" ht="12.75">
      <c r="B38" s="2"/>
      <c r="C38" s="63"/>
      <c r="D38" s="9"/>
      <c r="E38" s="9"/>
      <c r="F38" s="9"/>
      <c r="G38" s="9"/>
      <c r="H38" s="9"/>
    </row>
    <row r="39" spans="2:8" ht="12.75">
      <c r="B39" s="9" t="s">
        <v>145</v>
      </c>
      <c r="C39" s="9" t="s">
        <v>19</v>
      </c>
      <c r="D39" s="9"/>
      <c r="E39" s="9">
        <v>1032</v>
      </c>
      <c r="F39" s="9">
        <v>1029</v>
      </c>
      <c r="G39" s="9">
        <v>1032</v>
      </c>
      <c r="H39" s="9">
        <v>1035</v>
      </c>
    </row>
    <row r="40" spans="2:8" ht="12.75">
      <c r="B40" s="9" t="s">
        <v>148</v>
      </c>
      <c r="C40" s="9" t="s">
        <v>19</v>
      </c>
      <c r="D40" s="9"/>
      <c r="E40" s="9">
        <v>398</v>
      </c>
      <c r="F40" s="9">
        <v>400</v>
      </c>
      <c r="G40" s="9">
        <v>400</v>
      </c>
      <c r="H40" s="9">
        <v>399</v>
      </c>
    </row>
    <row r="41" spans="2:8" ht="12.75">
      <c r="B41" s="9" t="s">
        <v>149</v>
      </c>
      <c r="C41" s="9" t="s">
        <v>147</v>
      </c>
      <c r="D41" s="9"/>
      <c r="E41" s="9"/>
      <c r="F41" s="9"/>
      <c r="G41" s="9"/>
      <c r="H41" s="9">
        <v>5.17</v>
      </c>
    </row>
    <row r="42" spans="2:8" ht="12.75">
      <c r="B42" s="9" t="s">
        <v>150</v>
      </c>
      <c r="C42" s="9" t="s">
        <v>151</v>
      </c>
      <c r="D42" s="9"/>
      <c r="E42" s="9"/>
      <c r="F42" s="9"/>
      <c r="G42" s="9"/>
      <c r="H42" s="9">
        <v>179</v>
      </c>
    </row>
    <row r="43" spans="2:8" ht="14.25">
      <c r="B43" s="9" t="s">
        <v>152</v>
      </c>
      <c r="C43" s="9"/>
      <c r="D43" s="3"/>
      <c r="E43" s="3"/>
      <c r="F43" s="3"/>
      <c r="G43" s="3"/>
      <c r="H43" s="9">
        <v>7.99</v>
      </c>
    </row>
    <row r="46" spans="1:8" ht="12.75">
      <c r="A46" t="s">
        <v>61</v>
      </c>
      <c r="B46" s="2" t="s">
        <v>174</v>
      </c>
      <c r="C46" s="9" t="s">
        <v>157</v>
      </c>
      <c r="D46" s="9"/>
      <c r="E46" s="9"/>
      <c r="F46" s="9"/>
      <c r="G46" s="9"/>
      <c r="H46" s="9"/>
    </row>
    <row r="47" spans="2:8" ht="12.75">
      <c r="B47" s="2"/>
      <c r="C47" s="63"/>
      <c r="D47" s="9"/>
      <c r="E47" s="9"/>
      <c r="F47" s="9"/>
      <c r="G47" s="9"/>
      <c r="H47" s="9"/>
    </row>
    <row r="48" spans="2:8" ht="12.75">
      <c r="B48" s="9" t="s">
        <v>145</v>
      </c>
      <c r="C48" s="9" t="s">
        <v>19</v>
      </c>
      <c r="D48" s="9"/>
      <c r="E48" s="9">
        <v>1023</v>
      </c>
      <c r="F48" s="9">
        <v>1021</v>
      </c>
      <c r="G48" s="9">
        <v>1011</v>
      </c>
      <c r="H48" s="9">
        <v>1018</v>
      </c>
    </row>
    <row r="49" spans="2:8" ht="12.75">
      <c r="B49" s="9" t="s">
        <v>148</v>
      </c>
      <c r="C49" s="9" t="s">
        <v>19</v>
      </c>
      <c r="D49" s="9"/>
      <c r="E49" s="9">
        <v>375</v>
      </c>
      <c r="F49" s="9">
        <v>375</v>
      </c>
      <c r="G49" s="9">
        <v>375</v>
      </c>
      <c r="H49" s="9">
        <v>375</v>
      </c>
    </row>
    <row r="50" spans="2:8" ht="12.75">
      <c r="B50" s="9" t="s">
        <v>149</v>
      </c>
      <c r="C50" s="9" t="s">
        <v>147</v>
      </c>
      <c r="D50" s="9"/>
      <c r="E50" s="9"/>
      <c r="F50" s="9"/>
      <c r="G50" s="9"/>
      <c r="H50" s="9">
        <v>5.17</v>
      </c>
    </row>
    <row r="51" spans="2:8" ht="12.75">
      <c r="B51" s="9" t="s">
        <v>150</v>
      </c>
      <c r="C51" s="9" t="s">
        <v>151</v>
      </c>
      <c r="D51" s="9"/>
      <c r="E51" s="9"/>
      <c r="F51" s="9"/>
      <c r="G51" s="9"/>
      <c r="H51" s="9">
        <v>177</v>
      </c>
    </row>
    <row r="52" spans="2:8" ht="14.25">
      <c r="B52" s="9" t="s">
        <v>152</v>
      </c>
      <c r="C52" s="9"/>
      <c r="D52" s="3"/>
      <c r="E52" s="3"/>
      <c r="F52" s="3"/>
      <c r="G52" s="3"/>
      <c r="H52" s="9">
        <v>7.99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33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4.421875" style="0" customWidth="1"/>
  </cols>
  <sheetData>
    <row r="1" ht="12.75">
      <c r="C1" s="2" t="s">
        <v>233</v>
      </c>
    </row>
    <row r="3" ht="12.75">
      <c r="C3" s="13" t="s">
        <v>195</v>
      </c>
    </row>
    <row r="5" spans="1:31" s="88" customFormat="1" ht="12.75">
      <c r="A5" s="88" t="s">
        <v>195</v>
      </c>
      <c r="B5" s="88" t="s">
        <v>221</v>
      </c>
      <c r="C5" s="88" t="s">
        <v>222</v>
      </c>
      <c r="D5" s="88" t="s">
        <v>223</v>
      </c>
      <c r="E5" s="86">
        <v>905</v>
      </c>
      <c r="F5" s="86">
        <v>880</v>
      </c>
      <c r="G5" s="86">
        <v>907</v>
      </c>
      <c r="H5" s="86">
        <v>893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22" s="88" customFormat="1" ht="12.75">
      <c r="A6" s="88" t="s">
        <v>195</v>
      </c>
      <c r="B6" s="88" t="s">
        <v>221</v>
      </c>
      <c r="C6" s="88" t="s">
        <v>229</v>
      </c>
      <c r="D6" s="88" t="s">
        <v>223</v>
      </c>
      <c r="E6" s="86">
        <v>437</v>
      </c>
      <c r="F6" s="86">
        <v>442</v>
      </c>
      <c r="G6" s="86">
        <v>440</v>
      </c>
      <c r="H6" s="86">
        <v>441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23" s="88" customFormat="1" ht="12.75">
      <c r="A7" s="88" t="s">
        <v>195</v>
      </c>
      <c r="B7" s="88" t="s">
        <v>224</v>
      </c>
      <c r="C7" s="88" t="s">
        <v>227</v>
      </c>
      <c r="D7" s="88" t="s">
        <v>225</v>
      </c>
      <c r="E7" s="86">
        <v>5.1</v>
      </c>
      <c r="F7" s="86">
        <v>5</v>
      </c>
      <c r="G7" s="86">
        <v>5</v>
      </c>
      <c r="H7" s="86">
        <v>5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s="88" customFormat="1" ht="12.75">
      <c r="A8" s="88" t="s">
        <v>195</v>
      </c>
      <c r="B8" s="88" t="s">
        <v>221</v>
      </c>
      <c r="C8" s="88" t="s">
        <v>228</v>
      </c>
      <c r="D8" s="88" t="s">
        <v>225</v>
      </c>
      <c r="E8" s="86">
        <v>5.5</v>
      </c>
      <c r="F8" s="86">
        <v>5.3</v>
      </c>
      <c r="G8" s="86">
        <v>5.5</v>
      </c>
      <c r="H8" s="86">
        <v>5.4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2" s="88" customFormat="1" ht="12.75">
      <c r="A9" s="88" t="s">
        <v>195</v>
      </c>
      <c r="B9" s="88" t="s">
        <v>224</v>
      </c>
      <c r="C9" s="88" t="s">
        <v>226</v>
      </c>
      <c r="E9" s="86">
        <v>9.2</v>
      </c>
      <c r="F9" s="86">
        <v>9.1</v>
      </c>
      <c r="G9" s="86">
        <v>9.2</v>
      </c>
      <c r="H9" s="86">
        <v>9.2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5:22" s="88" customFormat="1" ht="12.75"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3:22" s="88" customFormat="1" ht="12.75">
      <c r="C11" s="13" t="s">
        <v>198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5:22" s="88" customFormat="1" ht="12.75"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31" s="88" customFormat="1" ht="12.75">
      <c r="A13" s="88" t="s">
        <v>198</v>
      </c>
      <c r="B13" s="88" t="s">
        <v>221</v>
      </c>
      <c r="C13" s="88" t="s">
        <v>222</v>
      </c>
      <c r="D13" s="88" t="s">
        <v>223</v>
      </c>
      <c r="E13" s="86">
        <v>1071</v>
      </c>
      <c r="F13" s="86">
        <v>1136</v>
      </c>
      <c r="G13" s="86">
        <v>1121</v>
      </c>
      <c r="H13" s="86">
        <v>1121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22" s="88" customFormat="1" ht="12.75">
      <c r="A14" s="88" t="s">
        <v>198</v>
      </c>
      <c r="B14" s="88" t="s">
        <v>221</v>
      </c>
      <c r="C14" s="88" t="s">
        <v>229</v>
      </c>
      <c r="D14" s="88" t="s">
        <v>223</v>
      </c>
      <c r="E14" s="86">
        <v>443</v>
      </c>
      <c r="F14" s="86">
        <v>443</v>
      </c>
      <c r="G14" s="86">
        <v>442</v>
      </c>
      <c r="H14" s="86">
        <v>442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23" s="88" customFormat="1" ht="12.75">
      <c r="A15" s="88" t="s">
        <v>198</v>
      </c>
      <c r="B15" s="88" t="s">
        <v>224</v>
      </c>
      <c r="C15" s="88" t="s">
        <v>227</v>
      </c>
      <c r="D15" s="88" t="s">
        <v>225</v>
      </c>
      <c r="E15" s="86">
        <v>5</v>
      </c>
      <c r="F15" s="86">
        <v>5</v>
      </c>
      <c r="G15" s="86">
        <v>4.9</v>
      </c>
      <c r="H15" s="86">
        <v>4.9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s="88" customFormat="1" ht="12.75">
      <c r="A16" s="88" t="s">
        <v>198</v>
      </c>
      <c r="B16" s="88" t="s">
        <v>221</v>
      </c>
      <c r="C16" s="88" t="s">
        <v>228</v>
      </c>
      <c r="D16" s="88" t="s">
        <v>225</v>
      </c>
      <c r="E16" s="86">
        <v>5.5</v>
      </c>
      <c r="F16" s="86">
        <v>5.7</v>
      </c>
      <c r="G16" s="86">
        <v>5.9</v>
      </c>
      <c r="H16" s="86">
        <v>6.1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2" s="88" customFormat="1" ht="12.75">
      <c r="A17" s="88" t="s">
        <v>198</v>
      </c>
      <c r="B17" s="88" t="s">
        <v>224</v>
      </c>
      <c r="C17" s="88" t="s">
        <v>226</v>
      </c>
      <c r="E17" s="86">
        <v>9.2</v>
      </c>
      <c r="F17" s="86">
        <v>8.6</v>
      </c>
      <c r="G17" s="86">
        <v>8.7</v>
      </c>
      <c r="H17" s="86">
        <v>9.3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5:22" s="88" customFormat="1" ht="12.75"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3:22" s="88" customFormat="1" ht="12.75">
      <c r="C19" s="13" t="s">
        <v>199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5:22" s="88" customFormat="1" ht="12.75"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1" spans="1:31" s="88" customFormat="1" ht="12.75">
      <c r="A21" s="88" t="s">
        <v>199</v>
      </c>
      <c r="B21" s="88" t="s">
        <v>221</v>
      </c>
      <c r="C21" s="88" t="s">
        <v>222</v>
      </c>
      <c r="D21" s="88" t="s">
        <v>223</v>
      </c>
      <c r="E21" s="86">
        <v>954</v>
      </c>
      <c r="F21" s="86">
        <v>961</v>
      </c>
      <c r="G21" s="86">
        <v>977</v>
      </c>
      <c r="H21" s="86">
        <v>966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22" s="88" customFormat="1" ht="12.75">
      <c r="A22" s="88" t="s">
        <v>199</v>
      </c>
      <c r="B22" s="88" t="s">
        <v>221</v>
      </c>
      <c r="C22" s="88" t="s">
        <v>229</v>
      </c>
      <c r="D22" s="88" t="s">
        <v>223</v>
      </c>
      <c r="E22" s="86">
        <v>417</v>
      </c>
      <c r="F22" s="86">
        <v>428</v>
      </c>
      <c r="G22" s="86">
        <v>431</v>
      </c>
      <c r="H22" s="86">
        <v>432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  <row r="23" spans="1:23" s="88" customFormat="1" ht="12.75">
      <c r="A23" s="88" t="s">
        <v>199</v>
      </c>
      <c r="B23" s="88" t="s">
        <v>224</v>
      </c>
      <c r="C23" s="88" t="s">
        <v>227</v>
      </c>
      <c r="D23" s="88" t="s">
        <v>225</v>
      </c>
      <c r="E23" s="86">
        <v>5.4</v>
      </c>
      <c r="F23" s="86">
        <v>5.3</v>
      </c>
      <c r="G23" s="86">
        <v>5.3</v>
      </c>
      <c r="H23" s="86">
        <v>5.3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  <row r="24" spans="1:23" s="88" customFormat="1" ht="12.75">
      <c r="A24" s="88" t="s">
        <v>199</v>
      </c>
      <c r="B24" s="88" t="s">
        <v>221</v>
      </c>
      <c r="C24" s="88" t="s">
        <v>228</v>
      </c>
      <c r="D24" s="88" t="s">
        <v>225</v>
      </c>
      <c r="E24" s="86">
        <v>5.5</v>
      </c>
      <c r="F24" s="86">
        <v>5.5</v>
      </c>
      <c r="G24" s="86">
        <v>5.4</v>
      </c>
      <c r="H24" s="86">
        <v>5.5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pans="1:22" s="88" customFormat="1" ht="12.75">
      <c r="A25" s="88" t="s">
        <v>199</v>
      </c>
      <c r="B25" s="88" t="s">
        <v>224</v>
      </c>
      <c r="C25" s="88" t="s">
        <v>226</v>
      </c>
      <c r="E25" s="86">
        <v>9.3</v>
      </c>
      <c r="F25" s="86">
        <v>9.2</v>
      </c>
      <c r="G25" s="86">
        <v>9.3</v>
      </c>
      <c r="H25" s="86">
        <v>9.2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5:22" s="88" customFormat="1" ht="12.75"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3:22" s="88" customFormat="1" ht="12.75">
      <c r="C27" s="13" t="s">
        <v>200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5:22" s="88" customFormat="1" ht="12.75"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31" s="88" customFormat="1" ht="12.75">
      <c r="A29" s="88" t="s">
        <v>200</v>
      </c>
      <c r="B29" s="88" t="s">
        <v>221</v>
      </c>
      <c r="C29" s="88" t="s">
        <v>222</v>
      </c>
      <c r="D29" s="88" t="s">
        <v>223</v>
      </c>
      <c r="E29" s="86">
        <v>1083</v>
      </c>
      <c r="F29" s="86">
        <v>1018</v>
      </c>
      <c r="G29" s="86">
        <v>1119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22" s="88" customFormat="1" ht="12.75">
      <c r="A30" s="88" t="s">
        <v>200</v>
      </c>
      <c r="B30" s="88" t="s">
        <v>221</v>
      </c>
      <c r="C30" s="88" t="s">
        <v>229</v>
      </c>
      <c r="D30" s="88" t="s">
        <v>223</v>
      </c>
      <c r="E30" s="86">
        <v>438</v>
      </c>
      <c r="F30" s="86">
        <v>438</v>
      </c>
      <c r="G30" s="86">
        <v>436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3" s="88" customFormat="1" ht="12.75">
      <c r="A31" s="88" t="s">
        <v>200</v>
      </c>
      <c r="B31" s="88" t="s">
        <v>224</v>
      </c>
      <c r="C31" s="88" t="s">
        <v>227</v>
      </c>
      <c r="D31" s="88" t="s">
        <v>225</v>
      </c>
      <c r="E31" s="86">
        <v>4.3</v>
      </c>
      <c r="F31" s="86">
        <v>4.3</v>
      </c>
      <c r="G31" s="86">
        <v>4.5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3" s="88" customFormat="1" ht="12.75">
      <c r="A32" s="88" t="s">
        <v>200</v>
      </c>
      <c r="B32" s="88" t="s">
        <v>221</v>
      </c>
      <c r="C32" s="88" t="s">
        <v>228</v>
      </c>
      <c r="D32" s="88" t="s">
        <v>225</v>
      </c>
      <c r="E32" s="86">
        <v>10.3</v>
      </c>
      <c r="F32" s="86">
        <v>10.3</v>
      </c>
      <c r="G32" s="86">
        <v>9.7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2" s="88" customFormat="1" ht="12.75">
      <c r="A33" s="88" t="s">
        <v>200</v>
      </c>
      <c r="B33" s="88" t="s">
        <v>224</v>
      </c>
      <c r="C33" s="88" t="s">
        <v>226</v>
      </c>
      <c r="E33" s="86">
        <v>9.3</v>
      </c>
      <c r="F33" s="86">
        <v>9.4</v>
      </c>
      <c r="G33" s="86">
        <v>9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2004-02-24T23:49:19Z</cp:lastPrinted>
  <dcterms:created xsi:type="dcterms:W3CDTF">2000-01-10T00:44:42Z</dcterms:created>
  <dcterms:modified xsi:type="dcterms:W3CDTF">2004-02-24T23:52:48Z</dcterms:modified>
  <cp:category/>
  <cp:version/>
  <cp:contentType/>
  <cp:contentStatus/>
</cp:coreProperties>
</file>