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772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df c4" sheetId="6" r:id="rId6"/>
    <sheet name="df c5" sheetId="7" r:id="rId7"/>
  </sheets>
  <definedNames/>
  <calcPr fullCalcOnLoad="1"/>
</workbook>
</file>

<file path=xl/sharedStrings.xml><?xml version="1.0" encoding="utf-8"?>
<sst xmlns="http://schemas.openxmlformats.org/spreadsheetml/2006/main" count="768" uniqueCount="198">
  <si>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</si>
  <si>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</si>
  <si>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</si>
  <si>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</si>
  <si>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</si>
  <si>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</si>
  <si>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</si>
  <si>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</si>
  <si>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</si>
  <si>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Number of Sister Facilities</t>
  </si>
  <si>
    <t>Combustor Class</t>
  </si>
  <si>
    <t>Onsite Incinerator, DoD munitions popping, government</t>
  </si>
  <si>
    <t>Combustor Type</t>
  </si>
  <si>
    <t>Rotary kiln</t>
  </si>
  <si>
    <t>Combustor Characteristics</t>
  </si>
  <si>
    <t>Capacity (MMBtu/hr)</t>
  </si>
  <si>
    <t>Soot Blowing</t>
  </si>
  <si>
    <t>APCS Detailed Acronym</t>
  </si>
  <si>
    <t>AB/GC/C/FF</t>
  </si>
  <si>
    <t>APCS General Class</t>
  </si>
  <si>
    <t>FF, C, HE</t>
  </si>
  <si>
    <t>APCS Characteristics</t>
  </si>
  <si>
    <t>Hazardous Wastes</t>
  </si>
  <si>
    <t>Solid</t>
  </si>
  <si>
    <t>Haz Waste Description</t>
  </si>
  <si>
    <t>Propellant/explosive/pyrotechnic</t>
  </si>
  <si>
    <t>Supplemental Fuel</t>
  </si>
  <si>
    <t>Oil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</si>
  <si>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</si>
  <si>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</si>
  <si>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</si>
  <si>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</si>
  <si>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</si>
  <si>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</si>
  <si>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</si>
  <si>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McAlester Army Ammunition Plant</t>
  </si>
  <si>
    <t>McAlester</t>
  </si>
  <si>
    <t>OK</t>
  </si>
  <si>
    <t>APE 1236</t>
  </si>
  <si>
    <t>Rotary kiln. Desgined to destroy small ammunition or explosive end items and bulk explosive or propelling materials.</t>
  </si>
  <si>
    <t>Condition Description</t>
  </si>
  <si>
    <t>Report Name/Date</t>
  </si>
  <si>
    <t>Report Prepare</t>
  </si>
  <si>
    <t>Testing Firm</t>
  </si>
  <si>
    <t>Testing Dates</t>
  </si>
  <si>
    <t>Cond Dates</t>
  </si>
  <si>
    <t>Condition Descr</t>
  </si>
  <si>
    <t>Content</t>
  </si>
  <si>
    <t>3032C1</t>
  </si>
  <si>
    <t>3032C2</t>
  </si>
  <si>
    <t>3032C3</t>
  </si>
  <si>
    <t>3032C4</t>
  </si>
  <si>
    <t>3032C5</t>
  </si>
  <si>
    <t>M7 Propellant</t>
  </si>
  <si>
    <t>M1 Propellant, HCB Powder</t>
  </si>
  <si>
    <t>M17 low temperature</t>
  </si>
  <si>
    <t>M17 high temperature</t>
  </si>
  <si>
    <t>Stack Gas Emissions 1</t>
  </si>
  <si>
    <t>Comments</t>
  </si>
  <si>
    <t>Units</t>
  </si>
  <si>
    <t>7% O2</t>
  </si>
  <si>
    <t>R1</t>
  </si>
  <si>
    <t>R2</t>
  </si>
  <si>
    <t>R3</t>
  </si>
  <si>
    <t>Cond Avg</t>
  </si>
  <si>
    <t xml:space="preserve">PM </t>
  </si>
  <si>
    <t>E1</t>
  </si>
  <si>
    <t>gr/dscf</t>
  </si>
  <si>
    <t>y</t>
  </si>
  <si>
    <t>ppmv</t>
  </si>
  <si>
    <t>Antimony</t>
  </si>
  <si>
    <t>lb/hr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</si>
  <si>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</si>
  <si>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</si>
  <si>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</si>
  <si>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</si>
  <si>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</si>
  <si>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</si>
  <si>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</si>
  <si>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</si>
  <si>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Sampling Train</t>
  </si>
  <si>
    <t xml:space="preserve">   Stack Gas Flowrate</t>
  </si>
  <si>
    <t>dscfm</t>
  </si>
  <si>
    <t xml:space="preserve">   O2</t>
  </si>
  <si>
    <t>%</t>
  </si>
  <si>
    <t xml:space="preserve">   Moisture</t>
  </si>
  <si>
    <t xml:space="preserve">   Temperature</t>
  </si>
  <si>
    <t>°F</t>
  </si>
  <si>
    <t>ug/dscm</t>
  </si>
  <si>
    <t>SVM</t>
  </si>
  <si>
    <t>LVM</t>
  </si>
  <si>
    <t>POHC DRE</t>
  </si>
  <si>
    <t>POHC Feedrate</t>
  </si>
  <si>
    <t>Emission Rate</t>
  </si>
  <si>
    <t>DRE</t>
  </si>
  <si>
    <t>NG</t>
  </si>
  <si>
    <t>PM</t>
  </si>
  <si>
    <t>Aluminum</t>
  </si>
  <si>
    <t>Copper</t>
  </si>
  <si>
    <t>Nickel</t>
  </si>
  <si>
    <t>Selenium</t>
  </si>
  <si>
    <t>Tin</t>
  </si>
  <si>
    <t>g/sec</t>
  </si>
  <si>
    <t>Zinc</t>
  </si>
  <si>
    <t>metals</t>
  </si>
  <si>
    <t>E2</t>
  </si>
  <si>
    <t>Air Pollution Emission Assessment No. 42-EK-1463-97 -- Trial Burn and Health Risk Assessment Emissions Test for APE 1236 DFS - McAlester Army Ammunition Plant, McAlester, OK, February 12 - March 14, 1997</t>
  </si>
  <si>
    <t>U.S. Army CHPPM</t>
  </si>
  <si>
    <t>M43A1/M1911 Mixed munitions, metal powder</t>
  </si>
  <si>
    <t>Feb 22, 27, 1997</t>
  </si>
  <si>
    <t>Feb 25, 26, March 5, 1997</t>
  </si>
  <si>
    <t>Feb 28, March 3, 8, 1997</t>
  </si>
  <si>
    <t>March 6-8, 1997</t>
  </si>
  <si>
    <t>March 10-12, 1997</t>
  </si>
  <si>
    <t>CO (MHRA)</t>
  </si>
  <si>
    <t>Feedrate</t>
  </si>
  <si>
    <t>DNT</t>
  </si>
  <si>
    <t>HCB</t>
  </si>
  <si>
    <t>HCl</t>
  </si>
  <si>
    <t>Cl2</t>
  </si>
  <si>
    <t>Total Chlorine</t>
  </si>
  <si>
    <t>PM, HCl/Cl2</t>
  </si>
  <si>
    <t>PM, HCl/Cl2, CO, PCDD/PCDF, PICs</t>
  </si>
  <si>
    <t>PM, metals, CO</t>
  </si>
  <si>
    <t>PM, CO, DRE</t>
  </si>
  <si>
    <t>PCDD/PCDF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</si>
  <si>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</si>
  <si>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</si>
  <si>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</si>
  <si>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</si>
  <si>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</si>
  <si>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</si>
  <si>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</si>
  <si>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</si>
  <si>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</si>
  <si>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</si>
  <si>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</si>
  <si>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1/2 ND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</si>
  <si>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</si>
  <si>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</si>
  <si>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</si>
  <si>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</si>
  <si>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</si>
  <si>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</si>
  <si>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</si>
  <si>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</si>
  <si>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</si>
  <si>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</si>
  <si>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</si>
  <si>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</si>
  <si>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</si>
  <si>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</si>
  <si>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</si>
  <si>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</si>
  <si>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</si>
  <si>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</si>
  <si>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</si>
  <si>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</si>
  <si>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</si>
  <si>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</si>
  <si>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</si>
  <si>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</si>
  <si>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</si>
  <si>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</si>
  <si>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</si>
  <si>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</si>
  <si>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</si>
  <si>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</si>
  <si>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</si>
  <si>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(pg)</t>
  </si>
  <si>
    <t>Trial burn, high temperature, March 1997</t>
  </si>
  <si>
    <t>Trial burn, low temperature, March 1997</t>
  </si>
  <si>
    <t>source</t>
  </si>
  <si>
    <t>cond</t>
  </si>
  <si>
    <t>emiss</t>
  </si>
  <si>
    <t>feed</t>
  </si>
  <si>
    <t>df c4</t>
  </si>
  <si>
    <t>df c5</t>
  </si>
  <si>
    <t>*</t>
  </si>
  <si>
    <t>Feedstream Description</t>
  </si>
  <si>
    <t>Feed Class 2</t>
  </si>
  <si>
    <t>Feed Rate</t>
  </si>
  <si>
    <t>Chlorine</t>
  </si>
  <si>
    <t>Ash</t>
  </si>
  <si>
    <t>Stack Gas Flowrate</t>
  </si>
  <si>
    <t>Oxygen</t>
  </si>
  <si>
    <t>Thermal Feedrate</t>
  </si>
  <si>
    <t>MMBtu/hr</t>
  </si>
  <si>
    <t>Estimated Firing Rate</t>
  </si>
  <si>
    <t>Feedrate MTEC Calculations</t>
  </si>
  <si>
    <t>M7</t>
  </si>
  <si>
    <t>HW</t>
  </si>
  <si>
    <t>M1</t>
  </si>
  <si>
    <t>M48A1 / M1911</t>
  </si>
  <si>
    <t>mg/dscm</t>
  </si>
  <si>
    <t>M17</t>
  </si>
  <si>
    <t>Full ND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</si>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</sst>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.000"/>
    <numFmt numFmtId="167" formatCode="0.0000"/>
    <numFmt numFmtId="168" formatCode="0.00000"/>
    <numFmt numFmtId="169" formatCode="0.00000000"/>
    <numFmt numFmtId="170" formatCode="0.0000000"/>
    <numFmt numFmtId="171" formatCode="0.000000"/>
  </numFmts>
  <fonts count="6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1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  <row r="4" ht="12.75">
      <c r="A4" t="s">
        <v>175</v>
      </c>
    </row>
    <row r="5" ht="12.75">
      <c r="A5" t="s">
        <v>176</v>
      </c>
    </row>
    <row r="6" ht="12.75">
      <c r="A6" t="s">
        <v>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7"/>
  <sheetViews>
    <sheetView workbookViewId="0" topLeftCell="B1">
      <selection activeCell="C24" sqref="C24"/>
    </sheetView>
  </sheetViews>
  <sheetFormatPr defaultColWidth="9.140625" defaultRowHeight="12.75"/>
  <cols>
    <col min="1" max="1" width="2.00390625" style="1" hidden="1" customWidth="1"/>
    <col min="2" max="2" width="26.8515625" style="1" customWidth="1"/>
    <col min="3" max="3" width="58.421875" style="1" customWidth="1"/>
    <col min="4" max="16384" width="8.8515625" style="1" customWidth="1"/>
  </cols>
  <sheetData>
    <row r="1" spans="2:12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 t="s">
        <v>1</v>
      </c>
      <c r="C3" s="4">
        <v>3032</v>
      </c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 t="s">
        <v>3</v>
      </c>
      <c r="C5" s="3" t="s">
        <v>35</v>
      </c>
      <c r="D5" s="3"/>
      <c r="E5" s="3"/>
      <c r="F5" s="3"/>
      <c r="G5" s="3"/>
      <c r="H5" s="3"/>
      <c r="I5" s="3"/>
      <c r="J5" s="3"/>
      <c r="K5" s="3"/>
      <c r="L5" s="3"/>
    </row>
    <row r="6" spans="2:12" ht="12.7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3" t="s">
        <v>5</v>
      </c>
      <c r="C7" s="3" t="s">
        <v>36</v>
      </c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3" t="s">
        <v>6</v>
      </c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3" t="s">
        <v>7</v>
      </c>
      <c r="C9" s="3" t="s">
        <v>38</v>
      </c>
      <c r="D9" s="3"/>
      <c r="E9" s="3"/>
      <c r="F9" s="3"/>
      <c r="G9" s="3"/>
      <c r="H9" s="3"/>
      <c r="I9" s="3"/>
      <c r="J9" s="3"/>
      <c r="K9" s="3"/>
      <c r="L9" s="3"/>
    </row>
    <row r="10" spans="2:12" ht="12.75">
      <c r="B10" s="3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>
      <c r="B11" s="3" t="s">
        <v>9</v>
      </c>
      <c r="C11" s="4">
        <v>0</v>
      </c>
      <c r="D11" s="3"/>
      <c r="E11" s="3"/>
      <c r="F11" s="3"/>
      <c r="G11" s="3"/>
      <c r="H11" s="3"/>
      <c r="I11" s="3"/>
      <c r="J11" s="3"/>
      <c r="K11" s="3"/>
      <c r="L11" s="3"/>
    </row>
    <row r="12" spans="2:12" ht="12.75">
      <c r="B12" s="3" t="s">
        <v>10</v>
      </c>
      <c r="C12" s="3" t="s">
        <v>11</v>
      </c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3" t="s">
        <v>12</v>
      </c>
      <c r="C13" s="1" t="s">
        <v>13</v>
      </c>
      <c r="D13" s="3"/>
      <c r="E13" s="3"/>
      <c r="F13" s="3"/>
      <c r="G13" s="3"/>
      <c r="H13" s="3"/>
      <c r="I13" s="3"/>
      <c r="J13" s="3"/>
      <c r="K13" s="3"/>
      <c r="L13" s="3"/>
    </row>
    <row r="14" spans="2:12" s="5" customFormat="1" ht="25.5">
      <c r="B14" s="6" t="s">
        <v>14</v>
      </c>
      <c r="C14" s="6" t="s">
        <v>39</v>
      </c>
      <c r="D14" s="6"/>
      <c r="E14" s="6"/>
      <c r="F14" s="6"/>
      <c r="G14" s="6"/>
      <c r="H14" s="6"/>
      <c r="I14" s="6"/>
      <c r="J14" s="6"/>
      <c r="K14" s="6"/>
      <c r="L14" s="6"/>
    </row>
    <row r="15" spans="2:12" s="5" customFormat="1" ht="12.75">
      <c r="B15" s="6" t="s">
        <v>15</v>
      </c>
      <c r="C15" s="7"/>
      <c r="D15" s="6"/>
      <c r="E15" s="6"/>
      <c r="F15" s="6"/>
      <c r="G15" s="6"/>
      <c r="H15" s="6"/>
      <c r="I15" s="6"/>
      <c r="J15" s="6"/>
      <c r="K15" s="6"/>
      <c r="L15" s="6"/>
    </row>
    <row r="16" spans="2:12" s="5" customFormat="1" ht="12.75">
      <c r="B16" s="3" t="s">
        <v>16</v>
      </c>
      <c r="C16" s="6"/>
      <c r="F16" s="6"/>
      <c r="G16" s="6"/>
      <c r="H16" s="6"/>
      <c r="I16" s="6"/>
      <c r="J16" s="6"/>
      <c r="K16" s="6"/>
      <c r="L16" s="6"/>
    </row>
    <row r="17" spans="2:12" s="5" customFormat="1" ht="12.75">
      <c r="B17" s="3" t="s">
        <v>17</v>
      </c>
      <c r="C17" s="6" t="s">
        <v>18</v>
      </c>
      <c r="D17" s="6"/>
      <c r="E17" s="6"/>
      <c r="F17" s="6"/>
      <c r="G17" s="6"/>
      <c r="H17" s="6"/>
      <c r="I17" s="6"/>
      <c r="J17" s="6"/>
      <c r="K17" s="6"/>
      <c r="L17" s="6"/>
    </row>
    <row r="18" spans="2:12" s="5" customFormat="1" ht="12.75">
      <c r="B18" s="3" t="s">
        <v>19</v>
      </c>
      <c r="C18" s="6" t="s">
        <v>20</v>
      </c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6" t="s">
        <v>21</v>
      </c>
      <c r="C19" s="6"/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3" t="s">
        <v>22</v>
      </c>
      <c r="C20" s="6" t="s">
        <v>23</v>
      </c>
      <c r="D20" s="3"/>
      <c r="E20" s="3"/>
      <c r="F20" s="3"/>
      <c r="G20" s="3"/>
      <c r="H20" s="3"/>
      <c r="I20" s="3"/>
      <c r="J20" s="3"/>
      <c r="K20" s="3"/>
      <c r="L20" s="3"/>
    </row>
    <row r="21" spans="2:12" ht="12.75">
      <c r="B21" s="3" t="s">
        <v>24</v>
      </c>
      <c r="C21" s="8" t="s">
        <v>25</v>
      </c>
      <c r="D21" s="3"/>
      <c r="E21" s="3"/>
      <c r="F21" s="3"/>
      <c r="G21" s="3"/>
      <c r="H21" s="3"/>
      <c r="I21" s="3"/>
      <c r="J21" s="3"/>
      <c r="K21" s="3"/>
      <c r="L21" s="3"/>
    </row>
    <row r="22" spans="2:12" ht="12.75">
      <c r="B22" s="3" t="s">
        <v>26</v>
      </c>
      <c r="C22" s="3" t="s">
        <v>27</v>
      </c>
      <c r="D22" s="3"/>
      <c r="E22" s="3"/>
      <c r="F22" s="3"/>
      <c r="G22" s="3"/>
      <c r="H22" s="3"/>
      <c r="I22" s="3"/>
      <c r="J22" s="3"/>
      <c r="K22" s="3"/>
      <c r="L22" s="3"/>
    </row>
    <row r="23" spans="2:12" ht="12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 t="s">
        <v>28</v>
      </c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 t="s">
        <v>29</v>
      </c>
      <c r="C25" s="9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 t="s">
        <v>30</v>
      </c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 t="s">
        <v>31</v>
      </c>
      <c r="C27" s="10"/>
      <c r="D27" s="3"/>
      <c r="E27" s="3"/>
      <c r="F27" s="3"/>
      <c r="G27" s="3"/>
      <c r="H27" s="3"/>
      <c r="I27" s="3"/>
      <c r="J27" s="3"/>
      <c r="K27" s="3"/>
      <c r="L27" s="3"/>
    </row>
    <row r="28" spans="2:12" ht="14.25" customHeight="1">
      <c r="B28" s="3" t="s">
        <v>32</v>
      </c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2:12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>
      <c r="B30" s="3" t="s">
        <v>33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2.75">
      <c r="B31" s="3" t="s">
        <v>34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68" spans="2:1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B4">
      <selection activeCell="D11" sqref="D11"/>
    </sheetView>
  </sheetViews>
  <sheetFormatPr defaultColWidth="9.140625" defaultRowHeight="12.75"/>
  <cols>
    <col min="1" max="1" width="2.140625" style="0" hidden="1" customWidth="1"/>
    <col min="2" max="2" width="23.7109375" style="0" customWidth="1"/>
    <col min="3" max="3" width="56.140625" style="0" customWidth="1"/>
  </cols>
  <sheetData>
    <row r="1" ht="12.75">
      <c r="B1" s="2" t="s">
        <v>40</v>
      </c>
    </row>
    <row r="3" spans="2:12" s="1" customFormat="1" ht="12.75">
      <c r="B3" s="2" t="s">
        <v>48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1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1" customFormat="1" ht="51">
      <c r="B5" s="33" t="s">
        <v>41</v>
      </c>
      <c r="C5" s="6" t="s">
        <v>106</v>
      </c>
      <c r="D5" s="3"/>
      <c r="E5" s="3"/>
      <c r="F5" s="3"/>
      <c r="G5" s="3"/>
      <c r="H5" s="3"/>
      <c r="I5" s="3"/>
      <c r="J5" s="3"/>
      <c r="K5" s="3"/>
      <c r="L5" s="3"/>
    </row>
    <row r="6" spans="2:12" s="1" customFormat="1" ht="12.75">
      <c r="B6" s="3" t="s">
        <v>42</v>
      </c>
      <c r="C6" s="3" t="s">
        <v>107</v>
      </c>
      <c r="D6" s="3"/>
      <c r="E6" s="3"/>
      <c r="F6" s="3"/>
      <c r="G6" s="3"/>
      <c r="H6" s="3"/>
      <c r="I6" s="3"/>
      <c r="J6" s="3"/>
      <c r="K6" s="3"/>
      <c r="L6" s="3"/>
    </row>
    <row r="7" spans="2:12" s="1" customFormat="1" ht="12.75">
      <c r="B7" s="3" t="s">
        <v>43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s="1" customFormat="1" ht="12.75">
      <c r="B8" s="3" t="s">
        <v>44</v>
      </c>
      <c r="C8" s="11" t="s">
        <v>109</v>
      </c>
      <c r="D8" s="3"/>
      <c r="E8" s="3"/>
      <c r="F8" s="3"/>
      <c r="G8" s="3"/>
      <c r="H8" s="3"/>
      <c r="I8" s="3"/>
      <c r="J8" s="3"/>
      <c r="K8" s="3"/>
      <c r="L8" s="3"/>
    </row>
    <row r="9" spans="2:12" s="1" customFormat="1" ht="12.75">
      <c r="B9" s="3" t="s">
        <v>45</v>
      </c>
      <c r="C9" s="12">
        <v>35462</v>
      </c>
      <c r="D9" s="3"/>
      <c r="E9" s="3"/>
      <c r="F9" s="3"/>
      <c r="G9" s="3"/>
      <c r="H9" s="3"/>
      <c r="I9" s="3"/>
      <c r="J9" s="3"/>
      <c r="K9" s="3"/>
      <c r="L9" s="3"/>
    </row>
    <row r="10" spans="2:12" s="1" customFormat="1" ht="12.75">
      <c r="B10" s="3" t="s">
        <v>46</v>
      </c>
      <c r="C10" s="3" t="s">
        <v>53</v>
      </c>
      <c r="D10" s="3"/>
      <c r="E10" s="3"/>
      <c r="F10" s="3"/>
      <c r="G10" s="3"/>
      <c r="H10" s="3"/>
      <c r="I10" s="3"/>
      <c r="J10" s="3"/>
      <c r="K10" s="3"/>
      <c r="L10" s="3"/>
    </row>
    <row r="11" spans="2:12" s="1" customFormat="1" ht="12.75">
      <c r="B11" s="3" t="s">
        <v>47</v>
      </c>
      <c r="C11" s="11" t="s">
        <v>124</v>
      </c>
      <c r="D11" s="3"/>
      <c r="E11" s="3"/>
      <c r="F11" s="3"/>
      <c r="G11" s="3"/>
      <c r="H11" s="3"/>
      <c r="I11" s="3"/>
      <c r="J11" s="3"/>
      <c r="K11" s="3"/>
      <c r="L11" s="3"/>
    </row>
    <row r="12" spans="2:12" s="1" customFormat="1" ht="12.75">
      <c r="B12" s="3"/>
      <c r="C12" s="11"/>
      <c r="D12" s="3"/>
      <c r="E12" s="3"/>
      <c r="F12" s="3"/>
      <c r="G12" s="3"/>
      <c r="H12" s="3"/>
      <c r="I12" s="3"/>
      <c r="J12" s="3"/>
      <c r="K12" s="3"/>
      <c r="L12" s="3"/>
    </row>
    <row r="13" spans="2:12" s="1" customFormat="1" ht="12.75">
      <c r="B13" s="2" t="s">
        <v>49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s="1" customFormat="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1" customFormat="1" ht="51">
      <c r="B15" s="33" t="s">
        <v>41</v>
      </c>
      <c r="C15" s="6" t="s">
        <v>106</v>
      </c>
      <c r="D15" s="3"/>
      <c r="E15" s="3"/>
      <c r="F15" s="3"/>
      <c r="G15" s="3"/>
      <c r="H15" s="3"/>
      <c r="I15" s="3"/>
      <c r="J15" s="3"/>
      <c r="K15" s="3"/>
      <c r="L15" s="3"/>
    </row>
    <row r="16" spans="2:12" s="1" customFormat="1" ht="12.75">
      <c r="B16" s="3" t="s">
        <v>42</v>
      </c>
      <c r="C16" s="3" t="s">
        <v>107</v>
      </c>
      <c r="D16" s="3"/>
      <c r="E16" s="3"/>
      <c r="F16" s="3"/>
      <c r="G16" s="3"/>
      <c r="H16" s="3"/>
      <c r="I16" s="3"/>
      <c r="J16" s="3"/>
      <c r="K16" s="3"/>
      <c r="L16" s="3"/>
    </row>
    <row r="17" spans="2:12" s="1" customFormat="1" ht="12.75">
      <c r="B17" s="3" t="s">
        <v>43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s="1" customFormat="1" ht="12.75">
      <c r="B18" s="3" t="s">
        <v>44</v>
      </c>
      <c r="C18" s="11" t="s">
        <v>110</v>
      </c>
      <c r="D18" s="3"/>
      <c r="E18" s="3"/>
      <c r="F18" s="3"/>
      <c r="G18" s="3"/>
      <c r="H18" s="3"/>
      <c r="I18" s="3"/>
      <c r="J18" s="3"/>
      <c r="K18" s="3"/>
      <c r="L18" s="3"/>
    </row>
    <row r="19" spans="2:12" s="1" customFormat="1" ht="12.75">
      <c r="B19" s="3" t="s">
        <v>45</v>
      </c>
      <c r="C19" s="12">
        <v>35462</v>
      </c>
      <c r="D19" s="3"/>
      <c r="E19" s="3"/>
      <c r="F19" s="3"/>
      <c r="G19" s="3"/>
      <c r="H19" s="3"/>
      <c r="I19" s="3"/>
      <c r="J19" s="3"/>
      <c r="K19" s="3"/>
      <c r="L19" s="3"/>
    </row>
    <row r="20" spans="2:12" s="1" customFormat="1" ht="12.75">
      <c r="B20" s="3" t="s">
        <v>46</v>
      </c>
      <c r="C20" s="3" t="s">
        <v>54</v>
      </c>
      <c r="D20" s="3"/>
      <c r="E20" s="3"/>
      <c r="F20" s="3"/>
      <c r="G20" s="3"/>
      <c r="H20" s="3"/>
      <c r="I20" s="3"/>
      <c r="J20" s="3"/>
      <c r="K20" s="3"/>
      <c r="L20" s="3"/>
    </row>
    <row r="21" spans="2:12" s="1" customFormat="1" ht="12.75">
      <c r="B21" s="3" t="s">
        <v>47</v>
      </c>
      <c r="C21" s="11" t="s">
        <v>124</v>
      </c>
      <c r="D21" s="3"/>
      <c r="E21" s="3"/>
      <c r="F21" s="3"/>
      <c r="G21" s="3"/>
      <c r="H21" s="3"/>
      <c r="I21" s="3"/>
      <c r="J21" s="3"/>
      <c r="K21" s="3"/>
      <c r="L21" s="3"/>
    </row>
    <row r="22" spans="2:12" s="1" customFormat="1" ht="12.75"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</row>
    <row r="23" spans="2:12" s="1" customFormat="1" ht="12.75">
      <c r="B23" s="2" t="s">
        <v>50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s="1" customFormat="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s="1" customFormat="1" ht="51">
      <c r="B25" s="33" t="s">
        <v>41</v>
      </c>
      <c r="C25" s="6" t="s">
        <v>106</v>
      </c>
      <c r="D25" s="3"/>
      <c r="E25" s="3"/>
      <c r="F25" s="3"/>
      <c r="G25" s="3"/>
      <c r="H25" s="3"/>
      <c r="I25" s="3"/>
      <c r="J25" s="3"/>
      <c r="K25" s="3"/>
      <c r="L25" s="3"/>
    </row>
    <row r="26" spans="2:12" s="1" customFormat="1" ht="12.75">
      <c r="B26" s="3" t="s">
        <v>42</v>
      </c>
      <c r="C26" s="3" t="s">
        <v>107</v>
      </c>
      <c r="D26" s="3"/>
      <c r="E26" s="3"/>
      <c r="F26" s="3"/>
      <c r="G26" s="3"/>
      <c r="H26" s="3"/>
      <c r="I26" s="3"/>
      <c r="J26" s="3"/>
      <c r="K26" s="3"/>
      <c r="L26" s="3"/>
    </row>
    <row r="27" spans="2:12" s="1" customFormat="1" ht="12.75">
      <c r="B27" s="3" t="s">
        <v>43</v>
      </c>
      <c r="C27"/>
      <c r="D27" s="3"/>
      <c r="E27" s="3"/>
      <c r="F27" s="3"/>
      <c r="G27" s="3"/>
      <c r="H27" s="3"/>
      <c r="I27" s="3"/>
      <c r="J27" s="3"/>
      <c r="K27" s="3"/>
      <c r="L27" s="3"/>
    </row>
    <row r="28" spans="2:12" s="1" customFormat="1" ht="12.75">
      <c r="B28" s="3" t="s">
        <v>44</v>
      </c>
      <c r="C28" t="s">
        <v>111</v>
      </c>
      <c r="D28" s="3"/>
      <c r="E28" s="3"/>
      <c r="F28" s="3"/>
      <c r="G28" s="3"/>
      <c r="H28" s="3"/>
      <c r="I28" s="3"/>
      <c r="J28" s="3"/>
      <c r="K28" s="3"/>
      <c r="L28" s="3"/>
    </row>
    <row r="29" spans="2:12" s="1" customFormat="1" ht="12.75">
      <c r="B29" s="3" t="s">
        <v>45</v>
      </c>
      <c r="C29" s="12">
        <v>35462</v>
      </c>
      <c r="D29" s="3"/>
      <c r="E29" s="3"/>
      <c r="F29" s="3"/>
      <c r="G29" s="3"/>
      <c r="H29" s="3"/>
      <c r="I29" s="3"/>
      <c r="J29" s="3"/>
      <c r="K29" s="3"/>
      <c r="L29" s="3"/>
    </row>
    <row r="30" spans="2:12" s="1" customFormat="1" ht="12.75">
      <c r="B30" s="3" t="s">
        <v>46</v>
      </c>
      <c r="C30" t="s">
        <v>108</v>
      </c>
      <c r="D30" s="3"/>
      <c r="E30" s="3"/>
      <c r="F30" s="3"/>
      <c r="G30" s="3"/>
      <c r="H30" s="3"/>
      <c r="I30" s="3"/>
      <c r="J30" s="3"/>
      <c r="K30" s="3"/>
      <c r="L30" s="3"/>
    </row>
    <row r="31" spans="2:12" s="1" customFormat="1" ht="12.75">
      <c r="B31" s="3" t="s">
        <v>47</v>
      </c>
      <c r="C31" t="s">
        <v>123</v>
      </c>
      <c r="D31" s="3"/>
      <c r="E31" s="3"/>
      <c r="F31" s="3"/>
      <c r="G31" s="3"/>
      <c r="H31" s="3"/>
      <c r="I31" s="3"/>
      <c r="J31" s="3"/>
      <c r="K31" s="3"/>
      <c r="L31" s="3"/>
    </row>
    <row r="32" spans="2:12" s="1" customFormat="1" ht="12.75">
      <c r="B32" s="3"/>
      <c r="C32"/>
      <c r="D32" s="3"/>
      <c r="E32" s="3"/>
      <c r="F32" s="3"/>
      <c r="G32" s="3"/>
      <c r="H32" s="3"/>
      <c r="I32" s="3"/>
      <c r="J32" s="3"/>
      <c r="K32" s="3"/>
      <c r="L32" s="3"/>
    </row>
    <row r="33" spans="2:12" s="1" customFormat="1" ht="12.75">
      <c r="B33" s="2" t="s">
        <v>51</v>
      </c>
      <c r="C33"/>
      <c r="D33" s="3"/>
      <c r="E33" s="3"/>
      <c r="F33" s="3"/>
      <c r="G33" s="3"/>
      <c r="H33" s="3"/>
      <c r="I33" s="3"/>
      <c r="J33" s="3"/>
      <c r="K33" s="3"/>
      <c r="L33" s="3"/>
    </row>
    <row r="34" spans="2:12" s="1" customFormat="1" ht="12.75">
      <c r="B34" s="3"/>
      <c r="C34"/>
      <c r="D34" s="3"/>
      <c r="E34" s="3"/>
      <c r="F34" s="3"/>
      <c r="G34" s="3"/>
      <c r="H34" s="3"/>
      <c r="I34" s="3"/>
      <c r="J34" s="3"/>
      <c r="K34" s="3"/>
      <c r="L34" s="3"/>
    </row>
    <row r="35" spans="2:12" s="1" customFormat="1" ht="51">
      <c r="B35" s="33" t="s">
        <v>41</v>
      </c>
      <c r="C35" s="6" t="s">
        <v>106</v>
      </c>
      <c r="D35" s="3"/>
      <c r="E35" s="3"/>
      <c r="F35" s="3"/>
      <c r="G35" s="3"/>
      <c r="H35" s="3"/>
      <c r="I35" s="3"/>
      <c r="J35" s="3"/>
      <c r="K35" s="3"/>
      <c r="L35" s="3"/>
    </row>
    <row r="36" spans="2:12" s="1" customFormat="1" ht="12.75">
      <c r="B36" s="3" t="s">
        <v>42</v>
      </c>
      <c r="C36" s="3" t="s">
        <v>107</v>
      </c>
      <c r="D36" s="3"/>
      <c r="E36" s="3"/>
      <c r="F36" s="3"/>
      <c r="G36" s="3"/>
      <c r="H36" s="3"/>
      <c r="I36" s="3"/>
      <c r="J36" s="3"/>
      <c r="K36" s="3"/>
      <c r="L36" s="3"/>
    </row>
    <row r="37" spans="2:12" s="1" customFormat="1" ht="12.75">
      <c r="B37" s="3" t="s">
        <v>43</v>
      </c>
      <c r="C37"/>
      <c r="D37" s="3"/>
      <c r="E37" s="3"/>
      <c r="F37" s="3"/>
      <c r="G37" s="3"/>
      <c r="H37" s="3"/>
      <c r="I37" s="3"/>
      <c r="J37" s="3"/>
      <c r="K37" s="3"/>
      <c r="L37" s="3"/>
    </row>
    <row r="38" spans="2:12" s="1" customFormat="1" ht="12.75">
      <c r="B38" s="3" t="s">
        <v>44</v>
      </c>
      <c r="C38" t="s">
        <v>112</v>
      </c>
      <c r="D38" s="3"/>
      <c r="E38" s="3"/>
      <c r="F38" s="3"/>
      <c r="G38" s="3"/>
      <c r="H38" s="3"/>
      <c r="I38" s="3"/>
      <c r="J38" s="3"/>
      <c r="K38" s="3"/>
      <c r="L38" s="3"/>
    </row>
    <row r="39" spans="2:12" s="1" customFormat="1" ht="12.75">
      <c r="B39" s="3" t="s">
        <v>45</v>
      </c>
      <c r="C39" s="12">
        <v>35462</v>
      </c>
      <c r="D39" s="3"/>
      <c r="E39" s="3"/>
      <c r="F39" s="3"/>
      <c r="G39" s="3"/>
      <c r="H39" s="3"/>
      <c r="I39" s="3"/>
      <c r="J39" s="3"/>
      <c r="K39" s="3"/>
      <c r="L39" s="3"/>
    </row>
    <row r="40" spans="2:12" s="1" customFormat="1" ht="12.75">
      <c r="B40" s="3" t="s">
        <v>46</v>
      </c>
      <c r="C40" t="s">
        <v>55</v>
      </c>
      <c r="D40" s="3"/>
      <c r="E40" s="3"/>
      <c r="F40" s="3"/>
      <c r="G40" s="3"/>
      <c r="H40" s="3"/>
      <c r="I40" s="3"/>
      <c r="J40" s="3"/>
      <c r="K40" s="3"/>
      <c r="L40" s="3"/>
    </row>
    <row r="41" spans="2:12" s="1" customFormat="1" ht="12.75">
      <c r="B41" s="3" t="s">
        <v>47</v>
      </c>
      <c r="C41" t="s">
        <v>122</v>
      </c>
      <c r="D41" s="3"/>
      <c r="E41" s="3"/>
      <c r="F41" s="3"/>
      <c r="G41" s="3"/>
      <c r="H41" s="3"/>
      <c r="I41" s="3"/>
      <c r="J41" s="3"/>
      <c r="K41" s="3"/>
      <c r="L41" s="3"/>
    </row>
    <row r="42" spans="2:12" s="1" customFormat="1" ht="12.75">
      <c r="B42" s="3"/>
      <c r="C42"/>
      <c r="D42" s="3"/>
      <c r="E42" s="3"/>
      <c r="F42" s="3"/>
      <c r="G42" s="3"/>
      <c r="H42" s="3"/>
      <c r="I42" s="3"/>
      <c r="J42" s="3"/>
      <c r="K42" s="3"/>
      <c r="L42" s="3"/>
    </row>
    <row r="43" spans="2:12" s="1" customFormat="1" ht="12.75">
      <c r="B43" s="2" t="s">
        <v>52</v>
      </c>
      <c r="C43"/>
      <c r="D43" s="3"/>
      <c r="E43" s="3"/>
      <c r="F43" s="3"/>
      <c r="G43" s="3"/>
      <c r="H43" s="3"/>
      <c r="I43" s="3"/>
      <c r="J43" s="3"/>
      <c r="K43" s="3"/>
      <c r="L43" s="3"/>
    </row>
    <row r="44" spans="2:12" s="1" customFormat="1" ht="12.75">
      <c r="B44" s="3"/>
      <c r="C44"/>
      <c r="D44" s="3"/>
      <c r="E44" s="3"/>
      <c r="F44" s="3"/>
      <c r="G44" s="3"/>
      <c r="H44" s="3"/>
      <c r="I44" s="3"/>
      <c r="J44" s="3"/>
      <c r="K44" s="3"/>
      <c r="L44" s="3"/>
    </row>
    <row r="45" spans="2:12" s="1" customFormat="1" ht="51">
      <c r="B45" s="33" t="s">
        <v>41</v>
      </c>
      <c r="C45" s="6" t="s">
        <v>106</v>
      </c>
      <c r="D45" s="3"/>
      <c r="E45" s="3"/>
      <c r="F45" s="3"/>
      <c r="G45" s="3"/>
      <c r="H45" s="3"/>
      <c r="I45" s="3"/>
      <c r="J45" s="3"/>
      <c r="K45" s="3"/>
      <c r="L45" s="3"/>
    </row>
    <row r="46" spans="2:12" s="1" customFormat="1" ht="12.75">
      <c r="B46" s="3" t="s">
        <v>42</v>
      </c>
      <c r="C46" s="3" t="s">
        <v>107</v>
      </c>
      <c r="D46" s="3"/>
      <c r="E46" s="3"/>
      <c r="F46" s="3"/>
      <c r="G46" s="3"/>
      <c r="H46" s="3"/>
      <c r="I46" s="3"/>
      <c r="J46" s="3"/>
      <c r="K46" s="3"/>
      <c r="L46" s="3"/>
    </row>
    <row r="47" spans="2:12" s="1" customFormat="1" ht="12.75">
      <c r="B47" s="3" t="s">
        <v>43</v>
      </c>
      <c r="C47"/>
      <c r="D47" s="3"/>
      <c r="E47" s="3"/>
      <c r="F47" s="3"/>
      <c r="G47" s="3"/>
      <c r="H47" s="3"/>
      <c r="I47" s="3"/>
      <c r="J47" s="3"/>
      <c r="K47" s="3"/>
      <c r="L47" s="3"/>
    </row>
    <row r="48" spans="2:12" s="1" customFormat="1" ht="12.75">
      <c r="B48" s="3" t="s">
        <v>44</v>
      </c>
      <c r="C48" t="s">
        <v>113</v>
      </c>
      <c r="D48" s="3"/>
      <c r="E48" s="3"/>
      <c r="F48" s="3"/>
      <c r="G48" s="3"/>
      <c r="H48" s="3"/>
      <c r="I48" s="3"/>
      <c r="J48" s="3"/>
      <c r="K48" s="3"/>
      <c r="L48" s="3"/>
    </row>
    <row r="49" spans="2:12" s="1" customFormat="1" ht="12.75">
      <c r="B49" s="3" t="s">
        <v>45</v>
      </c>
      <c r="C49" s="12">
        <v>35462</v>
      </c>
      <c r="D49" s="3"/>
      <c r="E49" s="3"/>
      <c r="F49" s="3"/>
      <c r="G49" s="3"/>
      <c r="H49" s="3"/>
      <c r="I49" s="3"/>
      <c r="J49" s="3"/>
      <c r="K49" s="3"/>
      <c r="L49" s="3"/>
    </row>
    <row r="50" spans="2:12" s="1" customFormat="1" ht="12.75">
      <c r="B50" s="3" t="s">
        <v>46</v>
      </c>
      <c r="C50" t="s">
        <v>56</v>
      </c>
      <c r="D50" s="3"/>
      <c r="E50" s="3"/>
      <c r="F50" s="3"/>
      <c r="G50" s="3"/>
      <c r="H50" s="3"/>
      <c r="I50" s="3"/>
      <c r="J50" s="3"/>
      <c r="K50" s="3"/>
      <c r="L50" s="3"/>
    </row>
    <row r="51" spans="2:12" s="1" customFormat="1" ht="12.75">
      <c r="B51" s="3" t="s">
        <v>47</v>
      </c>
      <c r="C51" t="s">
        <v>122</v>
      </c>
      <c r="D51" s="3"/>
      <c r="E51" s="3"/>
      <c r="F51" s="3"/>
      <c r="G51" s="3"/>
      <c r="H51" s="3"/>
      <c r="I51" s="3"/>
      <c r="J51" s="3"/>
      <c r="K51" s="3"/>
      <c r="L51" s="3"/>
    </row>
    <row r="52" spans="2:12" s="1" customFormat="1" ht="12.75">
      <c r="B52" s="3"/>
      <c r="C52" s="11"/>
      <c r="D52" s="3"/>
      <c r="E52" s="3"/>
      <c r="F52" s="3"/>
      <c r="G52" s="3"/>
      <c r="H52" s="3"/>
      <c r="I52" s="3"/>
      <c r="J52" s="3"/>
      <c r="K52" s="3"/>
      <c r="L52" s="3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B94">
      <selection activeCell="P114" sqref="P114"/>
    </sheetView>
  </sheetViews>
  <sheetFormatPr defaultColWidth="9.140625" defaultRowHeight="12.75"/>
  <cols>
    <col min="1" max="1" width="3.57421875" style="13" hidden="1" customWidth="1"/>
    <col min="2" max="2" width="19.00390625" style="13" customWidth="1"/>
    <col min="3" max="3" width="11.57421875" style="13" customWidth="1"/>
    <col min="4" max="4" width="8.8515625" style="15" customWidth="1"/>
    <col min="5" max="6" width="3.140625" style="15" customWidth="1"/>
    <col min="7" max="7" width="11.7109375" style="13" customWidth="1"/>
    <col min="8" max="8" width="2.7109375" style="13" customWidth="1"/>
    <col min="9" max="9" width="12.140625" style="16" customWidth="1"/>
    <col min="10" max="10" width="2.8515625" style="13" customWidth="1"/>
    <col min="11" max="11" width="12.28125" style="13" customWidth="1"/>
    <col min="12" max="12" width="2.57421875" style="13" customWidth="1"/>
    <col min="13" max="13" width="8.8515625" style="13" customWidth="1"/>
    <col min="14" max="14" width="2.140625" style="13" customWidth="1"/>
    <col min="15" max="16384" width="8.8515625" style="13" customWidth="1"/>
  </cols>
  <sheetData>
    <row r="1" spans="2:3" ht="12.75">
      <c r="B1" s="14" t="s">
        <v>57</v>
      </c>
      <c r="C1" s="14"/>
    </row>
    <row r="2" spans="2:12" ht="12.75">
      <c r="B2" s="17"/>
      <c r="C2" s="17"/>
      <c r="G2" s="17"/>
      <c r="H2" s="17"/>
      <c r="I2" s="18"/>
      <c r="J2" s="17"/>
      <c r="K2" s="17"/>
      <c r="L2" s="17"/>
    </row>
    <row r="3" spans="2:5" ht="12.75">
      <c r="B3" s="3"/>
      <c r="C3" s="3" t="s">
        <v>58</v>
      </c>
      <c r="D3" s="15" t="s">
        <v>59</v>
      </c>
      <c r="E3" s="15" t="s">
        <v>60</v>
      </c>
    </row>
    <row r="4" spans="2:12" ht="12.75">
      <c r="B4" s="3"/>
      <c r="C4" s="3"/>
      <c r="G4" s="17"/>
      <c r="H4" s="17"/>
      <c r="I4" s="18"/>
      <c r="J4" s="17"/>
      <c r="K4" s="17"/>
      <c r="L4" s="17"/>
    </row>
    <row r="5" spans="1:13" ht="12.75">
      <c r="A5" s="13">
        <v>1</v>
      </c>
      <c r="B5" s="19" t="s">
        <v>48</v>
      </c>
      <c r="C5" s="19"/>
      <c r="G5" s="17" t="s">
        <v>61</v>
      </c>
      <c r="H5" s="17"/>
      <c r="I5" s="18" t="s">
        <v>62</v>
      </c>
      <c r="J5" s="17"/>
      <c r="K5" s="17" t="s">
        <v>63</v>
      </c>
      <c r="L5" s="17"/>
      <c r="M5" s="13" t="s">
        <v>64</v>
      </c>
    </row>
    <row r="6" spans="2:12" ht="12.75">
      <c r="B6" s="15"/>
      <c r="C6" s="15"/>
      <c r="D6" s="3"/>
      <c r="E6" s="3"/>
      <c r="F6" s="3"/>
      <c r="G6" s="3"/>
      <c r="H6" s="3"/>
      <c r="I6" s="20"/>
      <c r="J6" s="3"/>
      <c r="K6" s="3"/>
      <c r="L6" s="17"/>
    </row>
    <row r="7" spans="2:13" ht="12.75">
      <c r="B7" s="15" t="s">
        <v>65</v>
      </c>
      <c r="C7" s="15" t="s">
        <v>66</v>
      </c>
      <c r="D7" s="15" t="s">
        <v>67</v>
      </c>
      <c r="E7" s="15" t="s">
        <v>68</v>
      </c>
      <c r="F7"/>
      <c r="G7" s="34">
        <v>0.0051</v>
      </c>
      <c r="H7" s="34"/>
      <c r="I7" s="34">
        <v>0.0044</v>
      </c>
      <c r="J7" s="34"/>
      <c r="K7" s="34">
        <v>0.0044</v>
      </c>
      <c r="L7"/>
      <c r="M7" s="31">
        <f>AVERAGE(K7,I7,G7)</f>
        <v>0.004633333333333334</v>
      </c>
    </row>
    <row r="8" spans="2:13" ht="12.75">
      <c r="B8" s="15" t="s">
        <v>114</v>
      </c>
      <c r="C8" s="15" t="s">
        <v>66</v>
      </c>
      <c r="D8" s="15" t="s">
        <v>69</v>
      </c>
      <c r="E8" s="15" t="s">
        <v>68</v>
      </c>
      <c r="F8"/>
      <c r="G8">
        <v>42</v>
      </c>
      <c r="H8"/>
      <c r="I8">
        <v>78.5</v>
      </c>
      <c r="J8"/>
      <c r="K8">
        <v>13.2</v>
      </c>
      <c r="L8"/>
      <c r="M8" s="23">
        <f>AVERAGE(K8,I8,G8)</f>
        <v>44.56666666666666</v>
      </c>
    </row>
    <row r="9" spans="2:13" ht="12.75">
      <c r="B9" s="15"/>
      <c r="C9" s="15"/>
      <c r="F9"/>
      <c r="G9"/>
      <c r="H9"/>
      <c r="I9"/>
      <c r="J9"/>
      <c r="K9"/>
      <c r="L9"/>
      <c r="M9"/>
    </row>
    <row r="10" spans="2:13" ht="12.75">
      <c r="B10" s="15" t="s">
        <v>91</v>
      </c>
      <c r="C10" s="15" t="s">
        <v>95</v>
      </c>
      <c r="G10"/>
      <c r="H10" s="15"/>
      <c r="I10"/>
      <c r="J10" s="15"/>
      <c r="K10"/>
      <c r="L10"/>
      <c r="M10"/>
    </row>
    <row r="11" spans="2:13" ht="12.75">
      <c r="B11" s="15" t="s">
        <v>92</v>
      </c>
      <c r="C11" s="15"/>
      <c r="D11" s="15" t="s">
        <v>71</v>
      </c>
      <c r="G11">
        <v>37.6</v>
      </c>
      <c r="H11" s="15"/>
      <c r="I11">
        <v>37.71</v>
      </c>
      <c r="J11" s="15"/>
      <c r="K11">
        <v>39.3</v>
      </c>
      <c r="L11"/>
      <c r="M11"/>
    </row>
    <row r="12" spans="2:13" ht="12.75">
      <c r="B12" s="15" t="s">
        <v>93</v>
      </c>
      <c r="C12" s="15" t="s">
        <v>66</v>
      </c>
      <c r="D12" s="15" t="s">
        <v>102</v>
      </c>
      <c r="G12" s="22">
        <v>2.234E-05</v>
      </c>
      <c r="H12" s="15"/>
      <c r="I12" s="22">
        <v>1.948E-05</v>
      </c>
      <c r="J12" s="15"/>
      <c r="K12" s="22">
        <v>1.863E-05</v>
      </c>
      <c r="L12"/>
      <c r="M12"/>
    </row>
    <row r="13" spans="2:13" ht="12.75">
      <c r="B13" s="15" t="s">
        <v>94</v>
      </c>
      <c r="C13" s="15" t="s">
        <v>66</v>
      </c>
      <c r="D13" s="15" t="s">
        <v>84</v>
      </c>
      <c r="G13">
        <v>99.9995</v>
      </c>
      <c r="H13" s="15"/>
      <c r="I13">
        <v>99.9996</v>
      </c>
      <c r="J13" s="15"/>
      <c r="K13">
        <v>99.9996</v>
      </c>
      <c r="L13"/>
      <c r="M13"/>
    </row>
    <row r="14" spans="2:13" ht="12.75">
      <c r="B14" s="15"/>
      <c r="C14" s="15"/>
      <c r="G14"/>
      <c r="H14" s="15"/>
      <c r="I14"/>
      <c r="J14" s="15"/>
      <c r="K14"/>
      <c r="L14"/>
      <c r="M14"/>
    </row>
    <row r="15" spans="2:13" ht="12.75">
      <c r="B15" s="15" t="s">
        <v>80</v>
      </c>
      <c r="C15" s="15" t="s">
        <v>96</v>
      </c>
      <c r="D15" s="15" t="s">
        <v>66</v>
      </c>
      <c r="F15"/>
      <c r="I15" s="13"/>
      <c r="L15"/>
      <c r="M15"/>
    </row>
    <row r="16" spans="2:13" ht="12.75">
      <c r="B16" s="15" t="s">
        <v>81</v>
      </c>
      <c r="C16" s="15"/>
      <c r="D16" s="15" t="s">
        <v>82</v>
      </c>
      <c r="F16"/>
      <c r="G16">
        <f>225900/60</f>
        <v>3765</v>
      </c>
      <c r="H16"/>
      <c r="I16" s="32">
        <f>204800/60</f>
        <v>3413.3333333333335</v>
      </c>
      <c r="J16"/>
      <c r="K16">
        <f>220800/60</f>
        <v>3680</v>
      </c>
      <c r="L16"/>
      <c r="M16" s="23">
        <f>AVERAGE(K16,I16,G16)</f>
        <v>3619.444444444445</v>
      </c>
    </row>
    <row r="17" spans="2:13" ht="12.75">
      <c r="B17" s="15" t="s">
        <v>83</v>
      </c>
      <c r="C17" s="15"/>
      <c r="D17" s="15" t="s">
        <v>84</v>
      </c>
      <c r="F17"/>
      <c r="G17">
        <v>14.8</v>
      </c>
      <c r="H17"/>
      <c r="I17">
        <v>15.2</v>
      </c>
      <c r="J17"/>
      <c r="K17">
        <v>15.4</v>
      </c>
      <c r="L17"/>
      <c r="M17" s="23">
        <f>AVERAGE(K17,I17,G17)</f>
        <v>15.133333333333335</v>
      </c>
    </row>
    <row r="18" spans="2:13" ht="12.75">
      <c r="B18" s="15" t="s">
        <v>85</v>
      </c>
      <c r="C18" s="15"/>
      <c r="D18" s="15" t="s">
        <v>84</v>
      </c>
      <c r="F18"/>
      <c r="G18">
        <v>5.4</v>
      </c>
      <c r="H18"/>
      <c r="I18">
        <v>5.2</v>
      </c>
      <c r="J18"/>
      <c r="K18">
        <v>5.2</v>
      </c>
      <c r="L18"/>
      <c r="M18" s="23">
        <f>AVERAGE(K18,I18,G18)</f>
        <v>5.266666666666667</v>
      </c>
    </row>
    <row r="19" spans="2:13" ht="12.75">
      <c r="B19" s="15" t="s">
        <v>86</v>
      </c>
      <c r="C19" s="15"/>
      <c r="D19" s="15" t="s">
        <v>87</v>
      </c>
      <c r="F19"/>
      <c r="G19">
        <v>197</v>
      </c>
      <c r="H19"/>
      <c r="I19">
        <v>198</v>
      </c>
      <c r="J19"/>
      <c r="K19">
        <v>202</v>
      </c>
      <c r="L19"/>
      <c r="M19" s="23">
        <f>AVERAGE(K19,I19,G19)</f>
        <v>199</v>
      </c>
    </row>
    <row r="20" spans="2:13" ht="12.75">
      <c r="B20" s="15"/>
      <c r="C20" s="15"/>
      <c r="G20"/>
      <c r="H20" s="15"/>
      <c r="I20"/>
      <c r="J20" s="15"/>
      <c r="K20"/>
      <c r="L20"/>
      <c r="M20"/>
    </row>
    <row r="21" spans="1:13" ht="12.75">
      <c r="A21" s="13">
        <v>2</v>
      </c>
      <c r="B21" s="19" t="s">
        <v>49</v>
      </c>
      <c r="C21" s="19"/>
      <c r="G21" s="17" t="s">
        <v>61</v>
      </c>
      <c r="H21" s="17"/>
      <c r="I21" s="18" t="s">
        <v>62</v>
      </c>
      <c r="J21" s="17"/>
      <c r="K21" s="17" t="s">
        <v>63</v>
      </c>
      <c r="L21" s="17"/>
      <c r="M21" s="13" t="s">
        <v>64</v>
      </c>
    </row>
    <row r="22" spans="2:12" ht="12.75">
      <c r="B22" s="15"/>
      <c r="C22" s="15"/>
      <c r="D22" s="3"/>
      <c r="E22" s="3"/>
      <c r="F22" s="3"/>
      <c r="G22" s="3"/>
      <c r="H22" s="3"/>
      <c r="I22" s="20"/>
      <c r="J22" s="3"/>
      <c r="K22" s="3"/>
      <c r="L22" s="17"/>
    </row>
    <row r="23" spans="2:13" ht="12.75">
      <c r="B23" s="15" t="s">
        <v>65</v>
      </c>
      <c r="C23" s="15" t="s">
        <v>66</v>
      </c>
      <c r="D23" s="15" t="s">
        <v>67</v>
      </c>
      <c r="E23" s="15" t="s">
        <v>68</v>
      </c>
      <c r="F23"/>
      <c r="G23">
        <v>0.0029</v>
      </c>
      <c r="H23"/>
      <c r="I23">
        <v>0.0046</v>
      </c>
      <c r="J23"/>
      <c r="K23">
        <v>0.0028</v>
      </c>
      <c r="L23"/>
      <c r="M23" s="31">
        <f>AVERAGE(K23,I23,G23)</f>
        <v>0.0034333333333333334</v>
      </c>
    </row>
    <row r="24" spans="2:13" ht="12.75">
      <c r="B24" s="15" t="s">
        <v>114</v>
      </c>
      <c r="C24" s="15" t="s">
        <v>66</v>
      </c>
      <c r="D24" s="15" t="s">
        <v>69</v>
      </c>
      <c r="E24" s="15" t="s">
        <v>68</v>
      </c>
      <c r="F24"/>
      <c r="G24">
        <v>16</v>
      </c>
      <c r="H24"/>
      <c r="I24">
        <v>16.9</v>
      </c>
      <c r="J24"/>
      <c r="K24">
        <v>15.7</v>
      </c>
      <c r="L24"/>
      <c r="M24" s="21">
        <f>AVERAGE(K24,I24,G24)</f>
        <v>16.2</v>
      </c>
    </row>
    <row r="25" spans="2:13" ht="12.75">
      <c r="B25" s="15"/>
      <c r="C25" s="15"/>
      <c r="G25"/>
      <c r="H25" s="15"/>
      <c r="I25"/>
      <c r="J25" s="15"/>
      <c r="K25"/>
      <c r="L25"/>
      <c r="M25"/>
    </row>
    <row r="26" spans="2:13" ht="12.75">
      <c r="B26" s="15" t="s">
        <v>91</v>
      </c>
      <c r="C26" s="15" t="s">
        <v>116</v>
      </c>
      <c r="G26"/>
      <c r="H26" s="15"/>
      <c r="I26"/>
      <c r="J26" s="15"/>
      <c r="K26"/>
      <c r="L26"/>
      <c r="M26"/>
    </row>
    <row r="27" spans="2:13" ht="12.75">
      <c r="B27" s="15" t="s">
        <v>92</v>
      </c>
      <c r="C27" s="15"/>
      <c r="D27" s="15" t="s">
        <v>71</v>
      </c>
      <c r="G27">
        <v>21.7</v>
      </c>
      <c r="H27"/>
      <c r="I27">
        <v>22.1</v>
      </c>
      <c r="J27"/>
      <c r="K27">
        <v>22.6</v>
      </c>
      <c r="L27"/>
      <c r="M27"/>
    </row>
    <row r="28" spans="2:13" ht="12.75">
      <c r="B28" s="15" t="s">
        <v>93</v>
      </c>
      <c r="C28" s="15" t="s">
        <v>66</v>
      </c>
      <c r="D28" s="15" t="s">
        <v>102</v>
      </c>
      <c r="G28" s="22">
        <v>1.365E-05</v>
      </c>
      <c r="H28"/>
      <c r="I28" s="22">
        <v>1.529E-05</v>
      </c>
      <c r="J28"/>
      <c r="K28" s="22">
        <v>1.404E-05</v>
      </c>
      <c r="L28"/>
      <c r="M28"/>
    </row>
    <row r="29" spans="2:13" ht="12.75">
      <c r="B29" s="15" t="s">
        <v>94</v>
      </c>
      <c r="C29" s="15" t="s">
        <v>66</v>
      </c>
      <c r="D29" s="15" t="s">
        <v>84</v>
      </c>
      <c r="G29">
        <v>99.9995</v>
      </c>
      <c r="H29" s="15"/>
      <c r="I29">
        <v>99.9995</v>
      </c>
      <c r="J29" s="15"/>
      <c r="K29">
        <v>99.9995</v>
      </c>
      <c r="L29"/>
      <c r="M29"/>
    </row>
    <row r="30" spans="2:13" ht="12.75">
      <c r="B30" s="15"/>
      <c r="C30" s="15"/>
      <c r="G30"/>
      <c r="H30" s="15"/>
      <c r="I30"/>
      <c r="J30" s="15"/>
      <c r="K30"/>
      <c r="L30"/>
      <c r="M30"/>
    </row>
    <row r="31" spans="2:13" ht="12.75">
      <c r="B31" s="15" t="s">
        <v>91</v>
      </c>
      <c r="C31" s="15" t="s">
        <v>117</v>
      </c>
      <c r="G31"/>
      <c r="H31" s="15"/>
      <c r="I31"/>
      <c r="J31" s="15"/>
      <c r="K31"/>
      <c r="L31"/>
      <c r="M31"/>
    </row>
    <row r="32" spans="2:13" ht="12.75">
      <c r="B32" s="15" t="s">
        <v>92</v>
      </c>
      <c r="C32" s="15"/>
      <c r="D32" s="15" t="s">
        <v>71</v>
      </c>
      <c r="G32">
        <v>3.5</v>
      </c>
      <c r="H32"/>
      <c r="I32">
        <v>3.51</v>
      </c>
      <c r="J32"/>
      <c r="K32">
        <v>3.51</v>
      </c>
      <c r="L32"/>
      <c r="M32"/>
    </row>
    <row r="33" spans="2:13" ht="12.75">
      <c r="B33" s="15" t="s">
        <v>93</v>
      </c>
      <c r="C33" s="15" t="s">
        <v>66</v>
      </c>
      <c r="D33" s="15" t="s">
        <v>102</v>
      </c>
      <c r="G33" s="22">
        <v>9.121E-07</v>
      </c>
      <c r="H33"/>
      <c r="I33" s="22">
        <v>1.529E-06</v>
      </c>
      <c r="J33"/>
      <c r="K33" s="22">
        <v>2.532E-07</v>
      </c>
      <c r="L33"/>
      <c r="M33"/>
    </row>
    <row r="34" spans="2:13" ht="12.75">
      <c r="B34" s="15" t="s">
        <v>94</v>
      </c>
      <c r="C34" s="15" t="s">
        <v>66</v>
      </c>
      <c r="D34" s="15" t="s">
        <v>84</v>
      </c>
      <c r="G34">
        <v>99.9998</v>
      </c>
      <c r="H34" s="15"/>
      <c r="I34">
        <v>99.9996</v>
      </c>
      <c r="J34" s="15"/>
      <c r="K34">
        <v>99.9998</v>
      </c>
      <c r="L34"/>
      <c r="M34"/>
    </row>
    <row r="35" spans="2:13" ht="12.75">
      <c r="B35" s="15"/>
      <c r="C35" s="15"/>
      <c r="G35"/>
      <c r="H35" s="15"/>
      <c r="I35"/>
      <c r="J35" s="15"/>
      <c r="K35"/>
      <c r="L35"/>
      <c r="M35"/>
    </row>
    <row r="36" spans="2:13" ht="12.75">
      <c r="B36" s="15" t="s">
        <v>80</v>
      </c>
      <c r="C36" s="15" t="s">
        <v>96</v>
      </c>
      <c r="D36" s="15" t="s">
        <v>66</v>
      </c>
      <c r="F36"/>
      <c r="I36" s="13"/>
      <c r="L36"/>
      <c r="M36"/>
    </row>
    <row r="37" spans="2:13" ht="12.75">
      <c r="B37" s="15" t="s">
        <v>81</v>
      </c>
      <c r="C37" s="15"/>
      <c r="D37" s="15" t="s">
        <v>82</v>
      </c>
      <c r="F37"/>
      <c r="G37" s="23">
        <f>202600/60</f>
        <v>3376.6666666666665</v>
      </c>
      <c r="H37" s="23"/>
      <c r="I37" s="23">
        <f>193800/60</f>
        <v>3230</v>
      </c>
      <c r="J37" s="23"/>
      <c r="K37" s="23">
        <f>211400/60</f>
        <v>3523.3333333333335</v>
      </c>
      <c r="L37"/>
      <c r="M37" s="23">
        <f>AVERAGE(K37,I37,G37)</f>
        <v>3376.6666666666665</v>
      </c>
    </row>
    <row r="38" spans="2:13" ht="12.75">
      <c r="B38" s="15" t="s">
        <v>83</v>
      </c>
      <c r="C38" s="15"/>
      <c r="D38" s="15" t="s">
        <v>84</v>
      </c>
      <c r="F38"/>
      <c r="G38">
        <v>14.7</v>
      </c>
      <c r="H38"/>
      <c r="I38">
        <v>15.2</v>
      </c>
      <c r="J38"/>
      <c r="K38">
        <v>14.8</v>
      </c>
      <c r="L38"/>
      <c r="M38" s="23">
        <f>AVERAGE(K38,I38,G38)</f>
        <v>14.9</v>
      </c>
    </row>
    <row r="39" spans="2:13" ht="12.75">
      <c r="B39" s="15" t="s">
        <v>85</v>
      </c>
      <c r="C39" s="15"/>
      <c r="D39" s="15" t="s">
        <v>84</v>
      </c>
      <c r="F39"/>
      <c r="G39">
        <v>6.2</v>
      </c>
      <c r="H39"/>
      <c r="I39">
        <v>6.7</v>
      </c>
      <c r="J39"/>
      <c r="K39">
        <v>5.5</v>
      </c>
      <c r="L39"/>
      <c r="M39" s="23">
        <f>AVERAGE(K39,I39,G39)</f>
        <v>6.133333333333333</v>
      </c>
    </row>
    <row r="40" spans="2:13" ht="12.75">
      <c r="B40" s="15" t="s">
        <v>86</v>
      </c>
      <c r="C40" s="15"/>
      <c r="D40" s="15" t="s">
        <v>87</v>
      </c>
      <c r="F40"/>
      <c r="G40">
        <v>197</v>
      </c>
      <c r="H40"/>
      <c r="I40">
        <v>197</v>
      </c>
      <c r="J40"/>
      <c r="K40">
        <v>188</v>
      </c>
      <c r="L40"/>
      <c r="M40" s="23">
        <f>AVERAGE(K40,I40,G40)</f>
        <v>194</v>
      </c>
    </row>
    <row r="42" spans="1:13" ht="12.75">
      <c r="A42" s="13">
        <v>3</v>
      </c>
      <c r="B42" s="19" t="s">
        <v>50</v>
      </c>
      <c r="C42" s="19"/>
      <c r="G42" s="17" t="s">
        <v>61</v>
      </c>
      <c r="H42" s="17"/>
      <c r="I42" s="18" t="s">
        <v>62</v>
      </c>
      <c r="J42" s="17"/>
      <c r="K42" s="17" t="s">
        <v>63</v>
      </c>
      <c r="L42" s="17"/>
      <c r="M42" s="13" t="s">
        <v>64</v>
      </c>
    </row>
    <row r="43" spans="2:12" ht="12.75">
      <c r="B43" s="15"/>
      <c r="C43" s="15"/>
      <c r="D43" s="3"/>
      <c r="E43" s="3"/>
      <c r="F43" s="3"/>
      <c r="G43" s="3"/>
      <c r="H43" s="3"/>
      <c r="I43" s="20"/>
      <c r="J43" s="3"/>
      <c r="K43" s="3"/>
      <c r="L43" s="17"/>
    </row>
    <row r="44" spans="2:13" ht="12.75">
      <c r="B44" s="15" t="s">
        <v>65</v>
      </c>
      <c r="C44" s="15" t="s">
        <v>105</v>
      </c>
      <c r="D44" s="15" t="s">
        <v>67</v>
      </c>
      <c r="E44" s="15" t="s">
        <v>68</v>
      </c>
      <c r="F44"/>
      <c r="G44">
        <v>0.0047</v>
      </c>
      <c r="H44"/>
      <c r="I44">
        <v>0.0044</v>
      </c>
      <c r="J44"/>
      <c r="K44">
        <v>0.0042</v>
      </c>
      <c r="L44"/>
      <c r="M44" s="31">
        <f>AVERAGE(K44,I44,G44)</f>
        <v>0.004433333333333333</v>
      </c>
    </row>
    <row r="45" spans="2:13" ht="12.75">
      <c r="B45" s="15" t="s">
        <v>114</v>
      </c>
      <c r="C45" s="15" t="s">
        <v>105</v>
      </c>
      <c r="D45" s="15" t="s">
        <v>69</v>
      </c>
      <c r="E45" s="15" t="s">
        <v>68</v>
      </c>
      <c r="F45"/>
      <c r="G45">
        <v>15.8</v>
      </c>
      <c r="H45"/>
      <c r="I45">
        <v>13.6</v>
      </c>
      <c r="J45"/>
      <c r="K45">
        <v>29.7</v>
      </c>
      <c r="L45"/>
      <c r="M45" s="23">
        <f>AVERAGE(K45,I45,G45)</f>
        <v>19.7</v>
      </c>
    </row>
    <row r="46" spans="7:11" ht="12.75">
      <c r="G46"/>
      <c r="H46"/>
      <c r="I46"/>
      <c r="J46"/>
      <c r="K46"/>
    </row>
    <row r="47" spans="2:13" ht="12.75">
      <c r="B47" s="15" t="s">
        <v>80</v>
      </c>
      <c r="C47" s="15" t="s">
        <v>104</v>
      </c>
      <c r="D47" s="15" t="s">
        <v>66</v>
      </c>
      <c r="F47"/>
      <c r="G47"/>
      <c r="H47"/>
      <c r="I47"/>
      <c r="J47"/>
      <c r="K47"/>
      <c r="L47"/>
      <c r="M47"/>
    </row>
    <row r="48" spans="2:13" ht="12.75">
      <c r="B48" s="15" t="s">
        <v>81</v>
      </c>
      <c r="C48" s="15"/>
      <c r="D48" s="15" t="s">
        <v>82</v>
      </c>
      <c r="F48"/>
      <c r="G48">
        <f>216000/60</f>
        <v>3600</v>
      </c>
      <c r="H48"/>
      <c r="I48" s="23">
        <f>227000/60</f>
        <v>3783.3333333333335</v>
      </c>
      <c r="J48" s="23"/>
      <c r="K48" s="23">
        <f>222800/60</f>
        <v>3713.3333333333335</v>
      </c>
      <c r="L48" s="23"/>
      <c r="M48" s="23">
        <f>AVERAGE(K48,I48,G48)</f>
        <v>3698.888888888889</v>
      </c>
    </row>
    <row r="49" spans="2:13" ht="12.75">
      <c r="B49" s="15" t="s">
        <v>83</v>
      </c>
      <c r="C49" s="15"/>
      <c r="D49" s="15" t="s">
        <v>84</v>
      </c>
      <c r="F49"/>
      <c r="G49">
        <v>14.6</v>
      </c>
      <c r="H49"/>
      <c r="I49">
        <v>13.8</v>
      </c>
      <c r="J49"/>
      <c r="K49">
        <v>15</v>
      </c>
      <c r="L49"/>
      <c r="M49" s="23">
        <f>AVERAGE(K49,I49,G49)</f>
        <v>14.466666666666667</v>
      </c>
    </row>
    <row r="50" spans="2:13" ht="12.75">
      <c r="B50" s="15" t="s">
        <v>85</v>
      </c>
      <c r="C50" s="15"/>
      <c r="D50" s="15" t="s">
        <v>84</v>
      </c>
      <c r="F50"/>
      <c r="G50">
        <v>6.4</v>
      </c>
      <c r="H50"/>
      <c r="I50">
        <v>5.5</v>
      </c>
      <c r="J50"/>
      <c r="K50">
        <v>5.6</v>
      </c>
      <c r="L50"/>
      <c r="M50" s="23">
        <f>AVERAGE(K50,I50,G50)</f>
        <v>5.833333333333333</v>
      </c>
    </row>
    <row r="51" spans="2:13" ht="12.75">
      <c r="B51" s="15" t="s">
        <v>86</v>
      </c>
      <c r="C51" s="15"/>
      <c r="D51" s="15" t="s">
        <v>87</v>
      </c>
      <c r="F51"/>
      <c r="G51">
        <v>184</v>
      </c>
      <c r="H51"/>
      <c r="I51">
        <v>191</v>
      </c>
      <c r="J51"/>
      <c r="K51">
        <v>198</v>
      </c>
      <c r="L51"/>
      <c r="M51" s="23">
        <f>AVERAGE(K51,I51,G51)</f>
        <v>191</v>
      </c>
    </row>
    <row r="52" spans="2:13" ht="12.75">
      <c r="B52" s="15"/>
      <c r="C52" s="15"/>
      <c r="F52"/>
      <c r="G52"/>
      <c r="H52"/>
      <c r="I52"/>
      <c r="J52"/>
      <c r="K52"/>
      <c r="L52"/>
      <c r="M52" s="23"/>
    </row>
    <row r="53" spans="2:13" ht="12.75">
      <c r="B53" s="15" t="s">
        <v>80</v>
      </c>
      <c r="C53" s="15" t="s">
        <v>96</v>
      </c>
      <c r="D53" s="15" t="s">
        <v>105</v>
      </c>
      <c r="F53"/>
      <c r="G53"/>
      <c r="H53"/>
      <c r="I53"/>
      <c r="J53"/>
      <c r="K53"/>
      <c r="L53"/>
      <c r="M53"/>
    </row>
    <row r="54" spans="2:13" ht="12.75">
      <c r="B54" s="15" t="s">
        <v>81</v>
      </c>
      <c r="C54" s="15"/>
      <c r="D54" s="15" t="s">
        <v>82</v>
      </c>
      <c r="F54"/>
      <c r="G54">
        <f>228300/60</f>
        <v>3805</v>
      </c>
      <c r="H54"/>
      <c r="I54" s="32">
        <f>221300/60</f>
        <v>3688.3333333333335</v>
      </c>
      <c r="J54"/>
      <c r="K54">
        <f>219300/60</f>
        <v>3655</v>
      </c>
      <c r="L54" s="23"/>
      <c r="M54" s="23">
        <f>AVERAGE(K54,I54,G54)</f>
        <v>3716.1111111111113</v>
      </c>
    </row>
    <row r="55" spans="2:13" ht="12.75">
      <c r="B55" s="15" t="s">
        <v>83</v>
      </c>
      <c r="C55" s="15"/>
      <c r="D55" s="15" t="s">
        <v>84</v>
      </c>
      <c r="F55"/>
      <c r="G55">
        <v>14.6</v>
      </c>
      <c r="H55"/>
      <c r="I55">
        <v>13.8</v>
      </c>
      <c r="J55"/>
      <c r="K55">
        <v>15</v>
      </c>
      <c r="L55"/>
      <c r="M55" s="23">
        <f>AVERAGE(K55,I55,G55)</f>
        <v>14.466666666666667</v>
      </c>
    </row>
    <row r="56" spans="2:13" ht="12.75">
      <c r="B56" s="15" t="s">
        <v>85</v>
      </c>
      <c r="C56" s="15"/>
      <c r="D56" s="15" t="s">
        <v>84</v>
      </c>
      <c r="F56"/>
      <c r="G56">
        <v>5.9</v>
      </c>
      <c r="H56"/>
      <c r="I56">
        <v>5.6</v>
      </c>
      <c r="J56"/>
      <c r="K56">
        <v>6.1</v>
      </c>
      <c r="L56"/>
      <c r="M56" s="23">
        <f>AVERAGE(K56,I56,G56)</f>
        <v>5.866666666666667</v>
      </c>
    </row>
    <row r="57" spans="2:13" ht="12.75">
      <c r="B57" s="15" t="s">
        <v>86</v>
      </c>
      <c r="C57" s="15"/>
      <c r="D57" s="15" t="s">
        <v>87</v>
      </c>
      <c r="F57"/>
      <c r="G57">
        <v>180</v>
      </c>
      <c r="H57"/>
      <c r="I57">
        <v>196</v>
      </c>
      <c r="J57"/>
      <c r="K57">
        <v>197</v>
      </c>
      <c r="L57"/>
      <c r="M57" s="23">
        <f>AVERAGE(K57,I57,G57)</f>
        <v>191</v>
      </c>
    </row>
    <row r="58" spans="2:11" ht="12.75">
      <c r="B58" s="15"/>
      <c r="C58" s="15"/>
      <c r="G58" s="24"/>
      <c r="H58" s="24"/>
      <c r="I58" s="25"/>
      <c r="J58" s="24"/>
      <c r="K58" s="24"/>
    </row>
    <row r="59" spans="2:13" ht="12.75">
      <c r="B59" s="15" t="s">
        <v>97</v>
      </c>
      <c r="C59" s="15"/>
      <c r="D59" s="15" t="s">
        <v>102</v>
      </c>
      <c r="F59"/>
      <c r="G59" s="22">
        <v>2.47E-05</v>
      </c>
      <c r="H59"/>
      <c r="I59" s="22">
        <v>2.58E-05</v>
      </c>
      <c r="J59"/>
      <c r="K59" s="22">
        <v>5.55E-05</v>
      </c>
      <c r="L59"/>
      <c r="M59" s="23"/>
    </row>
    <row r="60" spans="2:13" ht="12.75">
      <c r="B60" s="15" t="s">
        <v>70</v>
      </c>
      <c r="C60" s="15"/>
      <c r="D60" s="15" t="s">
        <v>102</v>
      </c>
      <c r="G60" s="22">
        <v>6.38E-05</v>
      </c>
      <c r="H60"/>
      <c r="I60" s="22">
        <v>3.59E-05</v>
      </c>
      <c r="J60"/>
      <c r="K60" s="22">
        <v>4.9E-05</v>
      </c>
      <c r="L60"/>
      <c r="M60"/>
    </row>
    <row r="61" spans="2:13" ht="12.75">
      <c r="B61" s="15" t="s">
        <v>72</v>
      </c>
      <c r="C61" s="15"/>
      <c r="D61" s="15" t="s">
        <v>102</v>
      </c>
      <c r="G61" s="22">
        <v>8.51E-07</v>
      </c>
      <c r="H61"/>
      <c r="I61" s="22">
        <v>6.41E-07</v>
      </c>
      <c r="J61"/>
      <c r="K61" s="22">
        <v>1.23E-06</v>
      </c>
      <c r="L61"/>
      <c r="M61"/>
    </row>
    <row r="62" spans="2:13" ht="12.75">
      <c r="B62" s="15" t="s">
        <v>73</v>
      </c>
      <c r="C62" s="15"/>
      <c r="D62" s="15" t="s">
        <v>102</v>
      </c>
      <c r="G62" s="22">
        <v>1.41E-05</v>
      </c>
      <c r="H62"/>
      <c r="I62" s="22">
        <v>1.84E-05</v>
      </c>
      <c r="J62"/>
      <c r="K62" s="22">
        <v>6.16E-05</v>
      </c>
      <c r="L62"/>
      <c r="M62"/>
    </row>
    <row r="63" spans="2:13" ht="12.75">
      <c r="B63" s="15" t="s">
        <v>74</v>
      </c>
      <c r="C63" s="15"/>
      <c r="D63" s="15" t="s">
        <v>102</v>
      </c>
      <c r="G63" s="22">
        <v>1.3E-07</v>
      </c>
      <c r="H63"/>
      <c r="I63" s="22">
        <v>1.16E-07</v>
      </c>
      <c r="J63"/>
      <c r="K63" s="22">
        <v>2.12E-07</v>
      </c>
      <c r="L63"/>
      <c r="M63"/>
    </row>
    <row r="64" spans="2:13" ht="12.75">
      <c r="B64" s="15" t="s">
        <v>75</v>
      </c>
      <c r="C64" s="15"/>
      <c r="D64" s="15" t="s">
        <v>102</v>
      </c>
      <c r="G64" s="22">
        <v>1.97E-06</v>
      </c>
      <c r="H64"/>
      <c r="I64" s="22">
        <v>1.35E-06</v>
      </c>
      <c r="J64"/>
      <c r="K64" s="22">
        <v>2.2E-06</v>
      </c>
      <c r="L64"/>
      <c r="M64"/>
    </row>
    <row r="65" spans="2:13" ht="12.75">
      <c r="B65" s="15" t="s">
        <v>76</v>
      </c>
      <c r="C65" s="15"/>
      <c r="D65" s="15" t="s">
        <v>102</v>
      </c>
      <c r="G65" s="22">
        <v>6.19E-07</v>
      </c>
      <c r="H65"/>
      <c r="I65" s="22">
        <v>8.99E-07</v>
      </c>
      <c r="J65"/>
      <c r="K65" s="22">
        <v>9.8E-07</v>
      </c>
      <c r="L65"/>
      <c r="M65"/>
    </row>
    <row r="66" spans="2:13" ht="12.75">
      <c r="B66" s="15" t="s">
        <v>98</v>
      </c>
      <c r="C66" s="15"/>
      <c r="D66" s="15" t="s">
        <v>102</v>
      </c>
      <c r="G66" s="22">
        <v>9.72E-06</v>
      </c>
      <c r="H66"/>
      <c r="I66" s="22">
        <v>6.32E-06</v>
      </c>
      <c r="J66"/>
      <c r="K66" s="22">
        <v>2.5E-05</v>
      </c>
      <c r="L66"/>
      <c r="M66"/>
    </row>
    <row r="67" spans="2:13" ht="12.75">
      <c r="B67" s="15" t="s">
        <v>77</v>
      </c>
      <c r="C67" s="15"/>
      <c r="D67" s="15" t="s">
        <v>102</v>
      </c>
      <c r="G67" s="22">
        <v>0.00124</v>
      </c>
      <c r="H67"/>
      <c r="I67" s="22">
        <v>0.000767</v>
      </c>
      <c r="J67"/>
      <c r="K67" s="22">
        <v>0.00215</v>
      </c>
      <c r="L67"/>
      <c r="M67"/>
    </row>
    <row r="68" spans="2:13" ht="12.75">
      <c r="B68" s="15" t="s">
        <v>78</v>
      </c>
      <c r="C68" s="15"/>
      <c r="D68" s="15" t="s">
        <v>102</v>
      </c>
      <c r="G68" s="22">
        <v>1.29E-07</v>
      </c>
      <c r="H68"/>
      <c r="I68" s="22">
        <v>6.96E-07</v>
      </c>
      <c r="J68"/>
      <c r="K68" s="22">
        <v>2.69E-06</v>
      </c>
      <c r="L68"/>
      <c r="M68"/>
    </row>
    <row r="69" spans="2:13" ht="12.75">
      <c r="B69" s="15" t="s">
        <v>99</v>
      </c>
      <c r="C69" s="15"/>
      <c r="D69" s="15" t="s">
        <v>102</v>
      </c>
      <c r="G69" s="22">
        <v>7.68E-07</v>
      </c>
      <c r="H69"/>
      <c r="I69" s="22">
        <v>6.72E-07</v>
      </c>
      <c r="J69"/>
      <c r="K69" s="22">
        <v>1.26E-06</v>
      </c>
      <c r="L69"/>
      <c r="M69"/>
    </row>
    <row r="70" spans="2:13" ht="12.75">
      <c r="B70" s="15" t="s">
        <v>100</v>
      </c>
      <c r="C70" s="15"/>
      <c r="D70" s="15" t="s">
        <v>102</v>
      </c>
      <c r="G70" s="22">
        <v>2.56E-06</v>
      </c>
      <c r="H70"/>
      <c r="I70" s="22">
        <v>2.53E-06</v>
      </c>
      <c r="J70"/>
      <c r="K70" s="22">
        <v>4.46E-06</v>
      </c>
      <c r="L70"/>
      <c r="M70"/>
    </row>
    <row r="71" spans="2:13" ht="12.75">
      <c r="B71" s="15" t="s">
        <v>79</v>
      </c>
      <c r="C71" s="15"/>
      <c r="D71" s="15" t="s">
        <v>102</v>
      </c>
      <c r="G71" s="22">
        <v>4.66E-07</v>
      </c>
      <c r="H71"/>
      <c r="I71" s="22">
        <v>4.65E-07</v>
      </c>
      <c r="J71"/>
      <c r="K71" s="22">
        <v>8.48E-07</v>
      </c>
      <c r="L71"/>
      <c r="M71"/>
    </row>
    <row r="72" spans="2:13" ht="12.75">
      <c r="B72" s="15" t="s">
        <v>101</v>
      </c>
      <c r="C72" s="15"/>
      <c r="D72" s="15" t="s">
        <v>102</v>
      </c>
      <c r="G72" s="22">
        <v>1.15E-06</v>
      </c>
      <c r="H72"/>
      <c r="I72" s="22">
        <v>3.49E-06</v>
      </c>
      <c r="J72"/>
      <c r="K72" s="22">
        <v>6.36E-07</v>
      </c>
      <c r="L72"/>
      <c r="M72"/>
    </row>
    <row r="73" spans="2:13" ht="12.75">
      <c r="B73" s="15" t="s">
        <v>103</v>
      </c>
      <c r="C73" s="15"/>
      <c r="D73" s="15" t="s">
        <v>102</v>
      </c>
      <c r="G73" s="22">
        <v>2E-05</v>
      </c>
      <c r="H73"/>
      <c r="I73" s="22">
        <v>1E-05</v>
      </c>
      <c r="J73"/>
      <c r="K73" s="22">
        <v>8E-06</v>
      </c>
      <c r="L73"/>
      <c r="M73"/>
    </row>
    <row r="74" spans="7:11" ht="12.75">
      <c r="G74"/>
      <c r="H74"/>
      <c r="I74"/>
      <c r="J74"/>
      <c r="K74"/>
    </row>
    <row r="75" spans="2:13" ht="12.75">
      <c r="B75" s="15" t="s">
        <v>97</v>
      </c>
      <c r="C75" s="13" t="s">
        <v>66</v>
      </c>
      <c r="D75" s="15" t="s">
        <v>88</v>
      </c>
      <c r="E75" s="15" t="s">
        <v>68</v>
      </c>
      <c r="G75" s="26">
        <f>G59*60/0.0283/G$48*(21-7)/(21-G$49)*1000000</f>
        <v>31.82052414605418</v>
      </c>
      <c r="H75" s="26"/>
      <c r="I75" s="26">
        <f>I59*60/0.0283/I$48*(21-7)/(21-I$49)*1000000</f>
        <v>28.11288740835293</v>
      </c>
      <c r="J75" s="26"/>
      <c r="K75" s="26">
        <f aca="true" t="shared" si="0" ref="K75:K89">K59*60/0.0283/K$48*(21-7)/(21-K$49)*1000000</f>
        <v>73.9385019444145</v>
      </c>
      <c r="M75" s="26">
        <f aca="true" t="shared" si="1" ref="M75:M89">AVERAGE(G75,I75,K75)</f>
        <v>44.62397116627387</v>
      </c>
    </row>
    <row r="76" spans="2:13" ht="12.75">
      <c r="B76" s="15" t="s">
        <v>70</v>
      </c>
      <c r="C76" s="13" t="s">
        <v>66</v>
      </c>
      <c r="D76" s="15" t="s">
        <v>88</v>
      </c>
      <c r="E76" s="15" t="s">
        <v>68</v>
      </c>
      <c r="G76" s="26">
        <f aca="true" t="shared" si="2" ref="G76:I89">G60*60/0.0283/G$48*(21-7)/(21-G$49)*1000000</f>
        <v>82.19228504122499</v>
      </c>
      <c r="H76" s="26"/>
      <c r="I76" s="26">
        <f t="shared" si="2"/>
        <v>39.11832007596396</v>
      </c>
      <c r="J76" s="26"/>
      <c r="K76" s="26">
        <f t="shared" si="0"/>
        <v>65.2790377527263</v>
      </c>
      <c r="M76" s="26">
        <f t="shared" si="1"/>
        <v>62.19654762330507</v>
      </c>
    </row>
    <row r="77" spans="2:13" ht="12.75">
      <c r="B77" s="15" t="s">
        <v>72</v>
      </c>
      <c r="C77" s="13" t="s">
        <v>66</v>
      </c>
      <c r="D77" s="15" t="s">
        <v>88</v>
      </c>
      <c r="E77" s="15" t="s">
        <v>68</v>
      </c>
      <c r="G77" s="26">
        <f t="shared" si="2"/>
        <v>1.0963265606595995</v>
      </c>
      <c r="H77" s="26"/>
      <c r="I77" s="26">
        <f t="shared" si="2"/>
        <v>0.6984635980137296</v>
      </c>
      <c r="J77" s="26"/>
      <c r="K77" s="26">
        <f t="shared" si="0"/>
        <v>1.6386370701194564</v>
      </c>
      <c r="M77" s="26">
        <f t="shared" si="1"/>
        <v>1.1444757429309285</v>
      </c>
    </row>
    <row r="78" spans="2:13" ht="12.75">
      <c r="B78" s="15" t="s">
        <v>73</v>
      </c>
      <c r="C78" s="13" t="s">
        <v>66</v>
      </c>
      <c r="D78" s="15" t="s">
        <v>88</v>
      </c>
      <c r="E78" s="15" t="s">
        <v>68</v>
      </c>
      <c r="G78" s="26">
        <f t="shared" si="2"/>
        <v>18.16475265017668</v>
      </c>
      <c r="H78" s="26"/>
      <c r="I78" s="26">
        <f t="shared" si="2"/>
        <v>20.049501097429992</v>
      </c>
      <c r="J78" s="26"/>
      <c r="K78" s="26">
        <f t="shared" si="0"/>
        <v>82.06507603199879</v>
      </c>
      <c r="M78" s="26">
        <f t="shared" si="1"/>
        <v>40.093109926535156</v>
      </c>
    </row>
    <row r="79" spans="2:13" ht="12.75">
      <c r="B79" s="15" t="s">
        <v>74</v>
      </c>
      <c r="C79" s="13" t="s">
        <v>66</v>
      </c>
      <c r="D79" s="15" t="s">
        <v>88</v>
      </c>
      <c r="E79" s="15" t="s">
        <v>68</v>
      </c>
      <c r="G79" s="26">
        <f t="shared" si="2"/>
        <v>0.1674764428739694</v>
      </c>
      <c r="H79" s="26"/>
      <c r="I79" s="26">
        <f t="shared" si="2"/>
        <v>0.12639902865771085</v>
      </c>
      <c r="J79" s="26"/>
      <c r="K79" s="26">
        <f t="shared" si="0"/>
        <v>0.28243175517506075</v>
      </c>
      <c r="M79" s="26">
        <f t="shared" si="1"/>
        <v>0.19210240890224703</v>
      </c>
    </row>
    <row r="80" spans="2:13" ht="12.75">
      <c r="B80" s="15" t="s">
        <v>75</v>
      </c>
      <c r="C80" s="13" t="s">
        <v>66</v>
      </c>
      <c r="D80" s="15" t="s">
        <v>88</v>
      </c>
      <c r="E80" s="15" t="s">
        <v>68</v>
      </c>
      <c r="G80" s="26">
        <f t="shared" si="2"/>
        <v>2.537912249705536</v>
      </c>
      <c r="H80" s="26"/>
      <c r="I80" s="26">
        <f t="shared" si="2"/>
        <v>1.4710231783440484</v>
      </c>
      <c r="J80" s="26"/>
      <c r="K80" s="26">
        <f t="shared" si="0"/>
        <v>2.930895572571386</v>
      </c>
      <c r="M80" s="26">
        <f t="shared" si="1"/>
        <v>2.31327700020699</v>
      </c>
    </row>
    <row r="81" spans="2:13" ht="12.75">
      <c r="B81" s="15" t="s">
        <v>76</v>
      </c>
      <c r="C81" s="13" t="s">
        <v>66</v>
      </c>
      <c r="D81" s="15" t="s">
        <v>88</v>
      </c>
      <c r="E81" s="15" t="s">
        <v>68</v>
      </c>
      <c r="G81" s="26">
        <f t="shared" si="2"/>
        <v>0.7974455241460543</v>
      </c>
      <c r="H81" s="26"/>
      <c r="I81" s="26">
        <f t="shared" si="2"/>
        <v>0.9795924720972587</v>
      </c>
      <c r="J81" s="26"/>
      <c r="K81" s="26">
        <f t="shared" si="0"/>
        <v>1.3055807550545258</v>
      </c>
      <c r="M81" s="26">
        <f t="shared" si="1"/>
        <v>1.0275395837659465</v>
      </c>
    </row>
    <row r="82" spans="2:13" ht="12.75">
      <c r="B82" s="15" t="s">
        <v>98</v>
      </c>
      <c r="C82" s="13" t="s">
        <v>66</v>
      </c>
      <c r="D82" s="15" t="s">
        <v>88</v>
      </c>
      <c r="E82" s="15" t="s">
        <v>68</v>
      </c>
      <c r="G82" s="26">
        <f t="shared" si="2"/>
        <v>12.52208480565371</v>
      </c>
      <c r="H82" s="26"/>
      <c r="I82" s="26">
        <f t="shared" si="2"/>
        <v>6.886567768247693</v>
      </c>
      <c r="J82" s="26"/>
      <c r="K82" s="26">
        <f t="shared" si="0"/>
        <v>33.305631506493015</v>
      </c>
      <c r="M82" s="26">
        <f t="shared" si="1"/>
        <v>17.57142802679814</v>
      </c>
    </row>
    <row r="83" spans="2:13" ht="12.75">
      <c r="B83" s="15" t="s">
        <v>77</v>
      </c>
      <c r="C83" s="13" t="s">
        <v>66</v>
      </c>
      <c r="D83" s="15" t="s">
        <v>88</v>
      </c>
      <c r="E83" s="15" t="s">
        <v>68</v>
      </c>
      <c r="G83" s="26">
        <f t="shared" si="2"/>
        <v>1597.467608951708</v>
      </c>
      <c r="H83" s="27"/>
      <c r="I83" s="26">
        <f t="shared" si="2"/>
        <v>835.7590946591741</v>
      </c>
      <c r="J83" s="27"/>
      <c r="K83" s="26">
        <f t="shared" si="0"/>
        <v>2864.2843095583994</v>
      </c>
      <c r="M83" s="26">
        <f t="shared" si="1"/>
        <v>1765.8370043897605</v>
      </c>
    </row>
    <row r="84" spans="2:13" ht="12.75">
      <c r="B84" s="15" t="s">
        <v>78</v>
      </c>
      <c r="C84" s="13" t="s">
        <v>66</v>
      </c>
      <c r="D84" s="15" t="s">
        <v>88</v>
      </c>
      <c r="E84" s="15" t="s">
        <v>68</v>
      </c>
      <c r="G84" s="26">
        <f t="shared" si="2"/>
        <v>0.1661881625441696</v>
      </c>
      <c r="H84" s="26"/>
      <c r="I84" s="26">
        <f t="shared" si="2"/>
        <v>0.758394171946265</v>
      </c>
      <c r="J84" s="26"/>
      <c r="K84" s="26">
        <f t="shared" si="0"/>
        <v>3.5836859500986478</v>
      </c>
      <c r="M84" s="26">
        <f t="shared" si="1"/>
        <v>1.5027560948630274</v>
      </c>
    </row>
    <row r="85" spans="2:13" ht="12.75">
      <c r="B85" s="15" t="s">
        <v>99</v>
      </c>
      <c r="C85" s="13" t="s">
        <v>66</v>
      </c>
      <c r="D85" s="15" t="s">
        <v>88</v>
      </c>
      <c r="E85" s="15" t="s">
        <v>68</v>
      </c>
      <c r="G85" s="26">
        <f t="shared" si="2"/>
        <v>0.9893992932862191</v>
      </c>
      <c r="H85" s="26"/>
      <c r="I85" s="26">
        <f t="shared" si="2"/>
        <v>0.732242648775704</v>
      </c>
      <c r="J85" s="26"/>
      <c r="K85" s="26">
        <f t="shared" si="0"/>
        <v>1.6786038279272477</v>
      </c>
      <c r="M85" s="26">
        <f t="shared" si="1"/>
        <v>1.133415256663057</v>
      </c>
    </row>
    <row r="86" spans="2:13" ht="12.75">
      <c r="B86" s="15" t="s">
        <v>100</v>
      </c>
      <c r="C86" s="13" t="s">
        <v>66</v>
      </c>
      <c r="D86" s="15" t="s">
        <v>88</v>
      </c>
      <c r="E86" s="15" t="s">
        <v>68</v>
      </c>
      <c r="G86" s="26">
        <f t="shared" si="2"/>
        <v>3.297997644287397</v>
      </c>
      <c r="H86" s="26"/>
      <c r="I86" s="26">
        <f t="shared" si="2"/>
        <v>2.7568064008966235</v>
      </c>
      <c r="J86" s="26"/>
      <c r="K86" s="26">
        <f t="shared" si="0"/>
        <v>5.941724660758353</v>
      </c>
      <c r="M86" s="26">
        <f t="shared" si="1"/>
        <v>3.9988429019807916</v>
      </c>
    </row>
    <row r="87" spans="2:13" ht="12.75">
      <c r="B87" s="15" t="s">
        <v>79</v>
      </c>
      <c r="C87" s="13" t="s">
        <v>66</v>
      </c>
      <c r="D87" s="15" t="s">
        <v>88</v>
      </c>
      <c r="E87" s="15" t="s">
        <v>68</v>
      </c>
      <c r="G87" s="26">
        <f t="shared" si="2"/>
        <v>0.6003386336866903</v>
      </c>
      <c r="H87" s="26"/>
      <c r="I87" s="26">
        <f t="shared" si="2"/>
        <v>0.5066857614296165</v>
      </c>
      <c r="J87" s="26"/>
      <c r="K87" s="26">
        <f t="shared" si="0"/>
        <v>1.129727020700243</v>
      </c>
      <c r="M87" s="26">
        <f t="shared" si="1"/>
        <v>0.7455838052721834</v>
      </c>
    </row>
    <row r="88" spans="2:13" ht="12.75">
      <c r="B88" s="15" t="s">
        <v>101</v>
      </c>
      <c r="C88" s="13" t="s">
        <v>66</v>
      </c>
      <c r="D88" s="15" t="s">
        <v>88</v>
      </c>
      <c r="E88" s="15" t="s">
        <v>68</v>
      </c>
      <c r="G88" s="26">
        <f t="shared" si="2"/>
        <v>1.4815223792697292</v>
      </c>
      <c r="H88" s="26"/>
      <c r="I88" s="26">
        <f t="shared" si="2"/>
        <v>3.8028673277190586</v>
      </c>
      <c r="J88" s="26"/>
      <c r="K88" s="26">
        <f t="shared" si="0"/>
        <v>0.8472952655251821</v>
      </c>
      <c r="M88" s="26">
        <f t="shared" si="1"/>
        <v>2.0438949908379898</v>
      </c>
    </row>
    <row r="89" spans="2:13" ht="12.75">
      <c r="B89" s="15" t="s">
        <v>103</v>
      </c>
      <c r="C89" s="13" t="s">
        <v>66</v>
      </c>
      <c r="D89" s="15" t="s">
        <v>88</v>
      </c>
      <c r="E89" s="15" t="s">
        <v>68</v>
      </c>
      <c r="G89" s="26">
        <f t="shared" si="2"/>
        <v>25.76560659599529</v>
      </c>
      <c r="H89" s="26"/>
      <c r="I89" s="26">
        <f t="shared" si="2"/>
        <v>10.896467987733692</v>
      </c>
      <c r="J89" s="26"/>
      <c r="K89" s="26">
        <f t="shared" si="0"/>
        <v>10.657802082077762</v>
      </c>
      <c r="M89" s="26">
        <f t="shared" si="1"/>
        <v>15.773292221935582</v>
      </c>
    </row>
    <row r="90" spans="2:11" ht="12.75">
      <c r="B90" s="15"/>
      <c r="C90" s="15"/>
      <c r="G90" s="28"/>
      <c r="H90" s="26"/>
      <c r="I90" s="28"/>
      <c r="J90" s="26"/>
      <c r="K90" s="26"/>
    </row>
    <row r="91" spans="2:13" ht="12.75">
      <c r="B91" s="15" t="s">
        <v>89</v>
      </c>
      <c r="C91" s="13" t="s">
        <v>66</v>
      </c>
      <c r="D91" s="15" t="s">
        <v>88</v>
      </c>
      <c r="E91" s="15" t="s">
        <v>68</v>
      </c>
      <c r="G91" s="29">
        <f>G80+G83</f>
        <v>1600.0055212014136</v>
      </c>
      <c r="H91" s="30"/>
      <c r="I91" s="29">
        <f>I80+I83</f>
        <v>837.2301178375182</v>
      </c>
      <c r="J91" s="30"/>
      <c r="K91" s="29">
        <f>K80+K83</f>
        <v>2867.215205130971</v>
      </c>
      <c r="L91" s="30"/>
      <c r="M91" s="30">
        <f>AVERAGE(G91,I91,K91)</f>
        <v>1768.1502813899676</v>
      </c>
    </row>
    <row r="92" spans="2:13" ht="12.75">
      <c r="B92" s="15" t="s">
        <v>90</v>
      </c>
      <c r="C92" s="13" t="s">
        <v>66</v>
      </c>
      <c r="D92" s="15" t="s">
        <v>88</v>
      </c>
      <c r="E92" s="15" t="s">
        <v>68</v>
      </c>
      <c r="G92" s="28">
        <f>G77+G78+G81</f>
        <v>20.058524734982335</v>
      </c>
      <c r="H92" s="26"/>
      <c r="I92" s="28">
        <f>I77+I78+I81</f>
        <v>21.727557167540983</v>
      </c>
      <c r="J92" s="26"/>
      <c r="K92" s="28">
        <f>K77+K78+K81</f>
        <v>85.00929385717276</v>
      </c>
      <c r="M92" s="26">
        <f>AVERAGE(G92,I92,K92)</f>
        <v>42.26512525323203</v>
      </c>
    </row>
    <row r="94" spans="1:13" ht="12.75">
      <c r="A94" s="13">
        <v>4</v>
      </c>
      <c r="B94" s="19" t="s">
        <v>51</v>
      </c>
      <c r="C94" s="19"/>
      <c r="G94" s="17" t="s">
        <v>61</v>
      </c>
      <c r="H94" s="17"/>
      <c r="I94" s="18" t="s">
        <v>62</v>
      </c>
      <c r="J94" s="17"/>
      <c r="K94" s="17" t="s">
        <v>63</v>
      </c>
      <c r="L94" s="17"/>
      <c r="M94" s="13" t="s">
        <v>64</v>
      </c>
    </row>
    <row r="95" spans="2:12" ht="12.75">
      <c r="B95" s="15"/>
      <c r="C95" s="15"/>
      <c r="D95" s="3"/>
      <c r="E95" s="3"/>
      <c r="F95" s="3"/>
      <c r="G95" s="3"/>
      <c r="H95" s="3"/>
      <c r="I95" s="20"/>
      <c r="J95" s="3"/>
      <c r="K95" s="3"/>
      <c r="L95" s="17"/>
    </row>
    <row r="96" spans="2:13" ht="12.75">
      <c r="B96" s="15" t="s">
        <v>65</v>
      </c>
      <c r="C96" s="15" t="s">
        <v>66</v>
      </c>
      <c r="D96" s="15" t="s">
        <v>67</v>
      </c>
      <c r="E96" s="15" t="s">
        <v>68</v>
      </c>
      <c r="F96"/>
      <c r="G96">
        <v>0.0011</v>
      </c>
      <c r="H96"/>
      <c r="J96"/>
      <c r="K96">
        <v>0.0015</v>
      </c>
      <c r="L96"/>
      <c r="M96" s="31">
        <f>AVERAGE(K96,G96,I96)</f>
        <v>0.0013</v>
      </c>
    </row>
    <row r="97" spans="2:13" ht="12.75">
      <c r="B97" s="15" t="s">
        <v>114</v>
      </c>
      <c r="C97" s="15" t="s">
        <v>66</v>
      </c>
      <c r="D97" s="15" t="s">
        <v>69</v>
      </c>
      <c r="E97" s="15" t="s">
        <v>68</v>
      </c>
      <c r="F97"/>
      <c r="G97">
        <v>11.8</v>
      </c>
      <c r="H97"/>
      <c r="I97" s="16">
        <v>11.2</v>
      </c>
      <c r="J97"/>
      <c r="K97">
        <v>11.2</v>
      </c>
      <c r="L97"/>
      <c r="M97" s="23">
        <f>AVERAGE(K97,G97,I97)</f>
        <v>11.4</v>
      </c>
    </row>
    <row r="98" spans="2:13" ht="12.75">
      <c r="B98" s="15" t="s">
        <v>118</v>
      </c>
      <c r="D98" s="15" t="s">
        <v>102</v>
      </c>
      <c r="F98"/>
      <c r="G98" s="22">
        <v>0.00303</v>
      </c>
      <c r="H98"/>
      <c r="I98" s="36">
        <v>0.001045</v>
      </c>
      <c r="J98"/>
      <c r="K98" s="22">
        <v>0.000938</v>
      </c>
      <c r="L98"/>
      <c r="M98" s="23"/>
    </row>
    <row r="99" spans="2:13" ht="12.75">
      <c r="B99" s="15" t="s">
        <v>119</v>
      </c>
      <c r="D99" s="15" t="s">
        <v>102</v>
      </c>
      <c r="F99"/>
      <c r="G99" s="22">
        <v>0.0004056</v>
      </c>
      <c r="H99"/>
      <c r="I99" s="36">
        <v>0.0005346</v>
      </c>
      <c r="J99"/>
      <c r="K99" s="22">
        <v>5.7E-05</v>
      </c>
      <c r="L99"/>
      <c r="M99" s="23"/>
    </row>
    <row r="100" spans="2:13" ht="12.75">
      <c r="B100" s="15" t="s">
        <v>118</v>
      </c>
      <c r="C100" s="13" t="s">
        <v>66</v>
      </c>
      <c r="D100" s="15" t="s">
        <v>69</v>
      </c>
      <c r="E100" s="15" t="s">
        <v>68</v>
      </c>
      <c r="F100"/>
      <c r="G100" s="23">
        <f>G98*60/G105/0.0283*14/(21-G106)*1000000/1516</f>
        <v>2.562995362059233</v>
      </c>
      <c r="H100"/>
      <c r="I100" s="23">
        <f>I98*60/I105/0.0283*14/(21-I106)*1000000/1516</f>
        <v>0.9461657267431519</v>
      </c>
      <c r="J100"/>
      <c r="K100" s="23">
        <f>K98*60/K105/0.0283*14/(21-K106)*1000000/1516</f>
        <v>0.8408990340239585</v>
      </c>
      <c r="L100"/>
      <c r="M100" s="23">
        <f>AVERAGE(G100,I100,K100)</f>
        <v>1.4500200409421147</v>
      </c>
    </row>
    <row r="101" spans="2:13" ht="12.75">
      <c r="B101" s="15" t="s">
        <v>119</v>
      </c>
      <c r="C101" s="13" t="s">
        <v>66</v>
      </c>
      <c r="D101" s="15" t="s">
        <v>69</v>
      </c>
      <c r="E101" s="15" t="s">
        <v>68</v>
      </c>
      <c r="F101"/>
      <c r="G101" s="23">
        <f>G99*60/G105/0.0283*14/(21-G106)*1000000/3000</f>
        <v>0.17337284851248153</v>
      </c>
      <c r="H101"/>
      <c r="I101" s="23">
        <f>I99*60/I105/0.0283*14/(21-I106)*1000000/3000</f>
        <v>0.24460077174979392</v>
      </c>
      <c r="J101"/>
      <c r="K101" s="23">
        <f>K99*60/K105/0.0283*14/(21-K106)*1000000/3000</f>
        <v>0.025822234302799677</v>
      </c>
      <c r="L101"/>
      <c r="M101" s="23">
        <f>AVERAGE(G101,I101,K101)</f>
        <v>0.14793195152169172</v>
      </c>
    </row>
    <row r="102" spans="2:13" ht="12.75">
      <c r="B102" s="15" t="s">
        <v>120</v>
      </c>
      <c r="C102" s="13" t="s">
        <v>66</v>
      </c>
      <c r="D102" s="15" t="s">
        <v>69</v>
      </c>
      <c r="E102" s="15" t="s">
        <v>68</v>
      </c>
      <c r="F102"/>
      <c r="G102" s="23">
        <f>G100+G101*2</f>
        <v>2.909741059084196</v>
      </c>
      <c r="H102"/>
      <c r="I102" s="23">
        <f>I100+I101*2</f>
        <v>1.4353672702427398</v>
      </c>
      <c r="J102"/>
      <c r="K102" s="23">
        <f>K100+K101*2</f>
        <v>0.8925435026295578</v>
      </c>
      <c r="L102"/>
      <c r="M102" s="23">
        <f>AVERAGE(G102,I102,K102)</f>
        <v>1.745883943985498</v>
      </c>
    </row>
    <row r="103" ht="12.75">
      <c r="I103" s="13"/>
    </row>
    <row r="104" spans="2:13" ht="12.75">
      <c r="B104" s="15" t="s">
        <v>80</v>
      </c>
      <c r="C104" s="15" t="s">
        <v>121</v>
      </c>
      <c r="D104" s="15" t="s">
        <v>66</v>
      </c>
      <c r="F104"/>
      <c r="I104" s="13"/>
      <c r="L104"/>
      <c r="M104"/>
    </row>
    <row r="105" spans="2:13" ht="12.75">
      <c r="B105" s="15" t="s">
        <v>81</v>
      </c>
      <c r="C105" s="15"/>
      <c r="D105" s="15" t="s">
        <v>82</v>
      </c>
      <c r="F105"/>
      <c r="G105" s="35">
        <f>224000/60</f>
        <v>3733.3333333333335</v>
      </c>
      <c r="H105" s="35"/>
      <c r="I105" s="35">
        <f>223700/60</f>
        <v>3728.3333333333335</v>
      </c>
      <c r="J105" s="23"/>
      <c r="K105" s="23">
        <f>218400/60</f>
        <v>3640</v>
      </c>
      <c r="L105" s="23"/>
      <c r="M105" s="23">
        <f>AVERAGE(K105,I105,G105)</f>
        <v>3700.555555555556</v>
      </c>
    </row>
    <row r="106" spans="2:13" ht="12.75">
      <c r="B106" s="15" t="s">
        <v>83</v>
      </c>
      <c r="C106" s="15"/>
      <c r="D106" s="15" t="s">
        <v>84</v>
      </c>
      <c r="F106"/>
      <c r="G106" s="34">
        <v>14.8</v>
      </c>
      <c r="H106" s="34"/>
      <c r="I106" s="34">
        <v>15.2</v>
      </c>
      <c r="J106"/>
      <c r="K106">
        <v>15</v>
      </c>
      <c r="L106"/>
      <c r="M106" s="21">
        <f>AVERAGE(K106,I106,G106)</f>
        <v>15</v>
      </c>
    </row>
    <row r="107" spans="2:13" ht="12.75">
      <c r="B107" s="15" t="s">
        <v>85</v>
      </c>
      <c r="C107" s="15"/>
      <c r="D107" s="15" t="s">
        <v>84</v>
      </c>
      <c r="F107"/>
      <c r="G107" s="34">
        <v>4.8</v>
      </c>
      <c r="H107" s="34"/>
      <c r="I107" s="34">
        <v>4.8</v>
      </c>
      <c r="J107"/>
      <c r="K107"/>
      <c r="L107"/>
      <c r="M107" s="21">
        <f>AVERAGE(K107,I107,G107)</f>
        <v>4.8</v>
      </c>
    </row>
    <row r="108" spans="2:13" ht="12.75">
      <c r="B108" s="15" t="s">
        <v>86</v>
      </c>
      <c r="C108" s="15"/>
      <c r="D108" s="15" t="s">
        <v>87</v>
      </c>
      <c r="F108"/>
      <c r="G108" s="34">
        <v>206</v>
      </c>
      <c r="H108" s="34"/>
      <c r="I108" s="34">
        <v>190</v>
      </c>
      <c r="J108"/>
      <c r="K108">
        <v>199</v>
      </c>
      <c r="L108"/>
      <c r="M108" s="23">
        <f>AVERAGE(K108,I108,G108)</f>
        <v>198.33333333333334</v>
      </c>
    </row>
    <row r="110" spans="1:13" ht="12.75">
      <c r="A110" s="13">
        <v>5</v>
      </c>
      <c r="B110" s="19" t="s">
        <v>52</v>
      </c>
      <c r="C110" s="19"/>
      <c r="G110" s="17" t="s">
        <v>61</v>
      </c>
      <c r="H110" s="17"/>
      <c r="I110" s="18" t="s">
        <v>62</v>
      </c>
      <c r="J110" s="17"/>
      <c r="K110" s="17" t="s">
        <v>63</v>
      </c>
      <c r="L110" s="17"/>
      <c r="M110" s="13" t="s">
        <v>64</v>
      </c>
    </row>
    <row r="111" spans="2:12" ht="12.75">
      <c r="B111" s="15"/>
      <c r="C111" s="15"/>
      <c r="D111" s="3"/>
      <c r="E111" s="3"/>
      <c r="F111" s="3"/>
      <c r="G111" s="3"/>
      <c r="H111" s="3"/>
      <c r="I111" s="20"/>
      <c r="J111" s="3"/>
      <c r="K111" s="3"/>
      <c r="L111" s="17"/>
    </row>
    <row r="112" spans="2:13" ht="12.75">
      <c r="B112" s="15" t="s">
        <v>65</v>
      </c>
      <c r="C112" s="15" t="s">
        <v>66</v>
      </c>
      <c r="D112" s="15" t="s">
        <v>67</v>
      </c>
      <c r="E112" s="15" t="s">
        <v>68</v>
      </c>
      <c r="F112"/>
      <c r="G112">
        <v>0.0013</v>
      </c>
      <c r="H112"/>
      <c r="I112">
        <v>0.0027</v>
      </c>
      <c r="J112"/>
      <c r="K112"/>
      <c r="L112"/>
      <c r="M112" s="31">
        <f>AVERAGE(I112,G112)</f>
        <v>0.002</v>
      </c>
    </row>
    <row r="113" spans="2:13" ht="12.75">
      <c r="B113" s="15" t="s">
        <v>114</v>
      </c>
      <c r="C113" s="15" t="s">
        <v>66</v>
      </c>
      <c r="D113" s="15" t="s">
        <v>69</v>
      </c>
      <c r="E113" s="15" t="s">
        <v>68</v>
      </c>
      <c r="F113"/>
      <c r="G113">
        <v>10.2</v>
      </c>
      <c r="H113"/>
      <c r="I113" s="16">
        <v>10.2</v>
      </c>
      <c r="J113"/>
      <c r="K113">
        <v>11.3</v>
      </c>
      <c r="L113"/>
      <c r="M113" s="23">
        <f>AVERAGE(K113,G113,I113)</f>
        <v>10.566666666666666</v>
      </c>
    </row>
    <row r="114" spans="2:13" ht="12.75">
      <c r="B114" s="15" t="s">
        <v>118</v>
      </c>
      <c r="D114" s="15" t="s">
        <v>102</v>
      </c>
      <c r="F114"/>
      <c r="G114" s="22">
        <v>0.0009168</v>
      </c>
      <c r="H114"/>
      <c r="I114" s="36">
        <v>0.000679</v>
      </c>
      <c r="J114"/>
      <c r="K114" s="22">
        <v>0.0005169</v>
      </c>
      <c r="L114"/>
      <c r="M114" s="26"/>
    </row>
    <row r="115" spans="2:13" ht="12.75">
      <c r="B115" s="15" t="s">
        <v>119</v>
      </c>
      <c r="D115" s="15" t="s">
        <v>102</v>
      </c>
      <c r="F115"/>
      <c r="G115" s="22">
        <v>0.0006176</v>
      </c>
      <c r="H115"/>
      <c r="I115" s="36">
        <v>0.0005011</v>
      </c>
      <c r="J115"/>
      <c r="K115" s="22">
        <v>0.0002872</v>
      </c>
      <c r="L115"/>
      <c r="M115" s="26"/>
    </row>
    <row r="116" spans="2:13" ht="12.75">
      <c r="B116" s="15" t="s">
        <v>118</v>
      </c>
      <c r="C116" s="13" t="s">
        <v>66</v>
      </c>
      <c r="D116" s="15" t="s">
        <v>69</v>
      </c>
      <c r="E116" s="15" t="s">
        <v>68</v>
      </c>
      <c r="F116"/>
      <c r="G116" s="23">
        <f>G114*60/G121/0.0283*14/(21-G122)*1000000/1516</f>
        <v>0.7027702254836559</v>
      </c>
      <c r="H116"/>
      <c r="I116" s="23">
        <f>I114*60/I121/0.0283*14/(21-I122)*1000000/1516</f>
        <v>0.5782198132350814</v>
      </c>
      <c r="J116"/>
      <c r="K116" s="23">
        <f>K114*60/K121/0.0283*14/(21-K122)*1000000/1516</f>
        <v>0.4864669457019569</v>
      </c>
      <c r="L116"/>
      <c r="M116" s="26">
        <f>AVERAGE(G116,I116,K116)</f>
        <v>0.5891523281402313</v>
      </c>
    </row>
    <row r="117" spans="2:13" ht="12.75">
      <c r="B117" s="15" t="s">
        <v>119</v>
      </c>
      <c r="C117" s="13" t="s">
        <v>66</v>
      </c>
      <c r="D117" s="15" t="s">
        <v>69</v>
      </c>
      <c r="E117" s="15" t="s">
        <v>68</v>
      </c>
      <c r="F117"/>
      <c r="G117" s="23">
        <f>G115*60/G121/0.0283*14/(21-G122)*1000000/3000</f>
        <v>0.23923459538547065</v>
      </c>
      <c r="H117"/>
      <c r="I117" s="23">
        <f>I115*60/I121/0.0283*14/(21-I122)*1000000/3000</f>
        <v>0.21563812360959386</v>
      </c>
      <c r="J117"/>
      <c r="K117" s="23">
        <f>K115*60/K121/0.0283*14/(21-K122)*1000000/3000</f>
        <v>0.13658694339156038</v>
      </c>
      <c r="L117"/>
      <c r="M117" s="26">
        <f>AVERAGE(G117,I117,K117)</f>
        <v>0.19715322079554165</v>
      </c>
    </row>
    <row r="118" spans="2:13" ht="12.75">
      <c r="B118" s="15" t="s">
        <v>120</v>
      </c>
      <c r="C118" s="13" t="s">
        <v>66</v>
      </c>
      <c r="D118" s="15" t="s">
        <v>69</v>
      </c>
      <c r="E118" s="15" t="s">
        <v>68</v>
      </c>
      <c r="F118"/>
      <c r="G118" s="23">
        <f>G116+G117*2</f>
        <v>1.1812394162545972</v>
      </c>
      <c r="H118"/>
      <c r="I118" s="23">
        <f>I116+I117*2</f>
        <v>1.009496060454269</v>
      </c>
      <c r="J118"/>
      <c r="K118" s="23">
        <f>K116+K117*2</f>
        <v>0.7596408324850776</v>
      </c>
      <c r="L118"/>
      <c r="M118" s="23">
        <f>AVERAGE(G118,I118,K118)</f>
        <v>0.9834587697313145</v>
      </c>
    </row>
    <row r="119" ht="12.75">
      <c r="I119" s="13"/>
    </row>
    <row r="120" spans="2:13" ht="12.75">
      <c r="B120" s="15" t="s">
        <v>80</v>
      </c>
      <c r="C120" s="15" t="s">
        <v>121</v>
      </c>
      <c r="D120" s="15" t="s">
        <v>66</v>
      </c>
      <c r="F120"/>
      <c r="I120" s="13"/>
      <c r="L120"/>
      <c r="M120"/>
    </row>
    <row r="121" spans="2:13" ht="12.75">
      <c r="B121" s="15" t="s">
        <v>81</v>
      </c>
      <c r="C121" s="15"/>
      <c r="D121" s="15" t="s">
        <v>82</v>
      </c>
      <c r="F121"/>
      <c r="G121" s="34">
        <f>232200/60</f>
        <v>3870</v>
      </c>
      <c r="H121" s="34"/>
      <c r="I121" s="35">
        <f>222500/60</f>
        <v>3708.3333333333335</v>
      </c>
      <c r="J121"/>
      <c r="K121">
        <f>222900/60</f>
        <v>3715</v>
      </c>
      <c r="L121" s="23"/>
      <c r="M121" s="23">
        <f>AVERAGE(K121,I121,G121)</f>
        <v>3764.444444444445</v>
      </c>
    </row>
    <row r="122" spans="2:13" ht="12.75">
      <c r="B122" s="15" t="s">
        <v>83</v>
      </c>
      <c r="C122" s="15"/>
      <c r="D122" s="15" t="s">
        <v>84</v>
      </c>
      <c r="F122"/>
      <c r="G122" s="34">
        <v>14.4</v>
      </c>
      <c r="H122" s="34"/>
      <c r="I122" s="34">
        <v>14.8</v>
      </c>
      <c r="J122"/>
      <c r="K122">
        <v>15.4</v>
      </c>
      <c r="L122"/>
      <c r="M122" s="21">
        <f>AVERAGE(K122,I122,G122)</f>
        <v>14.866666666666667</v>
      </c>
    </row>
    <row r="123" spans="2:13" ht="12.75">
      <c r="B123" s="15" t="s">
        <v>85</v>
      </c>
      <c r="C123" s="15"/>
      <c r="D123" s="15" t="s">
        <v>84</v>
      </c>
      <c r="F123"/>
      <c r="G123" s="34">
        <v>5</v>
      </c>
      <c r="H123" s="34"/>
      <c r="I123" s="34">
        <v>5.2</v>
      </c>
      <c r="J123"/>
      <c r="K123">
        <v>5</v>
      </c>
      <c r="L123"/>
      <c r="M123" s="21">
        <f>AVERAGE(K123,I123,G123)</f>
        <v>5.066666666666666</v>
      </c>
    </row>
    <row r="124" spans="2:13" ht="12.75">
      <c r="B124" s="15" t="s">
        <v>86</v>
      </c>
      <c r="C124" s="15"/>
      <c r="D124" s="15" t="s">
        <v>87</v>
      </c>
      <c r="F124"/>
      <c r="G124" s="34">
        <v>217</v>
      </c>
      <c r="H124" s="34"/>
      <c r="I124" s="34">
        <v>205</v>
      </c>
      <c r="J124"/>
      <c r="K124">
        <v>197</v>
      </c>
      <c r="L124"/>
      <c r="M124" s="23">
        <f>AVERAGE(K124,I124,G124)</f>
        <v>206.33333333333334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B1">
      <selection activeCell="G24" sqref="G24"/>
    </sheetView>
  </sheetViews>
  <sheetFormatPr defaultColWidth="9.140625" defaultRowHeight="12.75"/>
  <cols>
    <col min="1" max="1" width="2.57421875" style="3" hidden="1" customWidth="1"/>
    <col min="2" max="2" width="21.28125" style="3" customWidth="1"/>
    <col min="3" max="3" width="4.140625" style="3" customWidth="1"/>
    <col min="4" max="4" width="9.140625" style="3" customWidth="1"/>
    <col min="5" max="5" width="2.8515625" style="3" customWidth="1"/>
    <col min="6" max="6" width="10.7109375" style="3" customWidth="1"/>
    <col min="7" max="7" width="2.57421875" style="3" customWidth="1"/>
    <col min="8" max="8" width="10.28125" style="3" customWidth="1"/>
    <col min="9" max="9" width="2.00390625" style="3" customWidth="1"/>
    <col min="10" max="10" width="10.57421875" style="3" customWidth="1"/>
    <col min="11" max="11" width="2.140625" style="3" customWidth="1"/>
    <col min="12" max="12" width="11.140625" style="3" customWidth="1"/>
    <col min="13" max="13" width="2.28125" style="3" customWidth="1"/>
    <col min="14" max="14" width="9.140625" style="3" customWidth="1"/>
    <col min="15" max="15" width="2.28125" style="3" customWidth="1"/>
    <col min="16" max="16" width="9.140625" style="3" customWidth="1"/>
    <col min="17" max="17" width="2.28125" style="3" customWidth="1"/>
    <col min="18" max="18" width="9.140625" style="3" customWidth="1"/>
    <col min="19" max="19" width="2.140625" style="3" customWidth="1"/>
    <col min="20" max="20" width="10.00390625" style="3" customWidth="1"/>
    <col min="21" max="16384" width="9.140625" style="3" customWidth="1"/>
  </cols>
  <sheetData>
    <row r="1" ht="12.75">
      <c r="B1" s="2" t="s">
        <v>115</v>
      </c>
    </row>
    <row r="3" spans="1:20" s="38" customFormat="1" ht="12.75">
      <c r="A3" s="38" t="s">
        <v>178</v>
      </c>
      <c r="B3" s="56" t="s">
        <v>48</v>
      </c>
      <c r="C3" s="56"/>
      <c r="D3" s="43"/>
      <c r="F3" s="39" t="s">
        <v>61</v>
      </c>
      <c r="G3" s="39"/>
      <c r="H3" s="39" t="s">
        <v>62</v>
      </c>
      <c r="I3" s="39"/>
      <c r="J3" s="39" t="s">
        <v>63</v>
      </c>
      <c r="K3" s="39"/>
      <c r="L3" s="39" t="s">
        <v>64</v>
      </c>
      <c r="M3" s="57"/>
      <c r="N3" s="39" t="s">
        <v>61</v>
      </c>
      <c r="O3" s="39"/>
      <c r="P3" s="39" t="s">
        <v>62</v>
      </c>
      <c r="Q3" s="39"/>
      <c r="R3" s="39" t="s">
        <v>63</v>
      </c>
      <c r="S3" s="39"/>
      <c r="T3" s="39" t="s">
        <v>64</v>
      </c>
    </row>
    <row r="4" spans="2:7" s="38" customFormat="1" ht="12.75">
      <c r="B4" s="43"/>
      <c r="C4" s="43"/>
      <c r="D4" s="43"/>
      <c r="F4" s="60"/>
      <c r="G4" s="60"/>
    </row>
    <row r="5" spans="2:20" s="58" customFormat="1" ht="12.75">
      <c r="B5" s="58" t="s">
        <v>179</v>
      </c>
      <c r="E5" s="6"/>
      <c r="F5" s="6" t="s">
        <v>190</v>
      </c>
      <c r="G5" s="6"/>
      <c r="H5" s="6" t="s">
        <v>190</v>
      </c>
      <c r="I5" s="6"/>
      <c r="J5" s="6" t="s">
        <v>190</v>
      </c>
      <c r="K5" s="6"/>
      <c r="L5" s="6" t="s">
        <v>190</v>
      </c>
      <c r="M5" s="6"/>
      <c r="N5" s="58" t="s">
        <v>134</v>
      </c>
      <c r="P5" s="58" t="s">
        <v>134</v>
      </c>
      <c r="R5" s="58" t="s">
        <v>134</v>
      </c>
      <c r="T5" s="58" t="s">
        <v>134</v>
      </c>
    </row>
    <row r="6" spans="2:20" s="58" customFormat="1" ht="12.75">
      <c r="B6" s="58" t="s">
        <v>180</v>
      </c>
      <c r="E6" s="6"/>
      <c r="F6" s="6" t="s">
        <v>191</v>
      </c>
      <c r="G6" s="6"/>
      <c r="H6" s="6" t="s">
        <v>191</v>
      </c>
      <c r="I6" s="6"/>
      <c r="J6" s="6" t="s">
        <v>191</v>
      </c>
      <c r="K6" s="6"/>
      <c r="L6" s="6" t="s">
        <v>191</v>
      </c>
      <c r="M6" s="6"/>
      <c r="N6" s="58" t="s">
        <v>134</v>
      </c>
      <c r="P6" s="58" t="s">
        <v>134</v>
      </c>
      <c r="R6" s="58" t="s">
        <v>134</v>
      </c>
      <c r="T6" s="58" t="s">
        <v>134</v>
      </c>
    </row>
    <row r="7" spans="2:20" s="38" customFormat="1" ht="12.75">
      <c r="B7" s="43" t="s">
        <v>181</v>
      </c>
      <c r="C7" s="43"/>
      <c r="D7" s="43" t="s">
        <v>71</v>
      </c>
      <c r="E7" s="3"/>
      <c r="F7" s="3">
        <v>119.3</v>
      </c>
      <c r="G7" s="3"/>
      <c r="H7" s="3">
        <v>119.3</v>
      </c>
      <c r="I7" s="3"/>
      <c r="J7" s="3">
        <v>119.3</v>
      </c>
      <c r="K7" s="3"/>
      <c r="L7" s="54">
        <f>AVERAGE(F7,H7,J7)</f>
        <v>119.3</v>
      </c>
      <c r="M7" s="3"/>
      <c r="N7" s="38">
        <f>F7</f>
        <v>119.3</v>
      </c>
      <c r="P7" s="38">
        <f>H7</f>
        <v>119.3</v>
      </c>
      <c r="R7" s="38">
        <f>J7</f>
        <v>119.3</v>
      </c>
      <c r="T7" s="38">
        <f>L7</f>
        <v>119.3</v>
      </c>
    </row>
    <row r="9" spans="1:20" s="38" customFormat="1" ht="12.75">
      <c r="A9" s="38" t="s">
        <v>178</v>
      </c>
      <c r="B9" s="56" t="s">
        <v>49</v>
      </c>
      <c r="C9" s="56"/>
      <c r="D9" s="43"/>
      <c r="F9" s="39" t="s">
        <v>61</v>
      </c>
      <c r="G9" s="39"/>
      <c r="H9" s="39" t="s">
        <v>62</v>
      </c>
      <c r="I9" s="39"/>
      <c r="J9" s="39" t="s">
        <v>63</v>
      </c>
      <c r="K9" s="39"/>
      <c r="L9" s="39" t="s">
        <v>64</v>
      </c>
      <c r="M9" s="57"/>
      <c r="N9" s="39" t="s">
        <v>61</v>
      </c>
      <c r="O9" s="39"/>
      <c r="P9" s="39" t="s">
        <v>62</v>
      </c>
      <c r="Q9" s="39"/>
      <c r="R9" s="39" t="s">
        <v>63</v>
      </c>
      <c r="S9" s="39"/>
      <c r="T9" s="39" t="s">
        <v>64</v>
      </c>
    </row>
    <row r="10" spans="2:7" s="38" customFormat="1" ht="12.75">
      <c r="B10" s="43"/>
      <c r="C10" s="43"/>
      <c r="D10" s="43"/>
      <c r="F10" s="60"/>
      <c r="G10" s="60"/>
    </row>
    <row r="11" spans="2:20" s="58" customFormat="1" ht="12.75">
      <c r="B11" s="58" t="s">
        <v>179</v>
      </c>
      <c r="E11" s="6"/>
      <c r="F11" s="6" t="s">
        <v>192</v>
      </c>
      <c r="G11" s="6"/>
      <c r="H11" s="6" t="s">
        <v>192</v>
      </c>
      <c r="I11" s="6"/>
      <c r="J11" s="6" t="s">
        <v>192</v>
      </c>
      <c r="K11" s="6"/>
      <c r="L11" s="6" t="s">
        <v>192</v>
      </c>
      <c r="M11" s="6"/>
      <c r="N11" s="58" t="s">
        <v>134</v>
      </c>
      <c r="P11" s="58" t="s">
        <v>134</v>
      </c>
      <c r="R11" s="58" t="s">
        <v>134</v>
      </c>
      <c r="T11" s="58" t="s">
        <v>134</v>
      </c>
    </row>
    <row r="12" spans="2:20" s="58" customFormat="1" ht="12.75">
      <c r="B12" s="58" t="s">
        <v>180</v>
      </c>
      <c r="E12" s="6"/>
      <c r="F12" s="6" t="s">
        <v>191</v>
      </c>
      <c r="G12" s="6"/>
      <c r="H12" s="6" t="s">
        <v>191</v>
      </c>
      <c r="I12" s="6"/>
      <c r="J12" s="6" t="s">
        <v>191</v>
      </c>
      <c r="K12" s="6"/>
      <c r="L12" s="6" t="s">
        <v>191</v>
      </c>
      <c r="M12" s="6"/>
      <c r="N12" s="58" t="s">
        <v>134</v>
      </c>
      <c r="P12" s="58" t="s">
        <v>134</v>
      </c>
      <c r="R12" s="58" t="s">
        <v>134</v>
      </c>
      <c r="T12" s="58" t="s">
        <v>134</v>
      </c>
    </row>
    <row r="13" spans="2:20" s="38" customFormat="1" ht="12.75">
      <c r="B13" s="43" t="s">
        <v>181</v>
      </c>
      <c r="C13" s="43"/>
      <c r="D13" s="43" t="s">
        <v>71</v>
      </c>
      <c r="E13" s="3"/>
      <c r="F13" s="3">
        <v>243.6</v>
      </c>
      <c r="G13" s="3"/>
      <c r="H13" s="3">
        <v>243.6</v>
      </c>
      <c r="I13" s="3"/>
      <c r="J13" s="3">
        <v>243.6</v>
      </c>
      <c r="K13" s="3"/>
      <c r="L13" s="54">
        <f>AVERAGE(F13,H13,J13)</f>
        <v>243.6</v>
      </c>
      <c r="M13" s="3"/>
      <c r="N13" s="38">
        <f>F13</f>
        <v>243.6</v>
      </c>
      <c r="P13" s="38">
        <f>H13</f>
        <v>243.6</v>
      </c>
      <c r="R13" s="38">
        <f>J13</f>
        <v>243.6</v>
      </c>
      <c r="T13" s="38">
        <f>L13</f>
        <v>243.6</v>
      </c>
    </row>
    <row r="15" spans="1:20" s="38" customFormat="1" ht="12.75">
      <c r="A15" s="38" t="s">
        <v>178</v>
      </c>
      <c r="B15" s="56" t="s">
        <v>50</v>
      </c>
      <c r="C15" s="56"/>
      <c r="D15" s="43"/>
      <c r="F15" s="39" t="s">
        <v>61</v>
      </c>
      <c r="G15" s="39"/>
      <c r="H15" s="39" t="s">
        <v>62</v>
      </c>
      <c r="I15" s="39"/>
      <c r="J15" s="39" t="s">
        <v>63</v>
      </c>
      <c r="K15" s="39"/>
      <c r="L15" s="39" t="s">
        <v>64</v>
      </c>
      <c r="M15" s="57"/>
      <c r="N15" s="39" t="s">
        <v>61</v>
      </c>
      <c r="O15" s="39"/>
      <c r="P15" s="39" t="s">
        <v>62</v>
      </c>
      <c r="Q15" s="39"/>
      <c r="R15" s="39" t="s">
        <v>63</v>
      </c>
      <c r="S15" s="39"/>
      <c r="T15" s="39" t="s">
        <v>64</v>
      </c>
    </row>
    <row r="16" spans="2:7" s="38" customFormat="1" ht="12.75">
      <c r="B16" s="43"/>
      <c r="C16" s="43"/>
      <c r="D16" s="43"/>
      <c r="F16" s="60"/>
      <c r="G16" s="60"/>
    </row>
    <row r="17" spans="2:20" s="58" customFormat="1" ht="25.5">
      <c r="B17" s="58" t="s">
        <v>179</v>
      </c>
      <c r="E17" s="6"/>
      <c r="F17" s="6" t="s">
        <v>193</v>
      </c>
      <c r="G17" s="6"/>
      <c r="H17" s="6" t="s">
        <v>193</v>
      </c>
      <c r="I17" s="6"/>
      <c r="J17" s="6" t="s">
        <v>193</v>
      </c>
      <c r="K17" s="6"/>
      <c r="L17" s="6" t="s">
        <v>193</v>
      </c>
      <c r="M17" s="6"/>
      <c r="N17" s="58" t="s">
        <v>134</v>
      </c>
      <c r="P17" s="58" t="s">
        <v>134</v>
      </c>
      <c r="R17" s="58" t="s">
        <v>134</v>
      </c>
      <c r="T17" s="58" t="s">
        <v>134</v>
      </c>
    </row>
    <row r="18" spans="2:20" s="58" customFormat="1" ht="12.75">
      <c r="B18" s="58" t="s">
        <v>180</v>
      </c>
      <c r="E18" s="6"/>
      <c r="F18" s="6" t="s">
        <v>191</v>
      </c>
      <c r="G18" s="6"/>
      <c r="H18" s="6" t="s">
        <v>191</v>
      </c>
      <c r="I18" s="6"/>
      <c r="J18" s="6" t="s">
        <v>191</v>
      </c>
      <c r="K18" s="6"/>
      <c r="L18" s="6" t="s">
        <v>191</v>
      </c>
      <c r="M18" s="6"/>
      <c r="N18" s="58" t="s">
        <v>134</v>
      </c>
      <c r="P18" s="58" t="s">
        <v>134</v>
      </c>
      <c r="R18" s="58" t="s">
        <v>134</v>
      </c>
      <c r="T18" s="58" t="s">
        <v>134</v>
      </c>
    </row>
    <row r="19" spans="2:20" s="38" customFormat="1" ht="12.75">
      <c r="B19" s="43" t="s">
        <v>181</v>
      </c>
      <c r="C19" s="43"/>
      <c r="D19" s="43" t="s">
        <v>71</v>
      </c>
      <c r="E19" s="3"/>
      <c r="F19" s="3">
        <v>156.5</v>
      </c>
      <c r="G19" s="3"/>
      <c r="H19" s="3">
        <v>156.5</v>
      </c>
      <c r="I19" s="3"/>
      <c r="J19" s="3">
        <v>156.5</v>
      </c>
      <c r="K19" s="3"/>
      <c r="L19" s="54">
        <f>AVERAGE(F19,H19,J19)</f>
        <v>156.5</v>
      </c>
      <c r="M19" s="3"/>
      <c r="N19" s="38">
        <f>F19</f>
        <v>156.5</v>
      </c>
      <c r="P19" s="38">
        <f>H19</f>
        <v>156.5</v>
      </c>
      <c r="R19" s="38">
        <f>J19</f>
        <v>156.5</v>
      </c>
      <c r="T19" s="38">
        <f>L19</f>
        <v>156.5</v>
      </c>
    </row>
    <row r="20" spans="2:18" s="38" customFormat="1" ht="12.75">
      <c r="B20" s="43" t="s">
        <v>183</v>
      </c>
      <c r="C20" s="43"/>
      <c r="D20" s="43" t="s">
        <v>71</v>
      </c>
      <c r="E20" s="3"/>
      <c r="F20" s="3"/>
      <c r="G20" s="3"/>
      <c r="H20" s="3"/>
      <c r="I20" s="3"/>
      <c r="J20" s="3"/>
      <c r="K20" s="3"/>
      <c r="L20" s="54"/>
      <c r="M20" s="3"/>
      <c r="N20" s="38">
        <v>59.49</v>
      </c>
      <c r="P20" s="38">
        <v>59.49</v>
      </c>
      <c r="R20" s="38">
        <v>59.49</v>
      </c>
    </row>
    <row r="21" spans="2:18" s="38" customFormat="1" ht="12.75">
      <c r="B21" s="43" t="s">
        <v>77</v>
      </c>
      <c r="C21" s="43"/>
      <c r="D21" s="43" t="s">
        <v>71</v>
      </c>
      <c r="E21" s="3"/>
      <c r="F21" s="3"/>
      <c r="G21" s="3"/>
      <c r="H21" s="3"/>
      <c r="I21" s="3"/>
      <c r="J21" s="3"/>
      <c r="K21" s="3"/>
      <c r="L21" s="54"/>
      <c r="M21" s="3"/>
      <c r="N21" s="38">
        <v>6.38</v>
      </c>
      <c r="P21" s="38">
        <v>6.38</v>
      </c>
      <c r="R21" s="38">
        <v>6.38</v>
      </c>
    </row>
    <row r="22" spans="2:18" s="38" customFormat="1" ht="12.75">
      <c r="B22" s="43" t="s">
        <v>70</v>
      </c>
      <c r="C22" s="43"/>
      <c r="D22" s="43" t="s">
        <v>71</v>
      </c>
      <c r="E22" s="3"/>
      <c r="F22" s="3"/>
      <c r="G22" s="3"/>
      <c r="H22" s="3"/>
      <c r="I22" s="3"/>
      <c r="J22" s="3"/>
      <c r="K22" s="3"/>
      <c r="L22" s="54"/>
      <c r="M22" s="3"/>
      <c r="N22" s="38">
        <v>3.98</v>
      </c>
      <c r="P22" s="38">
        <v>3.98</v>
      </c>
      <c r="R22" s="38">
        <v>3.98</v>
      </c>
    </row>
    <row r="23" spans="2:18" s="38" customFormat="1" ht="12.75">
      <c r="B23" s="43" t="s">
        <v>73</v>
      </c>
      <c r="C23" s="43"/>
      <c r="D23" s="43" t="s">
        <v>71</v>
      </c>
      <c r="E23" s="3"/>
      <c r="F23" s="3"/>
      <c r="G23" s="3"/>
      <c r="H23" s="3"/>
      <c r="I23" s="3"/>
      <c r="J23" s="3"/>
      <c r="K23" s="3"/>
      <c r="L23" s="54"/>
      <c r="M23" s="3"/>
      <c r="N23" s="38">
        <v>10.21</v>
      </c>
      <c r="P23" s="38">
        <v>10.21</v>
      </c>
      <c r="R23" s="38">
        <v>10.21</v>
      </c>
    </row>
    <row r="24" spans="2:18" s="38" customFormat="1" ht="12.75">
      <c r="B24" s="43" t="s">
        <v>76</v>
      </c>
      <c r="C24" s="43"/>
      <c r="D24" s="43" t="s">
        <v>71</v>
      </c>
      <c r="E24" s="3"/>
      <c r="F24" s="3"/>
      <c r="G24" s="3"/>
      <c r="H24" s="3"/>
      <c r="I24" s="3"/>
      <c r="J24" s="3"/>
      <c r="K24" s="3"/>
      <c r="L24" s="54"/>
      <c r="M24" s="3"/>
      <c r="N24" s="38">
        <v>0.0054</v>
      </c>
      <c r="P24" s="38">
        <v>0.0054</v>
      </c>
      <c r="R24" s="38">
        <v>0.0054</v>
      </c>
    </row>
    <row r="25" spans="2:13" s="38" customFormat="1" ht="12.75">
      <c r="B25" s="43"/>
      <c r="C25" s="43"/>
      <c r="D25" s="43"/>
      <c r="F25" s="3"/>
      <c r="G25" s="3"/>
      <c r="H25" s="3"/>
      <c r="I25" s="3"/>
      <c r="J25" s="3"/>
      <c r="K25" s="3"/>
      <c r="L25" s="3"/>
      <c r="M25" s="3"/>
    </row>
    <row r="26" spans="2:18" s="38" customFormat="1" ht="12.75">
      <c r="B26" s="43" t="s">
        <v>184</v>
      </c>
      <c r="C26" s="43"/>
      <c r="D26" s="43" t="s">
        <v>82</v>
      </c>
      <c r="E26" s="39"/>
      <c r="F26" s="3"/>
      <c r="G26" s="3"/>
      <c r="H26" s="3"/>
      <c r="I26" s="3"/>
      <c r="J26" s="3"/>
      <c r="K26" s="3"/>
      <c r="L26" s="3"/>
      <c r="M26" s="3"/>
      <c r="N26" s="3">
        <f>emiss!G54</f>
        <v>3805</v>
      </c>
      <c r="O26" s="3"/>
      <c r="P26" s="3">
        <f>emiss!I54</f>
        <v>3688.3333333333335</v>
      </c>
      <c r="Q26" s="3"/>
      <c r="R26" s="3">
        <f>emiss!K54</f>
        <v>3655</v>
      </c>
    </row>
    <row r="27" spans="2:18" s="38" customFormat="1" ht="12.75">
      <c r="B27" s="43" t="s">
        <v>185</v>
      </c>
      <c r="C27" s="43"/>
      <c r="D27" s="43" t="s">
        <v>84</v>
      </c>
      <c r="E27" s="39"/>
      <c r="F27" s="3"/>
      <c r="G27" s="3"/>
      <c r="H27" s="3"/>
      <c r="I27" s="3"/>
      <c r="J27" s="3"/>
      <c r="K27" s="3"/>
      <c r="L27" s="3"/>
      <c r="M27" s="3"/>
      <c r="N27" s="3">
        <f>emiss!G55</f>
        <v>14.6</v>
      </c>
      <c r="O27" s="3"/>
      <c r="P27" s="3">
        <f>emiss!I55</f>
        <v>13.8</v>
      </c>
      <c r="Q27" s="3"/>
      <c r="R27" s="3">
        <f>emiss!K55</f>
        <v>15</v>
      </c>
    </row>
    <row r="28" spans="2:13" s="38" customFormat="1" ht="12.75">
      <c r="B28" s="43"/>
      <c r="C28" s="43"/>
      <c r="D28" s="43"/>
      <c r="E28" s="39"/>
      <c r="F28" s="3"/>
      <c r="G28" s="3"/>
      <c r="H28" s="3"/>
      <c r="I28" s="3"/>
      <c r="J28" s="3"/>
      <c r="K28" s="3"/>
      <c r="L28" s="3"/>
      <c r="M28" s="3"/>
    </row>
    <row r="29" spans="2:13" s="38" customFormat="1" ht="12.75">
      <c r="B29" s="43" t="s">
        <v>186</v>
      </c>
      <c r="C29" s="43"/>
      <c r="D29" s="43" t="s">
        <v>187</v>
      </c>
      <c r="E29" s="39"/>
      <c r="F29" s="54"/>
      <c r="G29" s="3"/>
      <c r="H29" s="54"/>
      <c r="I29" s="3"/>
      <c r="J29" s="54"/>
      <c r="K29" s="3"/>
      <c r="L29" s="54"/>
      <c r="M29" s="3"/>
    </row>
    <row r="30" spans="2:13" s="38" customFormat="1" ht="12.75">
      <c r="B30" s="43" t="s">
        <v>188</v>
      </c>
      <c r="C30" s="43"/>
      <c r="D30" s="43" t="s">
        <v>187</v>
      </c>
      <c r="E30" s="39"/>
      <c r="F30" s="3"/>
      <c r="G30" s="3"/>
      <c r="H30" s="3"/>
      <c r="I30" s="3"/>
      <c r="J30" s="3"/>
      <c r="K30" s="3"/>
      <c r="L30" s="3"/>
      <c r="M30" s="3"/>
    </row>
    <row r="31" spans="2:13" s="38" customFormat="1" ht="12.75">
      <c r="B31" s="43"/>
      <c r="C31" s="43"/>
      <c r="D31" s="43"/>
      <c r="E31" s="39"/>
      <c r="F31" s="3"/>
      <c r="G31" s="3"/>
      <c r="H31" s="3"/>
      <c r="I31" s="3"/>
      <c r="J31" s="3"/>
      <c r="K31" s="3"/>
      <c r="L31" s="3"/>
      <c r="M31" s="3"/>
    </row>
    <row r="32" spans="2:13" s="38" customFormat="1" ht="12.75">
      <c r="B32" s="59" t="s">
        <v>189</v>
      </c>
      <c r="C32" s="43"/>
      <c r="D32" s="43"/>
      <c r="F32" s="3"/>
      <c r="G32" s="3"/>
      <c r="H32" s="3"/>
      <c r="I32" s="3"/>
      <c r="J32" s="3"/>
      <c r="K32" s="3"/>
      <c r="L32" s="3"/>
      <c r="M32" s="3"/>
    </row>
    <row r="33" spans="2:20" s="38" customFormat="1" ht="12.75">
      <c r="B33" s="43" t="s">
        <v>183</v>
      </c>
      <c r="C33" s="43"/>
      <c r="D33" s="43" t="s">
        <v>194</v>
      </c>
      <c r="E33" s="38" t="s">
        <v>68</v>
      </c>
      <c r="F33" s="3"/>
      <c r="G33" s="3"/>
      <c r="H33" s="3"/>
      <c r="I33" s="3"/>
      <c r="J33" s="3"/>
      <c r="K33" s="3"/>
      <c r="L33" s="3"/>
      <c r="M33" s="3"/>
      <c r="N33" s="61">
        <f>N20*454*1000/0.0283/60*14/(21-N27)/N26</f>
        <v>9144.406769036463</v>
      </c>
      <c r="P33" s="61">
        <f>P20*454*1000/0.0283/60*14/(21-P27)/P26</f>
        <v>8385.471970160264</v>
      </c>
      <c r="R33" s="61">
        <f>R20*454*1000/0.0283/60*14/(21-R27)/R26</f>
        <v>10154.336235274783</v>
      </c>
      <c r="T33" s="61">
        <f>AVERAGE(N33,P33,R33)</f>
        <v>9228.07165815717</v>
      </c>
    </row>
    <row r="34" spans="2:20" s="38" customFormat="1" ht="12.75">
      <c r="B34" s="43" t="s">
        <v>77</v>
      </c>
      <c r="C34" s="43"/>
      <c r="D34" s="43" t="s">
        <v>88</v>
      </c>
      <c r="E34" s="38" t="s">
        <v>68</v>
      </c>
      <c r="F34" s="3"/>
      <c r="G34" s="3"/>
      <c r="H34" s="3"/>
      <c r="I34" s="3"/>
      <c r="J34" s="3"/>
      <c r="K34" s="3"/>
      <c r="L34" s="3"/>
      <c r="M34" s="3"/>
      <c r="N34" s="61">
        <f>N21*454*1000000/0.0283/60*14/(21-N$27)/N$26</f>
        <v>980691.127692934</v>
      </c>
      <c r="P34" s="61">
        <f>P21*454*1000000/0.0283/60*14/(21-P$27)/P$26</f>
        <v>899299.2296120776</v>
      </c>
      <c r="R34" s="61">
        <f>R21*454*1000000/0.0283/60*14/(21-R$27)/R$26</f>
        <v>1089000.9275685514</v>
      </c>
      <c r="T34" s="61">
        <f>AVERAGE(N34,P34,R34)</f>
        <v>989663.761624521</v>
      </c>
    </row>
    <row r="35" spans="2:20" ht="12.75">
      <c r="B35" s="43" t="s">
        <v>70</v>
      </c>
      <c r="D35" s="43" t="s">
        <v>88</v>
      </c>
      <c r="E35" s="38" t="s">
        <v>68</v>
      </c>
      <c r="N35" s="61">
        <f aca="true" t="shared" si="0" ref="N35:P37">N22*454*1000000/0.0283/60*14/(21-N$27)/N$26</f>
        <v>611779.1047363444</v>
      </c>
      <c r="P35" s="61">
        <f t="shared" si="0"/>
        <v>561004.848566782</v>
      </c>
      <c r="R35" s="61">
        <f>R22*454*1000000/0.0283/60*14/(21-R$27)/R$26</f>
        <v>679345.4062261495</v>
      </c>
      <c r="T35" s="61">
        <f>AVERAGE(N35,P35,R35)</f>
        <v>617376.4531764253</v>
      </c>
    </row>
    <row r="36" spans="2:20" ht="12.75">
      <c r="B36" s="43" t="s">
        <v>73</v>
      </c>
      <c r="D36" s="43" t="s">
        <v>88</v>
      </c>
      <c r="E36" s="38" t="s">
        <v>68</v>
      </c>
      <c r="N36" s="61">
        <f t="shared" si="0"/>
        <v>1569413.2309944918</v>
      </c>
      <c r="P36" s="61">
        <f t="shared" si="0"/>
        <v>1439160.6793635287</v>
      </c>
      <c r="R36" s="61">
        <f>R23*454*1000000/0.0283/60*14/(21-R$27)/R$26</f>
        <v>1742742.863710801</v>
      </c>
      <c r="T36" s="61">
        <f>AVERAGE(N36,P36,R36)</f>
        <v>1583772.2580229405</v>
      </c>
    </row>
    <row r="37" spans="2:20" ht="12.75">
      <c r="B37" s="43" t="s">
        <v>76</v>
      </c>
      <c r="D37" s="43" t="s">
        <v>88</v>
      </c>
      <c r="E37" s="38" t="s">
        <v>68</v>
      </c>
      <c r="N37" s="61">
        <f t="shared" si="0"/>
        <v>830.0520516523266</v>
      </c>
      <c r="P37" s="61">
        <f t="shared" si="0"/>
        <v>761.1623573519151</v>
      </c>
      <c r="R37" s="61">
        <f>R24*454*1000000/0.0283/60*14/(21-R$27)/R$26</f>
        <v>921.7249230204039</v>
      </c>
      <c r="T37" s="61">
        <f>AVERAGE(N37,P37,R37)</f>
        <v>837.6464440082151</v>
      </c>
    </row>
    <row r="39" spans="1:20" s="38" customFormat="1" ht="12.75">
      <c r="A39" s="38" t="s">
        <v>178</v>
      </c>
      <c r="B39" s="56" t="s">
        <v>51</v>
      </c>
      <c r="C39" s="56"/>
      <c r="D39" s="43"/>
      <c r="F39" s="39" t="s">
        <v>61</v>
      </c>
      <c r="G39" s="39"/>
      <c r="H39" s="39" t="s">
        <v>62</v>
      </c>
      <c r="I39" s="39"/>
      <c r="J39" s="39" t="s">
        <v>63</v>
      </c>
      <c r="K39" s="39"/>
      <c r="L39" s="39" t="s">
        <v>64</v>
      </c>
      <c r="M39" s="57"/>
      <c r="N39" s="39" t="s">
        <v>61</v>
      </c>
      <c r="O39" s="39"/>
      <c r="P39" s="39" t="s">
        <v>62</v>
      </c>
      <c r="Q39" s="39"/>
      <c r="R39" s="39" t="s">
        <v>63</v>
      </c>
      <c r="S39" s="39"/>
      <c r="T39" s="39" t="s">
        <v>64</v>
      </c>
    </row>
    <row r="40" spans="2:7" s="38" customFormat="1" ht="12.75">
      <c r="B40" s="43"/>
      <c r="C40" s="43"/>
      <c r="D40" s="43"/>
      <c r="F40" s="60"/>
      <c r="G40" s="60"/>
    </row>
    <row r="41" spans="2:20" s="58" customFormat="1" ht="12.75">
      <c r="B41" s="58" t="s">
        <v>179</v>
      </c>
      <c r="E41" s="6"/>
      <c r="F41" s="3" t="s">
        <v>195</v>
      </c>
      <c r="G41" s="3"/>
      <c r="H41" s="3" t="s">
        <v>195</v>
      </c>
      <c r="I41" s="3"/>
      <c r="J41" s="3" t="s">
        <v>195</v>
      </c>
      <c r="K41" s="3"/>
      <c r="L41" s="3" t="s">
        <v>195</v>
      </c>
      <c r="M41" s="6"/>
      <c r="N41" s="58" t="s">
        <v>134</v>
      </c>
      <c r="P41" s="58" t="s">
        <v>134</v>
      </c>
      <c r="R41" s="58" t="s">
        <v>134</v>
      </c>
      <c r="T41" s="58" t="s">
        <v>134</v>
      </c>
    </row>
    <row r="42" spans="2:20" s="58" customFormat="1" ht="12.75">
      <c r="B42" s="58" t="s">
        <v>180</v>
      </c>
      <c r="E42" s="6"/>
      <c r="F42" s="6" t="s">
        <v>191</v>
      </c>
      <c r="G42" s="6"/>
      <c r="H42" s="6" t="s">
        <v>191</v>
      </c>
      <c r="I42" s="6"/>
      <c r="J42" s="6" t="s">
        <v>191</v>
      </c>
      <c r="K42" s="6"/>
      <c r="L42" s="6" t="s">
        <v>191</v>
      </c>
      <c r="M42" s="6"/>
      <c r="N42" s="58" t="s">
        <v>134</v>
      </c>
      <c r="P42" s="58" t="s">
        <v>134</v>
      </c>
      <c r="R42" s="58" t="s">
        <v>134</v>
      </c>
      <c r="T42" s="58" t="s">
        <v>134</v>
      </c>
    </row>
    <row r="43" spans="2:20" s="38" customFormat="1" ht="12.75">
      <c r="B43" s="43" t="s">
        <v>181</v>
      </c>
      <c r="C43" s="43"/>
      <c r="D43" s="43" t="s">
        <v>71</v>
      </c>
      <c r="E43" s="3"/>
      <c r="F43" s="3">
        <v>237.56</v>
      </c>
      <c r="G43" s="3"/>
      <c r="H43" s="3">
        <v>237.56</v>
      </c>
      <c r="I43" s="3"/>
      <c r="J43" s="3">
        <v>237.56</v>
      </c>
      <c r="K43" s="3"/>
      <c r="L43" s="54">
        <f>AVERAGE(F43,H43,J43)</f>
        <v>237.56000000000003</v>
      </c>
      <c r="M43" s="3"/>
      <c r="N43" s="38">
        <f>F43</f>
        <v>237.56</v>
      </c>
      <c r="P43" s="38">
        <f>H43</f>
        <v>237.56</v>
      </c>
      <c r="R43" s="38">
        <f>J43</f>
        <v>237.56</v>
      </c>
      <c r="T43" s="38">
        <f>L43</f>
        <v>237.56000000000003</v>
      </c>
    </row>
    <row r="44" spans="2:18" s="38" customFormat="1" ht="12.75">
      <c r="B44" s="43" t="s">
        <v>182</v>
      </c>
      <c r="C44" s="43"/>
      <c r="D44" s="43" t="s">
        <v>71</v>
      </c>
      <c r="E44" s="3"/>
      <c r="F44" s="3"/>
      <c r="G44" s="3"/>
      <c r="H44" s="3"/>
      <c r="I44" s="3"/>
      <c r="J44" s="3"/>
      <c r="K44" s="3"/>
      <c r="L44" s="54"/>
      <c r="M44" s="3"/>
      <c r="N44" s="3">
        <v>3.54</v>
      </c>
      <c r="O44" s="3"/>
      <c r="P44" s="3">
        <v>3.54</v>
      </c>
      <c r="Q44" s="3"/>
      <c r="R44" s="3">
        <v>3.54</v>
      </c>
    </row>
    <row r="45" spans="2:18" s="38" customFormat="1" ht="12.75">
      <c r="B45" s="43" t="s">
        <v>183</v>
      </c>
      <c r="D45" s="43" t="s">
        <v>71</v>
      </c>
      <c r="E45" s="3"/>
      <c r="F45" s="3"/>
      <c r="G45" s="3"/>
      <c r="H45" s="3"/>
      <c r="I45" s="3"/>
      <c r="J45" s="3"/>
      <c r="K45" s="3"/>
      <c r="L45" s="54"/>
      <c r="M45" s="3"/>
      <c r="N45" s="3">
        <v>46.68</v>
      </c>
      <c r="O45" s="3"/>
      <c r="P45" s="3"/>
      <c r="Q45" s="3"/>
      <c r="R45" s="3">
        <v>46.68</v>
      </c>
    </row>
    <row r="46" spans="2:13" s="38" customFormat="1" ht="12.75">
      <c r="B46" s="43"/>
      <c r="C46" s="43"/>
      <c r="D46" s="43"/>
      <c r="F46" s="3"/>
      <c r="G46" s="3"/>
      <c r="H46" s="3"/>
      <c r="I46" s="3"/>
      <c r="J46" s="3"/>
      <c r="K46" s="3"/>
      <c r="L46" s="3"/>
      <c r="M46" s="3"/>
    </row>
    <row r="47" spans="2:18" s="38" customFormat="1" ht="12.75">
      <c r="B47" s="43" t="s">
        <v>184</v>
      </c>
      <c r="C47" s="43"/>
      <c r="D47" s="43" t="s">
        <v>82</v>
      </c>
      <c r="E47" s="39"/>
      <c r="F47" s="3"/>
      <c r="G47" s="3"/>
      <c r="H47" s="3"/>
      <c r="I47" s="3"/>
      <c r="J47" s="3"/>
      <c r="K47" s="3"/>
      <c r="L47" s="3"/>
      <c r="M47" s="3"/>
      <c r="N47" s="62">
        <f>emiss!G105</f>
        <v>3733.3333333333335</v>
      </c>
      <c r="O47" s="62"/>
      <c r="P47" s="62">
        <f>emiss!I105</f>
        <v>3728.3333333333335</v>
      </c>
      <c r="Q47" s="3"/>
      <c r="R47" s="3">
        <f>emiss!K105</f>
        <v>3640</v>
      </c>
    </row>
    <row r="48" spans="2:18" s="38" customFormat="1" ht="12.75">
      <c r="B48" s="43" t="s">
        <v>185</v>
      </c>
      <c r="C48" s="43"/>
      <c r="D48" s="43" t="s">
        <v>84</v>
      </c>
      <c r="E48" s="39"/>
      <c r="F48" s="3"/>
      <c r="G48" s="3"/>
      <c r="H48" s="3"/>
      <c r="I48" s="3"/>
      <c r="J48" s="3"/>
      <c r="K48" s="3"/>
      <c r="L48" s="3"/>
      <c r="M48" s="3"/>
      <c r="N48" s="3">
        <f>emiss!G106</f>
        <v>14.8</v>
      </c>
      <c r="O48" s="3"/>
      <c r="P48" s="3">
        <f>emiss!I106</f>
        <v>15.2</v>
      </c>
      <c r="Q48" s="3"/>
      <c r="R48" s="3">
        <f>emiss!K106</f>
        <v>15</v>
      </c>
    </row>
    <row r="49" spans="2:13" s="38" customFormat="1" ht="12.75">
      <c r="B49" s="43"/>
      <c r="C49" s="43"/>
      <c r="D49" s="43"/>
      <c r="E49" s="39"/>
      <c r="F49" s="3"/>
      <c r="G49" s="3"/>
      <c r="H49" s="3"/>
      <c r="I49" s="3"/>
      <c r="J49" s="3"/>
      <c r="K49" s="3"/>
      <c r="L49" s="3"/>
      <c r="M49" s="3"/>
    </row>
    <row r="50" spans="2:13" s="38" customFormat="1" ht="12.75">
      <c r="B50" s="43" t="s">
        <v>186</v>
      </c>
      <c r="C50" s="43"/>
      <c r="D50" s="43" t="s">
        <v>187</v>
      </c>
      <c r="E50" s="39"/>
      <c r="F50" s="54"/>
      <c r="G50" s="3"/>
      <c r="H50" s="54"/>
      <c r="I50" s="3"/>
      <c r="J50" s="54"/>
      <c r="K50" s="3"/>
      <c r="L50" s="54"/>
      <c r="M50" s="3"/>
    </row>
    <row r="51" spans="2:13" s="38" customFormat="1" ht="12.75">
      <c r="B51" s="43" t="s">
        <v>188</v>
      </c>
      <c r="C51" s="43"/>
      <c r="D51" s="43" t="s">
        <v>187</v>
      </c>
      <c r="E51" s="39"/>
      <c r="F51" s="3"/>
      <c r="G51" s="3"/>
      <c r="H51" s="3"/>
      <c r="I51" s="3"/>
      <c r="J51" s="3"/>
      <c r="K51" s="3"/>
      <c r="L51" s="3"/>
      <c r="M51" s="3"/>
    </row>
    <row r="52" spans="2:13" s="38" customFormat="1" ht="12.75">
      <c r="B52" s="43"/>
      <c r="C52" s="43"/>
      <c r="D52" s="43"/>
      <c r="E52" s="39"/>
      <c r="F52" s="3"/>
      <c r="G52" s="3"/>
      <c r="H52" s="3"/>
      <c r="I52" s="3"/>
      <c r="J52" s="3"/>
      <c r="K52" s="3"/>
      <c r="L52" s="3"/>
      <c r="M52" s="3"/>
    </row>
    <row r="53" spans="2:13" s="38" customFormat="1" ht="12.75">
      <c r="B53" s="59" t="s">
        <v>189</v>
      </c>
      <c r="C53" s="43"/>
      <c r="D53" s="43"/>
      <c r="F53" s="3"/>
      <c r="G53" s="3"/>
      <c r="H53" s="3"/>
      <c r="I53" s="3"/>
      <c r="J53" s="3"/>
      <c r="K53" s="3"/>
      <c r="L53" s="3"/>
      <c r="M53" s="3"/>
    </row>
    <row r="54" spans="2:20" s="38" customFormat="1" ht="12.75">
      <c r="B54" s="43" t="s">
        <v>182</v>
      </c>
      <c r="C54" s="43"/>
      <c r="D54" s="43" t="s">
        <v>88</v>
      </c>
      <c r="E54" s="38" t="s">
        <v>68</v>
      </c>
      <c r="F54" s="3"/>
      <c r="G54" s="3"/>
      <c r="H54" s="3"/>
      <c r="I54" s="3"/>
      <c r="J54" s="3"/>
      <c r="K54" s="3"/>
      <c r="L54" s="3"/>
      <c r="M54" s="3"/>
      <c r="N54" s="61">
        <f>N44*454*1000000/0.0283/60*14/(21-N48)/N47</f>
        <v>572480.9073293059</v>
      </c>
      <c r="P54" s="61">
        <f>P44*454*1000000/0.0283/60*14/(21-P48)/P47</f>
        <v>612783.0407865674</v>
      </c>
      <c r="R54" s="61">
        <f>R44*454*1000000/0.0283/60*14/(21-R48)/R47</f>
        <v>606731.9017849053</v>
      </c>
      <c r="T54" s="61">
        <f>AVERAGE(N54,P54,R54)</f>
        <v>597331.9499669261</v>
      </c>
    </row>
    <row r="55" spans="2:20" ht="12.75">
      <c r="B55" s="15" t="s">
        <v>183</v>
      </c>
      <c r="D55" s="15" t="s">
        <v>194</v>
      </c>
      <c r="E55" s="38" t="s">
        <v>68</v>
      </c>
      <c r="N55" s="61">
        <f>N45*454*1000/0.0283/60*14/(21-N48)/N47</f>
        <v>7548.985523766101</v>
      </c>
      <c r="R55" s="61">
        <f>R45*454*1000/0.0283/60*14/(21-R48)/R47</f>
        <v>8000.634230316209</v>
      </c>
      <c r="T55" s="62">
        <f>AVERAGE(N55,R55)</f>
        <v>7774.809877041155</v>
      </c>
    </row>
    <row r="57" spans="1:20" s="38" customFormat="1" ht="12.75">
      <c r="A57" s="38" t="s">
        <v>178</v>
      </c>
      <c r="B57" s="56" t="s">
        <v>52</v>
      </c>
      <c r="C57" s="56"/>
      <c r="D57" s="43"/>
      <c r="F57" s="39" t="s">
        <v>61</v>
      </c>
      <c r="G57" s="39"/>
      <c r="H57" s="39" t="s">
        <v>62</v>
      </c>
      <c r="I57" s="39"/>
      <c r="J57" s="39" t="s">
        <v>63</v>
      </c>
      <c r="K57" s="39"/>
      <c r="L57" s="39" t="s">
        <v>64</v>
      </c>
      <c r="M57" s="57"/>
      <c r="N57" s="39" t="s">
        <v>61</v>
      </c>
      <c r="O57" s="39"/>
      <c r="P57" s="39" t="s">
        <v>62</v>
      </c>
      <c r="Q57" s="39"/>
      <c r="R57" s="39" t="s">
        <v>63</v>
      </c>
      <c r="S57" s="39"/>
      <c r="T57" s="39" t="s">
        <v>64</v>
      </c>
    </row>
    <row r="58" spans="2:7" s="38" customFormat="1" ht="12.75">
      <c r="B58" s="43"/>
      <c r="C58" s="43"/>
      <c r="D58" s="43"/>
      <c r="F58" s="60"/>
      <c r="G58" s="60"/>
    </row>
    <row r="59" spans="2:20" s="58" customFormat="1" ht="12.75">
      <c r="B59" s="58" t="s">
        <v>179</v>
      </c>
      <c r="E59" s="6"/>
      <c r="F59" s="3" t="s">
        <v>195</v>
      </c>
      <c r="G59" s="3"/>
      <c r="H59" s="3" t="s">
        <v>195</v>
      </c>
      <c r="I59" s="3"/>
      <c r="J59" s="3" t="s">
        <v>195</v>
      </c>
      <c r="K59" s="3"/>
      <c r="L59" s="3" t="s">
        <v>195</v>
      </c>
      <c r="M59" s="6"/>
      <c r="N59" s="58" t="s">
        <v>134</v>
      </c>
      <c r="P59" s="58" t="s">
        <v>134</v>
      </c>
      <c r="R59" s="58" t="s">
        <v>134</v>
      </c>
      <c r="T59" s="58" t="s">
        <v>134</v>
      </c>
    </row>
    <row r="60" spans="2:20" s="58" customFormat="1" ht="12.75">
      <c r="B60" s="58" t="s">
        <v>180</v>
      </c>
      <c r="E60" s="6"/>
      <c r="F60" s="6" t="s">
        <v>191</v>
      </c>
      <c r="G60" s="6"/>
      <c r="H60" s="6" t="s">
        <v>191</v>
      </c>
      <c r="I60" s="6"/>
      <c r="J60" s="6" t="s">
        <v>191</v>
      </c>
      <c r="K60" s="6"/>
      <c r="L60" s="6" t="s">
        <v>191</v>
      </c>
      <c r="M60" s="6"/>
      <c r="N60" s="58" t="s">
        <v>134</v>
      </c>
      <c r="P60" s="58" t="s">
        <v>134</v>
      </c>
      <c r="R60" s="58" t="s">
        <v>134</v>
      </c>
      <c r="T60" s="58" t="s">
        <v>134</v>
      </c>
    </row>
    <row r="61" spans="2:20" s="38" customFormat="1" ht="12.75">
      <c r="B61" s="43" t="s">
        <v>181</v>
      </c>
      <c r="C61" s="43"/>
      <c r="D61" s="43" t="s">
        <v>71</v>
      </c>
      <c r="E61" s="3"/>
      <c r="F61" s="3">
        <v>237.56</v>
      </c>
      <c r="G61" s="3"/>
      <c r="H61" s="3">
        <v>237.56</v>
      </c>
      <c r="I61" s="3"/>
      <c r="J61" s="3">
        <v>237.56</v>
      </c>
      <c r="K61" s="3"/>
      <c r="L61" s="54">
        <f>AVERAGE(F61,H61,J61)</f>
        <v>237.56000000000003</v>
      </c>
      <c r="M61" s="3"/>
      <c r="N61" s="38">
        <f>F61</f>
        <v>237.56</v>
      </c>
      <c r="P61" s="38">
        <f>H61</f>
        <v>237.56</v>
      </c>
      <c r="R61" s="38">
        <f>J61</f>
        <v>237.56</v>
      </c>
      <c r="T61" s="38">
        <f>L61</f>
        <v>237.56000000000003</v>
      </c>
    </row>
    <row r="62" spans="2:18" s="38" customFormat="1" ht="12.75">
      <c r="B62" s="43" t="s">
        <v>182</v>
      </c>
      <c r="C62" s="43"/>
      <c r="D62" s="43" t="s">
        <v>71</v>
      </c>
      <c r="E62" s="3"/>
      <c r="F62" s="3"/>
      <c r="G62" s="3"/>
      <c r="H62" s="3"/>
      <c r="I62" s="3"/>
      <c r="J62" s="3"/>
      <c r="K62" s="3"/>
      <c r="L62" s="54"/>
      <c r="M62" s="3"/>
      <c r="N62" s="3">
        <v>3.54</v>
      </c>
      <c r="O62" s="3"/>
      <c r="P62" s="3">
        <v>3.54</v>
      </c>
      <c r="Q62" s="3"/>
      <c r="R62" s="3">
        <v>3.54</v>
      </c>
    </row>
    <row r="63" spans="2:18" s="38" customFormat="1" ht="12.75">
      <c r="B63" s="43" t="s">
        <v>183</v>
      </c>
      <c r="D63" s="43" t="s">
        <v>71</v>
      </c>
      <c r="E63" s="3"/>
      <c r="F63" s="3"/>
      <c r="G63" s="3"/>
      <c r="H63" s="3"/>
      <c r="I63" s="3"/>
      <c r="J63" s="3"/>
      <c r="K63" s="3"/>
      <c r="L63" s="54"/>
      <c r="M63" s="3"/>
      <c r="N63" s="3">
        <v>46.68</v>
      </c>
      <c r="O63" s="3"/>
      <c r="P63" s="3">
        <v>46.68</v>
      </c>
      <c r="Q63" s="3"/>
      <c r="R63" s="3"/>
    </row>
    <row r="64" spans="2:13" s="38" customFormat="1" ht="12.75">
      <c r="B64" s="43"/>
      <c r="C64" s="43"/>
      <c r="D64" s="43"/>
      <c r="F64" s="3"/>
      <c r="G64" s="3"/>
      <c r="H64" s="3"/>
      <c r="I64" s="3"/>
      <c r="J64" s="3"/>
      <c r="K64" s="3"/>
      <c r="L64" s="3"/>
      <c r="M64" s="3"/>
    </row>
    <row r="65" spans="2:18" s="38" customFormat="1" ht="12.75">
      <c r="B65" s="43" t="s">
        <v>184</v>
      </c>
      <c r="C65" s="43"/>
      <c r="D65" s="43" t="s">
        <v>82</v>
      </c>
      <c r="E65" s="39"/>
      <c r="F65" s="3"/>
      <c r="G65" s="3"/>
      <c r="H65" s="3"/>
      <c r="I65" s="3"/>
      <c r="J65" s="3"/>
      <c r="K65" s="3"/>
      <c r="L65" s="3"/>
      <c r="M65" s="3"/>
      <c r="N65" s="62">
        <f>emiss!G121</f>
        <v>3870</v>
      </c>
      <c r="O65" s="62"/>
      <c r="P65" s="62">
        <f>emiss!I121</f>
        <v>3708.3333333333335</v>
      </c>
      <c r="Q65" s="3"/>
      <c r="R65" s="62">
        <f>emiss!K121</f>
        <v>3715</v>
      </c>
    </row>
    <row r="66" spans="2:18" s="38" customFormat="1" ht="12.75">
      <c r="B66" s="43" t="s">
        <v>185</v>
      </c>
      <c r="C66" s="43"/>
      <c r="D66" s="43" t="s">
        <v>84</v>
      </c>
      <c r="E66" s="39"/>
      <c r="F66" s="3"/>
      <c r="G66" s="3"/>
      <c r="H66" s="3"/>
      <c r="I66" s="3"/>
      <c r="J66" s="3"/>
      <c r="K66" s="3"/>
      <c r="L66" s="3"/>
      <c r="M66" s="3"/>
      <c r="N66" s="3">
        <f>emiss!G122</f>
        <v>14.4</v>
      </c>
      <c r="O66" s="3"/>
      <c r="P66" s="3">
        <f>emiss!I122</f>
        <v>14.8</v>
      </c>
      <c r="Q66" s="3"/>
      <c r="R66" s="3">
        <f>emiss!K122</f>
        <v>15.4</v>
      </c>
    </row>
    <row r="67" spans="2:13" s="38" customFormat="1" ht="12.75">
      <c r="B67" s="43"/>
      <c r="C67" s="43"/>
      <c r="D67" s="43"/>
      <c r="E67" s="39"/>
      <c r="F67" s="3"/>
      <c r="G67" s="3"/>
      <c r="H67" s="3"/>
      <c r="I67" s="3"/>
      <c r="J67" s="3"/>
      <c r="K67" s="3"/>
      <c r="L67" s="3"/>
      <c r="M67" s="3"/>
    </row>
    <row r="68" spans="2:13" s="38" customFormat="1" ht="12.75">
      <c r="B68" s="43" t="s">
        <v>186</v>
      </c>
      <c r="C68" s="43"/>
      <c r="D68" s="43" t="s">
        <v>187</v>
      </c>
      <c r="E68" s="39"/>
      <c r="F68" s="54"/>
      <c r="G68" s="3"/>
      <c r="H68" s="54"/>
      <c r="I68" s="3"/>
      <c r="J68" s="54"/>
      <c r="K68" s="3"/>
      <c r="L68" s="54"/>
      <c r="M68" s="3"/>
    </row>
    <row r="69" spans="2:13" s="38" customFormat="1" ht="12.75">
      <c r="B69" s="43" t="s">
        <v>188</v>
      </c>
      <c r="C69" s="43"/>
      <c r="D69" s="43" t="s">
        <v>187</v>
      </c>
      <c r="E69" s="39"/>
      <c r="F69" s="3"/>
      <c r="G69" s="3"/>
      <c r="H69" s="3"/>
      <c r="I69" s="3"/>
      <c r="J69" s="3"/>
      <c r="K69" s="3"/>
      <c r="L69" s="3"/>
      <c r="M69" s="3"/>
    </row>
    <row r="70" spans="2:13" s="38" customFormat="1" ht="12.75">
      <c r="B70" s="43"/>
      <c r="C70" s="43"/>
      <c r="D70" s="43"/>
      <c r="E70" s="39"/>
      <c r="F70" s="3"/>
      <c r="G70" s="3"/>
      <c r="H70" s="3"/>
      <c r="I70" s="3"/>
      <c r="J70" s="3"/>
      <c r="K70" s="3"/>
      <c r="L70" s="3"/>
      <c r="M70" s="3"/>
    </row>
    <row r="71" spans="2:13" s="38" customFormat="1" ht="12.75">
      <c r="B71" s="59" t="s">
        <v>189</v>
      </c>
      <c r="C71" s="43"/>
      <c r="D71" s="43"/>
      <c r="F71" s="3"/>
      <c r="G71" s="3"/>
      <c r="H71" s="3"/>
      <c r="I71" s="3"/>
      <c r="J71" s="3"/>
      <c r="K71" s="3"/>
      <c r="L71" s="3"/>
      <c r="M71" s="3"/>
    </row>
    <row r="72" spans="2:20" s="38" customFormat="1" ht="12.75">
      <c r="B72" s="43" t="s">
        <v>182</v>
      </c>
      <c r="C72" s="43"/>
      <c r="D72" s="43" t="s">
        <v>88</v>
      </c>
      <c r="E72" s="38" t="s">
        <v>68</v>
      </c>
      <c r="F72" s="3"/>
      <c r="G72" s="3"/>
      <c r="H72" s="3"/>
      <c r="I72" s="3"/>
      <c r="J72" s="3"/>
      <c r="K72" s="3"/>
      <c r="L72" s="3"/>
      <c r="M72" s="3"/>
      <c r="N72" s="61">
        <f>N62*454*1000000/0.0283/60*14/(21-N66)/N65</f>
        <v>518793.54533640016</v>
      </c>
      <c r="P72" s="61">
        <f>P62*454*1000000/0.0283/60*14/(21-P66)/P65</f>
        <v>576340.3291764697</v>
      </c>
      <c r="R72" s="61">
        <f>R62*454*1000000/0.0283/60*14/(21-R66)/R65</f>
        <v>636946.0072573704</v>
      </c>
      <c r="T72" s="61">
        <f>AVERAGE(N72,P72,R72)</f>
        <v>577359.96059008</v>
      </c>
    </row>
    <row r="73" spans="2:20" ht="12.75">
      <c r="B73" s="15" t="s">
        <v>183</v>
      </c>
      <c r="D73" s="15" t="s">
        <v>194</v>
      </c>
      <c r="E73" s="38" t="s">
        <v>68</v>
      </c>
      <c r="N73" s="61">
        <f>N63*454*1000/0.0283/60*14/(21-N66)/N65</f>
        <v>6841.040309690158</v>
      </c>
      <c r="P73" s="61">
        <f>P63*454*1000/0.0283/60*14/(21-P66)/P65</f>
        <v>7599.877561004974</v>
      </c>
      <c r="R73" s="61"/>
      <c r="T73" s="62">
        <f>AVERAGE(N73,P73)</f>
        <v>7220.458935347566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6">
      <selection activeCell="J45" sqref="J45"/>
    </sheetView>
  </sheetViews>
  <sheetFormatPr defaultColWidth="9.140625" defaultRowHeight="12.75"/>
  <cols>
    <col min="1" max="1" width="0.9921875" style="38" customWidth="1"/>
    <col min="2" max="2" width="25.8515625" style="38" customWidth="1"/>
    <col min="3" max="3" width="9.140625" style="38" customWidth="1"/>
    <col min="4" max="4" width="4.00390625" style="39" customWidth="1"/>
    <col min="5" max="5" width="8.7109375" style="40" customWidth="1"/>
    <col min="6" max="6" width="9.8515625" style="41" customWidth="1"/>
    <col min="7" max="7" width="8.57421875" style="40" customWidth="1"/>
    <col min="8" max="8" width="9.8515625" style="41" customWidth="1"/>
    <col min="9" max="9" width="3.421875" style="42" customWidth="1"/>
    <col min="10" max="10" width="7.00390625" style="40" customWidth="1"/>
    <col min="11" max="11" width="8.28125" style="40" customWidth="1"/>
    <col min="12" max="12" width="9.140625" style="40" customWidth="1"/>
    <col min="13" max="13" width="8.28125" style="40" customWidth="1"/>
    <col min="14" max="14" width="3.57421875" style="42" customWidth="1"/>
    <col min="15" max="15" width="7.8515625" style="40" customWidth="1"/>
    <col min="16" max="18" width="8.7109375" style="40" customWidth="1"/>
    <col min="19" max="23" width="10.8515625" style="0" customWidth="1"/>
    <col min="24" max="16384" width="10.8515625" style="38" customWidth="1"/>
  </cols>
  <sheetData>
    <row r="1" ht="12.75">
      <c r="A1" s="37" t="s">
        <v>125</v>
      </c>
    </row>
    <row r="2" ht="12.75">
      <c r="A2" s="38" t="s">
        <v>197</v>
      </c>
    </row>
    <row r="3" spans="1:3" ht="12.75">
      <c r="A3" s="38" t="s">
        <v>126</v>
      </c>
      <c r="C3" s="43" t="s">
        <v>35</v>
      </c>
    </row>
    <row r="4" spans="1:18" ht="12.75">
      <c r="A4" s="38" t="s">
        <v>127</v>
      </c>
      <c r="C4" s="43" t="s">
        <v>51</v>
      </c>
      <c r="E4" s="44"/>
      <c r="F4" s="45"/>
      <c r="G4" s="44"/>
      <c r="H4" s="45"/>
      <c r="J4" s="44"/>
      <c r="K4" s="44"/>
      <c r="L4" s="44"/>
      <c r="M4" s="44"/>
      <c r="O4" s="44"/>
      <c r="P4" s="44"/>
      <c r="Q4" s="44"/>
      <c r="R4" s="44"/>
    </row>
    <row r="5" spans="1:3" ht="12.75">
      <c r="A5" s="38" t="s">
        <v>128</v>
      </c>
      <c r="C5" s="43" t="s">
        <v>171</v>
      </c>
    </row>
    <row r="6" spans="3:17" ht="12.75">
      <c r="C6" s="39"/>
      <c r="E6" s="42"/>
      <c r="G6" s="42"/>
      <c r="J6" s="42"/>
      <c r="L6" s="42"/>
      <c r="O6" s="42"/>
      <c r="Q6" s="42"/>
    </row>
    <row r="7" spans="3:18" ht="12.75">
      <c r="C7" s="39" t="s">
        <v>129</v>
      </c>
      <c r="E7" s="46" t="s">
        <v>130</v>
      </c>
      <c r="F7" s="46"/>
      <c r="G7" s="46"/>
      <c r="H7" s="46"/>
      <c r="I7" s="47"/>
      <c r="J7" s="46" t="s">
        <v>131</v>
      </c>
      <c r="K7" s="46"/>
      <c r="L7" s="46"/>
      <c r="M7" s="46"/>
      <c r="N7" s="47"/>
      <c r="O7" s="46" t="s">
        <v>132</v>
      </c>
      <c r="P7" s="46"/>
      <c r="Q7" s="46"/>
      <c r="R7" s="46"/>
    </row>
    <row r="8" spans="3:18" ht="12.75">
      <c r="C8" s="39" t="s">
        <v>133</v>
      </c>
      <c r="E8" s="42" t="s">
        <v>134</v>
      </c>
      <c r="F8" s="45" t="s">
        <v>135</v>
      </c>
      <c r="G8" s="42" t="s">
        <v>134</v>
      </c>
      <c r="H8" s="45" t="s">
        <v>135</v>
      </c>
      <c r="J8" s="42" t="s">
        <v>134</v>
      </c>
      <c r="K8" s="42" t="s">
        <v>136</v>
      </c>
      <c r="L8" s="42" t="s">
        <v>134</v>
      </c>
      <c r="M8" s="42" t="s">
        <v>136</v>
      </c>
      <c r="O8" s="42" t="s">
        <v>134</v>
      </c>
      <c r="P8" s="42" t="s">
        <v>136</v>
      </c>
      <c r="Q8" s="42" t="s">
        <v>134</v>
      </c>
      <c r="R8" s="42" t="s">
        <v>136</v>
      </c>
    </row>
    <row r="9" spans="3:18" ht="12.75">
      <c r="C9" s="39"/>
      <c r="E9" s="42" t="s">
        <v>196</v>
      </c>
      <c r="F9" s="45" t="s">
        <v>196</v>
      </c>
      <c r="G9" s="42" t="s">
        <v>137</v>
      </c>
      <c r="H9" s="45" t="s">
        <v>137</v>
      </c>
      <c r="J9" s="45" t="s">
        <v>196</v>
      </c>
      <c r="K9" s="45" t="s">
        <v>196</v>
      </c>
      <c r="L9" s="42" t="s">
        <v>137</v>
      </c>
      <c r="M9" s="45" t="s">
        <v>137</v>
      </c>
      <c r="O9" s="45" t="s">
        <v>196</v>
      </c>
      <c r="P9" s="45" t="s">
        <v>196</v>
      </c>
      <c r="Q9" s="42" t="s">
        <v>137</v>
      </c>
      <c r="R9" s="45" t="s">
        <v>137</v>
      </c>
    </row>
    <row r="10" spans="1:15" ht="13.5" customHeight="1">
      <c r="A10" s="38" t="s">
        <v>169</v>
      </c>
      <c r="O10" s="48"/>
    </row>
    <row r="11" spans="2:18" ht="12.75">
      <c r="B11" s="38" t="s">
        <v>138</v>
      </c>
      <c r="C11" s="39">
        <v>1</v>
      </c>
      <c r="D11"/>
      <c r="E11">
        <v>18.156</v>
      </c>
      <c r="F11" s="49">
        <f aca="true" t="shared" si="0" ref="F11:H35">IF(E11="","",E11*$C11)</f>
        <v>18.156</v>
      </c>
      <c r="G11" s="49">
        <f aca="true" t="shared" si="1" ref="G11:G35">IF(E11=0,"",IF(D11="nd",E11/2,E11))</f>
        <v>18.156</v>
      </c>
      <c r="H11" s="49">
        <f t="shared" si="0"/>
        <v>18.156</v>
      </c>
      <c r="I11"/>
      <c r="J11"/>
      <c r="K11" s="41">
        <f aca="true" t="shared" si="2" ref="K11:M35">IF(J11="","",J11*$C11)</f>
      </c>
      <c r="L11" s="49">
        <f>IF(J11=0,"",IF(I11="nd",J11/2,J11))</f>
      </c>
      <c r="M11" s="41">
        <f t="shared" si="2"/>
      </c>
      <c r="N11"/>
      <c r="O11"/>
      <c r="P11" s="41">
        <f aca="true" t="shared" si="3" ref="P11:R35">IF(O11="","",O11*$C11)</f>
      </c>
      <c r="Q11" s="49">
        <f>IF(O11=0,"",IF(N11="nd",O11/2,O11))</f>
      </c>
      <c r="R11" s="41">
        <f t="shared" si="3"/>
      </c>
    </row>
    <row r="12" spans="2:18" ht="12.75">
      <c r="B12" s="38" t="s">
        <v>139</v>
      </c>
      <c r="C12" s="39">
        <v>0</v>
      </c>
      <c r="D12"/>
      <c r="E12">
        <v>1273</v>
      </c>
      <c r="F12" s="49">
        <f t="shared" si="0"/>
        <v>0</v>
      </c>
      <c r="G12" s="49">
        <f t="shared" si="1"/>
        <v>1273</v>
      </c>
      <c r="H12" s="49">
        <f t="shared" si="0"/>
        <v>0</v>
      </c>
      <c r="I12"/>
      <c r="J12">
        <v>294</v>
      </c>
      <c r="K12" s="49">
        <f t="shared" si="2"/>
        <v>0</v>
      </c>
      <c r="L12" s="48">
        <f aca="true" t="shared" si="4" ref="L12:L35">IF(J12=0,"",IF(I12="nd",J12/2,J12))</f>
        <v>294</v>
      </c>
      <c r="M12" s="49">
        <f t="shared" si="2"/>
        <v>0</v>
      </c>
      <c r="N12"/>
      <c r="O12">
        <v>201</v>
      </c>
      <c r="P12" s="49">
        <f t="shared" si="3"/>
        <v>0</v>
      </c>
      <c r="Q12" s="48">
        <f aca="true" t="shared" si="5" ref="Q12:Q35">IF(O12=0,"",IF(N12="nd",O12/2,O12))</f>
        <v>201</v>
      </c>
      <c r="R12" s="49">
        <f t="shared" si="3"/>
        <v>0</v>
      </c>
    </row>
    <row r="13" spans="2:18" ht="12.75">
      <c r="B13" s="38" t="s">
        <v>140</v>
      </c>
      <c r="C13" s="39">
        <v>0.5</v>
      </c>
      <c r="D13"/>
      <c r="E13">
        <v>61.852</v>
      </c>
      <c r="F13" s="49">
        <f t="shared" si="0"/>
        <v>30.926</v>
      </c>
      <c r="G13" s="49">
        <f t="shared" si="1"/>
        <v>61.852</v>
      </c>
      <c r="H13" s="49">
        <f t="shared" si="0"/>
        <v>30.926</v>
      </c>
      <c r="I13"/>
      <c r="J13">
        <v>16.8</v>
      </c>
      <c r="K13" s="49">
        <f t="shared" si="2"/>
        <v>8.4</v>
      </c>
      <c r="L13" s="48">
        <f t="shared" si="4"/>
        <v>16.8</v>
      </c>
      <c r="M13" s="49">
        <f t="shared" si="2"/>
        <v>8.4</v>
      </c>
      <c r="N13"/>
      <c r="O13">
        <v>12.9</v>
      </c>
      <c r="P13" s="49">
        <f t="shared" si="3"/>
        <v>6.45</v>
      </c>
      <c r="Q13" s="48">
        <f t="shared" si="5"/>
        <v>12.9</v>
      </c>
      <c r="R13" s="49">
        <f t="shared" si="3"/>
        <v>6.45</v>
      </c>
    </row>
    <row r="14" spans="2:18" ht="12.75">
      <c r="B14" s="38" t="s">
        <v>141</v>
      </c>
      <c r="C14" s="39">
        <v>0</v>
      </c>
      <c r="D14"/>
      <c r="E14">
        <v>958</v>
      </c>
      <c r="F14" s="49">
        <f t="shared" si="0"/>
        <v>0</v>
      </c>
      <c r="G14" s="49">
        <f t="shared" si="1"/>
        <v>958</v>
      </c>
      <c r="H14" s="49">
        <f t="shared" si="0"/>
        <v>0</v>
      </c>
      <c r="I14"/>
      <c r="J14">
        <v>235</v>
      </c>
      <c r="K14" s="49">
        <f t="shared" si="2"/>
        <v>0</v>
      </c>
      <c r="L14" s="48">
        <f t="shared" si="4"/>
        <v>235</v>
      </c>
      <c r="M14" s="49">
        <f t="shared" si="2"/>
        <v>0</v>
      </c>
      <c r="N14"/>
      <c r="O14">
        <v>152</v>
      </c>
      <c r="P14" s="49">
        <f t="shared" si="3"/>
        <v>0</v>
      </c>
      <c r="Q14" s="48">
        <f t="shared" si="5"/>
        <v>152</v>
      </c>
      <c r="R14" s="49">
        <f t="shared" si="3"/>
        <v>0</v>
      </c>
    </row>
    <row r="15" spans="2:18" ht="12.75">
      <c r="B15" s="38" t="s">
        <v>142</v>
      </c>
      <c r="C15" s="39">
        <v>0.1</v>
      </c>
      <c r="D15"/>
      <c r="E15">
        <v>30.104</v>
      </c>
      <c r="F15" s="49">
        <f t="shared" si="0"/>
        <v>3.0104</v>
      </c>
      <c r="G15" s="49">
        <f t="shared" si="1"/>
        <v>30.104</v>
      </c>
      <c r="H15" s="49">
        <f t="shared" si="0"/>
        <v>3.0104</v>
      </c>
      <c r="I15"/>
      <c r="J15">
        <v>12.3</v>
      </c>
      <c r="K15" s="49">
        <f t="shared" si="2"/>
        <v>1.2300000000000002</v>
      </c>
      <c r="L15" s="48">
        <f t="shared" si="4"/>
        <v>12.3</v>
      </c>
      <c r="M15" s="49">
        <f t="shared" si="2"/>
        <v>1.2300000000000002</v>
      </c>
      <c r="N15"/>
      <c r="O15">
        <v>6.7</v>
      </c>
      <c r="P15" s="49">
        <f t="shared" si="3"/>
        <v>0.67</v>
      </c>
      <c r="Q15" s="48">
        <f t="shared" si="5"/>
        <v>6.7</v>
      </c>
      <c r="R15" s="49">
        <f t="shared" si="3"/>
        <v>0.67</v>
      </c>
    </row>
    <row r="16" spans="2:18" ht="12.75">
      <c r="B16" s="38" t="s">
        <v>143</v>
      </c>
      <c r="C16" s="39">
        <v>0.1</v>
      </c>
      <c r="D16"/>
      <c r="E16">
        <f>86.3+1.58</f>
        <v>87.88</v>
      </c>
      <c r="F16" s="49">
        <f t="shared" si="0"/>
        <v>8.788</v>
      </c>
      <c r="G16" s="49">
        <f t="shared" si="1"/>
        <v>87.88</v>
      </c>
      <c r="H16" s="49">
        <f t="shared" si="0"/>
        <v>8.788</v>
      </c>
      <c r="I16"/>
      <c r="J16">
        <v>32.3</v>
      </c>
      <c r="K16" s="49">
        <f t="shared" si="2"/>
        <v>3.23</v>
      </c>
      <c r="L16" s="48">
        <f t="shared" si="4"/>
        <v>32.3</v>
      </c>
      <c r="M16" s="49">
        <f t="shared" si="2"/>
        <v>3.23</v>
      </c>
      <c r="N16"/>
      <c r="O16">
        <v>22.1</v>
      </c>
      <c r="P16" s="49">
        <f t="shared" si="3"/>
        <v>2.2100000000000004</v>
      </c>
      <c r="Q16" s="48">
        <f t="shared" si="5"/>
        <v>22.1</v>
      </c>
      <c r="R16" s="49">
        <f t="shared" si="3"/>
        <v>2.2100000000000004</v>
      </c>
    </row>
    <row r="17" spans="2:18" ht="12.75">
      <c r="B17" s="38" t="s">
        <v>144</v>
      </c>
      <c r="C17" s="39">
        <v>0.1</v>
      </c>
      <c r="D17"/>
      <c r="E17">
        <v>87.7</v>
      </c>
      <c r="F17" s="49">
        <f t="shared" si="0"/>
        <v>8.770000000000001</v>
      </c>
      <c r="G17" s="49">
        <f t="shared" si="1"/>
        <v>87.7</v>
      </c>
      <c r="H17" s="49">
        <f t="shared" si="0"/>
        <v>8.770000000000001</v>
      </c>
      <c r="I17"/>
      <c r="J17">
        <v>33.4</v>
      </c>
      <c r="K17" s="49">
        <f t="shared" si="2"/>
        <v>3.34</v>
      </c>
      <c r="L17" s="48">
        <f t="shared" si="4"/>
        <v>33.4</v>
      </c>
      <c r="M17" s="49">
        <f t="shared" si="2"/>
        <v>3.34</v>
      </c>
      <c r="N17"/>
      <c r="O17">
        <v>21.5</v>
      </c>
      <c r="P17" s="49">
        <f t="shared" si="3"/>
        <v>2.15</v>
      </c>
      <c r="Q17" s="48">
        <f t="shared" si="5"/>
        <v>21.5</v>
      </c>
      <c r="R17" s="49">
        <f t="shared" si="3"/>
        <v>2.15</v>
      </c>
    </row>
    <row r="18" spans="2:18" ht="12.75">
      <c r="B18" s="38" t="s">
        <v>145</v>
      </c>
      <c r="C18" s="39">
        <v>0</v>
      </c>
      <c r="D18"/>
      <c r="E18">
        <v>1100</v>
      </c>
      <c r="F18" s="49">
        <f t="shared" si="0"/>
        <v>0</v>
      </c>
      <c r="G18" s="49">
        <f t="shared" si="1"/>
        <v>1100</v>
      </c>
      <c r="H18" s="49">
        <f t="shared" si="0"/>
        <v>0</v>
      </c>
      <c r="I18"/>
      <c r="J18">
        <v>381</v>
      </c>
      <c r="K18" s="49">
        <f t="shared" si="2"/>
        <v>0</v>
      </c>
      <c r="L18" s="48">
        <f t="shared" si="4"/>
        <v>381</v>
      </c>
      <c r="M18" s="49">
        <f t="shared" si="2"/>
        <v>0</v>
      </c>
      <c r="N18"/>
      <c r="O18">
        <v>245</v>
      </c>
      <c r="P18" s="49">
        <f t="shared" si="3"/>
        <v>0</v>
      </c>
      <c r="Q18" s="48">
        <f t="shared" si="5"/>
        <v>245</v>
      </c>
      <c r="R18" s="49">
        <f t="shared" si="3"/>
        <v>0</v>
      </c>
    </row>
    <row r="19" spans="2:18" ht="12.75">
      <c r="B19" s="38" t="s">
        <v>146</v>
      </c>
      <c r="C19" s="39">
        <v>0.01</v>
      </c>
      <c r="D19"/>
      <c r="E19">
        <f>285.7+31.4</f>
        <v>317.09999999999997</v>
      </c>
      <c r="F19" s="49">
        <f t="shared" si="0"/>
        <v>3.171</v>
      </c>
      <c r="G19" s="49">
        <f t="shared" si="1"/>
        <v>317.09999999999997</v>
      </c>
      <c r="H19" s="49">
        <f t="shared" si="0"/>
        <v>3.171</v>
      </c>
      <c r="I19"/>
      <c r="J19">
        <v>167</v>
      </c>
      <c r="K19" s="49">
        <f t="shared" si="2"/>
        <v>1.67</v>
      </c>
      <c r="L19" s="48">
        <f t="shared" si="4"/>
        <v>167</v>
      </c>
      <c r="M19" s="49">
        <f t="shared" si="2"/>
        <v>1.67</v>
      </c>
      <c r="N19"/>
      <c r="O19">
        <v>96</v>
      </c>
      <c r="P19" s="49">
        <f t="shared" si="3"/>
        <v>0.96</v>
      </c>
      <c r="Q19" s="48">
        <f t="shared" si="5"/>
        <v>96</v>
      </c>
      <c r="R19" s="49">
        <f t="shared" si="3"/>
        <v>0.96</v>
      </c>
    </row>
    <row r="20" spans="2:18" ht="12.75">
      <c r="B20" s="38" t="s">
        <v>147</v>
      </c>
      <c r="C20" s="39">
        <v>0</v>
      </c>
      <c r="D20"/>
      <c r="E20">
        <v>700</v>
      </c>
      <c r="F20" s="49">
        <f t="shared" si="0"/>
        <v>0</v>
      </c>
      <c r="G20" s="49">
        <f t="shared" si="1"/>
        <v>700</v>
      </c>
      <c r="H20" s="49">
        <f t="shared" si="0"/>
        <v>0</v>
      </c>
      <c r="I20"/>
      <c r="J20">
        <v>307</v>
      </c>
      <c r="K20" s="49">
        <f t="shared" si="2"/>
        <v>0</v>
      </c>
      <c r="L20" s="48">
        <f t="shared" si="4"/>
        <v>307</v>
      </c>
      <c r="M20" s="49">
        <f t="shared" si="2"/>
        <v>0</v>
      </c>
      <c r="N20"/>
      <c r="O20">
        <v>183</v>
      </c>
      <c r="P20" s="49">
        <f t="shared" si="3"/>
        <v>0</v>
      </c>
      <c r="Q20" s="48">
        <f t="shared" si="5"/>
        <v>183</v>
      </c>
      <c r="R20" s="49">
        <f t="shared" si="3"/>
        <v>0</v>
      </c>
    </row>
    <row r="21" spans="2:18" ht="12.75">
      <c r="B21" s="38" t="s">
        <v>148</v>
      </c>
      <c r="C21" s="39">
        <v>0.001</v>
      </c>
      <c r="D21"/>
      <c r="E21">
        <f>441.7+260.3</f>
        <v>702</v>
      </c>
      <c r="F21" s="49">
        <f t="shared" si="0"/>
        <v>0.7020000000000001</v>
      </c>
      <c r="G21" s="49">
        <f t="shared" si="1"/>
        <v>702</v>
      </c>
      <c r="H21" s="49">
        <f t="shared" si="0"/>
        <v>0.7020000000000001</v>
      </c>
      <c r="I21"/>
      <c r="J21">
        <v>400</v>
      </c>
      <c r="K21" s="49">
        <f t="shared" si="2"/>
        <v>0.4</v>
      </c>
      <c r="L21" s="48">
        <f t="shared" si="4"/>
        <v>400</v>
      </c>
      <c r="M21" s="49">
        <f t="shared" si="2"/>
        <v>0.4</v>
      </c>
      <c r="N21"/>
      <c r="O21">
        <v>220</v>
      </c>
      <c r="P21" s="49">
        <f t="shared" si="3"/>
        <v>0.22</v>
      </c>
      <c r="Q21" s="48">
        <f t="shared" si="5"/>
        <v>220</v>
      </c>
      <c r="R21" s="49">
        <f t="shared" si="3"/>
        <v>0.22</v>
      </c>
    </row>
    <row r="22" spans="2:18" ht="12.75">
      <c r="B22" s="38" t="s">
        <v>149</v>
      </c>
      <c r="C22" s="39">
        <v>0.1</v>
      </c>
      <c r="D22"/>
      <c r="E22">
        <f>1649+5.7</f>
        <v>1654.7</v>
      </c>
      <c r="F22" s="49">
        <f t="shared" si="0"/>
        <v>165.47000000000003</v>
      </c>
      <c r="G22" s="49">
        <f t="shared" si="1"/>
        <v>1654.7</v>
      </c>
      <c r="H22" s="49">
        <f t="shared" si="0"/>
        <v>165.47000000000003</v>
      </c>
      <c r="I22"/>
      <c r="J22">
        <v>419</v>
      </c>
      <c r="K22" s="49">
        <f t="shared" si="2"/>
        <v>41.900000000000006</v>
      </c>
      <c r="L22" s="48">
        <f t="shared" si="4"/>
        <v>419</v>
      </c>
      <c r="M22" s="49">
        <f t="shared" si="2"/>
        <v>41.900000000000006</v>
      </c>
      <c r="N22"/>
      <c r="O22">
        <v>268</v>
      </c>
      <c r="P22" s="49">
        <f t="shared" si="3"/>
        <v>26.8</v>
      </c>
      <c r="Q22" s="48">
        <f t="shared" si="5"/>
        <v>268</v>
      </c>
      <c r="R22" s="49">
        <f t="shared" si="3"/>
        <v>26.8</v>
      </c>
    </row>
    <row r="23" spans="2:18" ht="12.75">
      <c r="B23" s="38" t="s">
        <v>150</v>
      </c>
      <c r="C23" s="39">
        <v>0</v>
      </c>
      <c r="D23"/>
      <c r="E23">
        <v>6100</v>
      </c>
      <c r="F23" s="49">
        <f t="shared" si="0"/>
        <v>0</v>
      </c>
      <c r="G23" s="49">
        <f t="shared" si="1"/>
        <v>6100</v>
      </c>
      <c r="H23" s="49">
        <f t="shared" si="0"/>
        <v>0</v>
      </c>
      <c r="I23"/>
      <c r="J23">
        <v>2104</v>
      </c>
      <c r="K23" s="49">
        <f t="shared" si="2"/>
        <v>0</v>
      </c>
      <c r="L23" s="48">
        <f t="shared" si="4"/>
        <v>2104</v>
      </c>
      <c r="M23" s="49">
        <f t="shared" si="2"/>
        <v>0</v>
      </c>
      <c r="N23"/>
      <c r="O23">
        <v>1254</v>
      </c>
      <c r="P23" s="49">
        <f t="shared" si="3"/>
        <v>0</v>
      </c>
      <c r="Q23" s="48">
        <f t="shared" si="5"/>
        <v>1254</v>
      </c>
      <c r="R23" s="49">
        <f t="shared" si="3"/>
        <v>0</v>
      </c>
    </row>
    <row r="24" spans="2:18" ht="12.75">
      <c r="B24" s="38" t="s">
        <v>151</v>
      </c>
      <c r="C24" s="39">
        <v>0.05</v>
      </c>
      <c r="D24"/>
      <c r="E24">
        <v>262</v>
      </c>
      <c r="F24" s="49">
        <f t="shared" si="0"/>
        <v>13.100000000000001</v>
      </c>
      <c r="G24" s="49">
        <f t="shared" si="1"/>
        <v>262</v>
      </c>
      <c r="H24" s="49">
        <f t="shared" si="0"/>
        <v>13.100000000000001</v>
      </c>
      <c r="I24"/>
      <c r="J24">
        <v>75</v>
      </c>
      <c r="K24" s="49">
        <f t="shared" si="2"/>
        <v>3.75</v>
      </c>
      <c r="L24" s="48">
        <f t="shared" si="4"/>
        <v>75</v>
      </c>
      <c r="M24" s="49">
        <f t="shared" si="2"/>
        <v>3.75</v>
      </c>
      <c r="N24"/>
      <c r="O24">
        <v>53.7</v>
      </c>
      <c r="P24" s="49">
        <f t="shared" si="3"/>
        <v>2.6850000000000005</v>
      </c>
      <c r="Q24" s="48">
        <f t="shared" si="5"/>
        <v>53.7</v>
      </c>
      <c r="R24" s="49">
        <f t="shared" si="3"/>
        <v>2.6850000000000005</v>
      </c>
    </row>
    <row r="25" spans="2:18" ht="12.75">
      <c r="B25" s="38" t="s">
        <v>152</v>
      </c>
      <c r="C25" s="39">
        <v>0.5</v>
      </c>
      <c r="D25"/>
      <c r="E25">
        <v>413</v>
      </c>
      <c r="F25" s="49">
        <f t="shared" si="0"/>
        <v>206.5</v>
      </c>
      <c r="G25" s="49">
        <f t="shared" si="1"/>
        <v>413</v>
      </c>
      <c r="H25" s="49">
        <f t="shared" si="0"/>
        <v>206.5</v>
      </c>
      <c r="I25"/>
      <c r="J25">
        <v>104</v>
      </c>
      <c r="K25" s="49">
        <f t="shared" si="2"/>
        <v>52</v>
      </c>
      <c r="L25" s="48">
        <f t="shared" si="4"/>
        <v>104</v>
      </c>
      <c r="M25" s="49">
        <f t="shared" si="2"/>
        <v>52</v>
      </c>
      <c r="N25"/>
      <c r="O25">
        <v>79.6</v>
      </c>
      <c r="P25" s="49">
        <f t="shared" si="3"/>
        <v>39.8</v>
      </c>
      <c r="Q25" s="48">
        <f t="shared" si="5"/>
        <v>79.6</v>
      </c>
      <c r="R25" s="49">
        <f t="shared" si="3"/>
        <v>39.8</v>
      </c>
    </row>
    <row r="26" spans="2:18" ht="12.75">
      <c r="B26" s="38" t="s">
        <v>153</v>
      </c>
      <c r="C26" s="39">
        <v>0</v>
      </c>
      <c r="D26"/>
      <c r="E26">
        <v>5028</v>
      </c>
      <c r="F26" s="49">
        <f t="shared" si="0"/>
        <v>0</v>
      </c>
      <c r="G26" s="49">
        <f t="shared" si="1"/>
        <v>5028</v>
      </c>
      <c r="H26" s="49">
        <f t="shared" si="0"/>
        <v>0</v>
      </c>
      <c r="I26"/>
      <c r="J26">
        <v>1304</v>
      </c>
      <c r="K26" s="49">
        <f t="shared" si="2"/>
        <v>0</v>
      </c>
      <c r="L26" s="48">
        <f t="shared" si="4"/>
        <v>1304</v>
      </c>
      <c r="M26" s="49">
        <f t="shared" si="2"/>
        <v>0</v>
      </c>
      <c r="N26"/>
      <c r="O26">
        <v>920</v>
      </c>
      <c r="P26" s="49">
        <f t="shared" si="3"/>
        <v>0</v>
      </c>
      <c r="Q26" s="48">
        <f t="shared" si="5"/>
        <v>920</v>
      </c>
      <c r="R26" s="49">
        <f t="shared" si="3"/>
        <v>0</v>
      </c>
    </row>
    <row r="27" spans="2:18" ht="12.75">
      <c r="B27" s="38" t="s">
        <v>154</v>
      </c>
      <c r="C27" s="39">
        <v>0.1</v>
      </c>
      <c r="D27"/>
      <c r="E27">
        <v>500</v>
      </c>
      <c r="F27" s="49">
        <f t="shared" si="0"/>
        <v>50</v>
      </c>
      <c r="G27" s="49">
        <f t="shared" si="1"/>
        <v>500</v>
      </c>
      <c r="H27" s="49">
        <f t="shared" si="0"/>
        <v>50</v>
      </c>
      <c r="I27"/>
      <c r="J27">
        <v>147</v>
      </c>
      <c r="K27" s="49">
        <f t="shared" si="2"/>
        <v>14.700000000000001</v>
      </c>
      <c r="L27" s="48">
        <f t="shared" si="4"/>
        <v>147</v>
      </c>
      <c r="M27" s="49">
        <f t="shared" si="2"/>
        <v>14.700000000000001</v>
      </c>
      <c r="N27"/>
      <c r="O27">
        <v>105</v>
      </c>
      <c r="P27" s="49">
        <f t="shared" si="3"/>
        <v>10.5</v>
      </c>
      <c r="Q27" s="48">
        <f t="shared" si="5"/>
        <v>105</v>
      </c>
      <c r="R27" s="49">
        <f t="shared" si="3"/>
        <v>10.5</v>
      </c>
    </row>
    <row r="28" spans="2:18" ht="12.75">
      <c r="B28" s="38" t="s">
        <v>155</v>
      </c>
      <c r="C28" s="39">
        <v>0.1</v>
      </c>
      <c r="D28"/>
      <c r="E28">
        <v>218</v>
      </c>
      <c r="F28" s="49">
        <f t="shared" si="0"/>
        <v>21.8</v>
      </c>
      <c r="G28" s="49">
        <f t="shared" si="1"/>
        <v>218</v>
      </c>
      <c r="H28" s="49">
        <f t="shared" si="0"/>
        <v>21.8</v>
      </c>
      <c r="I28"/>
      <c r="J28">
        <v>53</v>
      </c>
      <c r="K28" s="49">
        <f t="shared" si="2"/>
        <v>5.300000000000001</v>
      </c>
      <c r="L28" s="48">
        <f t="shared" si="4"/>
        <v>53</v>
      </c>
      <c r="M28" s="49">
        <f t="shared" si="2"/>
        <v>5.300000000000001</v>
      </c>
      <c r="N28"/>
      <c r="O28">
        <v>39.4</v>
      </c>
      <c r="P28" s="49">
        <f t="shared" si="3"/>
        <v>3.94</v>
      </c>
      <c r="Q28" s="48">
        <f t="shared" si="5"/>
        <v>39.4</v>
      </c>
      <c r="R28" s="49">
        <f t="shared" si="3"/>
        <v>3.94</v>
      </c>
    </row>
    <row r="29" spans="2:18" ht="12.75">
      <c r="B29" s="38" t="s">
        <v>156</v>
      </c>
      <c r="C29" s="39">
        <v>0.1</v>
      </c>
      <c r="D29"/>
      <c r="E29">
        <v>240</v>
      </c>
      <c r="F29" s="49">
        <f t="shared" si="0"/>
        <v>24</v>
      </c>
      <c r="G29" s="49">
        <f t="shared" si="1"/>
        <v>240</v>
      </c>
      <c r="H29" s="49">
        <f t="shared" si="0"/>
        <v>24</v>
      </c>
      <c r="I29"/>
      <c r="J29">
        <v>68.7</v>
      </c>
      <c r="K29" s="49">
        <f t="shared" si="2"/>
        <v>6.870000000000001</v>
      </c>
      <c r="L29" s="48">
        <f t="shared" si="4"/>
        <v>68.7</v>
      </c>
      <c r="M29" s="49">
        <f t="shared" si="2"/>
        <v>6.870000000000001</v>
      </c>
      <c r="N29"/>
      <c r="O29">
        <v>52.2</v>
      </c>
      <c r="P29" s="49">
        <f t="shared" si="3"/>
        <v>5.220000000000001</v>
      </c>
      <c r="Q29" s="48">
        <f t="shared" si="5"/>
        <v>52.2</v>
      </c>
      <c r="R29" s="49">
        <f t="shared" si="3"/>
        <v>5.220000000000001</v>
      </c>
    </row>
    <row r="30" spans="2:18" ht="12.75">
      <c r="B30" s="38" t="s">
        <v>157</v>
      </c>
      <c r="C30" s="39">
        <v>0.1</v>
      </c>
      <c r="D30"/>
      <c r="E30"/>
      <c r="F30" s="49">
        <f t="shared" si="0"/>
      </c>
      <c r="G30" s="49">
        <f t="shared" si="1"/>
      </c>
      <c r="H30" s="49">
        <f t="shared" si="0"/>
      </c>
      <c r="I30"/>
      <c r="J30"/>
      <c r="K30" s="49">
        <f t="shared" si="2"/>
      </c>
      <c r="L30" s="48">
        <f t="shared" si="4"/>
      </c>
      <c r="M30" s="49">
        <f t="shared" si="2"/>
      </c>
      <c r="N30"/>
      <c r="O30"/>
      <c r="P30" s="49">
        <f t="shared" si="3"/>
      </c>
      <c r="Q30" s="48">
        <f t="shared" si="5"/>
      </c>
      <c r="R30" s="41">
        <f t="shared" si="3"/>
      </c>
    </row>
    <row r="31" spans="2:18" ht="12.75">
      <c r="B31" s="38" t="s">
        <v>158</v>
      </c>
      <c r="C31" s="39">
        <v>0</v>
      </c>
      <c r="D31"/>
      <c r="E31">
        <v>1376</v>
      </c>
      <c r="F31" s="49">
        <f t="shared" si="0"/>
        <v>0</v>
      </c>
      <c r="G31" s="49">
        <f t="shared" si="1"/>
        <v>1376</v>
      </c>
      <c r="H31" s="49">
        <f t="shared" si="0"/>
        <v>0</v>
      </c>
      <c r="I31"/>
      <c r="J31">
        <v>365</v>
      </c>
      <c r="K31" s="49">
        <f t="shared" si="2"/>
        <v>0</v>
      </c>
      <c r="L31" s="48">
        <f t="shared" si="4"/>
        <v>365</v>
      </c>
      <c r="M31" s="49">
        <f t="shared" si="2"/>
        <v>0</v>
      </c>
      <c r="N31"/>
      <c r="O31">
        <v>230</v>
      </c>
      <c r="P31" s="49">
        <f t="shared" si="3"/>
        <v>0</v>
      </c>
      <c r="Q31" s="48">
        <f t="shared" si="5"/>
        <v>230</v>
      </c>
      <c r="R31" s="49">
        <f t="shared" si="3"/>
        <v>0</v>
      </c>
    </row>
    <row r="32" spans="2:18" ht="12.75">
      <c r="B32" s="38" t="s">
        <v>159</v>
      </c>
      <c r="C32" s="39">
        <v>0.01</v>
      </c>
      <c r="D32"/>
      <c r="E32">
        <v>408</v>
      </c>
      <c r="F32" s="49">
        <f t="shared" si="0"/>
        <v>4.08</v>
      </c>
      <c r="G32" s="49">
        <f t="shared" si="1"/>
        <v>408</v>
      </c>
      <c r="H32" s="49">
        <f t="shared" si="0"/>
        <v>4.08</v>
      </c>
      <c r="I32"/>
      <c r="J32">
        <v>180</v>
      </c>
      <c r="K32" s="49">
        <f t="shared" si="2"/>
        <v>1.8</v>
      </c>
      <c r="L32" s="48">
        <f t="shared" si="4"/>
        <v>180</v>
      </c>
      <c r="M32" s="49">
        <f t="shared" si="2"/>
        <v>1.8</v>
      </c>
      <c r="N32"/>
      <c r="O32">
        <v>115</v>
      </c>
      <c r="P32" s="49">
        <f t="shared" si="3"/>
        <v>1.1500000000000001</v>
      </c>
      <c r="Q32" s="48">
        <f t="shared" si="5"/>
        <v>115</v>
      </c>
      <c r="R32" s="49">
        <f t="shared" si="3"/>
        <v>1.1500000000000001</v>
      </c>
    </row>
    <row r="33" spans="2:18" ht="12.75">
      <c r="B33" s="38" t="s">
        <v>160</v>
      </c>
      <c r="C33" s="39">
        <v>0.01</v>
      </c>
      <c r="D33"/>
      <c r="E33">
        <v>48</v>
      </c>
      <c r="F33" s="49">
        <f t="shared" si="0"/>
        <v>0.48</v>
      </c>
      <c r="G33" s="49">
        <f t="shared" si="1"/>
        <v>48</v>
      </c>
      <c r="H33" s="49">
        <f t="shared" si="0"/>
        <v>0.48</v>
      </c>
      <c r="I33"/>
      <c r="J33">
        <v>23.5</v>
      </c>
      <c r="K33" s="49">
        <f t="shared" si="2"/>
        <v>0.23500000000000001</v>
      </c>
      <c r="L33" s="48">
        <f t="shared" si="4"/>
        <v>23.5</v>
      </c>
      <c r="M33" s="49">
        <f t="shared" si="2"/>
        <v>0.23500000000000001</v>
      </c>
      <c r="N33"/>
      <c r="O33">
        <v>15.2</v>
      </c>
      <c r="P33" s="49">
        <f t="shared" si="3"/>
        <v>0.152</v>
      </c>
      <c r="Q33" s="48">
        <f t="shared" si="5"/>
        <v>15.2</v>
      </c>
      <c r="R33" s="49">
        <f t="shared" si="3"/>
        <v>0.152</v>
      </c>
    </row>
    <row r="34" spans="2:18" ht="12.75">
      <c r="B34" s="38" t="s">
        <v>161</v>
      </c>
      <c r="C34" s="39">
        <v>0</v>
      </c>
      <c r="D34"/>
      <c r="E34">
        <v>570</v>
      </c>
      <c r="F34" s="49">
        <f t="shared" si="0"/>
        <v>0</v>
      </c>
      <c r="G34" s="49">
        <f t="shared" si="1"/>
        <v>570</v>
      </c>
      <c r="H34" s="49">
        <f t="shared" si="0"/>
        <v>0</v>
      </c>
      <c r="I34"/>
      <c r="J34">
        <v>210</v>
      </c>
      <c r="K34" s="49">
        <f t="shared" si="2"/>
        <v>0</v>
      </c>
      <c r="L34" s="48">
        <f t="shared" si="4"/>
        <v>210</v>
      </c>
      <c r="M34" s="49">
        <f t="shared" si="2"/>
        <v>0</v>
      </c>
      <c r="N34"/>
      <c r="O34">
        <v>158</v>
      </c>
      <c r="P34" s="49">
        <f t="shared" si="3"/>
        <v>0</v>
      </c>
      <c r="Q34" s="48">
        <f t="shared" si="5"/>
        <v>158</v>
      </c>
      <c r="R34" s="49">
        <f t="shared" si="3"/>
        <v>0</v>
      </c>
    </row>
    <row r="35" spans="2:18" ht="12.75">
      <c r="B35" s="38" t="s">
        <v>162</v>
      </c>
      <c r="C35" s="39">
        <v>0.001</v>
      </c>
      <c r="D35"/>
      <c r="E35">
        <v>116</v>
      </c>
      <c r="F35" s="49">
        <f t="shared" si="0"/>
        <v>0.116</v>
      </c>
      <c r="G35" s="49">
        <f t="shared" si="1"/>
        <v>116</v>
      </c>
      <c r="H35" s="49">
        <f t="shared" si="0"/>
        <v>0.116</v>
      </c>
      <c r="I35"/>
      <c r="J35">
        <v>79</v>
      </c>
      <c r="K35" s="49">
        <f t="shared" si="2"/>
        <v>0.079</v>
      </c>
      <c r="L35" s="48">
        <f t="shared" si="4"/>
        <v>79</v>
      </c>
      <c r="M35" s="49">
        <f t="shared" si="2"/>
        <v>0.079</v>
      </c>
      <c r="N35"/>
      <c r="O35">
        <v>53</v>
      </c>
      <c r="P35" s="49">
        <f t="shared" si="3"/>
        <v>0.053</v>
      </c>
      <c r="Q35" s="48">
        <f t="shared" si="5"/>
        <v>53</v>
      </c>
      <c r="R35" s="49">
        <f t="shared" si="3"/>
        <v>0.053</v>
      </c>
    </row>
    <row r="36" spans="5:17" ht="12.75">
      <c r="E36" s="50"/>
      <c r="G36" s="50"/>
      <c r="I36" s="51"/>
      <c r="J36" s="3"/>
      <c r="K36" s="48"/>
      <c r="L36" s="48"/>
      <c r="M36" s="48"/>
      <c r="N36" s="51"/>
      <c r="O36" s="3"/>
      <c r="Q36" s="50"/>
    </row>
    <row r="37" spans="2:18" ht="12.75">
      <c r="B37" s="38" t="s">
        <v>163</v>
      </c>
      <c r="E37" s="50"/>
      <c r="F37">
        <v>115.239</v>
      </c>
      <c r="G37">
        <v>115.239</v>
      </c>
      <c r="H37">
        <v>115.239</v>
      </c>
      <c r="I37"/>
      <c r="J37"/>
      <c r="K37">
        <v>155.62</v>
      </c>
      <c r="L37">
        <v>155.62</v>
      </c>
      <c r="M37">
        <v>155.62</v>
      </c>
      <c r="N37"/>
      <c r="O37"/>
      <c r="P37">
        <v>153.626</v>
      </c>
      <c r="Q37">
        <v>153.626</v>
      </c>
      <c r="R37">
        <v>153.626</v>
      </c>
    </row>
    <row r="38" spans="2:18" ht="12.75">
      <c r="B38" s="38" t="s">
        <v>164</v>
      </c>
      <c r="E38" s="50"/>
      <c r="F38">
        <v>14.8</v>
      </c>
      <c r="G38">
        <v>14.8</v>
      </c>
      <c r="H38">
        <v>14.8</v>
      </c>
      <c r="I38"/>
      <c r="J38"/>
      <c r="K38">
        <v>15.2</v>
      </c>
      <c r="L38">
        <v>15.2</v>
      </c>
      <c r="M38">
        <v>15.2</v>
      </c>
      <c r="N38"/>
      <c r="O38"/>
      <c r="P38">
        <v>15</v>
      </c>
      <c r="Q38">
        <v>15</v>
      </c>
      <c r="R38">
        <v>15</v>
      </c>
    </row>
    <row r="39" spans="5:18" ht="9.75" customHeight="1">
      <c r="E39" s="50"/>
      <c r="F39" s="52"/>
      <c r="G39" s="50"/>
      <c r="H39" s="52"/>
      <c r="I39" s="53"/>
      <c r="J39" s="50"/>
      <c r="K39" s="54"/>
      <c r="L39" s="48"/>
      <c r="M39" s="54"/>
      <c r="N39" s="51"/>
      <c r="O39" s="50"/>
      <c r="P39" s="50"/>
      <c r="Q39" s="50"/>
      <c r="R39" s="50"/>
    </row>
    <row r="40" spans="2:18" ht="12" customHeight="1">
      <c r="B40" s="38" t="s">
        <v>165</v>
      </c>
      <c r="C40" s="41"/>
      <c r="D40" s="45"/>
      <c r="E40" s="48"/>
      <c r="F40" s="49">
        <f>SUM(F11:F35)/1000</f>
        <v>0.5590693999999999</v>
      </c>
      <c r="G40" s="49">
        <f>SUM(G35,G34,G31,G26,G23,G21,G20,G18,G14,G12)/1000</f>
        <v>17.923</v>
      </c>
      <c r="H40" s="49">
        <f>SUM(H11:H35)/1000</f>
        <v>0.5590693999999999</v>
      </c>
      <c r="I40" s="45"/>
      <c r="J40" s="48"/>
      <c r="K40" s="49">
        <f>SUM(K11:K35)/1000</f>
        <v>0.14490400000000006</v>
      </c>
      <c r="L40" s="49">
        <f>SUM(L35,L34,L31,L26,L23,L21,L20,L18,L14,L12)/1000</f>
        <v>5.679</v>
      </c>
      <c r="M40" s="49">
        <f>SUM(M11:M35)/1000</f>
        <v>0.14490400000000006</v>
      </c>
      <c r="N40" s="45"/>
      <c r="O40" s="50"/>
      <c r="P40" s="49">
        <f>SUM(P11:P35)/1000</f>
        <v>0.10296</v>
      </c>
      <c r="Q40" s="49">
        <f>SUM(Q35,Q34,Q31,Q26,Q23,Q21,Q20,Q18,Q14,Q12)/1000</f>
        <v>3.616</v>
      </c>
      <c r="R40" s="49">
        <f>SUM(R11:R35)/1000</f>
        <v>0.10296</v>
      </c>
    </row>
    <row r="41" spans="2:18" ht="12.75">
      <c r="B41" s="38" t="s">
        <v>166</v>
      </c>
      <c r="C41" s="41"/>
      <c r="D41" s="47">
        <f>(F41-H41)*2/F41</f>
        <v>0</v>
      </c>
      <c r="E41" s="50"/>
      <c r="F41" s="49">
        <f>(F40/F37/0.0283*(21-7)/(21-F38))</f>
        <v>0.3870937435060981</v>
      </c>
      <c r="G41" s="49">
        <f>(G40/G37/0.0283*(21-7)/(21-G38))</f>
        <v>12.40969576381715</v>
      </c>
      <c r="H41" s="49">
        <f>(H40/H37/0.0283*(21-7)/(21-H38))</f>
        <v>0.3870937435060981</v>
      </c>
      <c r="I41" s="47">
        <f>(K41-M41)*2/K41</f>
        <v>0</v>
      </c>
      <c r="J41" s="50"/>
      <c r="K41" s="49">
        <f>(K40/K37/0.0283*(21-7)/(21-K38))</f>
        <v>0.07941975988944464</v>
      </c>
      <c r="L41" s="49">
        <f>(L40/L37/0.0283*(21-7)/(21-L38))</f>
        <v>3.112576715702506</v>
      </c>
      <c r="M41" s="49">
        <f>(M40/M37/0.0283*(21-7)/(21-M38))</f>
        <v>0.07941975988944464</v>
      </c>
      <c r="N41" s="47">
        <f>(P41-R41)*2/P41</f>
        <v>0</v>
      </c>
      <c r="O41" s="50"/>
      <c r="P41" s="49">
        <f>(P40/P37/0.0283*(21-7)/(21-P38))</f>
        <v>0.05525787260226628</v>
      </c>
      <c r="Q41" s="49">
        <f>(Q40/Q37/0.0283*(21-7)/(21-Q38))</f>
        <v>1.9406805296211624</v>
      </c>
      <c r="R41" s="49">
        <f>(R40/R37/0.0283*(21-7)/(21-R38))</f>
        <v>0.05525787260226628</v>
      </c>
    </row>
    <row r="42" spans="5:17" ht="12.75">
      <c r="E42" s="49"/>
      <c r="G42" s="49"/>
      <c r="I42" s="55"/>
      <c r="J42" s="49"/>
      <c r="K42" s="49"/>
      <c r="L42" s="49"/>
      <c r="M42" s="49"/>
      <c r="N42" s="55"/>
      <c r="O42" s="49"/>
      <c r="Q42" s="49"/>
    </row>
    <row r="43" spans="2:23" s="50" customFormat="1" ht="12.75">
      <c r="B43" s="50" t="s">
        <v>167</v>
      </c>
      <c r="C43" s="49">
        <f>AVERAGE(H41,M41,R41)</f>
        <v>0.1739237919992697</v>
      </c>
      <c r="D43" s="51"/>
      <c r="F43" s="41"/>
      <c r="H43" s="41"/>
      <c r="I43" s="51"/>
      <c r="N43" s="51"/>
      <c r="P43" s="40"/>
      <c r="R43" s="40"/>
      <c r="S43"/>
      <c r="T43"/>
      <c r="U43"/>
      <c r="V43"/>
      <c r="W43"/>
    </row>
    <row r="44" spans="2:3" ht="12.75">
      <c r="B44" s="38" t="s">
        <v>168</v>
      </c>
      <c r="C44" s="49">
        <f>AVERAGE(G41,L41,Q41)</f>
        <v>5.820984336380273</v>
      </c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J7" sqref="J7"/>
    </sheetView>
  </sheetViews>
  <sheetFormatPr defaultColWidth="9.140625" defaultRowHeight="12.75"/>
  <cols>
    <col min="1" max="1" width="0.9921875" style="38" customWidth="1"/>
    <col min="2" max="2" width="25.8515625" style="38" customWidth="1"/>
    <col min="3" max="3" width="9.28125" style="38" customWidth="1"/>
    <col min="4" max="4" width="2.8515625" style="39" customWidth="1"/>
    <col min="5" max="5" width="8.7109375" style="40" customWidth="1"/>
    <col min="6" max="6" width="8.7109375" style="41" customWidth="1"/>
    <col min="7" max="7" width="8.57421875" style="40" customWidth="1"/>
    <col min="8" max="8" width="9.8515625" style="41" customWidth="1"/>
    <col min="9" max="9" width="3.57421875" style="42" customWidth="1"/>
    <col min="10" max="10" width="7.00390625" style="40" customWidth="1"/>
    <col min="11" max="11" width="8.28125" style="40" customWidth="1"/>
    <col min="12" max="12" width="9.140625" style="40" customWidth="1"/>
    <col min="13" max="13" width="8.28125" style="40" customWidth="1"/>
    <col min="14" max="14" width="3.57421875" style="42" customWidth="1"/>
    <col min="15" max="15" width="7.8515625" style="40" customWidth="1"/>
    <col min="16" max="18" width="8.7109375" style="40" customWidth="1"/>
    <col min="19" max="25" width="10.8515625" style="0" customWidth="1"/>
    <col min="26" max="16384" width="10.8515625" style="38" customWidth="1"/>
  </cols>
  <sheetData>
    <row r="1" ht="12.75">
      <c r="A1" s="37" t="s">
        <v>125</v>
      </c>
    </row>
    <row r="2" ht="12.75">
      <c r="A2" s="38" t="s">
        <v>197</v>
      </c>
    </row>
    <row r="3" spans="1:3" ht="12.75">
      <c r="A3" s="38" t="s">
        <v>126</v>
      </c>
      <c r="C3" s="43" t="s">
        <v>35</v>
      </c>
    </row>
    <row r="4" spans="1:18" ht="12.75">
      <c r="A4" s="38" t="s">
        <v>127</v>
      </c>
      <c r="C4" s="43" t="s">
        <v>52</v>
      </c>
      <c r="E4" s="44"/>
      <c r="F4" s="45"/>
      <c r="G4" s="44"/>
      <c r="H4" s="45"/>
      <c r="J4" s="44"/>
      <c r="K4" s="44"/>
      <c r="L4" s="44"/>
      <c r="M4" s="44"/>
      <c r="O4" s="44"/>
      <c r="P4" s="44"/>
      <c r="Q4" s="44"/>
      <c r="R4" s="44"/>
    </row>
    <row r="5" spans="1:3" ht="12.75">
      <c r="A5" s="38" t="s">
        <v>128</v>
      </c>
      <c r="C5" s="43" t="s">
        <v>170</v>
      </c>
    </row>
    <row r="6" spans="3:17" ht="12.75">
      <c r="C6" s="39"/>
      <c r="E6" s="42"/>
      <c r="G6" s="42"/>
      <c r="J6" s="42"/>
      <c r="L6" s="42"/>
      <c r="O6" s="42"/>
      <c r="Q6" s="42"/>
    </row>
    <row r="7" spans="3:18" ht="12.75">
      <c r="C7" s="39" t="s">
        <v>129</v>
      </c>
      <c r="E7" s="46" t="s">
        <v>130</v>
      </c>
      <c r="F7" s="46"/>
      <c r="G7" s="46"/>
      <c r="H7" s="46"/>
      <c r="I7" s="47"/>
      <c r="J7" s="46" t="s">
        <v>131</v>
      </c>
      <c r="K7" s="46"/>
      <c r="L7" s="46"/>
      <c r="M7" s="46"/>
      <c r="N7" s="47"/>
      <c r="O7" s="46" t="s">
        <v>132</v>
      </c>
      <c r="P7" s="46"/>
      <c r="Q7" s="46"/>
      <c r="R7" s="46"/>
    </row>
    <row r="8" spans="3:18" ht="12.75">
      <c r="C8" s="39" t="s">
        <v>133</v>
      </c>
      <c r="E8" s="42" t="s">
        <v>134</v>
      </c>
      <c r="F8" s="45" t="s">
        <v>135</v>
      </c>
      <c r="G8" s="42" t="s">
        <v>134</v>
      </c>
      <c r="H8" s="45" t="s">
        <v>135</v>
      </c>
      <c r="J8" s="42" t="s">
        <v>134</v>
      </c>
      <c r="K8" s="42" t="s">
        <v>136</v>
      </c>
      <c r="L8" s="42" t="s">
        <v>134</v>
      </c>
      <c r="M8" s="42" t="s">
        <v>136</v>
      </c>
      <c r="O8" s="42" t="s">
        <v>134</v>
      </c>
      <c r="P8" s="42" t="s">
        <v>136</v>
      </c>
      <c r="Q8" s="42" t="s">
        <v>134</v>
      </c>
      <c r="R8" s="42" t="s">
        <v>136</v>
      </c>
    </row>
    <row r="9" spans="3:18" ht="12.75">
      <c r="C9" s="39"/>
      <c r="E9" s="42" t="s">
        <v>196</v>
      </c>
      <c r="F9" s="45" t="s">
        <v>196</v>
      </c>
      <c r="G9" s="42" t="s">
        <v>137</v>
      </c>
      <c r="H9" s="45" t="s">
        <v>137</v>
      </c>
      <c r="J9" s="42" t="s">
        <v>196</v>
      </c>
      <c r="K9" s="45" t="s">
        <v>196</v>
      </c>
      <c r="L9" s="42" t="s">
        <v>137</v>
      </c>
      <c r="M9" s="45" t="s">
        <v>137</v>
      </c>
      <c r="O9" s="42" t="s">
        <v>196</v>
      </c>
      <c r="P9" s="45" t="s">
        <v>196</v>
      </c>
      <c r="Q9" s="42" t="s">
        <v>137</v>
      </c>
      <c r="R9" s="45" t="s">
        <v>137</v>
      </c>
    </row>
    <row r="10" spans="1:15" ht="13.5" customHeight="1">
      <c r="A10" s="38" t="s">
        <v>169</v>
      </c>
      <c r="O10" s="48"/>
    </row>
    <row r="11" spans="2:18" ht="12.75">
      <c r="B11" s="38" t="s">
        <v>138</v>
      </c>
      <c r="C11" s="39">
        <v>1</v>
      </c>
      <c r="D11"/>
      <c r="E11"/>
      <c r="F11" s="41">
        <f aca="true" t="shared" si="0" ref="F11:H35">IF(E11="","",E11*$C11)</f>
      </c>
      <c r="G11" s="49">
        <f aca="true" t="shared" si="1" ref="G11:G35">IF(E11=0,"",IF(D11="nd",E11/2,E11))</f>
      </c>
      <c r="H11" s="41">
        <f t="shared" si="0"/>
      </c>
      <c r="I11"/>
      <c r="J11"/>
      <c r="K11" s="41">
        <f aca="true" t="shared" si="2" ref="K11:M35">IF(J11="","",J11*$C11)</f>
      </c>
      <c r="L11" s="49">
        <f>IF(J11=0,"",IF(I11="nd",J11/2,J11))</f>
      </c>
      <c r="M11" s="41">
        <f t="shared" si="2"/>
      </c>
      <c r="N11"/>
      <c r="O11"/>
      <c r="P11" s="41">
        <f aca="true" t="shared" si="3" ref="P11:R35">IF(O11="","",O11*$C11)</f>
      </c>
      <c r="Q11" s="49">
        <f>IF(O11=0,"",IF(N11="nd",O11/2,O11))</f>
      </c>
      <c r="R11" s="41">
        <f t="shared" si="3"/>
      </c>
    </row>
    <row r="12" spans="2:18" ht="12.75">
      <c r="B12" s="38" t="s">
        <v>139</v>
      </c>
      <c r="C12" s="39">
        <v>0</v>
      </c>
      <c r="D12"/>
      <c r="E12">
        <v>155.6</v>
      </c>
      <c r="F12" s="49">
        <f t="shared" si="0"/>
        <v>0</v>
      </c>
      <c r="G12" s="48">
        <f t="shared" si="1"/>
        <v>155.6</v>
      </c>
      <c r="H12" s="49">
        <f t="shared" si="0"/>
        <v>0</v>
      </c>
      <c r="I12"/>
      <c r="J12">
        <v>120</v>
      </c>
      <c r="K12" s="49">
        <f t="shared" si="2"/>
        <v>0</v>
      </c>
      <c r="L12" s="48">
        <f aca="true" t="shared" si="4" ref="L12:L35">IF(J12=0,"",IF(I12="nd",J12/2,J12))</f>
        <v>120</v>
      </c>
      <c r="M12" s="49">
        <f t="shared" si="2"/>
        <v>0</v>
      </c>
      <c r="N12"/>
      <c r="O12">
        <v>83</v>
      </c>
      <c r="P12" s="49">
        <f t="shared" si="3"/>
        <v>0</v>
      </c>
      <c r="Q12" s="48">
        <f aca="true" t="shared" si="5" ref="Q12:Q35">IF(O12=0,"",IF(N12="nd",O12/2,O12))</f>
        <v>83</v>
      </c>
      <c r="R12" s="49">
        <f t="shared" si="3"/>
        <v>0</v>
      </c>
    </row>
    <row r="13" spans="2:18" ht="12.75">
      <c r="B13" s="38" t="s">
        <v>140</v>
      </c>
      <c r="C13" s="39">
        <v>0.5</v>
      </c>
      <c r="D13"/>
      <c r="E13">
        <v>12.3</v>
      </c>
      <c r="F13" s="49">
        <f t="shared" si="0"/>
        <v>6.15</v>
      </c>
      <c r="G13" s="48">
        <f t="shared" si="1"/>
        <v>12.3</v>
      </c>
      <c r="H13" s="49">
        <f t="shared" si="0"/>
        <v>6.15</v>
      </c>
      <c r="I13"/>
      <c r="J13">
        <v>13.6</v>
      </c>
      <c r="K13" s="49">
        <f t="shared" si="2"/>
        <v>6.8</v>
      </c>
      <c r="L13" s="48">
        <f t="shared" si="4"/>
        <v>13.6</v>
      </c>
      <c r="M13" s="49">
        <f t="shared" si="2"/>
        <v>6.8</v>
      </c>
      <c r="N13"/>
      <c r="O13"/>
      <c r="P13" s="49">
        <f t="shared" si="3"/>
      </c>
      <c r="Q13" s="48">
        <f t="shared" si="5"/>
      </c>
      <c r="R13" s="49">
        <f t="shared" si="3"/>
      </c>
    </row>
    <row r="14" spans="2:18" ht="12.75">
      <c r="B14" s="38" t="s">
        <v>141</v>
      </c>
      <c r="C14" s="39">
        <v>0</v>
      </c>
      <c r="D14"/>
      <c r="E14">
        <v>51.4</v>
      </c>
      <c r="F14" s="49">
        <f t="shared" si="0"/>
        <v>0</v>
      </c>
      <c r="G14" s="48">
        <f t="shared" si="1"/>
        <v>51.4</v>
      </c>
      <c r="H14" s="49">
        <f t="shared" si="0"/>
        <v>0</v>
      </c>
      <c r="I14"/>
      <c r="J14">
        <v>137</v>
      </c>
      <c r="K14" s="49">
        <f t="shared" si="2"/>
        <v>0</v>
      </c>
      <c r="L14" s="48">
        <f t="shared" si="4"/>
        <v>137</v>
      </c>
      <c r="M14" s="49">
        <f t="shared" si="2"/>
        <v>0</v>
      </c>
      <c r="N14"/>
      <c r="O14">
        <v>13.8</v>
      </c>
      <c r="P14" s="49">
        <f t="shared" si="3"/>
        <v>0</v>
      </c>
      <c r="Q14" s="48">
        <f t="shared" si="5"/>
        <v>13.8</v>
      </c>
      <c r="R14" s="49">
        <f t="shared" si="3"/>
        <v>0</v>
      </c>
    </row>
    <row r="15" spans="2:18" ht="12.75">
      <c r="B15" s="38" t="s">
        <v>142</v>
      </c>
      <c r="C15" s="39">
        <v>0.1</v>
      </c>
      <c r="D15"/>
      <c r="E15">
        <v>9.8</v>
      </c>
      <c r="F15" s="49">
        <f t="shared" si="0"/>
        <v>0.9800000000000001</v>
      </c>
      <c r="G15" s="48">
        <f t="shared" si="1"/>
        <v>9.8</v>
      </c>
      <c r="H15" s="49">
        <f t="shared" si="0"/>
        <v>0.9800000000000001</v>
      </c>
      <c r="I15"/>
      <c r="J15">
        <v>7.5</v>
      </c>
      <c r="K15" s="49">
        <f t="shared" si="2"/>
        <v>0.75</v>
      </c>
      <c r="L15" s="48">
        <f t="shared" si="4"/>
        <v>7.5</v>
      </c>
      <c r="M15" s="49">
        <f t="shared" si="2"/>
        <v>0.75</v>
      </c>
      <c r="N15"/>
      <c r="O15"/>
      <c r="P15" s="49">
        <f t="shared" si="3"/>
      </c>
      <c r="Q15" s="48">
        <f t="shared" si="5"/>
      </c>
      <c r="R15" s="49">
        <f t="shared" si="3"/>
      </c>
    </row>
    <row r="16" spans="2:18" ht="12.75">
      <c r="B16" s="38" t="s">
        <v>143</v>
      </c>
      <c r="C16" s="39">
        <v>0.1</v>
      </c>
      <c r="D16"/>
      <c r="E16">
        <v>25.2</v>
      </c>
      <c r="F16" s="49">
        <f t="shared" si="0"/>
        <v>2.52</v>
      </c>
      <c r="G16" s="48">
        <f t="shared" si="1"/>
        <v>25.2</v>
      </c>
      <c r="H16" s="49">
        <f t="shared" si="0"/>
        <v>2.52</v>
      </c>
      <c r="I16"/>
      <c r="J16">
        <v>32.1</v>
      </c>
      <c r="K16" s="49">
        <f t="shared" si="2"/>
        <v>3.2100000000000004</v>
      </c>
      <c r="L16" s="48">
        <f t="shared" si="4"/>
        <v>32.1</v>
      </c>
      <c r="M16" s="49">
        <f t="shared" si="2"/>
        <v>3.2100000000000004</v>
      </c>
      <c r="N16"/>
      <c r="O16">
        <v>9.28</v>
      </c>
      <c r="P16" s="49">
        <f t="shared" si="3"/>
        <v>0.9279999999999999</v>
      </c>
      <c r="Q16" s="48">
        <f t="shared" si="5"/>
        <v>9.28</v>
      </c>
      <c r="R16" s="49">
        <f t="shared" si="3"/>
        <v>0.9279999999999999</v>
      </c>
    </row>
    <row r="17" spans="2:18" ht="12.75">
      <c r="B17" s="38" t="s">
        <v>144</v>
      </c>
      <c r="C17" s="39">
        <v>0.1</v>
      </c>
      <c r="D17"/>
      <c r="E17">
        <v>21.3</v>
      </c>
      <c r="F17" s="49">
        <f t="shared" si="0"/>
        <v>2.1300000000000003</v>
      </c>
      <c r="G17" s="48">
        <f t="shared" si="1"/>
        <v>21.3</v>
      </c>
      <c r="H17" s="49">
        <f t="shared" si="0"/>
        <v>2.1300000000000003</v>
      </c>
      <c r="I17"/>
      <c r="J17">
        <v>29.4</v>
      </c>
      <c r="K17" s="49">
        <f t="shared" si="2"/>
        <v>2.94</v>
      </c>
      <c r="L17" s="48">
        <f t="shared" si="4"/>
        <v>29.4</v>
      </c>
      <c r="M17" s="49">
        <f t="shared" si="2"/>
        <v>2.94</v>
      </c>
      <c r="N17"/>
      <c r="O17">
        <v>10.7</v>
      </c>
      <c r="P17" s="49">
        <f t="shared" si="3"/>
        <v>1.07</v>
      </c>
      <c r="Q17" s="48">
        <f t="shared" si="5"/>
        <v>10.7</v>
      </c>
      <c r="R17" s="49">
        <f t="shared" si="3"/>
        <v>1.07</v>
      </c>
    </row>
    <row r="18" spans="2:18" ht="12.75">
      <c r="B18" s="38" t="s">
        <v>145</v>
      </c>
      <c r="C18" s="39">
        <v>0</v>
      </c>
      <c r="D18"/>
      <c r="E18">
        <v>104</v>
      </c>
      <c r="F18" s="49">
        <f t="shared" si="0"/>
        <v>0</v>
      </c>
      <c r="G18" s="48">
        <f t="shared" si="1"/>
        <v>104</v>
      </c>
      <c r="H18" s="49">
        <f t="shared" si="0"/>
        <v>0</v>
      </c>
      <c r="I18"/>
      <c r="J18">
        <v>334</v>
      </c>
      <c r="K18" s="49">
        <f t="shared" si="2"/>
        <v>0</v>
      </c>
      <c r="L18" s="48">
        <f t="shared" si="4"/>
        <v>334</v>
      </c>
      <c r="M18" s="49">
        <f t="shared" si="2"/>
        <v>0</v>
      </c>
      <c r="N18"/>
      <c r="O18">
        <v>109</v>
      </c>
      <c r="P18" s="49">
        <f t="shared" si="3"/>
        <v>0</v>
      </c>
      <c r="Q18" s="48">
        <f t="shared" si="5"/>
        <v>109</v>
      </c>
      <c r="R18" s="49">
        <f t="shared" si="3"/>
        <v>0</v>
      </c>
    </row>
    <row r="19" spans="2:18" ht="12.75">
      <c r="B19" s="38" t="s">
        <v>146</v>
      </c>
      <c r="C19" s="39">
        <v>0.01</v>
      </c>
      <c r="D19"/>
      <c r="E19">
        <v>121</v>
      </c>
      <c r="F19" s="49">
        <f t="shared" si="0"/>
        <v>1.21</v>
      </c>
      <c r="G19" s="48">
        <f t="shared" si="1"/>
        <v>121</v>
      </c>
      <c r="H19" s="49">
        <f t="shared" si="0"/>
        <v>1.21</v>
      </c>
      <c r="I19"/>
      <c r="J19">
        <v>147</v>
      </c>
      <c r="K19" s="49">
        <f t="shared" si="2"/>
        <v>1.47</v>
      </c>
      <c r="L19" s="48">
        <f t="shared" si="4"/>
        <v>147</v>
      </c>
      <c r="M19" s="49">
        <f t="shared" si="2"/>
        <v>1.47</v>
      </c>
      <c r="N19"/>
      <c r="O19">
        <v>88</v>
      </c>
      <c r="P19" s="49">
        <f t="shared" si="3"/>
        <v>0.88</v>
      </c>
      <c r="Q19" s="48">
        <f t="shared" si="5"/>
        <v>88</v>
      </c>
      <c r="R19" s="49">
        <f t="shared" si="3"/>
        <v>0.88</v>
      </c>
    </row>
    <row r="20" spans="2:18" ht="12.75">
      <c r="B20" s="38" t="s">
        <v>147</v>
      </c>
      <c r="C20" s="39">
        <v>0</v>
      </c>
      <c r="D20"/>
      <c r="E20">
        <v>217</v>
      </c>
      <c r="F20" s="49">
        <f t="shared" si="0"/>
        <v>0</v>
      </c>
      <c r="G20" s="48">
        <f t="shared" si="1"/>
        <v>217</v>
      </c>
      <c r="H20" s="49">
        <f t="shared" si="0"/>
        <v>0</v>
      </c>
      <c r="I20"/>
      <c r="J20">
        <v>290</v>
      </c>
      <c r="K20" s="49">
        <f t="shared" si="2"/>
        <v>0</v>
      </c>
      <c r="L20" s="48">
        <f t="shared" si="4"/>
        <v>290</v>
      </c>
      <c r="M20" s="49">
        <f t="shared" si="2"/>
        <v>0</v>
      </c>
      <c r="N20"/>
      <c r="O20">
        <v>127</v>
      </c>
      <c r="P20" s="49">
        <f t="shared" si="3"/>
        <v>0</v>
      </c>
      <c r="Q20" s="48">
        <f t="shared" si="5"/>
        <v>127</v>
      </c>
      <c r="R20" s="49">
        <f t="shared" si="3"/>
        <v>0</v>
      </c>
    </row>
    <row r="21" spans="2:18" ht="12.75">
      <c r="B21" s="38" t="s">
        <v>148</v>
      </c>
      <c r="C21" s="39">
        <v>0.001</v>
      </c>
      <c r="D21"/>
      <c r="E21">
        <v>192</v>
      </c>
      <c r="F21" s="49">
        <f t="shared" si="0"/>
        <v>0.192</v>
      </c>
      <c r="G21" s="48">
        <f t="shared" si="1"/>
        <v>192</v>
      </c>
      <c r="H21" s="49">
        <f t="shared" si="0"/>
        <v>0.192</v>
      </c>
      <c r="I21"/>
      <c r="J21">
        <v>230</v>
      </c>
      <c r="K21" s="49">
        <f t="shared" si="2"/>
        <v>0.23</v>
      </c>
      <c r="L21" s="48">
        <f t="shared" si="4"/>
        <v>230</v>
      </c>
      <c r="M21" s="49">
        <f t="shared" si="2"/>
        <v>0.23</v>
      </c>
      <c r="N21"/>
      <c r="O21">
        <v>170</v>
      </c>
      <c r="P21" s="49">
        <f t="shared" si="3"/>
        <v>0.17</v>
      </c>
      <c r="Q21" s="48">
        <f t="shared" si="5"/>
        <v>170</v>
      </c>
      <c r="R21" s="49">
        <f t="shared" si="3"/>
        <v>0.17</v>
      </c>
    </row>
    <row r="22" spans="2:18" ht="12.75">
      <c r="B22" s="38" t="s">
        <v>149</v>
      </c>
      <c r="C22" s="39">
        <v>0.1</v>
      </c>
      <c r="D22"/>
      <c r="E22">
        <v>256</v>
      </c>
      <c r="F22" s="49">
        <f t="shared" si="0"/>
        <v>25.6</v>
      </c>
      <c r="G22" s="48">
        <f t="shared" si="1"/>
        <v>256</v>
      </c>
      <c r="H22" s="49">
        <f t="shared" si="0"/>
        <v>25.6</v>
      </c>
      <c r="I22"/>
      <c r="J22">
        <v>215</v>
      </c>
      <c r="K22" s="49">
        <f t="shared" si="2"/>
        <v>21.5</v>
      </c>
      <c r="L22" s="48">
        <f t="shared" si="4"/>
        <v>215</v>
      </c>
      <c r="M22" s="49">
        <f t="shared" si="2"/>
        <v>21.5</v>
      </c>
      <c r="N22"/>
      <c r="O22">
        <v>185</v>
      </c>
      <c r="P22" s="49">
        <f t="shared" si="3"/>
        <v>18.5</v>
      </c>
      <c r="Q22" s="48">
        <f t="shared" si="5"/>
        <v>185</v>
      </c>
      <c r="R22" s="49">
        <f t="shared" si="3"/>
        <v>18.5</v>
      </c>
    </row>
    <row r="23" spans="2:18" ht="12.75">
      <c r="B23" s="38" t="s">
        <v>150</v>
      </c>
      <c r="C23" s="39">
        <v>0</v>
      </c>
      <c r="D23"/>
      <c r="E23">
        <v>1404</v>
      </c>
      <c r="F23" s="49">
        <f t="shared" si="0"/>
        <v>0</v>
      </c>
      <c r="G23" s="48">
        <f t="shared" si="1"/>
        <v>1404</v>
      </c>
      <c r="H23" s="49">
        <f t="shared" si="0"/>
        <v>0</v>
      </c>
      <c r="I23"/>
      <c r="J23">
        <v>885</v>
      </c>
      <c r="K23" s="49">
        <f t="shared" si="2"/>
        <v>0</v>
      </c>
      <c r="L23" s="48">
        <f t="shared" si="4"/>
        <v>885</v>
      </c>
      <c r="M23" s="49">
        <f t="shared" si="2"/>
        <v>0</v>
      </c>
      <c r="N23"/>
      <c r="O23">
        <v>821</v>
      </c>
      <c r="P23" s="49">
        <f t="shared" si="3"/>
        <v>0</v>
      </c>
      <c r="Q23" s="48">
        <f t="shared" si="5"/>
        <v>821</v>
      </c>
      <c r="R23" s="49">
        <f t="shared" si="3"/>
        <v>0</v>
      </c>
    </row>
    <row r="24" spans="2:18" ht="12.75">
      <c r="B24" s="38" t="s">
        <v>151</v>
      </c>
      <c r="C24" s="39">
        <v>0.05</v>
      </c>
      <c r="D24"/>
      <c r="E24">
        <v>43.5</v>
      </c>
      <c r="F24" s="49">
        <f t="shared" si="0"/>
        <v>2.1750000000000003</v>
      </c>
      <c r="G24" s="48">
        <f t="shared" si="1"/>
        <v>43.5</v>
      </c>
      <c r="H24" s="49">
        <f t="shared" si="0"/>
        <v>2.1750000000000003</v>
      </c>
      <c r="I24"/>
      <c r="J24">
        <v>54.9</v>
      </c>
      <c r="K24" s="49">
        <f t="shared" si="2"/>
        <v>2.745</v>
      </c>
      <c r="L24" s="48">
        <f t="shared" si="4"/>
        <v>54.9</v>
      </c>
      <c r="M24" s="49">
        <f t="shared" si="2"/>
        <v>2.745</v>
      </c>
      <c r="N24"/>
      <c r="O24">
        <v>24.6</v>
      </c>
      <c r="P24" s="49">
        <f t="shared" si="3"/>
        <v>1.2300000000000002</v>
      </c>
      <c r="Q24" s="48">
        <f t="shared" si="5"/>
        <v>24.6</v>
      </c>
      <c r="R24" s="49">
        <f t="shared" si="3"/>
        <v>1.2300000000000002</v>
      </c>
    </row>
    <row r="25" spans="2:18" ht="12.75">
      <c r="B25" s="38" t="s">
        <v>152</v>
      </c>
      <c r="C25" s="39">
        <v>0.5</v>
      </c>
      <c r="D25"/>
      <c r="E25">
        <v>63.4</v>
      </c>
      <c r="F25" s="49">
        <f t="shared" si="0"/>
        <v>31.7</v>
      </c>
      <c r="G25" s="48">
        <f t="shared" si="1"/>
        <v>63.4</v>
      </c>
      <c r="H25" s="49">
        <f t="shared" si="0"/>
        <v>31.7</v>
      </c>
      <c r="I25"/>
      <c r="J25">
        <v>77</v>
      </c>
      <c r="K25" s="49">
        <f t="shared" si="2"/>
        <v>38.5</v>
      </c>
      <c r="L25" s="48">
        <f t="shared" si="4"/>
        <v>77</v>
      </c>
      <c r="M25" s="49">
        <f t="shared" si="2"/>
        <v>38.5</v>
      </c>
      <c r="N25"/>
      <c r="O25">
        <v>37.8</v>
      </c>
      <c r="P25" s="49">
        <f t="shared" si="3"/>
        <v>18.9</v>
      </c>
      <c r="Q25" s="48">
        <f t="shared" si="5"/>
        <v>37.8</v>
      </c>
      <c r="R25" s="49">
        <f t="shared" si="3"/>
        <v>18.9</v>
      </c>
    </row>
    <row r="26" spans="2:18" ht="12.75">
      <c r="B26" s="38" t="s">
        <v>153</v>
      </c>
      <c r="C26" s="39">
        <v>0</v>
      </c>
      <c r="D26"/>
      <c r="E26">
        <v>776</v>
      </c>
      <c r="F26" s="49">
        <f t="shared" si="0"/>
        <v>0</v>
      </c>
      <c r="G26" s="48">
        <f t="shared" si="1"/>
        <v>776</v>
      </c>
      <c r="H26" s="49">
        <f t="shared" si="0"/>
        <v>0</v>
      </c>
      <c r="I26"/>
      <c r="J26">
        <v>851</v>
      </c>
      <c r="K26" s="49">
        <f t="shared" si="2"/>
        <v>0</v>
      </c>
      <c r="L26" s="48">
        <f t="shared" si="4"/>
        <v>851</v>
      </c>
      <c r="M26" s="49">
        <f t="shared" si="2"/>
        <v>0</v>
      </c>
      <c r="N26"/>
      <c r="O26">
        <v>432</v>
      </c>
      <c r="P26" s="49">
        <f t="shared" si="3"/>
        <v>0</v>
      </c>
      <c r="Q26" s="48">
        <f t="shared" si="5"/>
        <v>432</v>
      </c>
      <c r="R26" s="49">
        <f t="shared" si="3"/>
        <v>0</v>
      </c>
    </row>
    <row r="27" spans="2:18" ht="12.75">
      <c r="B27" s="38" t="s">
        <v>154</v>
      </c>
      <c r="C27" s="39">
        <v>0.1</v>
      </c>
      <c r="D27"/>
      <c r="E27">
        <v>95</v>
      </c>
      <c r="F27" s="49">
        <f t="shared" si="0"/>
        <v>9.5</v>
      </c>
      <c r="G27" s="48">
        <f t="shared" si="1"/>
        <v>95</v>
      </c>
      <c r="H27" s="49">
        <f t="shared" si="0"/>
        <v>9.5</v>
      </c>
      <c r="I27"/>
      <c r="J27">
        <v>135</v>
      </c>
      <c r="K27" s="49">
        <f t="shared" si="2"/>
        <v>13.5</v>
      </c>
      <c r="L27" s="48">
        <f t="shared" si="4"/>
        <v>135</v>
      </c>
      <c r="M27" s="49">
        <f t="shared" si="2"/>
        <v>13.5</v>
      </c>
      <c r="N27"/>
      <c r="O27">
        <v>40</v>
      </c>
      <c r="P27" s="49">
        <f t="shared" si="3"/>
        <v>4</v>
      </c>
      <c r="Q27" s="48">
        <f t="shared" si="5"/>
        <v>40</v>
      </c>
      <c r="R27" s="49">
        <f t="shared" si="3"/>
        <v>4</v>
      </c>
    </row>
    <row r="28" spans="2:18" ht="12.75">
      <c r="B28" s="38" t="s">
        <v>155</v>
      </c>
      <c r="C28" s="39">
        <v>0.1</v>
      </c>
      <c r="D28"/>
      <c r="E28">
        <v>41.7</v>
      </c>
      <c r="F28" s="49">
        <f t="shared" si="0"/>
        <v>4.170000000000001</v>
      </c>
      <c r="G28" s="48">
        <f t="shared" si="1"/>
        <v>41.7</v>
      </c>
      <c r="H28" s="49">
        <f t="shared" si="0"/>
        <v>4.170000000000001</v>
      </c>
      <c r="I28"/>
      <c r="J28">
        <v>57</v>
      </c>
      <c r="K28" s="49">
        <f t="shared" si="2"/>
        <v>5.7</v>
      </c>
      <c r="L28" s="48">
        <f t="shared" si="4"/>
        <v>57</v>
      </c>
      <c r="M28" s="49">
        <f t="shared" si="2"/>
        <v>5.7</v>
      </c>
      <c r="N28"/>
      <c r="O28">
        <v>14.4</v>
      </c>
      <c r="P28" s="49">
        <f t="shared" si="3"/>
        <v>1.4400000000000002</v>
      </c>
      <c r="Q28" s="48">
        <f t="shared" si="5"/>
        <v>14.4</v>
      </c>
      <c r="R28" s="49">
        <f t="shared" si="3"/>
        <v>1.4400000000000002</v>
      </c>
    </row>
    <row r="29" spans="2:18" ht="12.75">
      <c r="B29" s="38" t="s">
        <v>156</v>
      </c>
      <c r="C29" s="39">
        <v>0.1</v>
      </c>
      <c r="D29"/>
      <c r="E29">
        <v>37.9</v>
      </c>
      <c r="F29" s="49">
        <f t="shared" si="0"/>
        <v>3.79</v>
      </c>
      <c r="G29" s="48">
        <f t="shared" si="1"/>
        <v>37.9</v>
      </c>
      <c r="H29" s="49">
        <f t="shared" si="0"/>
        <v>3.79</v>
      </c>
      <c r="I29"/>
      <c r="J29">
        <v>65.6</v>
      </c>
      <c r="K29" s="49">
        <f t="shared" si="2"/>
        <v>6.56</v>
      </c>
      <c r="L29" s="48">
        <f t="shared" si="4"/>
        <v>65.6</v>
      </c>
      <c r="M29" s="49">
        <f t="shared" si="2"/>
        <v>6.56</v>
      </c>
      <c r="N29"/>
      <c r="O29">
        <v>16.8</v>
      </c>
      <c r="P29" s="49">
        <f t="shared" si="3"/>
        <v>1.6800000000000002</v>
      </c>
      <c r="Q29" s="48">
        <f t="shared" si="5"/>
        <v>16.8</v>
      </c>
      <c r="R29" s="49">
        <f t="shared" si="3"/>
        <v>1.6800000000000002</v>
      </c>
    </row>
    <row r="30" spans="2:18" ht="12.75">
      <c r="B30" s="38" t="s">
        <v>157</v>
      </c>
      <c r="C30" s="39">
        <v>0.1</v>
      </c>
      <c r="D30"/>
      <c r="E30"/>
      <c r="F30" s="49">
        <f t="shared" si="0"/>
      </c>
      <c r="G30" s="48">
        <f t="shared" si="1"/>
      </c>
      <c r="H30" s="49">
        <f t="shared" si="0"/>
      </c>
      <c r="I30"/>
      <c r="J30"/>
      <c r="K30" s="49">
        <f t="shared" si="2"/>
      </c>
      <c r="L30" s="48">
        <f t="shared" si="4"/>
      </c>
      <c r="M30" s="49">
        <f t="shared" si="2"/>
      </c>
      <c r="N30"/>
      <c r="O30"/>
      <c r="P30" s="49">
        <f t="shared" si="3"/>
      </c>
      <c r="Q30" s="48">
        <f t="shared" si="5"/>
      </c>
      <c r="R30" s="49">
        <f t="shared" si="3"/>
      </c>
    </row>
    <row r="31" spans="2:18" ht="12.75">
      <c r="B31" s="38" t="s">
        <v>158</v>
      </c>
      <c r="C31" s="39">
        <v>0</v>
      </c>
      <c r="D31"/>
      <c r="E31">
        <v>224</v>
      </c>
      <c r="F31" s="49">
        <f t="shared" si="0"/>
        <v>0</v>
      </c>
      <c r="G31" s="48">
        <f t="shared" si="1"/>
        <v>224</v>
      </c>
      <c r="H31" s="49">
        <f t="shared" si="0"/>
        <v>0</v>
      </c>
      <c r="I31"/>
      <c r="J31">
        <v>340</v>
      </c>
      <c r="K31" s="49">
        <f t="shared" si="2"/>
        <v>0</v>
      </c>
      <c r="L31" s="48">
        <f t="shared" si="4"/>
        <v>340</v>
      </c>
      <c r="M31" s="49">
        <f t="shared" si="2"/>
        <v>0</v>
      </c>
      <c r="N31"/>
      <c r="O31">
        <v>126</v>
      </c>
      <c r="P31" s="49">
        <f t="shared" si="3"/>
        <v>0</v>
      </c>
      <c r="Q31" s="48">
        <f t="shared" si="5"/>
        <v>126</v>
      </c>
      <c r="R31" s="49">
        <f t="shared" si="3"/>
        <v>0</v>
      </c>
    </row>
    <row r="32" spans="2:18" ht="12.75">
      <c r="B32" s="38" t="s">
        <v>159</v>
      </c>
      <c r="C32" s="39">
        <v>0.01</v>
      </c>
      <c r="D32"/>
      <c r="E32">
        <v>112</v>
      </c>
      <c r="F32" s="49">
        <f t="shared" si="0"/>
        <v>1.12</v>
      </c>
      <c r="G32" s="48">
        <f t="shared" si="1"/>
        <v>112</v>
      </c>
      <c r="H32" s="49">
        <f t="shared" si="0"/>
        <v>1.12</v>
      </c>
      <c r="I32"/>
      <c r="J32">
        <v>159</v>
      </c>
      <c r="K32" s="49">
        <f t="shared" si="2"/>
        <v>1.59</v>
      </c>
      <c r="L32" s="48">
        <f t="shared" si="4"/>
        <v>159</v>
      </c>
      <c r="M32" s="49">
        <f t="shared" si="2"/>
        <v>1.59</v>
      </c>
      <c r="N32"/>
      <c r="O32">
        <v>46</v>
      </c>
      <c r="P32" s="49">
        <f t="shared" si="3"/>
        <v>0.46</v>
      </c>
      <c r="Q32" s="48">
        <f t="shared" si="5"/>
        <v>46</v>
      </c>
      <c r="R32" s="49">
        <f t="shared" si="3"/>
        <v>0.46</v>
      </c>
    </row>
    <row r="33" spans="2:18" ht="12.75">
      <c r="B33" s="38" t="s">
        <v>160</v>
      </c>
      <c r="C33" s="39">
        <v>0.01</v>
      </c>
      <c r="D33"/>
      <c r="E33">
        <v>18</v>
      </c>
      <c r="F33" s="49">
        <f t="shared" si="0"/>
        <v>0.18</v>
      </c>
      <c r="G33" s="48">
        <f t="shared" si="1"/>
        <v>18</v>
      </c>
      <c r="H33" s="49">
        <f t="shared" si="0"/>
        <v>0.18</v>
      </c>
      <c r="I33"/>
      <c r="J33">
        <v>20.8</v>
      </c>
      <c r="K33" s="49">
        <f t="shared" si="2"/>
        <v>0.20800000000000002</v>
      </c>
      <c r="L33" s="48">
        <f t="shared" si="4"/>
        <v>20.8</v>
      </c>
      <c r="M33" s="49">
        <f t="shared" si="2"/>
        <v>0.20800000000000002</v>
      </c>
      <c r="N33"/>
      <c r="O33">
        <v>5.5</v>
      </c>
      <c r="P33" s="49">
        <f t="shared" si="3"/>
        <v>0.055</v>
      </c>
      <c r="Q33" s="48">
        <f t="shared" si="5"/>
        <v>5.5</v>
      </c>
      <c r="R33" s="49">
        <f t="shared" si="3"/>
        <v>0.055</v>
      </c>
    </row>
    <row r="34" spans="2:18" ht="12.75">
      <c r="B34" s="38" t="s">
        <v>161</v>
      </c>
      <c r="C34" s="39">
        <v>0</v>
      </c>
      <c r="D34"/>
      <c r="E34">
        <v>162</v>
      </c>
      <c r="F34" s="49">
        <f t="shared" si="0"/>
        <v>0</v>
      </c>
      <c r="G34" s="48">
        <f t="shared" si="1"/>
        <v>162</v>
      </c>
      <c r="H34" s="49">
        <f t="shared" si="0"/>
        <v>0</v>
      </c>
      <c r="I34"/>
      <c r="J34">
        <v>229.8</v>
      </c>
      <c r="K34" s="49">
        <f t="shared" si="2"/>
        <v>0</v>
      </c>
      <c r="L34" s="48">
        <f t="shared" si="4"/>
        <v>229.8</v>
      </c>
      <c r="M34" s="49">
        <f t="shared" si="2"/>
        <v>0</v>
      </c>
      <c r="N34"/>
      <c r="O34">
        <v>46</v>
      </c>
      <c r="P34" s="49">
        <f t="shared" si="3"/>
        <v>0</v>
      </c>
      <c r="Q34" s="48">
        <f t="shared" si="5"/>
        <v>46</v>
      </c>
      <c r="R34" s="49">
        <f t="shared" si="3"/>
        <v>0</v>
      </c>
    </row>
    <row r="35" spans="2:18" ht="12.75">
      <c r="B35" s="38" t="s">
        <v>162</v>
      </c>
      <c r="C35" s="39">
        <v>0.001</v>
      </c>
      <c r="D35"/>
      <c r="E35">
        <v>60</v>
      </c>
      <c r="F35" s="49">
        <f t="shared" si="0"/>
        <v>0.06</v>
      </c>
      <c r="G35" s="48">
        <f t="shared" si="1"/>
        <v>60</v>
      </c>
      <c r="H35" s="49">
        <f t="shared" si="0"/>
        <v>0.06</v>
      </c>
      <c r="I35"/>
      <c r="J35">
        <v>83</v>
      </c>
      <c r="K35" s="49">
        <f t="shared" si="2"/>
        <v>0.083</v>
      </c>
      <c r="L35" s="48">
        <f t="shared" si="4"/>
        <v>83</v>
      </c>
      <c r="M35" s="49">
        <f t="shared" si="2"/>
        <v>0.083</v>
      </c>
      <c r="N35"/>
      <c r="O35">
        <v>23</v>
      </c>
      <c r="P35" s="49">
        <f t="shared" si="3"/>
        <v>0.023</v>
      </c>
      <c r="Q35" s="48">
        <f t="shared" si="5"/>
        <v>23</v>
      </c>
      <c r="R35" s="49">
        <f t="shared" si="3"/>
        <v>0.023</v>
      </c>
    </row>
    <row r="36" spans="5:17" ht="12.75">
      <c r="E36" s="50"/>
      <c r="G36" s="50"/>
      <c r="I36" s="51"/>
      <c r="J36" s="3"/>
      <c r="K36" s="48"/>
      <c r="L36" s="48"/>
      <c r="M36" s="48"/>
      <c r="N36" s="51"/>
      <c r="O36" s="3"/>
      <c r="Q36" s="50"/>
    </row>
    <row r="37" spans="2:18" ht="12.75">
      <c r="B37" s="38" t="s">
        <v>163</v>
      </c>
      <c r="E37" s="50"/>
      <c r="F37">
        <v>161.61</v>
      </c>
      <c r="G37">
        <v>161.61</v>
      </c>
      <c r="H37">
        <v>161.61</v>
      </c>
      <c r="I37"/>
      <c r="J37"/>
      <c r="K37">
        <v>155.241</v>
      </c>
      <c r="L37">
        <v>155.241</v>
      </c>
      <c r="M37">
        <v>155.241</v>
      </c>
      <c r="N37"/>
      <c r="O37"/>
      <c r="P37">
        <v>152.334</v>
      </c>
      <c r="Q37">
        <v>152.334</v>
      </c>
      <c r="R37">
        <v>152.334</v>
      </c>
    </row>
    <row r="38" spans="2:18" ht="12.75">
      <c r="B38" s="38" t="s">
        <v>164</v>
      </c>
      <c r="E38" s="50"/>
      <c r="F38">
        <v>14.4</v>
      </c>
      <c r="G38">
        <v>14.4</v>
      </c>
      <c r="H38">
        <v>14.4</v>
      </c>
      <c r="I38"/>
      <c r="J38"/>
      <c r="K38">
        <v>14.8</v>
      </c>
      <c r="L38">
        <v>14.8</v>
      </c>
      <c r="M38">
        <v>14.8</v>
      </c>
      <c r="N38"/>
      <c r="O38"/>
      <c r="P38">
        <v>15.4</v>
      </c>
      <c r="Q38">
        <v>15.4</v>
      </c>
      <c r="R38">
        <v>15.4</v>
      </c>
    </row>
    <row r="39" spans="5:18" ht="12.75">
      <c r="E39" s="50"/>
      <c r="F39" s="52"/>
      <c r="G39" s="50"/>
      <c r="H39" s="52"/>
      <c r="I39" s="53"/>
      <c r="J39" s="50"/>
      <c r="K39" s="54"/>
      <c r="L39" s="48"/>
      <c r="M39" s="54"/>
      <c r="N39" s="51"/>
      <c r="O39" s="50"/>
      <c r="P39" s="50"/>
      <c r="Q39" s="50"/>
      <c r="R39" s="50"/>
    </row>
    <row r="40" spans="2:18" ht="12" customHeight="1">
      <c r="B40" s="38" t="s">
        <v>165</v>
      </c>
      <c r="C40" s="41"/>
      <c r="D40" s="45"/>
      <c r="E40" s="48"/>
      <c r="F40" s="49">
        <f>SUM(F11:F35)/1000</f>
        <v>0.09147700000000002</v>
      </c>
      <c r="G40" s="49">
        <f>SUM(G35,G34,G31,G26,G23,G21,G20,G18,G14,G12)/1000</f>
        <v>3.346</v>
      </c>
      <c r="H40" s="49">
        <f>SUM(H11:H35)/1000</f>
        <v>0.09147700000000002</v>
      </c>
      <c r="I40" s="45"/>
      <c r="J40" s="48"/>
      <c r="K40" s="49">
        <f>SUM(K11:K35)/1000</f>
        <v>0.105786</v>
      </c>
      <c r="L40" s="49">
        <f>SUM(L35,L34,L31,L26,L23,L21,L20,L18,L14,L12)/1000</f>
        <v>3.4998</v>
      </c>
      <c r="M40" s="49">
        <f>SUM(M11:M35)/1000</f>
        <v>0.105786</v>
      </c>
      <c r="N40" s="45"/>
      <c r="O40" s="50"/>
      <c r="P40" s="49">
        <f>SUM(P11:P35)/1000</f>
        <v>0.049336</v>
      </c>
      <c r="Q40" s="49">
        <f>SUM(Q35,Q34,Q31,Q26,Q23,Q21,Q20,Q18,Q14,Q12)/1000</f>
        <v>1.9507999999999999</v>
      </c>
      <c r="R40" s="49">
        <f>SUM(R11:R35)/1000</f>
        <v>0.049336</v>
      </c>
    </row>
    <row r="41" spans="2:18" ht="12.75">
      <c r="B41" s="38" t="s">
        <v>166</v>
      </c>
      <c r="C41" s="41"/>
      <c r="D41" s="47">
        <f>(F41-H41)*2/F41</f>
        <v>0</v>
      </c>
      <c r="E41" s="50"/>
      <c r="F41" s="49">
        <f>(F40/F37/0.0283*(21-7)/(21-F38))</f>
        <v>0.04242690462821245</v>
      </c>
      <c r="G41" s="49">
        <f>(G40/G37/0.0283*(21-7)/(21-G38))</f>
        <v>1.5518701191118955</v>
      </c>
      <c r="H41" s="49">
        <f>(H40/H37/0.0283*(21-7)/(21-H38))</f>
        <v>0.04242690462821245</v>
      </c>
      <c r="I41" s="47">
        <f>(K41-M41)*2/K41</f>
        <v>0</v>
      </c>
      <c r="J41" s="50"/>
      <c r="K41" s="49">
        <f>(K40/K37/0.0283*(21-7)/(21-K38))</f>
        <v>0.05437154511662303</v>
      </c>
      <c r="L41" s="49">
        <f>(L40/L37/0.0283*(21-7)/(21-L38))</f>
        <v>1.7988158508607688</v>
      </c>
      <c r="M41" s="49">
        <f>(M40/M37/0.0283*(21-7)/(21-M38))</f>
        <v>0.05437154511662303</v>
      </c>
      <c r="N41" s="47">
        <f>(P41-R41)*2/P41</f>
        <v>0</v>
      </c>
      <c r="O41" s="50"/>
      <c r="P41" s="49">
        <f>(P40/P37/0.0283*(21-7)/(21-P38))</f>
        <v>0.028610184771133137</v>
      </c>
      <c r="Q41" s="49">
        <f>(Q40/Q37/0.0283*(21-7)/(21-Q38))</f>
        <v>1.1312783454582156</v>
      </c>
      <c r="R41" s="49">
        <f>(R40/R37/0.0283*(21-7)/(21-R38))</f>
        <v>0.028610184771133137</v>
      </c>
    </row>
    <row r="42" spans="5:17" ht="12.75">
      <c r="E42" s="49"/>
      <c r="G42" s="49"/>
      <c r="I42" s="55"/>
      <c r="J42" s="49"/>
      <c r="K42" s="49"/>
      <c r="L42" s="49"/>
      <c r="M42" s="49"/>
      <c r="N42" s="55"/>
      <c r="O42" s="49"/>
      <c r="Q42" s="49"/>
    </row>
    <row r="43" spans="2:25" s="50" customFormat="1" ht="12.75">
      <c r="B43" s="50" t="s">
        <v>167</v>
      </c>
      <c r="C43" s="49">
        <f>AVERAGE(H41,M41,R41)</f>
        <v>0.04180287817198954</v>
      </c>
      <c r="D43" s="51"/>
      <c r="F43" s="41"/>
      <c r="H43" s="41"/>
      <c r="I43" s="51"/>
      <c r="N43" s="51"/>
      <c r="P43" s="40"/>
      <c r="R43" s="40"/>
      <c r="S43"/>
      <c r="T43"/>
      <c r="U43"/>
      <c r="V43"/>
      <c r="W43"/>
      <c r="X43"/>
      <c r="Y43"/>
    </row>
    <row r="44" spans="2:3" ht="12.75">
      <c r="B44" s="38" t="s">
        <v>168</v>
      </c>
      <c r="C44" s="49">
        <f>AVERAGE(G41,L41,Q41)</f>
        <v>1.4939881051436268</v>
      </c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2004-02-24T01:34:32Z</cp:lastPrinted>
  <dcterms:created xsi:type="dcterms:W3CDTF">2002-09-10T21:05:24Z</dcterms:created>
  <dcterms:modified xsi:type="dcterms:W3CDTF">2004-10-20T19:30:16Z</dcterms:modified>
  <cp:category/>
  <cp:version/>
  <cp:contentType/>
  <cp:contentStatus/>
</cp:coreProperties>
</file>