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65" windowWidth="12015" windowHeight="6405" tabRatio="866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0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<sst xmlns="http://schemas.openxmlformats.org/spreadsheetml/2006/main" count="738" uniqueCount="211">
  <si>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</si>
  <si>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</si>
  <si>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</si>
  <si>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</si>
  <si>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</si>
  <si>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</si>
  <si>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</si>
  <si>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</si>
  <si>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</si>
  <si>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</si>
  <si>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</si>
  <si>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</si>
  <si>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</si>
  <si>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</si>
  <si>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</si>
  <si>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</si>
  <si>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</si>
  <si>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nd</t>
  </si>
  <si>
    <t>%</t>
  </si>
  <si>
    <t>y</t>
  </si>
  <si>
    <t>dscfm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</si>
  <si>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</si>
  <si>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</si>
  <si>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</si>
  <si>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</si>
  <si>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</si>
  <si>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</si>
  <si>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</si>
  <si>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</si>
  <si>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</si>
  <si>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</si>
  <si>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</si>
  <si>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</si>
  <si>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</si>
  <si>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</si>
  <si>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</si>
  <si>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</si>
  <si>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</si>
  <si>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</si>
  <si>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</si>
  <si>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</si>
  <si>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</si>
  <si>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</si>
  <si>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</si>
  <si>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</si>
  <si>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</si>
  <si>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</si>
  <si>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</si>
  <si>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</si>
  <si>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</si>
  <si>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</si>
  <si>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</si>
  <si>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</si>
  <si>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</si>
  <si>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</si>
  <si>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</si>
  <si>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</si>
  <si>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</si>
  <si>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</si>
  <si>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</si>
  <si>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</si>
  <si>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</si>
  <si>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</si>
  <si>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</si>
  <si>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</si>
  <si>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</si>
  <si>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Heating Value</t>
  </si>
  <si>
    <t>Combustor Characteristics</t>
  </si>
  <si>
    <t>ppmv</t>
  </si>
  <si>
    <t>Spike</t>
  </si>
  <si>
    <t>Cl2</t>
  </si>
  <si>
    <t>ug/dscm</t>
  </si>
  <si>
    <t>Cond Avg</t>
  </si>
  <si>
    <t>Stack Gas Flowrate</t>
  </si>
  <si>
    <t>Oxygen</t>
  </si>
  <si>
    <t>MMBtu/hr</t>
  </si>
  <si>
    <t>1/2 ND</t>
  </si>
  <si>
    <t>TEQ Cond Avg</t>
  </si>
  <si>
    <t>Total Cond Avg</t>
  </si>
  <si>
    <t>SVM</t>
  </si>
  <si>
    <t>LVM</t>
  </si>
  <si>
    <t>HW</t>
  </si>
  <si>
    <t>Capacity (MMBtu/hr)</t>
  </si>
  <si>
    <t>PCDD/PCDF</t>
  </si>
  <si>
    <t>Supplemental Fuel</t>
  </si>
  <si>
    <t>Haz Waste Description</t>
  </si>
  <si>
    <t xml:space="preserve">    Testing Dates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</si>
  <si>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</si>
  <si>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</si>
  <si>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</si>
  <si>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</si>
  <si>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</si>
  <si>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</si>
  <si>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</si>
  <si>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</si>
  <si>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</si>
  <si>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</si>
  <si>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</si>
  <si>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</si>
  <si>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</si>
  <si>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</si>
  <si>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</si>
  <si>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</si>
  <si>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</si>
  <si>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</si>
  <si>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</si>
  <si>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</si>
  <si>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</si>
  <si>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</si>
  <si>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</si>
  <si>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</si>
  <si>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Mercury</t>
  </si>
  <si>
    <t>Feed Rate</t>
  </si>
  <si>
    <t>HWC Burn Status (Date if Terminated)</t>
  </si>
  <si>
    <t>Phase I ID No.</t>
  </si>
  <si>
    <t>Cement Kiln</t>
  </si>
  <si>
    <t>Metals</t>
  </si>
  <si>
    <t>CO (MHRA)</t>
  </si>
  <si>
    <t>HC (RA)</t>
  </si>
  <si>
    <t>HC (MHRA)</t>
  </si>
  <si>
    <t>Raw Matl</t>
  </si>
  <si>
    <t>Coal</t>
  </si>
  <si>
    <t>R1</t>
  </si>
  <si>
    <t>R2</t>
  </si>
  <si>
    <t>R3</t>
  </si>
  <si>
    <t>ESP Inlet Temp</t>
  </si>
  <si>
    <t>F</t>
  </si>
  <si>
    <t>ESP Power</t>
  </si>
  <si>
    <t>kVA</t>
  </si>
  <si>
    <t>Liq</t>
  </si>
  <si>
    <t>Liq Waste</t>
  </si>
  <si>
    <t>Btu/lb</t>
  </si>
  <si>
    <t>Selenium</t>
  </si>
  <si>
    <t>Combustion Temp</t>
  </si>
  <si>
    <t>Thermal Feedrate</t>
  </si>
  <si>
    <t>Lone Star, Greencastle, IN</t>
  </si>
  <si>
    <t>PIC risk burn, Dec 2000</t>
  </si>
  <si>
    <t>Lone Star</t>
  </si>
  <si>
    <t>Greencastle</t>
  </si>
  <si>
    <t>IN</t>
  </si>
  <si>
    <t>ESP (main), FF (bypass)</t>
  </si>
  <si>
    <t>PIC Risk Burn Report, Lone Star Industries, February, 2001</t>
  </si>
  <si>
    <t>Gossman Consulting</t>
  </si>
  <si>
    <t>Airtech Environmental Services</t>
  </si>
  <si>
    <t>Risk burn, max oper temp, normal wastes</t>
  </si>
  <si>
    <t>PICs, D/F</t>
  </si>
  <si>
    <t>ESP made by Southern, 10 fields; FF membrane filter, with cloth area 22,055 ft2, Combined main / bypass single stack</t>
  </si>
  <si>
    <t>FF Bypass Inlet Temp</t>
  </si>
  <si>
    <t>Risk burn PIC</t>
  </si>
  <si>
    <t>tons/hr</t>
  </si>
  <si>
    <t>lb/hr</t>
  </si>
  <si>
    <t>Solid Waste</t>
  </si>
  <si>
    <t>Risk burn PICs</t>
  </si>
  <si>
    <t>ppmw</t>
  </si>
  <si>
    <t>Detected in sample volume (pg)</t>
  </si>
  <si>
    <t>Risk Burn PICs</t>
  </si>
  <si>
    <t>Final Recertification of Compliance Test Report, Lone Star Industries, January 2001</t>
  </si>
  <si>
    <t>CoC; max oper conditions</t>
  </si>
  <si>
    <t>PM, HCl/Cl2, metals, CO, HC</t>
  </si>
  <si>
    <t>bypass?</t>
  </si>
  <si>
    <t>2000 CoC</t>
  </si>
  <si>
    <t>Tier I for Hg, Ag, Tl, Sb, and Ba; Tier III for Pb, As, Be, Cd, and Cr</t>
  </si>
  <si>
    <t>Kiln 304 has modified design with addition of precalciner / preheater prior to Dec 2000 testing</t>
  </si>
  <si>
    <t>Old 304 data, pre-Dec 2000 is not representative of most recent kiln operations</t>
  </si>
  <si>
    <t>3029C10</t>
  </si>
  <si>
    <t>3029C11</t>
  </si>
  <si>
    <t>IND006419212</t>
  </si>
  <si>
    <t>Combustor Type</t>
  </si>
  <si>
    <t>Combustor Class</t>
  </si>
  <si>
    <t>Stack Gas Emissions 1</t>
  </si>
  <si>
    <t>Feedstream 1</t>
  </si>
  <si>
    <t>Process Information 1</t>
  </si>
  <si>
    <t>E1</t>
  </si>
  <si>
    <t>Total Chlorine</t>
  </si>
  <si>
    <t>Aluminum</t>
  </si>
  <si>
    <t>Cobalt</t>
  </si>
  <si>
    <t>Copper</t>
  </si>
  <si>
    <t>Manganese</t>
  </si>
  <si>
    <t>Vanadium</t>
  </si>
  <si>
    <t>Zinc</t>
  </si>
  <si>
    <t>Chromium (Hex)</t>
  </si>
  <si>
    <t>E2</t>
  </si>
  <si>
    <t>Cond Description</t>
  </si>
  <si>
    <t>December 7-9, 2000</t>
  </si>
  <si>
    <t xml:space="preserve">    Cond Dates</t>
  </si>
  <si>
    <t>Number of Sister Facilities</t>
  </si>
  <si>
    <t>APCS Detailed Acronym</t>
  </si>
  <si>
    <t>APCS General Class</t>
  </si>
  <si>
    <t>ESP, FF</t>
  </si>
  <si>
    <t>source</t>
  </si>
  <si>
    <t>cond</t>
  </si>
  <si>
    <t>emiss</t>
  </si>
  <si>
    <t>feed</t>
  </si>
  <si>
    <t>process</t>
  </si>
  <si>
    <t>df c10</t>
  </si>
  <si>
    <t>Semi-dry, short, preheater, precalciner, in-line raw mill (ILRM)</t>
  </si>
  <si>
    <t>Feedstream Number</t>
  </si>
  <si>
    <t>Feed Class</t>
  </si>
  <si>
    <t>Raw Material</t>
  </si>
  <si>
    <t>Liq HW</t>
  </si>
  <si>
    <t>Solid non-HW</t>
  </si>
  <si>
    <t>F1</t>
  </si>
  <si>
    <t>F2</t>
  </si>
  <si>
    <t>F3</t>
  </si>
  <si>
    <t>F4</t>
  </si>
  <si>
    <t>F5</t>
  </si>
  <si>
    <t>F6</t>
  </si>
  <si>
    <t>Feed Class 2</t>
  </si>
  <si>
    <t>RM</t>
  </si>
  <si>
    <t>Full ND</t>
  </si>
  <si>
    <t>Non-HW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</si>
</sst>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0.00000000"/>
    <numFmt numFmtId="173" formatCode="0.0000000"/>
  </numFmts>
  <fonts count="4">
    <font>
      <sz val="10"/>
      <name val="Arial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17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189</v>
      </c>
    </row>
    <row r="2" ht="12.75">
      <c r="A2" t="s">
        <v>190</v>
      </c>
    </row>
    <row r="3" ht="12.75">
      <c r="A3" t="s">
        <v>191</v>
      </c>
    </row>
    <row r="4" ht="12.75">
      <c r="A4" t="s">
        <v>192</v>
      </c>
    </row>
    <row r="5" ht="12.75">
      <c r="A5" t="s">
        <v>193</v>
      </c>
    </row>
    <row r="6" ht="12.75">
      <c r="A6" t="s">
        <v>194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B1">
      <selection activeCell="C12" sqref="C12"/>
    </sheetView>
  </sheetViews>
  <sheetFormatPr defaultColWidth="9.140625" defaultRowHeight="12.75"/>
  <cols>
    <col min="1" max="1" width="3.00390625" style="16" hidden="1" customWidth="1"/>
    <col min="2" max="2" width="32.7109375" style="16" customWidth="1"/>
    <col min="3" max="3" width="58.7109375" style="16" customWidth="1"/>
    <col min="4" max="16384" width="8.8515625" style="16" customWidth="1"/>
  </cols>
  <sheetData>
    <row r="1" ht="12.75">
      <c r="B1" s="3" t="s">
        <v>90</v>
      </c>
    </row>
    <row r="3" spans="2:3" ht="12.75">
      <c r="B3" s="16" t="s">
        <v>114</v>
      </c>
      <c r="C3" s="24">
        <v>3029</v>
      </c>
    </row>
    <row r="4" spans="2:3" ht="12.75">
      <c r="B4" s="16" t="s">
        <v>0</v>
      </c>
      <c r="C4" t="s">
        <v>166</v>
      </c>
    </row>
    <row r="5" spans="2:3" ht="12.75">
      <c r="B5" s="16" t="s">
        <v>1</v>
      </c>
      <c r="C5" s="16" t="s">
        <v>137</v>
      </c>
    </row>
    <row r="6" ht="12.75">
      <c r="B6" s="16" t="s">
        <v>2</v>
      </c>
    </row>
    <row r="7" spans="2:3" ht="12.75">
      <c r="B7" s="16" t="s">
        <v>3</v>
      </c>
      <c r="C7" s="16" t="s">
        <v>138</v>
      </c>
    </row>
    <row r="8" spans="2:3" ht="12.75">
      <c r="B8" s="16" t="s">
        <v>4</v>
      </c>
      <c r="C8" s="16" t="s">
        <v>139</v>
      </c>
    </row>
    <row r="9" ht="12.75">
      <c r="B9" s="16" t="s">
        <v>5</v>
      </c>
    </row>
    <row r="10" ht="12.75">
      <c r="B10" s="16" t="s">
        <v>6</v>
      </c>
    </row>
    <row r="11" spans="2:3" ht="12.75">
      <c r="B11" s="16" t="s">
        <v>185</v>
      </c>
      <c r="C11" s="24">
        <v>0</v>
      </c>
    </row>
    <row r="12" spans="2:3" ht="12.75">
      <c r="B12" s="16" t="s">
        <v>168</v>
      </c>
      <c r="C12" s="16" t="s">
        <v>115</v>
      </c>
    </row>
    <row r="13" spans="2:3" ht="12.75">
      <c r="B13" s="16" t="s">
        <v>167</v>
      </c>
      <c r="C13" s="16" t="s">
        <v>195</v>
      </c>
    </row>
    <row r="14" ht="12.75">
      <c r="B14" s="16" t="s">
        <v>67</v>
      </c>
    </row>
    <row r="15" spans="2:3" ht="12.75">
      <c r="B15" s="16" t="s">
        <v>82</v>
      </c>
      <c r="C15" s="24"/>
    </row>
    <row r="16" spans="2:3" ht="12.75">
      <c r="B16" s="16" t="s">
        <v>186</v>
      </c>
      <c r="C16" s="16" t="s">
        <v>140</v>
      </c>
    </row>
    <row r="17" spans="2:3" ht="12.75">
      <c r="B17" s="16" t="s">
        <v>187</v>
      </c>
      <c r="C17" s="16" t="s">
        <v>188</v>
      </c>
    </row>
    <row r="18" spans="2:3" ht="25.5">
      <c r="B18" s="45" t="s">
        <v>7</v>
      </c>
      <c r="C18" s="44" t="s">
        <v>146</v>
      </c>
    </row>
    <row r="19" spans="2:3" ht="12.75">
      <c r="B19" s="16" t="s">
        <v>91</v>
      </c>
      <c r="C19" s="16" t="s">
        <v>129</v>
      </c>
    </row>
    <row r="20" s="39" customFormat="1" ht="12.75">
      <c r="B20" s="39" t="s">
        <v>85</v>
      </c>
    </row>
    <row r="21" spans="2:3" ht="12.75">
      <c r="B21" s="16" t="s">
        <v>84</v>
      </c>
      <c r="C21" s="16" t="s">
        <v>121</v>
      </c>
    </row>
    <row r="22" ht="12.75" customHeight="1"/>
    <row r="23" ht="12.75">
      <c r="B23" s="16" t="s">
        <v>8</v>
      </c>
    </row>
    <row r="24" spans="2:3" ht="12.75">
      <c r="B24" s="16" t="s">
        <v>9</v>
      </c>
      <c r="C24" s="24"/>
    </row>
    <row r="25" spans="2:3" ht="12.75">
      <c r="B25" s="16" t="s">
        <v>10</v>
      </c>
      <c r="C25" s="24"/>
    </row>
    <row r="26" spans="2:3" ht="12.75">
      <c r="B26" s="16" t="s">
        <v>87</v>
      </c>
      <c r="C26" s="25"/>
    </row>
    <row r="27" spans="2:3" ht="12.75">
      <c r="B27" s="16" t="s">
        <v>88</v>
      </c>
      <c r="C27" s="24"/>
    </row>
    <row r="28" ht="12.75" customHeight="1"/>
    <row r="29" spans="2:3" ht="12.75">
      <c r="B29" s="16" t="s">
        <v>11</v>
      </c>
      <c r="C29" s="16" t="s">
        <v>161</v>
      </c>
    </row>
    <row r="30" ht="12.75">
      <c r="B30" s="16" t="s">
        <v>113</v>
      </c>
    </row>
    <row r="47" ht="12.75">
      <c r="A47" s="16" t="s">
        <v>162</v>
      </c>
    </row>
    <row r="48" ht="12.75">
      <c r="A48" s="16" t="s">
        <v>163</v>
      </c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12" sqref="C12"/>
    </sheetView>
  </sheetViews>
  <sheetFormatPr defaultColWidth="9.140625" defaultRowHeight="12.75"/>
  <cols>
    <col min="1" max="1" width="9.140625" style="0" hidden="1" customWidth="1"/>
    <col min="2" max="2" width="19.140625" style="0" customWidth="1"/>
    <col min="3" max="3" width="57.7109375" style="0" customWidth="1"/>
  </cols>
  <sheetData>
    <row r="1" ht="12.75">
      <c r="B1" s="50" t="s">
        <v>182</v>
      </c>
    </row>
    <row r="3" ht="12.75">
      <c r="B3" s="51" t="s">
        <v>164</v>
      </c>
    </row>
    <row r="4" s="16" customFormat="1" ht="12.75" customHeight="1"/>
    <row r="5" spans="2:3" s="39" customFormat="1" ht="20.25" customHeight="1">
      <c r="B5" s="39" t="s">
        <v>12</v>
      </c>
      <c r="C5" s="39" t="s">
        <v>141</v>
      </c>
    </row>
    <row r="6" spans="2:3" s="16" customFormat="1" ht="12.75">
      <c r="B6" s="16" t="s">
        <v>13</v>
      </c>
      <c r="C6" s="16" t="s">
        <v>142</v>
      </c>
    </row>
    <row r="7" spans="2:3" s="16" customFormat="1" ht="12.75">
      <c r="B7" s="16" t="s">
        <v>14</v>
      </c>
      <c r="C7" s="16" t="s">
        <v>143</v>
      </c>
    </row>
    <row r="8" spans="2:3" s="16" customFormat="1" ht="12.75">
      <c r="B8" s="16" t="s">
        <v>86</v>
      </c>
      <c r="C8" s="26" t="s">
        <v>183</v>
      </c>
    </row>
    <row r="9" spans="2:3" s="16" customFormat="1" ht="12.75">
      <c r="B9" s="16" t="s">
        <v>184</v>
      </c>
      <c r="C9" s="52">
        <v>36861</v>
      </c>
    </row>
    <row r="10" spans="2:3" s="16" customFormat="1" ht="12.75">
      <c r="B10" s="16" t="s">
        <v>15</v>
      </c>
      <c r="C10" s="16" t="s">
        <v>144</v>
      </c>
    </row>
    <row r="11" spans="2:3" s="16" customFormat="1" ht="12.75">
      <c r="B11" s="16" t="s">
        <v>16</v>
      </c>
      <c r="C11" s="16" t="s">
        <v>145</v>
      </c>
    </row>
    <row r="12" s="16" customFormat="1" ht="12.75"/>
    <row r="13" s="16" customFormat="1" ht="12.75">
      <c r="B13" s="51" t="s">
        <v>165</v>
      </c>
    </row>
    <row r="14" s="16" customFormat="1" ht="12.75">
      <c r="B14" s="51"/>
    </row>
    <row r="15" spans="2:3" s="39" customFormat="1" ht="26.25" customHeight="1">
      <c r="B15" s="39" t="s">
        <v>12</v>
      </c>
      <c r="C15" s="39" t="s">
        <v>156</v>
      </c>
    </row>
    <row r="16" spans="2:3" s="16" customFormat="1" ht="12.75">
      <c r="B16" s="16" t="s">
        <v>13</v>
      </c>
      <c r="C16" s="16" t="s">
        <v>142</v>
      </c>
    </row>
    <row r="17" spans="2:3" s="16" customFormat="1" ht="12.75">
      <c r="B17" s="16" t="s">
        <v>14</v>
      </c>
      <c r="C17" s="16" t="s">
        <v>143</v>
      </c>
    </row>
    <row r="18" spans="2:3" s="16" customFormat="1" ht="12.75">
      <c r="B18" s="16" t="s">
        <v>86</v>
      </c>
      <c r="C18" s="26">
        <v>36866</v>
      </c>
    </row>
    <row r="19" spans="2:3" s="16" customFormat="1" ht="12.75">
      <c r="B19" s="16" t="s">
        <v>184</v>
      </c>
      <c r="C19" s="52">
        <v>36861</v>
      </c>
    </row>
    <row r="20" spans="2:3" s="16" customFormat="1" ht="12.75">
      <c r="B20" s="16" t="s">
        <v>15</v>
      </c>
      <c r="C20" s="16" t="s">
        <v>157</v>
      </c>
    </row>
    <row r="21" spans="2:3" s="16" customFormat="1" ht="12.75">
      <c r="B21" s="16" t="s">
        <v>16</v>
      </c>
      <c r="C21" s="16" t="s">
        <v>158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B1">
      <selection activeCell="C12" sqref="C12"/>
    </sheetView>
  </sheetViews>
  <sheetFormatPr defaultColWidth="9.140625" defaultRowHeight="12.75"/>
  <cols>
    <col min="1" max="1" width="4.140625" style="30" hidden="1" customWidth="1"/>
    <col min="2" max="2" width="20.7109375" style="30" customWidth="1"/>
    <col min="3" max="3" width="12.8515625" style="30" customWidth="1"/>
    <col min="4" max="4" width="8.8515625" style="28" customWidth="1"/>
    <col min="5" max="5" width="5.421875" style="28" customWidth="1"/>
    <col min="6" max="6" width="3.28125" style="29" customWidth="1"/>
    <col min="7" max="7" width="10.28125" style="30" customWidth="1"/>
    <col min="8" max="8" width="3.00390625" style="29" customWidth="1"/>
    <col min="9" max="9" width="8.8515625" style="30" customWidth="1"/>
    <col min="10" max="10" width="3.28125" style="29" customWidth="1"/>
    <col min="11" max="11" width="9.7109375" style="30" customWidth="1"/>
    <col min="12" max="12" width="2.140625" style="30" customWidth="1"/>
    <col min="13" max="13" width="10.421875" style="30" customWidth="1"/>
    <col min="14" max="16384" width="8.8515625" style="30" customWidth="1"/>
  </cols>
  <sheetData>
    <row r="1" spans="2:3" ht="12.75">
      <c r="B1" s="27" t="s">
        <v>169</v>
      </c>
      <c r="C1" s="27"/>
    </row>
    <row r="2" spans="2:3" ht="12.75">
      <c r="B2" s="27"/>
      <c r="C2" s="27"/>
    </row>
    <row r="3" spans="2:3" ht="12.75">
      <c r="B3" s="27"/>
      <c r="C3" s="27"/>
    </row>
    <row r="4" spans="1:13" ht="12.75">
      <c r="A4" s="30">
        <v>10</v>
      </c>
      <c r="B4" s="31" t="s">
        <v>164</v>
      </c>
      <c r="C4" s="28" t="s">
        <v>152</v>
      </c>
      <c r="G4" s="29" t="s">
        <v>122</v>
      </c>
      <c r="I4" s="29" t="s">
        <v>123</v>
      </c>
      <c r="K4" s="29" t="s">
        <v>124</v>
      </c>
      <c r="L4" s="29"/>
      <c r="M4" s="29" t="s">
        <v>72</v>
      </c>
    </row>
    <row r="5" spans="2:11" ht="12.75">
      <c r="B5" s="31"/>
      <c r="C5" s="28"/>
      <c r="G5" s="32"/>
      <c r="I5" s="32"/>
      <c r="K5" s="32"/>
    </row>
    <row r="6" spans="2:14" ht="12.75">
      <c r="B6" s="28" t="s">
        <v>97</v>
      </c>
      <c r="C6" s="28" t="s">
        <v>172</v>
      </c>
      <c r="D6" s="28" t="s">
        <v>68</v>
      </c>
      <c r="E6" s="28" t="s">
        <v>19</v>
      </c>
      <c r="F6"/>
      <c r="G6">
        <v>15</v>
      </c>
      <c r="H6"/>
      <c r="I6">
        <v>5.5</v>
      </c>
      <c r="J6"/>
      <c r="K6">
        <v>6.5</v>
      </c>
      <c r="M6" s="35">
        <f>AVERAGE(K6,I6,G6)</f>
        <v>9</v>
      </c>
      <c r="N6" s="30" t="s">
        <v>159</v>
      </c>
    </row>
    <row r="7" spans="2:14" ht="12.75">
      <c r="B7" s="28" t="s">
        <v>117</v>
      </c>
      <c r="C7" s="28" t="s">
        <v>172</v>
      </c>
      <c r="D7" s="28" t="s">
        <v>68</v>
      </c>
      <c r="E7" s="28" t="s">
        <v>19</v>
      </c>
      <c r="F7"/>
      <c r="G7">
        <v>24</v>
      </c>
      <c r="H7"/>
      <c r="I7">
        <v>14.1</v>
      </c>
      <c r="J7"/>
      <c r="K7">
        <v>9.4</v>
      </c>
      <c r="M7" s="35">
        <f>AVERAGE(K7,I7,G7)</f>
        <v>15.833333333333334</v>
      </c>
      <c r="N7" s="30" t="s">
        <v>159</v>
      </c>
    </row>
    <row r="8" spans="2:11" ht="12.75">
      <c r="B8" s="28"/>
      <c r="C8" s="28"/>
      <c r="F8"/>
      <c r="G8"/>
      <c r="H8"/>
      <c r="I8"/>
      <c r="J8"/>
      <c r="K8"/>
    </row>
    <row r="9" spans="2:14" ht="12.75">
      <c r="B9" s="28" t="s">
        <v>118</v>
      </c>
      <c r="C9" s="28" t="s">
        <v>172</v>
      </c>
      <c r="D9" s="28" t="s">
        <v>68</v>
      </c>
      <c r="E9" s="28" t="s">
        <v>19</v>
      </c>
      <c r="F9"/>
      <c r="G9">
        <v>0.2</v>
      </c>
      <c r="H9"/>
      <c r="I9">
        <v>0.1</v>
      </c>
      <c r="J9"/>
      <c r="K9">
        <v>0.1</v>
      </c>
      <c r="M9" s="35">
        <f>AVERAGE(K9,I9,G9)</f>
        <v>0.13333333333333333</v>
      </c>
      <c r="N9" s="30" t="s">
        <v>159</v>
      </c>
    </row>
    <row r="10" spans="2:14" ht="12.75">
      <c r="B10" s="28" t="s">
        <v>119</v>
      </c>
      <c r="C10" s="28" t="s">
        <v>172</v>
      </c>
      <c r="D10" s="28" t="s">
        <v>68</v>
      </c>
      <c r="E10" s="28" t="s">
        <v>19</v>
      </c>
      <c r="F10"/>
      <c r="G10">
        <v>0.4</v>
      </c>
      <c r="H10"/>
      <c r="I10">
        <v>0.4</v>
      </c>
      <c r="J10"/>
      <c r="K10">
        <v>0.2</v>
      </c>
      <c r="M10" s="35">
        <f>AVERAGE(K10,I10,G10)</f>
        <v>0.3333333333333333</v>
      </c>
      <c r="N10" s="30" t="s">
        <v>159</v>
      </c>
    </row>
    <row r="11" spans="2:11" ht="12.75">
      <c r="B11" s="28"/>
      <c r="C11" s="28"/>
      <c r="F11"/>
      <c r="G11"/>
      <c r="H11"/>
      <c r="I11"/>
      <c r="J11"/>
      <c r="K11"/>
    </row>
    <row r="12" spans="2:12" ht="12.75">
      <c r="B12" s="28" t="s">
        <v>98</v>
      </c>
      <c r="C12" s="28" t="s">
        <v>83</v>
      </c>
      <c r="D12" s="28" t="s">
        <v>172</v>
      </c>
      <c r="F12"/>
      <c r="G12"/>
      <c r="H12"/>
      <c r="I12"/>
      <c r="J12"/>
      <c r="K12"/>
      <c r="L12" s="32"/>
    </row>
    <row r="13" spans="2:13" ht="12.75">
      <c r="B13" s="28" t="s">
        <v>93</v>
      </c>
      <c r="C13" s="28"/>
      <c r="D13" s="28" t="s">
        <v>20</v>
      </c>
      <c r="F13"/>
      <c r="G13">
        <v>226000</v>
      </c>
      <c r="H13"/>
      <c r="I13">
        <v>220000</v>
      </c>
      <c r="J13"/>
      <c r="K13">
        <v>215000</v>
      </c>
      <c r="L13" s="32"/>
      <c r="M13" s="42">
        <f>AVERAGE(G13,I13,K13)</f>
        <v>220333.33333333334</v>
      </c>
    </row>
    <row r="14" spans="2:13" ht="12.75">
      <c r="B14" s="28" t="s">
        <v>95</v>
      </c>
      <c r="C14" s="28"/>
      <c r="D14" s="28" t="s">
        <v>18</v>
      </c>
      <c r="F14"/>
      <c r="G14">
        <v>4.8</v>
      </c>
      <c r="H14"/>
      <c r="I14">
        <v>5.8</v>
      </c>
      <c r="J14"/>
      <c r="K14">
        <v>6.4</v>
      </c>
      <c r="L14" s="32"/>
      <c r="M14" s="35">
        <f>AVERAGE(G14,I14,K14)</f>
        <v>5.666666666666667</v>
      </c>
    </row>
    <row r="15" spans="2:13" ht="12.75">
      <c r="B15" s="28" t="s">
        <v>96</v>
      </c>
      <c r="C15" s="28"/>
      <c r="D15" s="28" t="s">
        <v>18</v>
      </c>
      <c r="F15"/>
      <c r="G15">
        <v>37.1</v>
      </c>
      <c r="H15"/>
      <c r="I15">
        <v>36.7</v>
      </c>
      <c r="J15"/>
      <c r="K15">
        <v>36.2</v>
      </c>
      <c r="L15" s="32"/>
      <c r="M15" s="35">
        <f>AVERAGE(G15,I15,K15)</f>
        <v>36.66666666666667</v>
      </c>
    </row>
    <row r="16" spans="2:13" ht="12.75">
      <c r="B16" s="28" t="s">
        <v>92</v>
      </c>
      <c r="C16" s="28"/>
      <c r="D16" s="28" t="s">
        <v>21</v>
      </c>
      <c r="F16"/>
      <c r="G16">
        <v>378</v>
      </c>
      <c r="H16"/>
      <c r="I16">
        <v>377</v>
      </c>
      <c r="J16"/>
      <c r="K16">
        <v>376</v>
      </c>
      <c r="L16" s="32"/>
      <c r="M16" s="35">
        <f>AVERAGE(G16,I16,K16)</f>
        <v>377</v>
      </c>
    </row>
    <row r="17" spans="2:13" ht="12.75">
      <c r="B17" s="28"/>
      <c r="C17" s="28"/>
      <c r="F17"/>
      <c r="G17"/>
      <c r="H17"/>
      <c r="I17"/>
      <c r="J17"/>
      <c r="K17"/>
      <c r="L17" s="32"/>
      <c r="M17" s="35"/>
    </row>
    <row r="18" spans="2:12" ht="12.75">
      <c r="B18" s="28"/>
      <c r="C18" s="28"/>
      <c r="G18" s="32"/>
      <c r="I18" s="32"/>
      <c r="K18" s="32"/>
      <c r="L18" s="32"/>
    </row>
    <row r="19" spans="1:13" ht="12.75">
      <c r="A19" s="30">
        <v>11</v>
      </c>
      <c r="B19" s="31" t="s">
        <v>165</v>
      </c>
      <c r="C19" s="28"/>
      <c r="G19" s="29" t="s">
        <v>122</v>
      </c>
      <c r="I19" s="29" t="s">
        <v>123</v>
      </c>
      <c r="K19" s="29" t="s">
        <v>124</v>
      </c>
      <c r="L19" s="29"/>
      <c r="M19" s="29" t="s">
        <v>72</v>
      </c>
    </row>
    <row r="20" spans="2:12" ht="12.75">
      <c r="B20" s="28"/>
      <c r="C20" s="28"/>
      <c r="D20" s="16"/>
      <c r="E20" s="16"/>
      <c r="F20" s="20"/>
      <c r="G20" s="16"/>
      <c r="H20" s="20"/>
      <c r="I20" s="16"/>
      <c r="J20" s="20"/>
      <c r="K20" s="16"/>
      <c r="L20" s="32"/>
    </row>
    <row r="21" spans="2:14" ht="12.75">
      <c r="B21" s="28" t="s">
        <v>97</v>
      </c>
      <c r="C21" s="28" t="s">
        <v>172</v>
      </c>
      <c r="D21" s="28" t="s">
        <v>68</v>
      </c>
      <c r="E21" s="28" t="s">
        <v>19</v>
      </c>
      <c r="F21"/>
      <c r="G21">
        <v>6</v>
      </c>
      <c r="H21"/>
      <c r="I21">
        <v>12</v>
      </c>
      <c r="J21"/>
      <c r="K21">
        <v>27</v>
      </c>
      <c r="M21" s="35">
        <f>AVERAGE(K21,I21,G21)</f>
        <v>15</v>
      </c>
      <c r="N21" s="30" t="s">
        <v>159</v>
      </c>
    </row>
    <row r="22" spans="2:14" ht="12.75">
      <c r="B22" s="28" t="s">
        <v>117</v>
      </c>
      <c r="C22" s="28" t="s">
        <v>172</v>
      </c>
      <c r="D22" s="28" t="s">
        <v>68</v>
      </c>
      <c r="E22" s="28" t="s">
        <v>19</v>
      </c>
      <c r="F22"/>
      <c r="G22">
        <v>10</v>
      </c>
      <c r="H22"/>
      <c r="I22">
        <v>38</v>
      </c>
      <c r="J22"/>
      <c r="K22">
        <v>51</v>
      </c>
      <c r="M22" s="35">
        <f>AVERAGE(K22,I22,G22)</f>
        <v>33</v>
      </c>
      <c r="N22" s="30" t="s">
        <v>159</v>
      </c>
    </row>
    <row r="23" spans="2:11" ht="12.75">
      <c r="B23" s="28"/>
      <c r="C23" s="28"/>
      <c r="F23"/>
      <c r="G23"/>
      <c r="H23"/>
      <c r="I23"/>
      <c r="J23"/>
      <c r="K23"/>
    </row>
    <row r="24" spans="2:14" ht="12.75">
      <c r="B24" s="28" t="s">
        <v>118</v>
      </c>
      <c r="C24" s="28" t="s">
        <v>172</v>
      </c>
      <c r="D24" s="28" t="s">
        <v>68</v>
      </c>
      <c r="E24" s="28" t="s">
        <v>19</v>
      </c>
      <c r="F24"/>
      <c r="G24">
        <v>0.2</v>
      </c>
      <c r="H24"/>
      <c r="I24">
        <v>0.6</v>
      </c>
      <c r="J24"/>
      <c r="K24">
        <v>0.7</v>
      </c>
      <c r="M24" s="35">
        <f>AVERAGE(K24,I24,G24)</f>
        <v>0.49999999999999994</v>
      </c>
      <c r="N24" s="30" t="s">
        <v>159</v>
      </c>
    </row>
    <row r="25" spans="2:14" ht="12.75">
      <c r="B25" s="28" t="s">
        <v>119</v>
      </c>
      <c r="C25" s="28" t="s">
        <v>172</v>
      </c>
      <c r="D25" s="28" t="s">
        <v>68</v>
      </c>
      <c r="E25" s="28" t="s">
        <v>19</v>
      </c>
      <c r="F25"/>
      <c r="G25">
        <v>0.3</v>
      </c>
      <c r="H25"/>
      <c r="I25">
        <v>0.9</v>
      </c>
      <c r="J25"/>
      <c r="K25">
        <v>1</v>
      </c>
      <c r="M25" s="35">
        <f>AVERAGE(K25,I25,G25)</f>
        <v>0.7333333333333333</v>
      </c>
      <c r="N25" s="30" t="s">
        <v>159</v>
      </c>
    </row>
    <row r="26" spans="2:13" ht="12.75">
      <c r="B26" s="28"/>
      <c r="C26" s="28"/>
      <c r="F26"/>
      <c r="G26"/>
      <c r="H26"/>
      <c r="I26"/>
      <c r="J26"/>
      <c r="K26"/>
      <c r="M26" s="35"/>
    </row>
    <row r="27" spans="2:13" ht="12.75">
      <c r="B27" s="28" t="s">
        <v>22</v>
      </c>
      <c r="C27" s="28" t="s">
        <v>172</v>
      </c>
      <c r="D27" s="28" t="s">
        <v>23</v>
      </c>
      <c r="E27" s="16" t="s">
        <v>19</v>
      </c>
      <c r="F27" s="20"/>
      <c r="G27" s="16">
        <v>0.01</v>
      </c>
      <c r="H27" s="20"/>
      <c r="I27" s="16">
        <v>0.00992</v>
      </c>
      <c r="J27" s="20"/>
      <c r="K27" s="16">
        <v>0.0113</v>
      </c>
      <c r="L27" s="32"/>
      <c r="M27" s="33">
        <f>AVERAGE(G27,I27,K27)</f>
        <v>0.010406666666666666</v>
      </c>
    </row>
    <row r="28" spans="2:13" ht="12.75">
      <c r="B28" s="28"/>
      <c r="E28" s="16"/>
      <c r="F28" s="20"/>
      <c r="G28" s="16"/>
      <c r="H28" s="20"/>
      <c r="I28" s="16"/>
      <c r="J28" s="20"/>
      <c r="K28" s="16"/>
      <c r="L28" s="32"/>
      <c r="M28" s="33"/>
    </row>
    <row r="29" spans="2:13" ht="12.75">
      <c r="B29" s="28" t="s">
        <v>24</v>
      </c>
      <c r="C29" s="28" t="s">
        <v>172</v>
      </c>
      <c r="D29" s="28" t="s">
        <v>68</v>
      </c>
      <c r="E29" s="16" t="s">
        <v>19</v>
      </c>
      <c r="F29" s="20"/>
      <c r="G29" s="16">
        <v>0.319</v>
      </c>
      <c r="H29" s="20"/>
      <c r="I29" s="16">
        <v>2.28</v>
      </c>
      <c r="J29" s="20"/>
      <c r="K29" s="16">
        <v>1.71</v>
      </c>
      <c r="L29" s="32"/>
      <c r="M29" s="34">
        <f>AVERAGE(G29,I29,K29)</f>
        <v>1.436333333333333</v>
      </c>
    </row>
    <row r="30" spans="2:13" ht="12.75">
      <c r="B30" s="28" t="s">
        <v>70</v>
      </c>
      <c r="C30" s="28" t="s">
        <v>172</v>
      </c>
      <c r="D30" s="28" t="s">
        <v>68</v>
      </c>
      <c r="E30" s="16" t="s">
        <v>19</v>
      </c>
      <c r="F30" s="20"/>
      <c r="G30" s="16">
        <v>0.0814</v>
      </c>
      <c r="H30" s="20"/>
      <c r="I30" s="16">
        <v>0.242</v>
      </c>
      <c r="J30" s="20"/>
      <c r="K30" s="16">
        <v>0.162</v>
      </c>
      <c r="L30" s="32"/>
      <c r="M30" s="34">
        <f>AVERAGE(G30,I30,K30)</f>
        <v>0.16180000000000003</v>
      </c>
    </row>
    <row r="31" spans="2:13" ht="12.75">
      <c r="B31" s="28" t="s">
        <v>173</v>
      </c>
      <c r="C31" s="28" t="s">
        <v>172</v>
      </c>
      <c r="D31" s="28" t="s">
        <v>68</v>
      </c>
      <c r="E31" s="16" t="s">
        <v>19</v>
      </c>
      <c r="F31" s="20"/>
      <c r="G31" s="16">
        <f>G30*2+G29</f>
        <v>0.4818</v>
      </c>
      <c r="H31" s="20"/>
      <c r="I31" s="16">
        <f>I30*2+I29</f>
        <v>2.764</v>
      </c>
      <c r="J31" s="20"/>
      <c r="K31" s="16">
        <f>K30*2+K29</f>
        <v>2.034</v>
      </c>
      <c r="L31" s="32"/>
      <c r="M31" s="34">
        <f>AVERAGE(G31,I31,K31)</f>
        <v>1.7599333333333333</v>
      </c>
    </row>
    <row r="32" spans="2:13" ht="12.75">
      <c r="B32" s="28"/>
      <c r="E32" s="16"/>
      <c r="F32" s="20"/>
      <c r="G32" s="16"/>
      <c r="H32" s="20"/>
      <c r="I32" s="16"/>
      <c r="J32" s="20"/>
      <c r="K32" s="16"/>
      <c r="L32" s="32"/>
      <c r="M32" s="34"/>
    </row>
    <row r="33" spans="2:13" ht="12.75">
      <c r="B33" s="28" t="s">
        <v>107</v>
      </c>
      <c r="C33" s="28" t="s">
        <v>181</v>
      </c>
      <c r="D33" s="28" t="s">
        <v>71</v>
      </c>
      <c r="E33" s="16" t="s">
        <v>19</v>
      </c>
      <c r="F33" s="20"/>
      <c r="G33" s="16">
        <v>1.73</v>
      </c>
      <c r="H33" s="20"/>
      <c r="I33" s="16">
        <v>0.804</v>
      </c>
      <c r="J33" s="20"/>
      <c r="K33" s="16">
        <v>0.724</v>
      </c>
      <c r="L33" s="32"/>
      <c r="M33" s="34">
        <f aca="true" t="shared" si="0" ref="M33:M45">AVERAGE(G33,I33,K33)</f>
        <v>1.086</v>
      </c>
    </row>
    <row r="34" spans="2:13" ht="12.75">
      <c r="B34" s="28" t="s">
        <v>174</v>
      </c>
      <c r="C34" s="28" t="s">
        <v>181</v>
      </c>
      <c r="D34" s="28" t="s">
        <v>71</v>
      </c>
      <c r="E34" s="16" t="s">
        <v>19</v>
      </c>
      <c r="F34" s="20"/>
      <c r="G34" s="16">
        <v>893</v>
      </c>
      <c r="H34" s="20"/>
      <c r="I34" s="16">
        <v>619</v>
      </c>
      <c r="J34" s="20"/>
      <c r="K34" s="16">
        <v>753</v>
      </c>
      <c r="L34" s="32"/>
      <c r="M34" s="34">
        <f t="shared" si="0"/>
        <v>755</v>
      </c>
    </row>
    <row r="35" spans="2:13" ht="12.75">
      <c r="B35" s="28" t="s">
        <v>99</v>
      </c>
      <c r="C35" s="28" t="s">
        <v>181</v>
      </c>
      <c r="D35" s="28" t="s">
        <v>71</v>
      </c>
      <c r="E35" s="16" t="s">
        <v>19</v>
      </c>
      <c r="F35" s="20"/>
      <c r="G35" s="16">
        <v>0.693</v>
      </c>
      <c r="H35" s="20"/>
      <c r="I35" s="16">
        <v>0.603</v>
      </c>
      <c r="J35" s="20"/>
      <c r="K35" s="16">
        <v>0.579</v>
      </c>
      <c r="L35" s="32"/>
      <c r="M35" s="34">
        <f t="shared" si="0"/>
        <v>0.6249999999999999</v>
      </c>
    </row>
    <row r="36" spans="2:13" ht="12.75">
      <c r="B36" s="28" t="s">
        <v>100</v>
      </c>
      <c r="C36" s="28" t="s">
        <v>181</v>
      </c>
      <c r="D36" s="28" t="s">
        <v>71</v>
      </c>
      <c r="E36" s="16" t="s">
        <v>19</v>
      </c>
      <c r="F36" s="20"/>
      <c r="G36" s="16">
        <v>10.5</v>
      </c>
      <c r="H36" s="20"/>
      <c r="I36" s="16">
        <v>8.98</v>
      </c>
      <c r="J36" s="20"/>
      <c r="K36" s="16">
        <v>9.2</v>
      </c>
      <c r="L36" s="32"/>
      <c r="M36" s="34">
        <f t="shared" si="0"/>
        <v>9.56</v>
      </c>
    </row>
    <row r="37" spans="2:13" ht="12.75">
      <c r="B37" s="28" t="s">
        <v>101</v>
      </c>
      <c r="C37" s="28" t="s">
        <v>181</v>
      </c>
      <c r="D37" s="28" t="s">
        <v>71</v>
      </c>
      <c r="E37" s="16" t="s">
        <v>19</v>
      </c>
      <c r="F37" s="20"/>
      <c r="G37" s="16">
        <v>0.0693</v>
      </c>
      <c r="H37" s="20"/>
      <c r="I37" s="16">
        <v>0.067</v>
      </c>
      <c r="J37" s="20"/>
      <c r="K37" s="16">
        <v>0.0724</v>
      </c>
      <c r="L37" s="32"/>
      <c r="M37" s="34">
        <f t="shared" si="0"/>
        <v>0.06956666666666667</v>
      </c>
    </row>
    <row r="38" spans="2:13" ht="12.75">
      <c r="B38" s="28" t="s">
        <v>106</v>
      </c>
      <c r="C38" s="28" t="s">
        <v>181</v>
      </c>
      <c r="D38" s="28" t="s">
        <v>71</v>
      </c>
      <c r="E38" s="16" t="s">
        <v>19</v>
      </c>
      <c r="F38" s="20"/>
      <c r="G38" s="16">
        <v>0.346</v>
      </c>
      <c r="H38" s="20"/>
      <c r="I38" s="16">
        <v>0.268</v>
      </c>
      <c r="J38" s="20"/>
      <c r="K38" s="16">
        <v>0.362</v>
      </c>
      <c r="L38" s="32"/>
      <c r="M38" s="34">
        <f t="shared" si="0"/>
        <v>0.3253333333333333</v>
      </c>
    </row>
    <row r="39" spans="2:13" ht="12.75">
      <c r="B39" s="28" t="s">
        <v>108</v>
      </c>
      <c r="C39" s="28" t="s">
        <v>181</v>
      </c>
      <c r="D39" s="28" t="s">
        <v>71</v>
      </c>
      <c r="E39" s="16" t="s">
        <v>19</v>
      </c>
      <c r="F39" s="20"/>
      <c r="G39" s="16">
        <v>13.4</v>
      </c>
      <c r="H39" s="20"/>
      <c r="I39" s="16">
        <v>12.9</v>
      </c>
      <c r="J39" s="20"/>
      <c r="K39" s="16">
        <v>12.7</v>
      </c>
      <c r="L39" s="32"/>
      <c r="M39" s="34">
        <f t="shared" si="0"/>
        <v>13</v>
      </c>
    </row>
    <row r="40" spans="2:13" ht="12.75">
      <c r="B40" s="28" t="s">
        <v>175</v>
      </c>
      <c r="C40" s="28" t="s">
        <v>181</v>
      </c>
      <c r="D40" s="28" t="s">
        <v>71</v>
      </c>
      <c r="E40" s="16" t="s">
        <v>19</v>
      </c>
      <c r="F40" s="20"/>
      <c r="G40" s="16">
        <v>0.554</v>
      </c>
      <c r="H40" s="20"/>
      <c r="I40" s="16">
        <v>0.603</v>
      </c>
      <c r="J40" s="20"/>
      <c r="K40" s="16">
        <v>0.579</v>
      </c>
      <c r="L40" s="32"/>
      <c r="M40" s="34">
        <f t="shared" si="0"/>
        <v>0.5786666666666667</v>
      </c>
    </row>
    <row r="41" spans="2:13" ht="12.75">
      <c r="B41" s="28" t="s">
        <v>176</v>
      </c>
      <c r="C41" s="28" t="s">
        <v>181</v>
      </c>
      <c r="D41" s="28" t="s">
        <v>71</v>
      </c>
      <c r="E41" s="16" t="s">
        <v>19</v>
      </c>
      <c r="F41" s="20"/>
      <c r="G41" s="16">
        <v>3.74</v>
      </c>
      <c r="H41" s="20"/>
      <c r="I41" s="16">
        <v>3.35</v>
      </c>
      <c r="J41" s="20"/>
      <c r="K41" s="16">
        <v>6.01</v>
      </c>
      <c r="L41" s="32"/>
      <c r="M41" s="34">
        <f t="shared" si="0"/>
        <v>4.366666666666666</v>
      </c>
    </row>
    <row r="42" spans="2:13" ht="12.75">
      <c r="B42" s="28" t="s">
        <v>177</v>
      </c>
      <c r="C42" s="28" t="s">
        <v>181</v>
      </c>
      <c r="D42" s="28" t="s">
        <v>71</v>
      </c>
      <c r="E42" s="16" t="s">
        <v>19</v>
      </c>
      <c r="F42" s="20"/>
      <c r="G42" s="16">
        <v>13</v>
      </c>
      <c r="H42" s="20"/>
      <c r="I42" s="16">
        <v>16.1</v>
      </c>
      <c r="J42" s="20"/>
      <c r="K42" s="16">
        <v>38.8</v>
      </c>
      <c r="L42" s="32"/>
      <c r="M42" s="34">
        <f t="shared" si="0"/>
        <v>22.633333333333336</v>
      </c>
    </row>
    <row r="43" spans="2:13" ht="12.75">
      <c r="B43" s="28" t="s">
        <v>105</v>
      </c>
      <c r="C43" s="28" t="s">
        <v>181</v>
      </c>
      <c r="D43" s="28" t="s">
        <v>71</v>
      </c>
      <c r="E43" s="16" t="s">
        <v>19</v>
      </c>
      <c r="F43" s="20"/>
      <c r="G43" s="16">
        <v>1.73</v>
      </c>
      <c r="H43" s="20"/>
      <c r="I43" s="16">
        <v>1.74</v>
      </c>
      <c r="J43" s="20"/>
      <c r="K43" s="16">
        <v>1.59</v>
      </c>
      <c r="L43" s="32"/>
      <c r="M43" s="34">
        <f t="shared" si="0"/>
        <v>1.6866666666666665</v>
      </c>
    </row>
    <row r="44" spans="2:13" ht="12.75">
      <c r="B44" s="28" t="s">
        <v>104</v>
      </c>
      <c r="C44" s="28" t="s">
        <v>181</v>
      </c>
      <c r="D44" s="28" t="s">
        <v>71</v>
      </c>
      <c r="E44" s="16" t="s">
        <v>19</v>
      </c>
      <c r="F44" s="20"/>
      <c r="G44" s="16">
        <v>2.91</v>
      </c>
      <c r="H44" s="20"/>
      <c r="I44" s="16">
        <v>2.55</v>
      </c>
      <c r="J44" s="20"/>
      <c r="K44" s="16">
        <v>2.9</v>
      </c>
      <c r="L44" s="32"/>
      <c r="M44" s="34">
        <f t="shared" si="0"/>
        <v>2.7866666666666666</v>
      </c>
    </row>
    <row r="45" spans="2:13" ht="12.75">
      <c r="B45" s="28" t="s">
        <v>103</v>
      </c>
      <c r="C45" s="28" t="s">
        <v>181</v>
      </c>
      <c r="D45" s="28" t="s">
        <v>71</v>
      </c>
      <c r="E45" s="16" t="s">
        <v>19</v>
      </c>
      <c r="F45" s="20"/>
      <c r="G45" s="16">
        <v>0.9</v>
      </c>
      <c r="H45" s="20"/>
      <c r="I45" s="16">
        <v>0.536</v>
      </c>
      <c r="J45" s="20"/>
      <c r="K45" s="16">
        <v>0.724</v>
      </c>
      <c r="L45" s="32"/>
      <c r="M45" s="34">
        <f t="shared" si="0"/>
        <v>0.7200000000000001</v>
      </c>
    </row>
    <row r="46" spans="2:13" ht="12.75">
      <c r="B46" s="28" t="s">
        <v>132</v>
      </c>
      <c r="C46" s="28" t="s">
        <v>181</v>
      </c>
      <c r="D46" s="28" t="s">
        <v>71</v>
      </c>
      <c r="E46" s="16" t="s">
        <v>19</v>
      </c>
      <c r="F46" s="20" t="s">
        <v>17</v>
      </c>
      <c r="G46" s="16">
        <v>0.346</v>
      </c>
      <c r="H46" s="20" t="s">
        <v>17</v>
      </c>
      <c r="I46" s="16">
        <v>0.335</v>
      </c>
      <c r="J46" s="20" t="s">
        <v>17</v>
      </c>
      <c r="K46" s="16">
        <v>0.362</v>
      </c>
      <c r="L46" s="32"/>
      <c r="M46" s="34">
        <f aca="true" t="shared" si="1" ref="M46:M51">AVERAGE(G46,I46,K46)</f>
        <v>0.34766666666666673</v>
      </c>
    </row>
    <row r="47" spans="2:13" ht="12.75">
      <c r="B47" s="28" t="s">
        <v>102</v>
      </c>
      <c r="C47" s="28" t="s">
        <v>181</v>
      </c>
      <c r="D47" s="28" t="s">
        <v>71</v>
      </c>
      <c r="E47" s="16" t="s">
        <v>19</v>
      </c>
      <c r="F47" s="20"/>
      <c r="G47" s="16">
        <v>5.4</v>
      </c>
      <c r="H47" s="20"/>
      <c r="I47" s="16">
        <v>3.22</v>
      </c>
      <c r="J47" s="20"/>
      <c r="K47" s="16">
        <v>3.26</v>
      </c>
      <c r="L47" s="32"/>
      <c r="M47" s="34">
        <f t="shared" si="1"/>
        <v>3.9600000000000004</v>
      </c>
    </row>
    <row r="48" spans="2:13" ht="12.75">
      <c r="B48" s="28" t="s">
        <v>178</v>
      </c>
      <c r="C48" s="28" t="s">
        <v>181</v>
      </c>
      <c r="D48" s="28" t="s">
        <v>71</v>
      </c>
      <c r="E48" s="16" t="s">
        <v>19</v>
      </c>
      <c r="F48" s="20"/>
      <c r="G48" s="16">
        <v>1.8</v>
      </c>
      <c r="H48" s="20"/>
      <c r="I48" s="16">
        <v>1.14</v>
      </c>
      <c r="J48" s="20"/>
      <c r="K48" s="16">
        <v>1.67</v>
      </c>
      <c r="L48" s="32"/>
      <c r="M48" s="34">
        <f t="shared" si="1"/>
        <v>1.5366666666666664</v>
      </c>
    </row>
    <row r="49" spans="2:13" ht="12.75">
      <c r="B49" s="28" t="s">
        <v>179</v>
      </c>
      <c r="C49" s="28" t="s">
        <v>181</v>
      </c>
      <c r="D49" s="28" t="s">
        <v>71</v>
      </c>
      <c r="E49" s="16" t="s">
        <v>19</v>
      </c>
      <c r="F49" s="20"/>
      <c r="G49" s="16">
        <v>7.34</v>
      </c>
      <c r="H49" s="20"/>
      <c r="I49" s="16">
        <v>10.6</v>
      </c>
      <c r="J49" s="20"/>
      <c r="K49" s="16">
        <v>7.82</v>
      </c>
      <c r="L49" s="32"/>
      <c r="M49" s="34">
        <f t="shared" si="1"/>
        <v>8.586666666666666</v>
      </c>
    </row>
    <row r="50" spans="2:13" ht="12.75">
      <c r="B50" s="28" t="s">
        <v>111</v>
      </c>
      <c r="C50" s="28" t="s">
        <v>181</v>
      </c>
      <c r="D50" s="28" t="s">
        <v>71</v>
      </c>
      <c r="E50" s="16" t="s">
        <v>19</v>
      </c>
      <c r="F50" s="20"/>
      <c r="G50" s="16">
        <v>6.34</v>
      </c>
      <c r="H50" s="20"/>
      <c r="I50" s="16">
        <v>5.29</v>
      </c>
      <c r="J50" s="20"/>
      <c r="K50" s="16">
        <v>2.9</v>
      </c>
      <c r="L50" s="32"/>
      <c r="M50" s="34">
        <f t="shared" si="1"/>
        <v>4.843333333333333</v>
      </c>
    </row>
    <row r="51" spans="2:13" ht="12.75">
      <c r="B51" s="49" t="s">
        <v>180</v>
      </c>
      <c r="C51" s="28" t="s">
        <v>181</v>
      </c>
      <c r="D51" s="28" t="s">
        <v>71</v>
      </c>
      <c r="E51" s="16" t="s">
        <v>19</v>
      </c>
      <c r="F51" s="20" t="s">
        <v>17</v>
      </c>
      <c r="G51" s="16">
        <v>0.314</v>
      </c>
      <c r="H51" s="20" t="s">
        <v>17</v>
      </c>
      <c r="I51" s="16">
        <v>0.549</v>
      </c>
      <c r="J51" s="20" t="s">
        <v>17</v>
      </c>
      <c r="K51" s="16">
        <v>0.53</v>
      </c>
      <c r="L51" s="32"/>
      <c r="M51" s="34">
        <f t="shared" si="1"/>
        <v>0.4643333333333333</v>
      </c>
    </row>
    <row r="52" spans="2:13" ht="12.75">
      <c r="B52" s="28"/>
      <c r="E52" s="16"/>
      <c r="F52" s="20"/>
      <c r="G52" s="16"/>
      <c r="H52" s="20"/>
      <c r="I52" s="16"/>
      <c r="J52" s="20"/>
      <c r="K52" s="16"/>
      <c r="L52" s="32"/>
      <c r="M52" s="34"/>
    </row>
    <row r="53" spans="2:13" ht="12.75">
      <c r="B53" s="28" t="s">
        <v>79</v>
      </c>
      <c r="C53" s="28" t="s">
        <v>181</v>
      </c>
      <c r="D53" s="28" t="s">
        <v>71</v>
      </c>
      <c r="E53" s="16" t="s">
        <v>19</v>
      </c>
      <c r="F53" s="20"/>
      <c r="G53" s="21">
        <f>G38+G44</f>
        <v>3.2560000000000002</v>
      </c>
      <c r="H53" s="20"/>
      <c r="I53" s="21">
        <f>I38+I44</f>
        <v>2.8179999999999996</v>
      </c>
      <c r="J53" s="20"/>
      <c r="K53" s="21">
        <f>K38+K44</f>
        <v>3.262</v>
      </c>
      <c r="L53" s="32"/>
      <c r="M53" s="34">
        <f>AVERAGE(G53,I53,K53)</f>
        <v>3.112</v>
      </c>
    </row>
    <row r="54" spans="2:13" ht="12.75">
      <c r="B54" s="28" t="s">
        <v>80</v>
      </c>
      <c r="C54" s="28" t="s">
        <v>181</v>
      </c>
      <c r="D54" s="28" t="s">
        <v>71</v>
      </c>
      <c r="E54" s="16" t="s">
        <v>19</v>
      </c>
      <c r="F54" s="20"/>
      <c r="G54" s="21">
        <f>G35+G37+G39</f>
        <v>14.1623</v>
      </c>
      <c r="H54" s="20"/>
      <c r="I54" s="21">
        <f>I35+I37+I39</f>
        <v>13.57</v>
      </c>
      <c r="J54" s="20"/>
      <c r="K54" s="21">
        <f>K35+K37+K39</f>
        <v>13.3514</v>
      </c>
      <c r="L54" s="32"/>
      <c r="M54" s="34">
        <f>AVERAGE(G54,I54,K54)</f>
        <v>13.694566666666667</v>
      </c>
    </row>
    <row r="55" spans="2:12" ht="12.75">
      <c r="B55" s="28"/>
      <c r="C55" s="28"/>
      <c r="G55"/>
      <c r="H55"/>
      <c r="I55"/>
      <c r="J55"/>
      <c r="K55"/>
      <c r="L55" s="32"/>
    </row>
    <row r="56" spans="2:12" ht="12.75">
      <c r="B56" s="28" t="s">
        <v>98</v>
      </c>
      <c r="C56" s="28" t="s">
        <v>94</v>
      </c>
      <c r="D56" s="28" t="s">
        <v>172</v>
      </c>
      <c r="G56"/>
      <c r="H56"/>
      <c r="I56"/>
      <c r="J56"/>
      <c r="K56"/>
      <c r="L56" s="32"/>
    </row>
    <row r="57" spans="2:13" ht="12.75">
      <c r="B57" s="28" t="s">
        <v>93</v>
      </c>
      <c r="C57" s="28"/>
      <c r="D57" s="28" t="s">
        <v>20</v>
      </c>
      <c r="G57">
        <v>232000</v>
      </c>
      <c r="H57"/>
      <c r="I57">
        <v>233100</v>
      </c>
      <c r="J57"/>
      <c r="K57">
        <v>239700</v>
      </c>
      <c r="L57" s="32"/>
      <c r="M57" s="35">
        <f>AVERAGE(G57,I57,K57)</f>
        <v>234933.33333333334</v>
      </c>
    </row>
    <row r="58" spans="2:13" ht="12.75">
      <c r="B58" s="28" t="s">
        <v>95</v>
      </c>
      <c r="C58" s="28"/>
      <c r="D58" s="28" t="s">
        <v>18</v>
      </c>
      <c r="G58">
        <v>4.3</v>
      </c>
      <c r="H58"/>
      <c r="I58">
        <v>4.4</v>
      </c>
      <c r="J58"/>
      <c r="K58">
        <v>5.2</v>
      </c>
      <c r="L58" s="29"/>
      <c r="M58" s="35">
        <f>AVERAGE(G58,I58,K58)</f>
        <v>4.633333333333333</v>
      </c>
    </row>
    <row r="59" spans="2:13" ht="12.75">
      <c r="B59" s="28" t="s">
        <v>96</v>
      </c>
      <c r="C59" s="28"/>
      <c r="D59" s="28" t="s">
        <v>18</v>
      </c>
      <c r="G59">
        <v>33.8</v>
      </c>
      <c r="H59"/>
      <c r="I59">
        <v>34.7</v>
      </c>
      <c r="J59"/>
      <c r="K59">
        <v>32.5</v>
      </c>
      <c r="L59" s="29"/>
      <c r="M59" s="35">
        <f>AVERAGE(G59,I59,K59)</f>
        <v>33.666666666666664</v>
      </c>
    </row>
    <row r="60" spans="2:13" ht="12.75">
      <c r="B60" s="28" t="s">
        <v>92</v>
      </c>
      <c r="C60" s="28"/>
      <c r="D60" s="28" t="s">
        <v>21</v>
      </c>
      <c r="G60">
        <v>374</v>
      </c>
      <c r="H60"/>
      <c r="I60">
        <v>382</v>
      </c>
      <c r="J60"/>
      <c r="K60">
        <v>378</v>
      </c>
      <c r="M60" s="35">
        <f>AVERAGE(G60,I60,K60)</f>
        <v>378</v>
      </c>
    </row>
    <row r="61" spans="2:12" ht="12.75">
      <c r="B61" s="28"/>
      <c r="C61" s="28"/>
      <c r="G61"/>
      <c r="H61"/>
      <c r="I61"/>
      <c r="J61"/>
      <c r="K61"/>
      <c r="L61" s="32"/>
    </row>
    <row r="62" spans="2:12" ht="12.75">
      <c r="B62" s="28" t="s">
        <v>98</v>
      </c>
      <c r="C62" s="28" t="s">
        <v>116</v>
      </c>
      <c r="D62" s="28" t="s">
        <v>181</v>
      </c>
      <c r="G62"/>
      <c r="H62"/>
      <c r="I62"/>
      <c r="J62"/>
      <c r="K62"/>
      <c r="L62" s="32"/>
    </row>
    <row r="63" spans="2:13" ht="12.75">
      <c r="B63" s="28" t="s">
        <v>93</v>
      </c>
      <c r="C63" s="28"/>
      <c r="D63" s="28" t="s">
        <v>20</v>
      </c>
      <c r="G63">
        <v>216500</v>
      </c>
      <c r="H63"/>
      <c r="I63">
        <v>222000</v>
      </c>
      <c r="J63"/>
      <c r="K63">
        <v>222500</v>
      </c>
      <c r="L63" s="32"/>
      <c r="M63" s="35">
        <f>AVERAGE(G63,I63,K63)</f>
        <v>220333.33333333334</v>
      </c>
    </row>
    <row r="64" spans="2:13" ht="12.75">
      <c r="B64" s="28" t="s">
        <v>95</v>
      </c>
      <c r="C64" s="28"/>
      <c r="D64" s="28" t="s">
        <v>18</v>
      </c>
      <c r="G64">
        <v>4.5</v>
      </c>
      <c r="H64"/>
      <c r="I64">
        <v>4.3</v>
      </c>
      <c r="J64"/>
      <c r="K64">
        <v>5.5</v>
      </c>
      <c r="L64" s="29"/>
      <c r="M64" s="35">
        <f>AVERAGE(G64,I64,K64)</f>
        <v>4.766666666666667</v>
      </c>
    </row>
    <row r="65" spans="2:13" ht="12.75">
      <c r="B65" s="28" t="s">
        <v>96</v>
      </c>
      <c r="C65" s="28"/>
      <c r="D65" s="28" t="s">
        <v>18</v>
      </c>
      <c r="G65">
        <v>35.3</v>
      </c>
      <c r="H65"/>
      <c r="I65">
        <v>34.1</v>
      </c>
      <c r="J65"/>
      <c r="K65">
        <v>35.5</v>
      </c>
      <c r="L65" s="29"/>
      <c r="M65" s="35">
        <f>AVERAGE(G65,I65,K65)</f>
        <v>34.96666666666667</v>
      </c>
    </row>
    <row r="66" spans="2:13" ht="12.75">
      <c r="B66" s="28" t="s">
        <v>92</v>
      </c>
      <c r="C66" s="28"/>
      <c r="D66" s="28" t="s">
        <v>21</v>
      </c>
      <c r="G66">
        <v>372</v>
      </c>
      <c r="H66"/>
      <c r="I66">
        <v>381</v>
      </c>
      <c r="J66"/>
      <c r="K66">
        <v>376</v>
      </c>
      <c r="M66" s="35">
        <f>AVERAGE(G66,I66,K66)</f>
        <v>376.3333333333333</v>
      </c>
    </row>
    <row r="67" ht="12.75">
      <c r="L67" s="32"/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61"/>
  <sheetViews>
    <sheetView workbookViewId="0" topLeftCell="B32">
      <selection activeCell="C12" sqref="C12"/>
    </sheetView>
  </sheetViews>
  <sheetFormatPr defaultColWidth="9.140625" defaultRowHeight="12.75"/>
  <cols>
    <col min="1" max="1" width="2.8515625" style="4" hidden="1" customWidth="1"/>
    <col min="2" max="2" width="25.28125" style="9" customWidth="1"/>
    <col min="3" max="3" width="5.28125" style="9" customWidth="1"/>
    <col min="4" max="4" width="8.57421875" style="9" customWidth="1"/>
    <col min="5" max="5" width="2.8515625" style="5" customWidth="1"/>
    <col min="6" max="6" width="8.7109375" style="37" customWidth="1"/>
    <col min="7" max="7" width="2.28125" style="37" customWidth="1"/>
    <col min="8" max="8" width="9.28125" style="37" customWidth="1"/>
    <col min="9" max="9" width="2.421875" style="37" customWidth="1"/>
    <col min="10" max="10" width="8.8515625" style="37" customWidth="1"/>
    <col min="11" max="11" width="2.421875" style="37" customWidth="1"/>
    <col min="12" max="12" width="10.140625" style="4" customWidth="1"/>
    <col min="13" max="13" width="2.140625" style="4" customWidth="1"/>
    <col min="14" max="14" width="9.28125" style="5" customWidth="1"/>
    <col min="15" max="15" width="2.421875" style="5" customWidth="1"/>
    <col min="16" max="16" width="8.8515625" style="5" customWidth="1"/>
    <col min="17" max="17" width="2.57421875" style="5" customWidth="1"/>
    <col min="18" max="18" width="9.8515625" style="5" customWidth="1"/>
    <col min="19" max="19" width="2.7109375" style="5" customWidth="1"/>
    <col min="20" max="20" width="8.8515625" style="37" customWidth="1"/>
    <col min="21" max="21" width="2.57421875" style="37" customWidth="1"/>
    <col min="22" max="22" width="9.421875" style="5" customWidth="1"/>
    <col min="23" max="23" width="2.421875" style="5" customWidth="1"/>
    <col min="24" max="24" width="8.8515625" style="5" customWidth="1"/>
    <col min="25" max="25" width="2.421875" style="5" customWidth="1"/>
    <col min="26" max="26" width="9.7109375" style="5" customWidth="1"/>
    <col min="27" max="27" width="2.28125" style="5" customWidth="1"/>
    <col min="28" max="28" width="9.28125" style="4" customWidth="1"/>
    <col min="29" max="29" width="2.140625" style="4" customWidth="1"/>
    <col min="30" max="30" width="9.28125" style="5" customWidth="1"/>
    <col min="31" max="31" width="2.8515625" style="5" customWidth="1"/>
    <col min="32" max="32" width="9.57421875" style="5" customWidth="1"/>
    <col min="33" max="33" width="2.7109375" style="5" customWidth="1"/>
    <col min="34" max="34" width="8.421875" style="5" customWidth="1"/>
    <col min="35" max="35" width="2.140625" style="5" customWidth="1"/>
    <col min="36" max="36" width="10.421875" style="4" customWidth="1"/>
    <col min="37" max="37" width="2.140625" style="4" customWidth="1"/>
    <col min="38" max="38" width="10.421875" style="4" customWidth="1"/>
    <col min="39" max="39" width="2.28125" style="4" customWidth="1"/>
    <col min="40" max="40" width="10.421875" style="4" customWidth="1"/>
    <col min="41" max="41" width="2.28125" style="4" customWidth="1"/>
    <col min="42" max="42" width="10.421875" style="4" customWidth="1"/>
    <col min="43" max="43" width="2.57421875" style="4" customWidth="1"/>
    <col min="44" max="44" width="10.421875" style="4" customWidth="1"/>
    <col min="45" max="45" width="2.57421875" style="4" customWidth="1"/>
    <col min="46" max="46" width="10.8515625" style="5" customWidth="1"/>
    <col min="47" max="47" width="2.57421875" style="5" customWidth="1"/>
    <col min="48" max="48" width="10.8515625" style="5" customWidth="1"/>
    <col min="49" max="49" width="3.00390625" style="5" customWidth="1"/>
    <col min="50" max="50" width="11.421875" style="5" customWidth="1"/>
    <col min="51" max="51" width="2.28125" style="5" customWidth="1"/>
    <col min="52" max="52" width="11.140625" style="4" customWidth="1"/>
    <col min="53" max="53" width="2.8515625" style="4" customWidth="1"/>
    <col min="54" max="54" width="8.57421875" style="4" customWidth="1"/>
    <col min="55" max="55" width="2.421875" style="4" customWidth="1"/>
    <col min="56" max="56" width="8.57421875" style="4" customWidth="1"/>
    <col min="57" max="57" width="2.00390625" style="4" customWidth="1"/>
    <col min="58" max="58" width="8.57421875" style="4" customWidth="1"/>
    <col min="59" max="59" width="2.57421875" style="4" customWidth="1"/>
    <col min="60" max="60" width="9.8515625" style="4" customWidth="1"/>
    <col min="61" max="16384" width="8.8515625" style="4" customWidth="1"/>
  </cols>
  <sheetData>
    <row r="1" spans="2:3" ht="12.75">
      <c r="B1" s="36" t="s">
        <v>170</v>
      </c>
      <c r="C1" s="36"/>
    </row>
    <row r="3" spans="2:52" ht="12.75">
      <c r="B3" s="36" t="s">
        <v>164</v>
      </c>
      <c r="C3" s="9" t="s">
        <v>155</v>
      </c>
      <c r="F3" s="37" t="s">
        <v>122</v>
      </c>
      <c r="H3" s="37" t="s">
        <v>123</v>
      </c>
      <c r="J3" s="37" t="s">
        <v>124</v>
      </c>
      <c r="L3" s="4" t="s">
        <v>72</v>
      </c>
      <c r="N3" s="37" t="s">
        <v>122</v>
      </c>
      <c r="O3" s="37"/>
      <c r="P3" s="37" t="s">
        <v>123</v>
      </c>
      <c r="Q3" s="37"/>
      <c r="R3" s="37" t="s">
        <v>124</v>
      </c>
      <c r="S3" s="37"/>
      <c r="T3" s="37" t="s">
        <v>72</v>
      </c>
      <c r="V3" s="5" t="s">
        <v>122</v>
      </c>
      <c r="X3" s="5" t="s">
        <v>123</v>
      </c>
      <c r="Z3" s="5" t="s">
        <v>124</v>
      </c>
      <c r="AB3" s="4" t="s">
        <v>72</v>
      </c>
      <c r="AD3" s="5" t="s">
        <v>122</v>
      </c>
      <c r="AF3" s="5" t="s">
        <v>123</v>
      </c>
      <c r="AH3" s="5" t="s">
        <v>124</v>
      </c>
      <c r="AJ3" s="4" t="s">
        <v>72</v>
      </c>
      <c r="AL3" s="5" t="s">
        <v>122</v>
      </c>
      <c r="AM3" s="5"/>
      <c r="AN3" s="5" t="s">
        <v>123</v>
      </c>
      <c r="AO3" s="5"/>
      <c r="AP3" s="5" t="s">
        <v>124</v>
      </c>
      <c r="AQ3" s="5"/>
      <c r="AR3" s="4" t="s">
        <v>72</v>
      </c>
      <c r="AT3" s="4" t="s">
        <v>122</v>
      </c>
      <c r="AU3" s="4"/>
      <c r="AV3" s="4" t="s">
        <v>123</v>
      </c>
      <c r="AW3" s="4"/>
      <c r="AX3" s="4" t="s">
        <v>124</v>
      </c>
      <c r="AY3" s="4"/>
      <c r="AZ3" s="4" t="s">
        <v>72</v>
      </c>
    </row>
    <row r="4" spans="2:51" ht="12.75">
      <c r="B4" s="36"/>
      <c r="N4" s="37"/>
      <c r="O4" s="37"/>
      <c r="P4" s="37"/>
      <c r="Q4" s="37"/>
      <c r="R4" s="37"/>
      <c r="S4" s="37"/>
      <c r="AT4" s="4"/>
      <c r="AU4" s="4"/>
      <c r="AV4" s="4"/>
      <c r="AW4" s="4"/>
      <c r="AX4" s="4"/>
      <c r="AY4" s="4"/>
    </row>
    <row r="5" spans="2:52" ht="12.75">
      <c r="B5" s="9" t="s">
        <v>196</v>
      </c>
      <c r="F5" s="37" t="s">
        <v>201</v>
      </c>
      <c r="H5" s="37" t="s">
        <v>201</v>
      </c>
      <c r="J5" s="37" t="s">
        <v>201</v>
      </c>
      <c r="L5" s="4" t="s">
        <v>201</v>
      </c>
      <c r="N5" s="37" t="s">
        <v>202</v>
      </c>
      <c r="O5" s="37"/>
      <c r="P5" s="37" t="s">
        <v>202</v>
      </c>
      <c r="Q5" s="37"/>
      <c r="R5" s="37" t="s">
        <v>202</v>
      </c>
      <c r="S5" s="37"/>
      <c r="T5" s="37" t="s">
        <v>202</v>
      </c>
      <c r="V5" s="5" t="s">
        <v>203</v>
      </c>
      <c r="X5" s="5" t="s">
        <v>203</v>
      </c>
      <c r="Z5" s="5" t="s">
        <v>203</v>
      </c>
      <c r="AB5" s="4" t="s">
        <v>203</v>
      </c>
      <c r="AD5" s="5" t="s">
        <v>204</v>
      </c>
      <c r="AF5" s="5" t="s">
        <v>204</v>
      </c>
      <c r="AH5" s="5" t="s">
        <v>204</v>
      </c>
      <c r="AJ5" s="4" t="s">
        <v>204</v>
      </c>
      <c r="AT5" s="4" t="s">
        <v>205</v>
      </c>
      <c r="AU5" s="4"/>
      <c r="AV5" s="4" t="s">
        <v>205</v>
      </c>
      <c r="AW5" s="4"/>
      <c r="AX5" s="4" t="s">
        <v>205</v>
      </c>
      <c r="AY5" s="4"/>
      <c r="AZ5" s="4" t="s">
        <v>205</v>
      </c>
    </row>
    <row r="6" spans="2:52" ht="12.75">
      <c r="B6" s="9" t="s">
        <v>197</v>
      </c>
      <c r="F6" s="4" t="s">
        <v>121</v>
      </c>
      <c r="G6" s="4"/>
      <c r="H6" s="4" t="s">
        <v>121</v>
      </c>
      <c r="I6" s="4"/>
      <c r="J6" s="4" t="s">
        <v>121</v>
      </c>
      <c r="K6" s="4"/>
      <c r="L6" s="4" t="s">
        <v>121</v>
      </c>
      <c r="N6" s="5" t="s">
        <v>198</v>
      </c>
      <c r="P6" s="5" t="s">
        <v>198</v>
      </c>
      <c r="R6" s="5" t="s">
        <v>198</v>
      </c>
      <c r="T6" s="5" t="s">
        <v>198</v>
      </c>
      <c r="V6" s="5" t="s">
        <v>199</v>
      </c>
      <c r="X6" s="5" t="s">
        <v>199</v>
      </c>
      <c r="Z6" s="5" t="s">
        <v>199</v>
      </c>
      <c r="AB6" s="5" t="s">
        <v>199</v>
      </c>
      <c r="AD6" s="5" t="s">
        <v>200</v>
      </c>
      <c r="AF6" s="5" t="s">
        <v>200</v>
      </c>
      <c r="AH6" s="5" t="s">
        <v>200</v>
      </c>
      <c r="AJ6" s="5" t="s">
        <v>200</v>
      </c>
      <c r="AK6" s="5"/>
      <c r="AL6" s="5"/>
      <c r="AM6" s="5"/>
      <c r="AN6" s="5"/>
      <c r="AO6" s="5"/>
      <c r="AP6" s="5"/>
      <c r="AQ6" s="5"/>
      <c r="AR6" s="5"/>
      <c r="AT6" s="4" t="s">
        <v>34</v>
      </c>
      <c r="AU6" s="4"/>
      <c r="AV6" s="4" t="s">
        <v>34</v>
      </c>
      <c r="AW6" s="4"/>
      <c r="AX6" s="4" t="s">
        <v>34</v>
      </c>
      <c r="AY6" s="4"/>
      <c r="AZ6" s="4" t="s">
        <v>34</v>
      </c>
    </row>
    <row r="7" spans="2:52" ht="12.75">
      <c r="B7" s="9" t="s">
        <v>207</v>
      </c>
      <c r="F7" s="4" t="s">
        <v>121</v>
      </c>
      <c r="G7" s="4"/>
      <c r="H7" s="4" t="s">
        <v>121</v>
      </c>
      <c r="I7" s="4"/>
      <c r="J7" s="4" t="s">
        <v>121</v>
      </c>
      <c r="K7" s="4"/>
      <c r="L7" s="4" t="s">
        <v>121</v>
      </c>
      <c r="N7" s="5" t="s">
        <v>208</v>
      </c>
      <c r="P7" s="5" t="s">
        <v>208</v>
      </c>
      <c r="R7" s="5" t="s">
        <v>208</v>
      </c>
      <c r="T7" s="5" t="s">
        <v>208</v>
      </c>
      <c r="AB7" s="5"/>
      <c r="AD7" s="5" t="s">
        <v>210</v>
      </c>
      <c r="AF7" s="5" t="s">
        <v>210</v>
      </c>
      <c r="AH7" s="5" t="s">
        <v>210</v>
      </c>
      <c r="AJ7" s="5" t="s">
        <v>210</v>
      </c>
      <c r="AK7" s="5"/>
      <c r="AL7" s="5" t="s">
        <v>81</v>
      </c>
      <c r="AM7" s="5"/>
      <c r="AN7" s="5" t="s">
        <v>81</v>
      </c>
      <c r="AO7" s="5"/>
      <c r="AP7" s="5" t="s">
        <v>81</v>
      </c>
      <c r="AQ7" s="5"/>
      <c r="AR7" s="5" t="s">
        <v>81</v>
      </c>
      <c r="AT7" s="4" t="s">
        <v>34</v>
      </c>
      <c r="AU7" s="4"/>
      <c r="AV7" s="4" t="s">
        <v>34</v>
      </c>
      <c r="AW7" s="4"/>
      <c r="AX7" s="4" t="s">
        <v>34</v>
      </c>
      <c r="AY7" s="4"/>
      <c r="AZ7" s="4" t="s">
        <v>34</v>
      </c>
    </row>
    <row r="8" spans="2:52" ht="12.75">
      <c r="B8" s="9" t="s">
        <v>109</v>
      </c>
      <c r="F8" s="4" t="s">
        <v>121</v>
      </c>
      <c r="G8" s="4"/>
      <c r="H8" s="4" t="s">
        <v>121</v>
      </c>
      <c r="I8" s="4"/>
      <c r="J8" s="4" t="s">
        <v>121</v>
      </c>
      <c r="K8" s="4"/>
      <c r="L8" s="4" t="s">
        <v>121</v>
      </c>
      <c r="N8" s="37" t="s">
        <v>120</v>
      </c>
      <c r="O8" s="37"/>
      <c r="P8" s="37" t="s">
        <v>120</v>
      </c>
      <c r="Q8" s="37"/>
      <c r="R8" s="37" t="s">
        <v>120</v>
      </c>
      <c r="S8" s="37"/>
      <c r="T8" s="37" t="s">
        <v>120</v>
      </c>
      <c r="V8" s="37" t="s">
        <v>130</v>
      </c>
      <c r="W8" s="37"/>
      <c r="X8" s="37" t="s">
        <v>130</v>
      </c>
      <c r="Y8" s="37"/>
      <c r="Z8" s="37" t="s">
        <v>130</v>
      </c>
      <c r="AA8" s="37"/>
      <c r="AB8" s="37" t="s">
        <v>130</v>
      </c>
      <c r="AC8" s="37"/>
      <c r="AD8" s="37" t="s">
        <v>151</v>
      </c>
      <c r="AE8" s="37"/>
      <c r="AF8" s="37" t="s">
        <v>151</v>
      </c>
      <c r="AG8" s="37"/>
      <c r="AH8" s="37" t="s">
        <v>151</v>
      </c>
      <c r="AI8" s="37"/>
      <c r="AJ8" s="37" t="s">
        <v>151</v>
      </c>
      <c r="AK8" s="37"/>
      <c r="AL8" s="37"/>
      <c r="AM8" s="37"/>
      <c r="AN8" s="37"/>
      <c r="AO8" s="37"/>
      <c r="AP8" s="37"/>
      <c r="AQ8" s="37"/>
      <c r="AR8" s="37"/>
      <c r="AS8" s="37"/>
      <c r="AT8" s="4" t="s">
        <v>34</v>
      </c>
      <c r="AU8" s="4"/>
      <c r="AV8" s="4" t="s">
        <v>34</v>
      </c>
      <c r="AW8" s="4"/>
      <c r="AX8" s="4" t="s">
        <v>34</v>
      </c>
      <c r="AY8" s="4"/>
      <c r="AZ8" s="4" t="s">
        <v>34</v>
      </c>
    </row>
    <row r="9" spans="2:51" ht="12.75">
      <c r="B9" s="9" t="s">
        <v>112</v>
      </c>
      <c r="D9" s="9" t="s">
        <v>150</v>
      </c>
      <c r="F9">
        <f>0+19.7*2000</f>
        <v>39400</v>
      </c>
      <c r="G9"/>
      <c r="H9">
        <f>0+18.6*2000</f>
        <v>37200</v>
      </c>
      <c r="I9"/>
      <c r="J9">
        <f>0+17.5*2000</f>
        <v>35000</v>
      </c>
      <c r="K9"/>
      <c r="L9" s="53">
        <f>AVERAGE(F9:J9)</f>
        <v>37200</v>
      </c>
      <c r="M9" s="53"/>
      <c r="N9" s="53">
        <v>884000</v>
      </c>
      <c r="O9" s="53"/>
      <c r="P9" s="53">
        <v>854000</v>
      </c>
      <c r="Q9" s="53"/>
      <c r="R9" s="53">
        <v>812000</v>
      </c>
      <c r="S9" s="53"/>
      <c r="T9" s="53">
        <f>AVERAGE(N9:R9)</f>
        <v>850000</v>
      </c>
      <c r="U9" s="53"/>
      <c r="V9">
        <f>13.2*2000</f>
        <v>26400</v>
      </c>
      <c r="W9"/>
      <c r="X9">
        <f>12.5*2000</f>
        <v>25000</v>
      </c>
      <c r="Y9"/>
      <c r="Z9">
        <f>12.1*2000</f>
        <v>24200</v>
      </c>
      <c r="AA9"/>
      <c r="AB9" s="43">
        <f>AVERAGE(V9:Z9)</f>
        <v>25200</v>
      </c>
      <c r="AC9" s="43"/>
      <c r="AD9" s="37">
        <f>0.2*2000</f>
        <v>400</v>
      </c>
      <c r="AE9" s="37"/>
      <c r="AF9" s="37">
        <f>0.2*2000</f>
        <v>400</v>
      </c>
      <c r="AG9" s="37"/>
      <c r="AH9" s="37">
        <f>0.2*2000</f>
        <v>400</v>
      </c>
      <c r="AI9" s="37"/>
      <c r="AJ9" s="53">
        <f>AVERAGE(AD9:AH9)</f>
        <v>400</v>
      </c>
      <c r="AK9" s="43"/>
      <c r="AL9" s="43"/>
      <c r="AM9" s="43"/>
      <c r="AN9" s="43"/>
      <c r="AO9" s="43"/>
      <c r="AP9" s="43"/>
      <c r="AQ9" s="43"/>
      <c r="AR9" s="43"/>
      <c r="AS9" s="43"/>
      <c r="AT9" s="4"/>
      <c r="AU9" s="4"/>
      <c r="AV9" s="4"/>
      <c r="AW9" s="4"/>
      <c r="AX9" s="4"/>
      <c r="AY9" s="4"/>
    </row>
    <row r="10" spans="2:52" ht="12.75">
      <c r="B10" s="9" t="s">
        <v>134</v>
      </c>
      <c r="D10" s="9" t="s">
        <v>75</v>
      </c>
      <c r="F10" s="14">
        <f>F9*13300/1000000</f>
        <v>524.02</v>
      </c>
      <c r="G10"/>
      <c r="H10" s="14">
        <f>H9*13300/1000000</f>
        <v>494.76</v>
      </c>
      <c r="I10"/>
      <c r="J10" s="14">
        <f>J9*13300/1000000</f>
        <v>465.5</v>
      </c>
      <c r="K10"/>
      <c r="L10" s="14">
        <f>L9*13300/1000000</f>
        <v>494.76</v>
      </c>
      <c r="M10" s="14"/>
      <c r="N10"/>
      <c r="O10"/>
      <c r="P10"/>
      <c r="Q10"/>
      <c r="R10"/>
      <c r="S10"/>
      <c r="T10" s="43"/>
      <c r="U10" s="43"/>
      <c r="V10" s="14">
        <f>V9*11700/1000000</f>
        <v>308.88</v>
      </c>
      <c r="W10"/>
      <c r="X10" s="14">
        <f>X9*11700/1000000</f>
        <v>292.5</v>
      </c>
      <c r="Y10"/>
      <c r="Z10" s="14">
        <f>Z9*11700/1000000</f>
        <v>283.14</v>
      </c>
      <c r="AA10"/>
      <c r="AB10" s="14">
        <f>AB9*11700/1000000</f>
        <v>294.84</v>
      </c>
      <c r="AC10" s="14"/>
      <c r="AD10" s="14">
        <f>AD9*7170/1000000</f>
        <v>2.868</v>
      </c>
      <c r="AF10" s="14">
        <f>AF9*7170/1000000</f>
        <v>2.868</v>
      </c>
      <c r="AH10" s="14">
        <f>AH9*7170/1000000</f>
        <v>2.868</v>
      </c>
      <c r="AJ10" s="14">
        <f>AJ9*7170/1000000</f>
        <v>2.868</v>
      </c>
      <c r="AK10" s="14"/>
      <c r="AL10" s="14">
        <f>V10</f>
        <v>308.88</v>
      </c>
      <c r="AM10" s="14"/>
      <c r="AN10" s="14">
        <f>X10</f>
        <v>292.5</v>
      </c>
      <c r="AO10" s="14"/>
      <c r="AP10" s="14">
        <f>Z10</f>
        <v>283.14</v>
      </c>
      <c r="AQ10" s="14"/>
      <c r="AR10" s="14">
        <f>AB10</f>
        <v>294.84</v>
      </c>
      <c r="AS10" s="14"/>
      <c r="AT10" s="14">
        <f>SUM(AD10,V10,F10)</f>
        <v>835.768</v>
      </c>
      <c r="AU10" s="4"/>
      <c r="AV10" s="14">
        <f>SUM(AF10,X10,H10)</f>
        <v>790.1279999999999</v>
      </c>
      <c r="AW10" s="4"/>
      <c r="AX10" s="14">
        <f>SUM(AH10,Z10,J10)</f>
        <v>751.508</v>
      </c>
      <c r="AY10" s="4"/>
      <c r="AZ10" s="14">
        <f>SUM(AJ10,AB10,L10)</f>
        <v>792.468</v>
      </c>
    </row>
    <row r="11" spans="2:51" ht="12.75">
      <c r="B11" s="9" t="s">
        <v>25</v>
      </c>
      <c r="D11" s="9" t="s">
        <v>153</v>
      </c>
      <c r="F11"/>
      <c r="G11"/>
      <c r="H11"/>
      <c r="I11"/>
      <c r="J11"/>
      <c r="K11"/>
      <c r="L11" s="14">
        <v>630</v>
      </c>
      <c r="M11" s="14"/>
      <c r="N11"/>
      <c r="O11"/>
      <c r="P11"/>
      <c r="Q11"/>
      <c r="R11"/>
      <c r="S11"/>
      <c r="T11" s="37">
        <v>35.7</v>
      </c>
      <c r="V11"/>
      <c r="W11"/>
      <c r="X11"/>
      <c r="Y11"/>
      <c r="Z11"/>
      <c r="AA11"/>
      <c r="AB11" s="14">
        <v>21133</v>
      </c>
      <c r="AC11" s="14"/>
      <c r="AJ11" s="14">
        <v>3843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4"/>
      <c r="AU11" s="4"/>
      <c r="AV11" s="4"/>
      <c r="AW11" s="4"/>
      <c r="AX11" s="4"/>
      <c r="AY11" s="4"/>
    </row>
    <row r="12" spans="6:51" ht="12.75">
      <c r="F12"/>
      <c r="G12"/>
      <c r="H12"/>
      <c r="I12"/>
      <c r="J12"/>
      <c r="K12"/>
      <c r="L12" s="14"/>
      <c r="M12" s="14"/>
      <c r="N12"/>
      <c r="O12"/>
      <c r="P12"/>
      <c r="Q12"/>
      <c r="R12"/>
      <c r="S12"/>
      <c r="V12"/>
      <c r="W12"/>
      <c r="X12"/>
      <c r="Y12"/>
      <c r="Z12"/>
      <c r="AA12"/>
      <c r="AB12" s="14"/>
      <c r="AC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4"/>
      <c r="AU12" s="4"/>
      <c r="AV12" s="4"/>
      <c r="AW12" s="4"/>
      <c r="AX12" s="4"/>
      <c r="AY12" s="4"/>
    </row>
    <row r="13" spans="2:51" ht="12.75">
      <c r="B13" s="9" t="s">
        <v>73</v>
      </c>
      <c r="D13" s="9" t="s">
        <v>20</v>
      </c>
      <c r="F13"/>
      <c r="G13"/>
      <c r="H13"/>
      <c r="I13"/>
      <c r="J13"/>
      <c r="K13"/>
      <c r="L13" s="14">
        <f>emiss!$M$13</f>
        <v>220333.33333333334</v>
      </c>
      <c r="M13" s="14"/>
      <c r="N13"/>
      <c r="O13"/>
      <c r="P13"/>
      <c r="Q13"/>
      <c r="R13"/>
      <c r="S13"/>
      <c r="T13" s="14">
        <f>emiss!$M$13</f>
        <v>220333.33333333334</v>
      </c>
      <c r="U13" s="14"/>
      <c r="V13"/>
      <c r="W13"/>
      <c r="X13"/>
      <c r="Y13"/>
      <c r="Z13"/>
      <c r="AA13"/>
      <c r="AB13" s="14">
        <f>emiss!$M$13</f>
        <v>220333.33333333334</v>
      </c>
      <c r="AC13" s="14"/>
      <c r="AJ13" s="14">
        <f>emiss!$M$13</f>
        <v>220333.33333333334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4"/>
      <c r="AU13" s="4"/>
      <c r="AV13" s="4"/>
      <c r="AW13" s="4"/>
      <c r="AX13" s="4"/>
      <c r="AY13" s="4"/>
    </row>
    <row r="14" spans="2:51" ht="12.75">
      <c r="B14" s="9" t="s">
        <v>74</v>
      </c>
      <c r="D14" s="9" t="s">
        <v>18</v>
      </c>
      <c r="F14"/>
      <c r="G14"/>
      <c r="H14"/>
      <c r="I14"/>
      <c r="J14"/>
      <c r="K14"/>
      <c r="L14" s="14">
        <f>emiss!$M$14</f>
        <v>5.666666666666667</v>
      </c>
      <c r="M14" s="14"/>
      <c r="N14"/>
      <c r="O14"/>
      <c r="P14"/>
      <c r="Q14"/>
      <c r="R14"/>
      <c r="S14"/>
      <c r="T14" s="14">
        <f>emiss!$M$14</f>
        <v>5.666666666666667</v>
      </c>
      <c r="U14" s="14"/>
      <c r="V14"/>
      <c r="W14"/>
      <c r="X14"/>
      <c r="Y14"/>
      <c r="Z14"/>
      <c r="AA14"/>
      <c r="AB14" s="14">
        <f>emiss!$M$14</f>
        <v>5.666666666666667</v>
      </c>
      <c r="AC14" s="14"/>
      <c r="AJ14" s="14">
        <f>emiss!$M$14</f>
        <v>5.666666666666667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4"/>
      <c r="AU14" s="4"/>
      <c r="AV14" s="4"/>
      <c r="AW14" s="4"/>
      <c r="AX14" s="4"/>
      <c r="AY14" s="4"/>
    </row>
    <row r="15" spans="6:51" ht="12.75">
      <c r="F15"/>
      <c r="G15"/>
      <c r="H15"/>
      <c r="I15"/>
      <c r="J15"/>
      <c r="K15"/>
      <c r="L15" s="14"/>
      <c r="M15" s="14"/>
      <c r="N15"/>
      <c r="O15"/>
      <c r="P15"/>
      <c r="Q15"/>
      <c r="R15"/>
      <c r="S15"/>
      <c r="V15"/>
      <c r="W15"/>
      <c r="X15"/>
      <c r="Y15"/>
      <c r="Z15"/>
      <c r="AA15"/>
      <c r="AB15" s="14"/>
      <c r="AC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4"/>
      <c r="AU15" s="4"/>
      <c r="AV15" s="4"/>
      <c r="AW15" s="4"/>
      <c r="AX15" s="4"/>
      <c r="AY15" s="4"/>
    </row>
    <row r="16" spans="2:52" ht="12.75">
      <c r="B16" s="41" t="s">
        <v>89</v>
      </c>
      <c r="C16" s="41"/>
      <c r="AT16" s="4"/>
      <c r="AU16" s="4"/>
      <c r="AV16" s="4"/>
      <c r="AW16" s="4"/>
      <c r="AX16" s="4"/>
      <c r="AY16" s="4"/>
      <c r="AZ16" s="14"/>
    </row>
    <row r="17" spans="2:53" ht="12.75">
      <c r="B17" s="9" t="s">
        <v>25</v>
      </c>
      <c r="D17" s="9" t="s">
        <v>71</v>
      </c>
      <c r="E17" s="5" t="s">
        <v>19</v>
      </c>
      <c r="F17" s="38"/>
      <c r="G17" s="38"/>
      <c r="H17" s="38"/>
      <c r="I17" s="38"/>
      <c r="J17" s="38"/>
      <c r="K17" s="38"/>
      <c r="L17" s="38">
        <f>L9*454*L11/1000000*1000000/L13/60/0.0283*(21-7)/(21-L14)</f>
        <v>25966.469794296227</v>
      </c>
      <c r="M17" s="38"/>
      <c r="T17" s="38">
        <f>T9*454*T11/1000000*1000000/T13/60/0.0283*(21-7)/(21-T14)</f>
        <v>33621.459545482125</v>
      </c>
      <c r="U17" s="38"/>
      <c r="AB17" s="38">
        <f>AB9*454*AB11/1000000*1000000/AB13/60/0.0283*(21-7)/(21-AB14)</f>
        <v>590053.1249063035</v>
      </c>
      <c r="AC17" s="38"/>
      <c r="AJ17" s="38">
        <f>AJ9*454*AJ11/1000000*1000000/AJ13/60/0.0283*(21-7)/(21-AJ14)</f>
        <v>1703.1770510237309</v>
      </c>
      <c r="AK17" s="38"/>
      <c r="AL17" s="38"/>
      <c r="AM17" s="38"/>
      <c r="AN17" s="38"/>
      <c r="AO17" s="38"/>
      <c r="AP17" s="38"/>
      <c r="AQ17" s="38"/>
      <c r="AR17" s="38">
        <f>SUM(AJ17,AB17)</f>
        <v>591756.3019573272</v>
      </c>
      <c r="AS17" s="38"/>
      <c r="AT17" s="14"/>
      <c r="AU17" s="38"/>
      <c r="AV17" s="14"/>
      <c r="AW17" s="38"/>
      <c r="AX17" s="14"/>
      <c r="AY17" s="38"/>
      <c r="AZ17" s="14">
        <f>SUM(L17,T17,AB17,AJ17)</f>
        <v>651344.2312971056</v>
      </c>
      <c r="BA17" s="38"/>
    </row>
    <row r="18" spans="14:51" ht="12.75">
      <c r="N18" s="6"/>
      <c r="O18" s="6"/>
      <c r="P18" s="8"/>
      <c r="Q18" s="8"/>
      <c r="R18" s="8"/>
      <c r="S18" s="8"/>
      <c r="V18" s="4"/>
      <c r="W18" s="4"/>
      <c r="X18" s="37"/>
      <c r="Y18" s="37"/>
      <c r="Z18" s="37"/>
      <c r="AA18" s="37"/>
      <c r="AD18" s="6"/>
      <c r="AE18" s="6"/>
      <c r="AF18" s="8"/>
      <c r="AG18" s="8"/>
      <c r="AH18" s="8"/>
      <c r="AI18" s="8"/>
      <c r="AT18" s="6"/>
      <c r="AU18" s="6"/>
      <c r="AV18" s="8"/>
      <c r="AW18" s="8"/>
      <c r="AX18" s="8"/>
      <c r="AY18" s="8"/>
    </row>
    <row r="19" spans="1:60" ht="12.75">
      <c r="A19" s="4" t="s">
        <v>110</v>
      </c>
      <c r="B19" s="36" t="s">
        <v>165</v>
      </c>
      <c r="F19" s="37" t="s">
        <v>122</v>
      </c>
      <c r="H19" s="37" t="s">
        <v>123</v>
      </c>
      <c r="J19" s="37" t="s">
        <v>124</v>
      </c>
      <c r="L19" s="4" t="s">
        <v>72</v>
      </c>
      <c r="N19" s="37" t="s">
        <v>122</v>
      </c>
      <c r="O19" s="37"/>
      <c r="P19" s="37" t="s">
        <v>123</v>
      </c>
      <c r="Q19" s="37"/>
      <c r="R19" s="37" t="s">
        <v>124</v>
      </c>
      <c r="S19" s="37"/>
      <c r="T19" s="37" t="s">
        <v>72</v>
      </c>
      <c r="V19" s="5" t="s">
        <v>122</v>
      </c>
      <c r="X19" s="5" t="s">
        <v>123</v>
      </c>
      <c r="Z19" s="5" t="s">
        <v>124</v>
      </c>
      <c r="AB19" s="4" t="s">
        <v>72</v>
      </c>
      <c r="AD19" s="5" t="s">
        <v>122</v>
      </c>
      <c r="AF19" s="5" t="s">
        <v>123</v>
      </c>
      <c r="AH19" s="5" t="s">
        <v>124</v>
      </c>
      <c r="AJ19" s="4" t="s">
        <v>72</v>
      </c>
      <c r="AL19" s="5" t="s">
        <v>122</v>
      </c>
      <c r="AM19" s="5"/>
      <c r="AN19" s="5" t="s">
        <v>123</v>
      </c>
      <c r="AO19" s="5"/>
      <c r="AP19" s="5" t="s">
        <v>124</v>
      </c>
      <c r="AQ19" s="5"/>
      <c r="AR19" s="4" t="s">
        <v>72</v>
      </c>
      <c r="AT19" s="5" t="s">
        <v>122</v>
      </c>
      <c r="AV19" s="5" t="s">
        <v>123</v>
      </c>
      <c r="AX19" s="5" t="s">
        <v>124</v>
      </c>
      <c r="AZ19" s="4" t="s">
        <v>72</v>
      </c>
      <c r="BB19" s="4" t="s">
        <v>122</v>
      </c>
      <c r="BD19" s="4" t="s">
        <v>123</v>
      </c>
      <c r="BF19" s="4" t="s">
        <v>124</v>
      </c>
      <c r="BH19" s="4" t="s">
        <v>72</v>
      </c>
    </row>
    <row r="20" spans="2:19" ht="12.75">
      <c r="B20" s="36"/>
      <c r="N20" s="37"/>
      <c r="O20" s="37"/>
      <c r="P20" s="37"/>
      <c r="Q20" s="37"/>
      <c r="R20" s="37"/>
      <c r="S20" s="37"/>
    </row>
    <row r="21" spans="2:60" ht="12.75">
      <c r="B21" s="9" t="s">
        <v>196</v>
      </c>
      <c r="F21" s="37" t="s">
        <v>201</v>
      </c>
      <c r="H21" s="37" t="s">
        <v>201</v>
      </c>
      <c r="J21" s="37" t="s">
        <v>201</v>
      </c>
      <c r="L21" s="4" t="s">
        <v>201</v>
      </c>
      <c r="N21" s="37" t="s">
        <v>202</v>
      </c>
      <c r="O21" s="37"/>
      <c r="P21" s="37" t="s">
        <v>202</v>
      </c>
      <c r="Q21" s="37"/>
      <c r="R21" s="37" t="s">
        <v>202</v>
      </c>
      <c r="S21" s="37"/>
      <c r="T21" s="37" t="s">
        <v>202</v>
      </c>
      <c r="V21" s="5" t="s">
        <v>203</v>
      </c>
      <c r="X21" s="5" t="s">
        <v>203</v>
      </c>
      <c r="Z21" s="5" t="s">
        <v>203</v>
      </c>
      <c r="AB21" s="4" t="s">
        <v>203</v>
      </c>
      <c r="AD21" s="5" t="s">
        <v>204</v>
      </c>
      <c r="AF21" s="5" t="s">
        <v>204</v>
      </c>
      <c r="AH21" s="5" t="s">
        <v>204</v>
      </c>
      <c r="AJ21" s="4" t="s">
        <v>204</v>
      </c>
      <c r="AT21" s="4" t="s">
        <v>205</v>
      </c>
      <c r="AU21" s="4"/>
      <c r="AV21" s="4" t="s">
        <v>205</v>
      </c>
      <c r="AW21" s="4"/>
      <c r="AX21" s="4" t="s">
        <v>205</v>
      </c>
      <c r="AY21" s="4"/>
      <c r="AZ21" s="4" t="s">
        <v>205</v>
      </c>
      <c r="BB21" s="4" t="s">
        <v>206</v>
      </c>
      <c r="BD21" s="4" t="s">
        <v>206</v>
      </c>
      <c r="BF21" s="4" t="s">
        <v>206</v>
      </c>
      <c r="BH21" s="4" t="s">
        <v>206</v>
      </c>
    </row>
    <row r="22" spans="2:60" ht="12.75">
      <c r="B22" s="9" t="s">
        <v>197</v>
      </c>
      <c r="F22" s="4" t="s">
        <v>121</v>
      </c>
      <c r="G22" s="4"/>
      <c r="H22" s="4" t="s">
        <v>121</v>
      </c>
      <c r="I22" s="4"/>
      <c r="J22" s="4" t="s">
        <v>121</v>
      </c>
      <c r="K22" s="4"/>
      <c r="L22" s="4" t="s">
        <v>121</v>
      </c>
      <c r="N22" s="5" t="s">
        <v>198</v>
      </c>
      <c r="P22" s="5" t="s">
        <v>198</v>
      </c>
      <c r="R22" s="5" t="s">
        <v>198</v>
      </c>
      <c r="T22" s="5" t="s">
        <v>198</v>
      </c>
      <c r="V22" s="5" t="s">
        <v>199</v>
      </c>
      <c r="X22" s="5" t="s">
        <v>199</v>
      </c>
      <c r="Z22" s="5" t="s">
        <v>199</v>
      </c>
      <c r="AB22" s="5" t="s">
        <v>199</v>
      </c>
      <c r="AD22" s="5" t="s">
        <v>200</v>
      </c>
      <c r="AF22" s="5" t="s">
        <v>200</v>
      </c>
      <c r="AH22" s="5" t="s">
        <v>200</v>
      </c>
      <c r="AJ22" s="5" t="s">
        <v>200</v>
      </c>
      <c r="AK22" s="5"/>
      <c r="AL22" s="5"/>
      <c r="AM22" s="5"/>
      <c r="AN22" s="5"/>
      <c r="AO22" s="5"/>
      <c r="AP22" s="5"/>
      <c r="AQ22" s="5"/>
      <c r="AR22" s="5"/>
      <c r="AT22" s="9" t="s">
        <v>69</v>
      </c>
      <c r="AU22" s="9"/>
      <c r="AV22" s="9" t="s">
        <v>69</v>
      </c>
      <c r="AW22" s="9"/>
      <c r="AX22" s="9" t="s">
        <v>69</v>
      </c>
      <c r="AY22" s="9"/>
      <c r="AZ22" s="37" t="s">
        <v>69</v>
      </c>
      <c r="BB22" s="4" t="s">
        <v>34</v>
      </c>
      <c r="BD22" s="4" t="s">
        <v>34</v>
      </c>
      <c r="BF22" s="4" t="s">
        <v>34</v>
      </c>
      <c r="BH22" s="4" t="s">
        <v>34</v>
      </c>
    </row>
    <row r="23" spans="2:60" ht="12.75">
      <c r="B23" s="9" t="s">
        <v>207</v>
      </c>
      <c r="F23" s="4" t="s">
        <v>121</v>
      </c>
      <c r="G23" s="4"/>
      <c r="H23" s="4" t="s">
        <v>121</v>
      </c>
      <c r="I23" s="4"/>
      <c r="J23" s="4" t="s">
        <v>121</v>
      </c>
      <c r="K23" s="4"/>
      <c r="L23" s="4" t="s">
        <v>121</v>
      </c>
      <c r="N23" s="5" t="s">
        <v>208</v>
      </c>
      <c r="P23" s="5" t="s">
        <v>208</v>
      </c>
      <c r="R23" s="5" t="s">
        <v>208</v>
      </c>
      <c r="T23" s="5" t="s">
        <v>208</v>
      </c>
      <c r="AB23" s="5"/>
      <c r="AD23" s="5" t="s">
        <v>210</v>
      </c>
      <c r="AF23" s="5" t="s">
        <v>210</v>
      </c>
      <c r="AH23" s="5" t="s">
        <v>210</v>
      </c>
      <c r="AJ23" s="5" t="s">
        <v>210</v>
      </c>
      <c r="AK23" s="5"/>
      <c r="AL23" s="5" t="s">
        <v>81</v>
      </c>
      <c r="AM23" s="5"/>
      <c r="AN23" s="5" t="s">
        <v>81</v>
      </c>
      <c r="AO23" s="5"/>
      <c r="AP23" s="5" t="s">
        <v>81</v>
      </c>
      <c r="AQ23" s="5"/>
      <c r="AR23" s="5" t="s">
        <v>81</v>
      </c>
      <c r="AT23" s="9" t="s">
        <v>69</v>
      </c>
      <c r="AU23" s="9"/>
      <c r="AV23" s="9" t="s">
        <v>69</v>
      </c>
      <c r="AW23" s="9"/>
      <c r="AX23" s="9" t="s">
        <v>69</v>
      </c>
      <c r="AY23" s="9"/>
      <c r="AZ23" s="37" t="s">
        <v>69</v>
      </c>
      <c r="BB23" s="4" t="s">
        <v>34</v>
      </c>
      <c r="BD23" s="4" t="s">
        <v>34</v>
      </c>
      <c r="BF23" s="4" t="s">
        <v>34</v>
      </c>
      <c r="BH23" s="4" t="s">
        <v>34</v>
      </c>
    </row>
    <row r="24" spans="2:60" ht="12.75">
      <c r="B24" s="9" t="s">
        <v>109</v>
      </c>
      <c r="F24" s="4" t="s">
        <v>121</v>
      </c>
      <c r="G24" s="4"/>
      <c r="H24" s="4" t="s">
        <v>121</v>
      </c>
      <c r="I24" s="4"/>
      <c r="J24" s="4" t="s">
        <v>121</v>
      </c>
      <c r="K24" s="4"/>
      <c r="L24" s="4" t="s">
        <v>121</v>
      </c>
      <c r="N24" s="37" t="s">
        <v>120</v>
      </c>
      <c r="O24" s="37"/>
      <c r="P24" s="37" t="s">
        <v>120</v>
      </c>
      <c r="Q24" s="37"/>
      <c r="R24" s="37" t="s">
        <v>120</v>
      </c>
      <c r="S24" s="37"/>
      <c r="T24" s="37" t="s">
        <v>120</v>
      </c>
      <c r="V24" s="37" t="s">
        <v>130</v>
      </c>
      <c r="W24" s="37"/>
      <c r="X24" s="37" t="s">
        <v>130</v>
      </c>
      <c r="Y24" s="37"/>
      <c r="Z24" s="37" t="s">
        <v>130</v>
      </c>
      <c r="AA24" s="37"/>
      <c r="AB24" s="37" t="s">
        <v>130</v>
      </c>
      <c r="AC24" s="37"/>
      <c r="AD24" s="37" t="s">
        <v>151</v>
      </c>
      <c r="AE24" s="37"/>
      <c r="AF24" s="37" t="s">
        <v>151</v>
      </c>
      <c r="AG24" s="37"/>
      <c r="AH24" s="37" t="s">
        <v>151</v>
      </c>
      <c r="AI24" s="37"/>
      <c r="AJ24" s="37" t="s">
        <v>151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9" t="s">
        <v>69</v>
      </c>
      <c r="AU24" s="9"/>
      <c r="AV24" s="9" t="s">
        <v>69</v>
      </c>
      <c r="AW24" s="9"/>
      <c r="AX24" s="9" t="s">
        <v>69</v>
      </c>
      <c r="AY24" s="9"/>
      <c r="AZ24" s="37" t="s">
        <v>69</v>
      </c>
      <c r="BA24" s="37"/>
      <c r="BB24" s="4" t="s">
        <v>34</v>
      </c>
      <c r="BD24" s="4" t="s">
        <v>34</v>
      </c>
      <c r="BF24" s="4" t="s">
        <v>34</v>
      </c>
      <c r="BH24" s="37" t="s">
        <v>34</v>
      </c>
    </row>
    <row r="25" spans="2:52" ht="12.75">
      <c r="B25" s="9" t="s">
        <v>112</v>
      </c>
      <c r="D25" s="9" t="s">
        <v>149</v>
      </c>
      <c r="F25">
        <f>19.6+0.8</f>
        <v>20.400000000000002</v>
      </c>
      <c r="G25"/>
      <c r="H25">
        <f>17.8+0</f>
        <v>17.8</v>
      </c>
      <c r="I25"/>
      <c r="J25">
        <f>19.1+0</f>
        <v>19.1</v>
      </c>
      <c r="K25"/>
      <c r="L25" s="23">
        <f>AVERAGE(F25:J25)</f>
        <v>19.1</v>
      </c>
      <c r="M25" s="43"/>
      <c r="N25">
        <f>409+17</f>
        <v>426</v>
      </c>
      <c r="O25"/>
      <c r="P25">
        <f>392+18</f>
        <v>410</v>
      </c>
      <c r="Q25"/>
      <c r="R25">
        <f>404+18</f>
        <v>422</v>
      </c>
      <c r="S25"/>
      <c r="T25" s="53">
        <f>AVERAGE(N25:R25)</f>
        <v>419.3333333333333</v>
      </c>
      <c r="U25" s="43"/>
      <c r="V25">
        <v>9.5</v>
      </c>
      <c r="W25"/>
      <c r="X25">
        <v>11.9</v>
      </c>
      <c r="Y25"/>
      <c r="Z25">
        <v>11.9</v>
      </c>
      <c r="AA25"/>
      <c r="AB25" s="53">
        <f aca="true" t="shared" si="0" ref="AB25:AB40">AVERAGE(V25:Z25)</f>
        <v>11.1</v>
      </c>
      <c r="AC25" s="43"/>
      <c r="AD25">
        <v>0.18</v>
      </c>
      <c r="AE25"/>
      <c r="AF25">
        <v>0.16</v>
      </c>
      <c r="AG25"/>
      <c r="AH25">
        <v>0.17</v>
      </c>
      <c r="AI25"/>
      <c r="AJ25">
        <f>AVERAGE(AD25:AH25)</f>
        <v>0.17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2:59" ht="12.75">
      <c r="B26" s="9" t="s">
        <v>66</v>
      </c>
      <c r="D26" s="9" t="s">
        <v>131</v>
      </c>
      <c r="F26">
        <v>13000</v>
      </c>
      <c r="G26"/>
      <c r="H26">
        <v>13000</v>
      </c>
      <c r="I26"/>
      <c r="J26">
        <v>13000</v>
      </c>
      <c r="K26"/>
      <c r="L26" s="53">
        <f aca="true" t="shared" si="1" ref="L26:L43">AVERAGE(F26:J26)</f>
        <v>13000</v>
      </c>
      <c r="M26" s="43"/>
      <c r="N26"/>
      <c r="O26"/>
      <c r="P26"/>
      <c r="Q26"/>
      <c r="R26"/>
      <c r="S26"/>
      <c r="T26" s="43"/>
      <c r="U26" s="43"/>
      <c r="V26">
        <v>12200</v>
      </c>
      <c r="W26"/>
      <c r="X26">
        <v>12400</v>
      </c>
      <c r="Y26"/>
      <c r="Z26">
        <v>12300</v>
      </c>
      <c r="AA26"/>
      <c r="AB26" s="53">
        <f t="shared" si="0"/>
        <v>12300</v>
      </c>
      <c r="AC26" s="43"/>
      <c r="AD26">
        <v>5660</v>
      </c>
      <c r="AE26"/>
      <c r="AF26">
        <v>7490</v>
      </c>
      <c r="AG26"/>
      <c r="AH26">
        <v>7670</v>
      </c>
      <c r="AI26"/>
      <c r="AJ26">
        <f>AVERAGE(AD26:AH26)</f>
        <v>6940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 s="37"/>
      <c r="BB26" s="37"/>
      <c r="BC26" s="37"/>
      <c r="BD26" s="37"/>
      <c r="BE26" s="37"/>
      <c r="BF26" s="37"/>
      <c r="BG26" s="37"/>
    </row>
    <row r="27" spans="2:60" ht="12.75">
      <c r="B27" s="9" t="s">
        <v>134</v>
      </c>
      <c r="D27" s="9" t="s">
        <v>75</v>
      </c>
      <c r="F27">
        <f>F25*F26*2000/1000000</f>
        <v>530.4</v>
      </c>
      <c r="G27"/>
      <c r="H27">
        <f>H25*H26*2000/1000000</f>
        <v>462.8</v>
      </c>
      <c r="I27"/>
      <c r="J27">
        <f>J25*J26*2000/1000000</f>
        <v>496.6000000000001</v>
      </c>
      <c r="K27"/>
      <c r="L27" s="53">
        <f t="shared" si="1"/>
        <v>496.6000000000001</v>
      </c>
      <c r="M27" s="43"/>
      <c r="N27"/>
      <c r="O27"/>
      <c r="P27"/>
      <c r="Q27"/>
      <c r="R27"/>
      <c r="S27"/>
      <c r="T27" s="43"/>
      <c r="U27" s="43"/>
      <c r="V27">
        <f>V25*2000*V26/1000000</f>
        <v>231.8</v>
      </c>
      <c r="W27"/>
      <c r="X27">
        <f>X25*2000*X26/1000000</f>
        <v>295.12</v>
      </c>
      <c r="Y27"/>
      <c r="Z27">
        <f>Z25*2000*Z26/1000000</f>
        <v>292.74</v>
      </c>
      <c r="AA27"/>
      <c r="AB27" s="53">
        <f t="shared" si="0"/>
        <v>273.22</v>
      </c>
      <c r="AC27" s="43"/>
      <c r="AD27" s="1">
        <f>AD25*AD26*2000/1000000</f>
        <v>2.0376</v>
      </c>
      <c r="AE27" s="1"/>
      <c r="AF27" s="1">
        <f>AF25*AF26*2000/1000000</f>
        <v>2.3968</v>
      </c>
      <c r="AG27" s="1"/>
      <c r="AH27" s="1">
        <f>AH25*AH26*2000/1000000</f>
        <v>2.6078</v>
      </c>
      <c r="AI27" s="1"/>
      <c r="AJ27">
        <f>AVERAGE(AD27:AH27)</f>
        <v>2.3474</v>
      </c>
      <c r="AK27"/>
      <c r="AL27">
        <f>V27</f>
        <v>231.8</v>
      </c>
      <c r="AM27"/>
      <c r="AN27">
        <f>X27</f>
        <v>295.12</v>
      </c>
      <c r="AO27"/>
      <c r="AP27">
        <f>Z27</f>
        <v>292.74</v>
      </c>
      <c r="AQ27"/>
      <c r="AR27">
        <f>AB27</f>
        <v>273.22</v>
      </c>
      <c r="AS27"/>
      <c r="AT27"/>
      <c r="AU27"/>
      <c r="AV27"/>
      <c r="AW27"/>
      <c r="AX27"/>
      <c r="AY27"/>
      <c r="AZ27"/>
      <c r="BA27" s="37"/>
      <c r="BB27" s="38">
        <f>SUM(AL27,AD27,F27)</f>
        <v>764.2375999999999</v>
      </c>
      <c r="BC27" s="37"/>
      <c r="BD27" s="38">
        <f>SUM(AN27,AF27,H27)</f>
        <v>760.3168000000001</v>
      </c>
      <c r="BE27" s="37"/>
      <c r="BF27" s="38">
        <f>SUM(AP27,AH27,J27)</f>
        <v>791.9478000000001</v>
      </c>
      <c r="BG27" s="37"/>
      <c r="BH27" s="38">
        <f>SUM(AR27,AJ27,L27)</f>
        <v>772.1674</v>
      </c>
    </row>
    <row r="28" spans="2:59" ht="12.75">
      <c r="B28" s="9" t="s">
        <v>25</v>
      </c>
      <c r="D28" s="9" t="s">
        <v>153</v>
      </c>
      <c r="F28">
        <v>167</v>
      </c>
      <c r="G28"/>
      <c r="H28">
        <v>167</v>
      </c>
      <c r="I28"/>
      <c r="J28">
        <v>167</v>
      </c>
      <c r="K28"/>
      <c r="L28" s="1">
        <f t="shared" si="1"/>
        <v>167</v>
      </c>
      <c r="M28" s="1"/>
      <c r="N28">
        <v>35.2</v>
      </c>
      <c r="O28"/>
      <c r="P28">
        <v>35.2</v>
      </c>
      <c r="Q28"/>
      <c r="R28">
        <v>35.2</v>
      </c>
      <c r="S28"/>
      <c r="T28" s="1">
        <f aca="true" t="shared" si="2" ref="T28:T40">AVERAGE(N28:R28)</f>
        <v>35.2</v>
      </c>
      <c r="U28" s="1"/>
      <c r="V28">
        <v>25100</v>
      </c>
      <c r="W28"/>
      <c r="X28">
        <v>26200</v>
      </c>
      <c r="Y28"/>
      <c r="Z28">
        <v>25500</v>
      </c>
      <c r="AA28"/>
      <c r="AB28" s="1">
        <f t="shared" si="0"/>
        <v>25600</v>
      </c>
      <c r="AC28" s="1"/>
      <c r="AD28">
        <v>2610</v>
      </c>
      <c r="AE28"/>
      <c r="AF28">
        <v>2990</v>
      </c>
      <c r="AG28"/>
      <c r="AH28">
        <v>2500</v>
      </c>
      <c r="AI28"/>
      <c r="AJ28" s="53">
        <f>AVERAGE(AD28:AH28)</f>
        <v>2700</v>
      </c>
      <c r="AK28" s="43"/>
      <c r="AL28" s="43"/>
      <c r="AM28" s="43"/>
      <c r="AN28" s="43"/>
      <c r="AO28" s="43"/>
      <c r="AP28" s="43"/>
      <c r="AQ28" s="43"/>
      <c r="AR28" s="43"/>
      <c r="AS28" s="43"/>
      <c r="AT28"/>
      <c r="AU28"/>
      <c r="AV28"/>
      <c r="AW28"/>
      <c r="AX28"/>
      <c r="AY28"/>
      <c r="AZ28" s="43"/>
      <c r="BA28" s="37"/>
      <c r="BB28" s="37"/>
      <c r="BC28" s="37"/>
      <c r="BD28" s="37"/>
      <c r="BE28" s="37"/>
      <c r="BF28" s="37"/>
      <c r="BG28" s="37"/>
    </row>
    <row r="29" spans="2:59" ht="12.75">
      <c r="B29" s="9" t="s">
        <v>111</v>
      </c>
      <c r="D29" s="9" t="s">
        <v>153</v>
      </c>
      <c r="F29">
        <v>0.0275</v>
      </c>
      <c r="G29"/>
      <c r="H29">
        <v>0.0275</v>
      </c>
      <c r="I29"/>
      <c r="J29">
        <v>0.0275</v>
      </c>
      <c r="K29"/>
      <c r="L29" s="2">
        <f t="shared" si="1"/>
        <v>0.0275</v>
      </c>
      <c r="M29" s="2"/>
      <c r="N29">
        <v>0.00355</v>
      </c>
      <c r="O29"/>
      <c r="P29">
        <v>0.00355</v>
      </c>
      <c r="Q29"/>
      <c r="R29">
        <v>0.00355</v>
      </c>
      <c r="S29"/>
      <c r="T29" s="1">
        <f t="shared" si="2"/>
        <v>0.0035499999999999998</v>
      </c>
      <c r="U29" s="1"/>
      <c r="V29">
        <v>0.159</v>
      </c>
      <c r="W29"/>
      <c r="X29">
        <v>0.189</v>
      </c>
      <c r="Y29"/>
      <c r="Z29">
        <v>0.202</v>
      </c>
      <c r="AA29"/>
      <c r="AB29" s="1">
        <f t="shared" si="0"/>
        <v>0.18333333333333335</v>
      </c>
      <c r="AC29" s="1"/>
      <c r="AD29">
        <v>0.732</v>
      </c>
      <c r="AE29"/>
      <c r="AF29">
        <v>0.599</v>
      </c>
      <c r="AG29"/>
      <c r="AH29">
        <v>0.0388</v>
      </c>
      <c r="AI29"/>
      <c r="AJ29" s="53">
        <f aca="true" t="shared" si="3" ref="AJ29:AJ40">AVERAGE(AD29:AH29)</f>
        <v>0.45659999999999995</v>
      </c>
      <c r="AK29" s="43"/>
      <c r="AL29" s="43"/>
      <c r="AM29" s="43"/>
      <c r="AN29" s="43"/>
      <c r="AO29" s="43"/>
      <c r="AP29" s="43"/>
      <c r="AQ29" s="43"/>
      <c r="AR29" s="43"/>
      <c r="AS29" s="43"/>
      <c r="AT29"/>
      <c r="AU29"/>
      <c r="AV29"/>
      <c r="AW29"/>
      <c r="AX29"/>
      <c r="AY29"/>
      <c r="AZ29"/>
      <c r="BA29" s="37"/>
      <c r="BB29" s="37"/>
      <c r="BC29" s="37"/>
      <c r="BD29" s="37"/>
      <c r="BE29" s="37"/>
      <c r="BF29" s="37"/>
      <c r="BG29" s="37"/>
    </row>
    <row r="30" spans="2:59" ht="12.75">
      <c r="B30" s="9" t="s">
        <v>103</v>
      </c>
      <c r="D30" s="9" t="s">
        <v>153</v>
      </c>
      <c r="F30">
        <v>1.78</v>
      </c>
      <c r="G30"/>
      <c r="H30">
        <v>1.78</v>
      </c>
      <c r="I30"/>
      <c r="J30">
        <v>1.78</v>
      </c>
      <c r="K30"/>
      <c r="L30" s="1">
        <f t="shared" si="1"/>
        <v>1.78</v>
      </c>
      <c r="M30" s="1"/>
      <c r="N30">
        <v>0.823</v>
      </c>
      <c r="O30"/>
      <c r="P30">
        <v>0.823</v>
      </c>
      <c r="Q30"/>
      <c r="R30">
        <v>0.823</v>
      </c>
      <c r="S30"/>
      <c r="T30" s="1">
        <f t="shared" si="2"/>
        <v>0.823</v>
      </c>
      <c r="U30" s="1"/>
      <c r="V30">
        <v>0.44</v>
      </c>
      <c r="W30"/>
      <c r="X30">
        <v>0.434</v>
      </c>
      <c r="Y30"/>
      <c r="Z30">
        <v>0.532</v>
      </c>
      <c r="AA30"/>
      <c r="AB30" s="1">
        <f t="shared" si="0"/>
        <v>0.46866666666666673</v>
      </c>
      <c r="AC30" s="1"/>
      <c r="AD30">
        <v>193</v>
      </c>
      <c r="AE30"/>
      <c r="AF30">
        <v>146</v>
      </c>
      <c r="AG30"/>
      <c r="AH30">
        <v>52</v>
      </c>
      <c r="AI30"/>
      <c r="AJ30" s="53">
        <f t="shared" si="3"/>
        <v>130.33333333333334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1"/>
      <c r="AU30" s="1"/>
      <c r="AV30" s="1"/>
      <c r="AW30" s="1"/>
      <c r="AX30" s="1"/>
      <c r="AY30" s="1"/>
      <c r="AZ30" s="43"/>
      <c r="BA30" s="37"/>
      <c r="BB30" s="37"/>
      <c r="BC30" s="37"/>
      <c r="BD30" s="37"/>
      <c r="BE30" s="37"/>
      <c r="BF30" s="37"/>
      <c r="BG30" s="37"/>
    </row>
    <row r="31" spans="2:59" ht="12.75">
      <c r="B31" s="9" t="s">
        <v>99</v>
      </c>
      <c r="D31" s="9" t="s">
        <v>153</v>
      </c>
      <c r="F31">
        <v>56</v>
      </c>
      <c r="G31"/>
      <c r="H31">
        <v>56</v>
      </c>
      <c r="I31"/>
      <c r="J31">
        <v>56</v>
      </c>
      <c r="K31"/>
      <c r="L31" s="1">
        <f t="shared" si="1"/>
        <v>56</v>
      </c>
      <c r="M31" s="1"/>
      <c r="N31">
        <v>1.13</v>
      </c>
      <c r="O31"/>
      <c r="P31">
        <v>1.13</v>
      </c>
      <c r="Q31"/>
      <c r="R31">
        <v>1.13</v>
      </c>
      <c r="S31"/>
      <c r="T31" s="1">
        <f t="shared" si="2"/>
        <v>1.13</v>
      </c>
      <c r="U31" s="1"/>
      <c r="V31">
        <v>1.14</v>
      </c>
      <c r="W31"/>
      <c r="X31">
        <v>1.45</v>
      </c>
      <c r="Y31"/>
      <c r="Z31">
        <v>1.21</v>
      </c>
      <c r="AA31"/>
      <c r="AB31" s="1">
        <f t="shared" si="0"/>
        <v>1.2666666666666666</v>
      </c>
      <c r="AC31" s="1"/>
      <c r="AD31">
        <v>4.87</v>
      </c>
      <c r="AE31"/>
      <c r="AF31">
        <v>4.25</v>
      </c>
      <c r="AG31"/>
      <c r="AH31">
        <v>1.9</v>
      </c>
      <c r="AI31"/>
      <c r="AJ31" s="53">
        <f t="shared" si="3"/>
        <v>3.673333333333334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1">
        <f>7.29*454</f>
        <v>3309.66</v>
      </c>
      <c r="AU31" s="1"/>
      <c r="AV31" s="1">
        <f>6.82*454</f>
        <v>3096.28</v>
      </c>
      <c r="AW31" s="1"/>
      <c r="AX31" s="1">
        <f>7.65*454</f>
        <v>3473.1000000000004</v>
      </c>
      <c r="AY31" s="1"/>
      <c r="AZ31" s="43">
        <f>AVERAGE(AT31:AX31)</f>
        <v>3293.013333333334</v>
      </c>
      <c r="BA31" s="37"/>
      <c r="BB31" s="37"/>
      <c r="BC31" s="37"/>
      <c r="BD31" s="37"/>
      <c r="BE31" s="37"/>
      <c r="BF31" s="37"/>
      <c r="BG31" s="37"/>
    </row>
    <row r="32" spans="2:59" ht="12.75">
      <c r="B32" s="9" t="s">
        <v>100</v>
      </c>
      <c r="D32" s="9" t="s">
        <v>153</v>
      </c>
      <c r="F32">
        <v>39.1</v>
      </c>
      <c r="G32"/>
      <c r="H32">
        <v>39.1</v>
      </c>
      <c r="I32"/>
      <c r="J32">
        <v>39.1</v>
      </c>
      <c r="K32"/>
      <c r="L32" s="1">
        <f t="shared" si="1"/>
        <v>39.1</v>
      </c>
      <c r="M32" s="1"/>
      <c r="N32">
        <v>74.7</v>
      </c>
      <c r="O32"/>
      <c r="P32">
        <v>74.7</v>
      </c>
      <c r="Q32"/>
      <c r="R32">
        <v>74.7</v>
      </c>
      <c r="S32"/>
      <c r="T32" s="1">
        <f t="shared" si="2"/>
        <v>74.7</v>
      </c>
      <c r="U32" s="1"/>
      <c r="V32">
        <v>596</v>
      </c>
      <c r="W32"/>
      <c r="X32">
        <v>645</v>
      </c>
      <c r="Y32"/>
      <c r="Z32">
        <v>626</v>
      </c>
      <c r="AA32"/>
      <c r="AB32" s="1">
        <f t="shared" si="0"/>
        <v>622.3333333333334</v>
      </c>
      <c r="AC32" s="1"/>
      <c r="AD32">
        <v>631</v>
      </c>
      <c r="AE32"/>
      <c r="AF32">
        <v>991</v>
      </c>
      <c r="AG32"/>
      <c r="AH32">
        <v>182</v>
      </c>
      <c r="AI32"/>
      <c r="AJ32" s="53">
        <f t="shared" si="3"/>
        <v>601.3333333333334</v>
      </c>
      <c r="AK32" s="43"/>
      <c r="AL32" s="43"/>
      <c r="AM32" s="43"/>
      <c r="AN32" s="43"/>
      <c r="AO32" s="43"/>
      <c r="AP32" s="43"/>
      <c r="AQ32" s="43"/>
      <c r="AR32" s="43"/>
      <c r="AS32" s="43"/>
      <c r="AT32"/>
      <c r="AU32"/>
      <c r="AV32"/>
      <c r="AW32"/>
      <c r="AX32"/>
      <c r="AY32"/>
      <c r="AZ32" s="43"/>
      <c r="BA32" s="37"/>
      <c r="BB32" s="37"/>
      <c r="BC32" s="37"/>
      <c r="BD32" s="37"/>
      <c r="BE32" s="37"/>
      <c r="BF32" s="37"/>
      <c r="BG32" s="37"/>
    </row>
    <row r="33" spans="2:59" ht="12.75">
      <c r="B33" s="9" t="s">
        <v>101</v>
      </c>
      <c r="D33" s="9" t="s">
        <v>153</v>
      </c>
      <c r="F33">
        <v>3</v>
      </c>
      <c r="G33"/>
      <c r="H33">
        <v>3</v>
      </c>
      <c r="I33"/>
      <c r="J33">
        <v>3</v>
      </c>
      <c r="K33"/>
      <c r="L33" s="1">
        <f t="shared" si="1"/>
        <v>3</v>
      </c>
      <c r="M33" s="1"/>
      <c r="N33">
        <v>0.341</v>
      </c>
      <c r="O33"/>
      <c r="P33">
        <v>0.341</v>
      </c>
      <c r="Q33"/>
      <c r="R33">
        <v>0.341</v>
      </c>
      <c r="S33"/>
      <c r="T33" s="1">
        <f t="shared" si="2"/>
        <v>0.341</v>
      </c>
      <c r="U33" s="1"/>
      <c r="V33">
        <v>0.0373</v>
      </c>
      <c r="W33"/>
      <c r="X33">
        <v>0.0331</v>
      </c>
      <c r="Y33"/>
      <c r="Z33">
        <v>0.0403</v>
      </c>
      <c r="AA33"/>
      <c r="AB33" s="1">
        <f t="shared" si="0"/>
        <v>0.036899999999999995</v>
      </c>
      <c r="AC33" s="1"/>
      <c r="AD33">
        <v>0.911</v>
      </c>
      <c r="AE33"/>
      <c r="AF33">
        <v>0.764</v>
      </c>
      <c r="AG33"/>
      <c r="AH33">
        <v>0.681</v>
      </c>
      <c r="AI33"/>
      <c r="AJ33" s="53">
        <f t="shared" si="3"/>
        <v>0.7853333333333333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1"/>
      <c r="AU33" s="1"/>
      <c r="AV33" s="1"/>
      <c r="AW33" s="1"/>
      <c r="AX33" s="1"/>
      <c r="AY33" s="1"/>
      <c r="AZ33" s="43"/>
      <c r="BA33" s="37"/>
      <c r="BB33" s="37"/>
      <c r="BC33" s="37"/>
      <c r="BD33" s="37"/>
      <c r="BE33" s="37"/>
      <c r="BF33" s="37"/>
      <c r="BG33" s="37"/>
    </row>
    <row r="34" spans="2:59" ht="12.75">
      <c r="B34" s="9" t="s">
        <v>106</v>
      </c>
      <c r="D34" s="9" t="s">
        <v>153</v>
      </c>
      <c r="F34">
        <v>0.611</v>
      </c>
      <c r="G34"/>
      <c r="H34">
        <v>0.611</v>
      </c>
      <c r="I34"/>
      <c r="J34">
        <v>0.611</v>
      </c>
      <c r="K34"/>
      <c r="L34" s="1">
        <f t="shared" si="1"/>
        <v>0.611</v>
      </c>
      <c r="M34" s="1"/>
      <c r="N34">
        <v>0.291</v>
      </c>
      <c r="O34"/>
      <c r="P34">
        <v>0.291</v>
      </c>
      <c r="Q34"/>
      <c r="R34">
        <v>0.291</v>
      </c>
      <c r="S34"/>
      <c r="T34" s="1">
        <f t="shared" si="2"/>
        <v>0.291</v>
      </c>
      <c r="U34" s="1"/>
      <c r="V34">
        <v>1.96</v>
      </c>
      <c r="W34"/>
      <c r="X34">
        <v>2.15</v>
      </c>
      <c r="Y34"/>
      <c r="Z34">
        <v>2.05</v>
      </c>
      <c r="AA34"/>
      <c r="AB34" s="1">
        <f t="shared" si="0"/>
        <v>2.0533333333333332</v>
      </c>
      <c r="AC34" s="1"/>
      <c r="AD34">
        <v>4.2</v>
      </c>
      <c r="AE34"/>
      <c r="AF34">
        <v>4.24</v>
      </c>
      <c r="AG34"/>
      <c r="AH34">
        <v>0.896</v>
      </c>
      <c r="AI34"/>
      <c r="AJ34" s="53">
        <f t="shared" si="3"/>
        <v>3.1120000000000005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1">
        <f>6.15*454</f>
        <v>2792.1000000000004</v>
      </c>
      <c r="AU34" s="1"/>
      <c r="AV34" s="1">
        <f>6.61*454</f>
        <v>3000.94</v>
      </c>
      <c r="AW34" s="1"/>
      <c r="AX34" s="1">
        <f>6.8*454</f>
        <v>3087.2</v>
      </c>
      <c r="AY34" s="1"/>
      <c r="AZ34" s="53">
        <f>AVERAGE(AT34:AX34)</f>
        <v>2960.0800000000004</v>
      </c>
      <c r="BA34" s="37"/>
      <c r="BB34" s="37"/>
      <c r="BC34" s="37"/>
      <c r="BD34" s="37"/>
      <c r="BE34" s="37"/>
      <c r="BF34" s="37"/>
      <c r="BG34" s="37"/>
    </row>
    <row r="35" spans="2:59" ht="12.75">
      <c r="B35" s="9" t="s">
        <v>108</v>
      </c>
      <c r="D35" s="9" t="s">
        <v>153</v>
      </c>
      <c r="F35">
        <v>12.1</v>
      </c>
      <c r="G35"/>
      <c r="H35">
        <v>12.1</v>
      </c>
      <c r="I35"/>
      <c r="J35">
        <v>12.1</v>
      </c>
      <c r="K35"/>
      <c r="L35" s="1">
        <f t="shared" si="1"/>
        <v>12.1</v>
      </c>
      <c r="M35" s="1"/>
      <c r="N35">
        <v>37.5</v>
      </c>
      <c r="O35"/>
      <c r="P35">
        <v>37.5</v>
      </c>
      <c r="Q35"/>
      <c r="R35">
        <v>37.5</v>
      </c>
      <c r="S35"/>
      <c r="T35" s="1">
        <f t="shared" si="2"/>
        <v>37.5</v>
      </c>
      <c r="U35" s="1"/>
      <c r="V35">
        <v>125</v>
      </c>
      <c r="W35"/>
      <c r="X35">
        <v>115</v>
      </c>
      <c r="Y35"/>
      <c r="Z35">
        <v>126</v>
      </c>
      <c r="AA35"/>
      <c r="AB35" s="1">
        <f t="shared" si="0"/>
        <v>122</v>
      </c>
      <c r="AC35" s="1"/>
      <c r="AD35">
        <v>109</v>
      </c>
      <c r="AE35"/>
      <c r="AF35">
        <v>136</v>
      </c>
      <c r="AG35"/>
      <c r="AH35">
        <v>31.3</v>
      </c>
      <c r="AI35"/>
      <c r="AJ35" s="53">
        <f t="shared" si="3"/>
        <v>92.10000000000001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1">
        <f>61.1*454</f>
        <v>27739.4</v>
      </c>
      <c r="AU35" s="1"/>
      <c r="AV35" s="1">
        <f>55.66*454</f>
        <v>25269.64</v>
      </c>
      <c r="AW35" s="1"/>
      <c r="AX35" s="1">
        <f>58.27*454</f>
        <v>26454.58</v>
      </c>
      <c r="AY35" s="1"/>
      <c r="AZ35" s="53">
        <f>AVERAGE(AT35:AX35)</f>
        <v>26487.873333333333</v>
      </c>
      <c r="BA35" s="37"/>
      <c r="BB35" s="37"/>
      <c r="BC35" s="37"/>
      <c r="BD35" s="37"/>
      <c r="BE35" s="37"/>
      <c r="BF35" s="37"/>
      <c r="BG35" s="37"/>
    </row>
    <row r="36" spans="2:59" ht="12.75">
      <c r="B36" s="9" t="s">
        <v>104</v>
      </c>
      <c r="D36" s="9" t="s">
        <v>153</v>
      </c>
      <c r="F36">
        <v>29.3</v>
      </c>
      <c r="G36"/>
      <c r="H36">
        <v>29.3</v>
      </c>
      <c r="I36"/>
      <c r="J36">
        <v>29.3</v>
      </c>
      <c r="K36"/>
      <c r="L36" s="1">
        <f t="shared" si="1"/>
        <v>29.3</v>
      </c>
      <c r="M36" s="1"/>
      <c r="N36">
        <v>2</v>
      </c>
      <c r="O36"/>
      <c r="P36">
        <v>2</v>
      </c>
      <c r="Q36"/>
      <c r="R36">
        <v>2</v>
      </c>
      <c r="S36"/>
      <c r="T36" s="1">
        <f t="shared" si="2"/>
        <v>2</v>
      </c>
      <c r="U36" s="1"/>
      <c r="V36">
        <v>207</v>
      </c>
      <c r="W36"/>
      <c r="X36">
        <v>216</v>
      </c>
      <c r="Y36"/>
      <c r="Z36">
        <v>210</v>
      </c>
      <c r="AA36"/>
      <c r="AB36" s="1">
        <f t="shared" si="0"/>
        <v>211</v>
      </c>
      <c r="AC36" s="1"/>
      <c r="AD36">
        <v>1010</v>
      </c>
      <c r="AE36"/>
      <c r="AF36">
        <v>887</v>
      </c>
      <c r="AG36"/>
      <c r="AH36">
        <v>36</v>
      </c>
      <c r="AI36"/>
      <c r="AJ36" s="53">
        <f t="shared" si="3"/>
        <v>644.3333333333334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1">
        <f>22.03*454</f>
        <v>10001.62</v>
      </c>
      <c r="AU36" s="1"/>
      <c r="AV36" s="1">
        <f>22.19*454</f>
        <v>10074.26</v>
      </c>
      <c r="AW36" s="1"/>
      <c r="AX36" s="1">
        <f>22.99*454</f>
        <v>10437.46</v>
      </c>
      <c r="AY36" s="1"/>
      <c r="AZ36" s="53">
        <f>AVERAGE(AT36:AX36)</f>
        <v>10171.113333333333</v>
      </c>
      <c r="BA36" s="37"/>
      <c r="BB36" s="37"/>
      <c r="BC36" s="37"/>
      <c r="BD36" s="37"/>
      <c r="BE36" s="37"/>
      <c r="BF36" s="37"/>
      <c r="BG36" s="37"/>
    </row>
    <row r="37" spans="2:59" ht="12.75">
      <c r="B37" s="9" t="s">
        <v>105</v>
      </c>
      <c r="D37" s="9" t="s">
        <v>153</v>
      </c>
      <c r="F37">
        <v>28.3</v>
      </c>
      <c r="G37"/>
      <c r="H37">
        <v>28.3</v>
      </c>
      <c r="I37"/>
      <c r="J37">
        <v>28.3</v>
      </c>
      <c r="K37"/>
      <c r="L37" s="1">
        <f t="shared" si="1"/>
        <v>28.3</v>
      </c>
      <c r="M37" s="1"/>
      <c r="N37">
        <v>10.2</v>
      </c>
      <c r="O37"/>
      <c r="P37">
        <v>10.2</v>
      </c>
      <c r="Q37"/>
      <c r="R37">
        <v>10.2</v>
      </c>
      <c r="S37"/>
      <c r="T37" s="1">
        <f t="shared" si="2"/>
        <v>10.2</v>
      </c>
      <c r="U37" s="1"/>
      <c r="V37">
        <v>10.4</v>
      </c>
      <c r="W37"/>
      <c r="X37">
        <v>11</v>
      </c>
      <c r="Y37"/>
      <c r="Z37">
        <v>11.4</v>
      </c>
      <c r="AA37"/>
      <c r="AB37" s="1">
        <f t="shared" si="0"/>
        <v>10.933333333333332</v>
      </c>
      <c r="AC37" s="1"/>
      <c r="AD37">
        <v>52.2</v>
      </c>
      <c r="AE37"/>
      <c r="AF37">
        <v>72.3</v>
      </c>
      <c r="AG37"/>
      <c r="AH37">
        <v>15.6</v>
      </c>
      <c r="AI37"/>
      <c r="AJ37" s="53">
        <f t="shared" si="3"/>
        <v>46.699999999999996</v>
      </c>
      <c r="AK37" s="43"/>
      <c r="AL37" s="43"/>
      <c r="AM37" s="43"/>
      <c r="AN37" s="43"/>
      <c r="AO37" s="43"/>
      <c r="AP37" s="43"/>
      <c r="AQ37" s="43"/>
      <c r="AR37" s="43"/>
      <c r="AS37" s="43"/>
      <c r="AT37"/>
      <c r="AU37"/>
      <c r="AV37"/>
      <c r="AW37"/>
      <c r="AX37"/>
      <c r="AY37"/>
      <c r="AZ37"/>
      <c r="BA37" s="37"/>
      <c r="BB37" s="37"/>
      <c r="BC37" s="37"/>
      <c r="BD37" s="37"/>
      <c r="BE37" s="37"/>
      <c r="BF37" s="37"/>
      <c r="BG37" s="37"/>
    </row>
    <row r="38" spans="2:59" ht="12.75">
      <c r="B38" s="9" t="s">
        <v>132</v>
      </c>
      <c r="D38" s="9" t="s">
        <v>153</v>
      </c>
      <c r="F38">
        <v>1.88</v>
      </c>
      <c r="G38"/>
      <c r="H38">
        <v>1.88</v>
      </c>
      <c r="I38"/>
      <c r="J38">
        <v>1.88</v>
      </c>
      <c r="K38"/>
      <c r="L38" s="1">
        <f t="shared" si="1"/>
        <v>1.88</v>
      </c>
      <c r="M38" s="1"/>
      <c r="N38">
        <v>1.55</v>
      </c>
      <c r="O38"/>
      <c r="P38">
        <v>1.55</v>
      </c>
      <c r="Q38"/>
      <c r="R38">
        <v>1.55</v>
      </c>
      <c r="S38"/>
      <c r="T38" s="1">
        <f t="shared" si="2"/>
        <v>1.55</v>
      </c>
      <c r="U38" s="1"/>
      <c r="V38">
        <v>0.778</v>
      </c>
      <c r="W38"/>
      <c r="X38">
        <v>1.03</v>
      </c>
      <c r="Y38"/>
      <c r="Z38">
        <v>0.896</v>
      </c>
      <c r="AA38"/>
      <c r="AB38" s="1">
        <f t="shared" si="0"/>
        <v>0.9013333333333334</v>
      </c>
      <c r="AC38" s="1"/>
      <c r="AD38">
        <v>2.39</v>
      </c>
      <c r="AE38"/>
      <c r="AF38">
        <v>2.56</v>
      </c>
      <c r="AG38"/>
      <c r="AH38">
        <v>1.89</v>
      </c>
      <c r="AI38"/>
      <c r="AJ38" s="53">
        <f t="shared" si="3"/>
        <v>2.28</v>
      </c>
      <c r="AK38" s="43"/>
      <c r="AL38" s="43"/>
      <c r="AM38" s="43"/>
      <c r="AN38" s="43"/>
      <c r="AO38" s="43"/>
      <c r="AP38" s="43"/>
      <c r="AQ38" s="43"/>
      <c r="AR38" s="43"/>
      <c r="AS38" s="43"/>
      <c r="AT38"/>
      <c r="AU38"/>
      <c r="AV38"/>
      <c r="AW38"/>
      <c r="AX38"/>
      <c r="AY38"/>
      <c r="AZ38" s="43"/>
      <c r="BA38" s="37"/>
      <c r="BB38" s="37"/>
      <c r="BC38" s="37"/>
      <c r="BD38" s="37"/>
      <c r="BE38" s="37"/>
      <c r="BF38" s="37"/>
      <c r="BG38" s="37"/>
    </row>
    <row r="39" spans="2:59" ht="12.75">
      <c r="B39" s="9" t="s">
        <v>107</v>
      </c>
      <c r="D39" s="9" t="s">
        <v>153</v>
      </c>
      <c r="F39">
        <v>0.27</v>
      </c>
      <c r="G39"/>
      <c r="H39">
        <v>0.27</v>
      </c>
      <c r="I39"/>
      <c r="J39">
        <v>0.27</v>
      </c>
      <c r="K39"/>
      <c r="L39" s="1">
        <f t="shared" si="1"/>
        <v>0.27</v>
      </c>
      <c r="M39" s="1"/>
      <c r="N39">
        <v>0.165</v>
      </c>
      <c r="O39"/>
      <c r="P39">
        <v>0.165</v>
      </c>
      <c r="Q39"/>
      <c r="R39">
        <v>0.165</v>
      </c>
      <c r="S39"/>
      <c r="T39" s="1">
        <f t="shared" si="2"/>
        <v>0.165</v>
      </c>
      <c r="U39" s="1"/>
      <c r="V39">
        <v>1.15</v>
      </c>
      <c r="W39"/>
      <c r="X39">
        <v>1.24</v>
      </c>
      <c r="Y39"/>
      <c r="Z39">
        <v>1.3</v>
      </c>
      <c r="AA39"/>
      <c r="AB39" s="1">
        <f t="shared" si="0"/>
        <v>1.2299999999999998</v>
      </c>
      <c r="AC39" s="1"/>
      <c r="AD39">
        <v>1.88</v>
      </c>
      <c r="AE39"/>
      <c r="AF39">
        <v>10.9</v>
      </c>
      <c r="AG39"/>
      <c r="AH39">
        <v>0.32</v>
      </c>
      <c r="AI39"/>
      <c r="AJ39" s="53">
        <f t="shared" si="3"/>
        <v>4.366666666666667</v>
      </c>
      <c r="AK39" s="43"/>
      <c r="AL39" s="43"/>
      <c r="AM39" s="43"/>
      <c r="AN39" s="43"/>
      <c r="AO39" s="43"/>
      <c r="AP39" s="43"/>
      <c r="AQ39" s="43"/>
      <c r="AR39" s="43"/>
      <c r="AS39" s="43"/>
      <c r="AT39"/>
      <c r="AU39"/>
      <c r="AV39"/>
      <c r="AW39"/>
      <c r="AX39"/>
      <c r="AY39"/>
      <c r="AZ39"/>
      <c r="BA39" s="37"/>
      <c r="BB39" s="37"/>
      <c r="BC39" s="37"/>
      <c r="BD39" s="37"/>
      <c r="BE39" s="37"/>
      <c r="BF39" s="37"/>
      <c r="BG39" s="37"/>
    </row>
    <row r="40" spans="2:59" ht="12.75">
      <c r="B40" s="9" t="s">
        <v>102</v>
      </c>
      <c r="D40" s="9" t="s">
        <v>153</v>
      </c>
      <c r="F40">
        <v>0.961</v>
      </c>
      <c r="G40"/>
      <c r="H40">
        <v>0.961</v>
      </c>
      <c r="I40"/>
      <c r="J40">
        <v>0.961</v>
      </c>
      <c r="K40"/>
      <c r="L40" s="1">
        <f t="shared" si="1"/>
        <v>0.961</v>
      </c>
      <c r="M40" s="1"/>
      <c r="N40">
        <v>0.0175</v>
      </c>
      <c r="O40"/>
      <c r="P40">
        <v>0.0175</v>
      </c>
      <c r="Q40"/>
      <c r="R40">
        <v>0.0175</v>
      </c>
      <c r="S40"/>
      <c r="T40" s="1">
        <f t="shared" si="2"/>
        <v>0.0175</v>
      </c>
      <c r="U40" s="1"/>
      <c r="V40">
        <v>0.338</v>
      </c>
      <c r="W40"/>
      <c r="X40">
        <v>0.324</v>
      </c>
      <c r="Y40"/>
      <c r="Z40">
        <v>0.317</v>
      </c>
      <c r="AA40"/>
      <c r="AB40" s="1">
        <f t="shared" si="0"/>
        <v>0.32633333333333336</v>
      </c>
      <c r="AC40" s="1"/>
      <c r="AD40">
        <v>0.656</v>
      </c>
      <c r="AE40"/>
      <c r="AF40">
        <v>0.587</v>
      </c>
      <c r="AG40"/>
      <c r="AH40">
        <v>0.447</v>
      </c>
      <c r="AI40"/>
      <c r="AJ40" s="53">
        <f t="shared" si="3"/>
        <v>0.5633333333333334</v>
      </c>
      <c r="AK40" s="43"/>
      <c r="AL40" s="43"/>
      <c r="AM40" s="43"/>
      <c r="AN40" s="43"/>
      <c r="AO40" s="43"/>
      <c r="AP40" s="43"/>
      <c r="AQ40" s="43"/>
      <c r="AR40" s="43"/>
      <c r="AS40" s="43"/>
      <c r="AT40"/>
      <c r="AU40"/>
      <c r="AV40"/>
      <c r="AW40"/>
      <c r="AX40"/>
      <c r="AY40"/>
      <c r="AZ40"/>
      <c r="BA40" s="37"/>
      <c r="BB40" s="37"/>
      <c r="BC40" s="37"/>
      <c r="BD40" s="37"/>
      <c r="BE40" s="37"/>
      <c r="BF40" s="37"/>
      <c r="BG40" s="37"/>
    </row>
    <row r="42" spans="2:60" ht="12.75">
      <c r="B42" s="9" t="s">
        <v>73</v>
      </c>
      <c r="D42" s="9" t="s">
        <v>20</v>
      </c>
      <c r="F42" s="38">
        <f>emiss!$G$57</f>
        <v>232000</v>
      </c>
      <c r="G42" s="38"/>
      <c r="H42" s="38">
        <f>emiss!$I$57</f>
        <v>233100</v>
      </c>
      <c r="I42" s="38"/>
      <c r="J42" s="38">
        <f>emiss!$K$57</f>
        <v>239700</v>
      </c>
      <c r="K42" s="38"/>
      <c r="L42" s="1">
        <f t="shared" si="1"/>
        <v>234933.33333333334</v>
      </c>
      <c r="M42" s="1"/>
      <c r="N42" s="38">
        <f>emiss!$G$57</f>
        <v>232000</v>
      </c>
      <c r="O42" s="38"/>
      <c r="P42" s="38">
        <f>emiss!$I$57</f>
        <v>233100</v>
      </c>
      <c r="Q42" s="38"/>
      <c r="R42" s="38">
        <f>emiss!$K$57</f>
        <v>239700</v>
      </c>
      <c r="S42" s="38"/>
      <c r="T42" s="1">
        <f>AVERAGE(N42:R42)</f>
        <v>234933.33333333334</v>
      </c>
      <c r="U42" s="1"/>
      <c r="V42" s="38">
        <f>emiss!$G$57</f>
        <v>232000</v>
      </c>
      <c r="W42" s="38"/>
      <c r="X42" s="38">
        <f>emiss!$I$57</f>
        <v>233100</v>
      </c>
      <c r="Y42" s="38"/>
      <c r="Z42" s="38">
        <f>emiss!$K$57</f>
        <v>239700</v>
      </c>
      <c r="AA42" s="38"/>
      <c r="AB42" s="1">
        <f>AVERAGE(V42:Z42)</f>
        <v>234933.33333333334</v>
      </c>
      <c r="AC42" s="1"/>
      <c r="AD42" s="38">
        <f>emiss!$G$57</f>
        <v>232000</v>
      </c>
      <c r="AE42" s="38"/>
      <c r="AF42" s="38">
        <f>emiss!$I$57</f>
        <v>233100</v>
      </c>
      <c r="AG42" s="38"/>
      <c r="AH42" s="38">
        <f>emiss!$K$57</f>
        <v>239700</v>
      </c>
      <c r="AI42" s="38"/>
      <c r="AJ42" s="1">
        <f>AVERAGE(AD42:AH42)</f>
        <v>234933.33333333334</v>
      </c>
      <c r="AK42" s="1"/>
      <c r="AL42" s="1"/>
      <c r="AM42" s="1"/>
      <c r="AN42" s="1"/>
      <c r="AO42" s="1"/>
      <c r="AP42" s="1"/>
      <c r="AQ42" s="1"/>
      <c r="AR42" s="1"/>
      <c r="AS42" s="1"/>
      <c r="AT42" s="38">
        <f>emiss!$G$57</f>
        <v>232000</v>
      </c>
      <c r="AU42" s="38"/>
      <c r="AV42" s="38">
        <f>emiss!$I$57</f>
        <v>233100</v>
      </c>
      <c r="AW42" s="38"/>
      <c r="AX42" s="38">
        <f>emiss!$K$57</f>
        <v>239700</v>
      </c>
      <c r="AY42" s="38"/>
      <c r="AZ42" s="1">
        <f>AVERAGE(AT42:AX42)</f>
        <v>234933.33333333334</v>
      </c>
      <c r="BH42" s="38"/>
    </row>
    <row r="43" spans="2:60" ht="12.75">
      <c r="B43" s="9" t="s">
        <v>74</v>
      </c>
      <c r="D43" s="9" t="s">
        <v>18</v>
      </c>
      <c r="F43" s="38">
        <f>emiss!$G$58</f>
        <v>4.3</v>
      </c>
      <c r="G43" s="38"/>
      <c r="H43" s="38">
        <f>emiss!$I$58</f>
        <v>4.4</v>
      </c>
      <c r="I43" s="38"/>
      <c r="J43" s="38">
        <f>emiss!$K$58</f>
        <v>5.2</v>
      </c>
      <c r="K43" s="38"/>
      <c r="L43" s="1">
        <f t="shared" si="1"/>
        <v>4.633333333333333</v>
      </c>
      <c r="M43" s="1"/>
      <c r="N43" s="38">
        <f>emiss!$G$58</f>
        <v>4.3</v>
      </c>
      <c r="O43" s="38"/>
      <c r="P43" s="38">
        <f>emiss!$I$58</f>
        <v>4.4</v>
      </c>
      <c r="Q43" s="38"/>
      <c r="R43" s="38">
        <f>emiss!$K$58</f>
        <v>5.2</v>
      </c>
      <c r="S43" s="38"/>
      <c r="T43" s="1">
        <f>AVERAGE(N43:R43)</f>
        <v>4.633333333333333</v>
      </c>
      <c r="U43" s="1"/>
      <c r="V43" s="38">
        <f>emiss!$G$58</f>
        <v>4.3</v>
      </c>
      <c r="W43" s="38"/>
      <c r="X43" s="38">
        <f>emiss!$I$58</f>
        <v>4.4</v>
      </c>
      <c r="Y43" s="38"/>
      <c r="Z43" s="38">
        <f>emiss!$K$58</f>
        <v>5.2</v>
      </c>
      <c r="AA43" s="38"/>
      <c r="AB43" s="1">
        <f>AVERAGE(V43:Z43)</f>
        <v>4.633333333333333</v>
      </c>
      <c r="AC43" s="1"/>
      <c r="AD43" s="38">
        <f>emiss!$G$58</f>
        <v>4.3</v>
      </c>
      <c r="AE43" s="38"/>
      <c r="AF43" s="38">
        <f>emiss!$I$58</f>
        <v>4.4</v>
      </c>
      <c r="AG43" s="38"/>
      <c r="AH43" s="38">
        <f>emiss!$K$58</f>
        <v>5.2</v>
      </c>
      <c r="AI43" s="38"/>
      <c r="AJ43" s="1">
        <f>AVERAGE(AD43:AH43)</f>
        <v>4.633333333333333</v>
      </c>
      <c r="AK43" s="1"/>
      <c r="AL43" s="1"/>
      <c r="AM43" s="1"/>
      <c r="AN43" s="1"/>
      <c r="AO43" s="1"/>
      <c r="AP43" s="1"/>
      <c r="AQ43" s="1"/>
      <c r="AR43" s="1"/>
      <c r="AS43" s="1"/>
      <c r="AT43" s="38">
        <f>emiss!$G$58</f>
        <v>4.3</v>
      </c>
      <c r="AU43" s="38"/>
      <c r="AV43" s="38">
        <f>emiss!$I$58</f>
        <v>4.4</v>
      </c>
      <c r="AW43" s="38"/>
      <c r="AX43" s="38">
        <f>emiss!$K$58</f>
        <v>5.2</v>
      </c>
      <c r="AY43" s="38"/>
      <c r="AZ43" s="1">
        <f>AVERAGE(AT43:AX43)</f>
        <v>4.633333333333333</v>
      </c>
      <c r="BH43" s="38"/>
    </row>
    <row r="44" ht="12.75">
      <c r="BH44" s="14"/>
    </row>
    <row r="45" spans="2:60" ht="12.75">
      <c r="B45" s="41" t="s">
        <v>89</v>
      </c>
      <c r="C45" s="41"/>
      <c r="BH45" s="14"/>
    </row>
    <row r="46" spans="2:60" ht="12.75">
      <c r="B46" s="9" t="s">
        <v>25</v>
      </c>
      <c r="D46" s="9" t="s">
        <v>71</v>
      </c>
      <c r="E46" s="5" t="s">
        <v>19</v>
      </c>
      <c r="F46" s="47">
        <f aca="true" t="shared" si="4" ref="F46:J58">F28*F$25*2000*454/1000000*1000000/F$42/60/0.0283*(21-7)/(21-F$43)</f>
        <v>6582.917022054345</v>
      </c>
      <c r="G46" s="47"/>
      <c r="H46" s="47">
        <f t="shared" si="4"/>
        <v>5751.250846401767</v>
      </c>
      <c r="I46" s="47"/>
      <c r="J46" s="47">
        <f t="shared" si="4"/>
        <v>6305.229745299391</v>
      </c>
      <c r="K46" s="47"/>
      <c r="L46" s="47">
        <f>L28*L$25*2000*454/1000000*1000000/L$42/60/0.0283*(21-7)/(21-L$43)</f>
        <v>6210.4226718458685</v>
      </c>
      <c r="M46" s="47"/>
      <c r="N46" s="47">
        <f aca="true" t="shared" si="5" ref="N46:AJ46">N28*N$25*2000*454/1000000*1000000/N$42/60/0.0283*(21-7)/(21-N$43)</f>
        <v>28975.037374988053</v>
      </c>
      <c r="O46" s="47"/>
      <c r="P46" s="47">
        <f t="shared" si="5"/>
        <v>27922.375097648637</v>
      </c>
      <c r="Q46" s="47"/>
      <c r="R46" s="47">
        <f t="shared" si="5"/>
        <v>29363.38988888462</v>
      </c>
      <c r="S46" s="47"/>
      <c r="T46" s="47">
        <f t="shared" si="5"/>
        <v>28739.11366644825</v>
      </c>
      <c r="U46" s="47"/>
      <c r="V46" s="47">
        <f t="shared" si="5"/>
        <v>460753.9520690555</v>
      </c>
      <c r="W46" s="47"/>
      <c r="X46" s="47">
        <f t="shared" si="5"/>
        <v>603217.7181225672</v>
      </c>
      <c r="Y46" s="47"/>
      <c r="Z46" s="47">
        <f t="shared" si="5"/>
        <v>599843.8618713672</v>
      </c>
      <c r="AA46" s="47"/>
      <c r="AB46" s="47">
        <f t="shared" si="5"/>
        <v>553266.359354084</v>
      </c>
      <c r="AC46" s="47"/>
      <c r="AD46" s="47">
        <f t="shared" si="5"/>
        <v>907.7886629567719</v>
      </c>
      <c r="AE46" s="47"/>
      <c r="AF46" s="47">
        <f t="shared" si="5"/>
        <v>925.5864915961132</v>
      </c>
      <c r="AG46" s="47"/>
      <c r="AH46" s="47">
        <f t="shared" si="5"/>
        <v>840.1174536013548</v>
      </c>
      <c r="AI46" s="47"/>
      <c r="AJ46" s="47">
        <f t="shared" si="5"/>
        <v>893.6840475208495</v>
      </c>
      <c r="AK46" s="47"/>
      <c r="AL46" s="47">
        <f>SUM(AD46,V46)</f>
        <v>461661.7407320123</v>
      </c>
      <c r="AM46" s="47"/>
      <c r="AN46" s="47">
        <f>SUM(AF46,X46)</f>
        <v>604143.3046141632</v>
      </c>
      <c r="AO46" s="47"/>
      <c r="AP46" s="47">
        <f>SUM(AH46,Z46)</f>
        <v>600683.9793249685</v>
      </c>
      <c r="AQ46" s="47"/>
      <c r="AR46" s="47">
        <f>SUM(AJ46,AB46)</f>
        <v>554160.0434016049</v>
      </c>
      <c r="AS46" s="47"/>
      <c r="AT46" s="47">
        <f>AT28*1000000/AT$42/60/0.0283*(21-7)/(21-AT$43)</f>
        <v>0</v>
      </c>
      <c r="AU46" s="47"/>
      <c r="AV46" s="47">
        <f>AV28*1000000/AV$42/60/0.0283*(21-7)/(21-AV$43)</f>
        <v>0</v>
      </c>
      <c r="AW46" s="47"/>
      <c r="AX46" s="47">
        <f>AX28*1000000/AX$42/60/0.0283*(21-7)/(21-AX$43)</f>
        <v>0</v>
      </c>
      <c r="AY46" s="47"/>
      <c r="AZ46" s="47">
        <f>AZ28*1000000/AZ$42/60/0.0283*(21-7)/(21-AZ$43)</f>
        <v>0</v>
      </c>
      <c r="BA46" s="47"/>
      <c r="BB46" s="48">
        <f aca="true" t="shared" si="6" ref="BB46:BB58">AD46+AT46+V46+N46+F46</f>
        <v>497219.6951290547</v>
      </c>
      <c r="BC46" s="48"/>
      <c r="BD46" s="48">
        <f aca="true" t="shared" si="7" ref="BD46:BD58">AF46+AV46+X46+P46+H46</f>
        <v>637816.9305582136</v>
      </c>
      <c r="BE46" s="48"/>
      <c r="BF46" s="48">
        <f aca="true" t="shared" si="8" ref="BF46:BF58">AH46+AX46+Z46+R46+J46</f>
        <v>636352.5989591526</v>
      </c>
      <c r="BG46" s="48"/>
      <c r="BH46" s="48">
        <f>AJ46+AZ46+AB46+T46+L46</f>
        <v>589109.579739899</v>
      </c>
    </row>
    <row r="47" spans="2:60" ht="12.75">
      <c r="B47" s="9" t="s">
        <v>111</v>
      </c>
      <c r="D47" s="9" t="s">
        <v>71</v>
      </c>
      <c r="E47" s="5" t="s">
        <v>19</v>
      </c>
      <c r="F47" s="47">
        <f t="shared" si="4"/>
        <v>1.084013282074817</v>
      </c>
      <c r="G47" s="47"/>
      <c r="H47" s="47">
        <f t="shared" si="4"/>
        <v>0.9470622651260397</v>
      </c>
      <c r="I47" s="47"/>
      <c r="J47" s="47">
        <f t="shared" si="4"/>
        <v>1.0382863353037917</v>
      </c>
      <c r="K47" s="47"/>
      <c r="L47" s="47">
        <f aca="true" t="shared" si="9" ref="L47:T58">L29*L$25*2000*454/1000000*1000000/L$42/60/0.0283*(21-7)/(21-L$43)</f>
        <v>1.0226743920704273</v>
      </c>
      <c r="M47" s="47"/>
      <c r="N47" s="47">
        <f t="shared" si="9"/>
        <v>2.9221983716252153</v>
      </c>
      <c r="O47" s="47"/>
      <c r="P47" s="47">
        <f t="shared" si="9"/>
        <v>2.816034988541268</v>
      </c>
      <c r="Q47" s="47"/>
      <c r="R47" s="47">
        <f t="shared" si="9"/>
        <v>2.9613646052710334</v>
      </c>
      <c r="S47" s="47"/>
      <c r="T47" s="47">
        <f t="shared" si="9"/>
        <v>2.8984049294287297</v>
      </c>
      <c r="U47" s="47"/>
      <c r="V47" s="47">
        <f aca="true" t="shared" si="10" ref="V47:AJ47">V29*V$25*2000*454/1000000*1000000/V$42/60/0.0283*(21-7)/(21-V$43)</f>
        <v>2.9187202541426225</v>
      </c>
      <c r="W47" s="47"/>
      <c r="X47" s="47">
        <f t="shared" si="10"/>
        <v>4.351456058212412</v>
      </c>
      <c r="Y47" s="47"/>
      <c r="Z47" s="47">
        <f t="shared" si="10"/>
        <v>4.751704317569263</v>
      </c>
      <c r="AA47" s="47"/>
      <c r="AB47" s="47">
        <f t="shared" si="10"/>
        <v>3.9621939797493</v>
      </c>
      <c r="AC47" s="47"/>
      <c r="AD47" s="47">
        <f t="shared" si="10"/>
        <v>0.25459819972580733</v>
      </c>
      <c r="AE47" s="47"/>
      <c r="AF47" s="47">
        <f t="shared" si="10"/>
        <v>0.18542685901875305</v>
      </c>
      <c r="AG47" s="47"/>
      <c r="AH47" s="47">
        <f t="shared" si="10"/>
        <v>0.013038622879893024</v>
      </c>
      <c r="AI47" s="47"/>
      <c r="AJ47" s="47">
        <f t="shared" si="10"/>
        <v>0.15113190225852585</v>
      </c>
      <c r="AK47" s="47"/>
      <c r="AL47" s="47">
        <f aca="true" t="shared" si="11" ref="AL47:AR61">SUM(AD47,V47)</f>
        <v>3.17331845386843</v>
      </c>
      <c r="AM47" s="47"/>
      <c r="AN47" s="47">
        <f t="shared" si="11"/>
        <v>4.536882917231165</v>
      </c>
      <c r="AO47" s="47"/>
      <c r="AP47" s="47">
        <f t="shared" si="11"/>
        <v>4.764742940449156</v>
      </c>
      <c r="AQ47" s="47"/>
      <c r="AR47" s="47">
        <f t="shared" si="11"/>
        <v>4.113325882007826</v>
      </c>
      <c r="AS47" s="47"/>
      <c r="AT47" s="47">
        <f aca="true" t="shared" si="12" ref="AT47:AZ58">AT29*1000000/AT$42/60/0.0283*(21-7)/(21-AT$43)</f>
        <v>0</v>
      </c>
      <c r="AU47" s="47"/>
      <c r="AV47" s="47">
        <f t="shared" si="12"/>
        <v>0</v>
      </c>
      <c r="AW47" s="47"/>
      <c r="AX47" s="47">
        <f t="shared" si="12"/>
        <v>0</v>
      </c>
      <c r="AY47" s="47"/>
      <c r="AZ47" s="47">
        <f t="shared" si="12"/>
        <v>0</v>
      </c>
      <c r="BA47" s="47"/>
      <c r="BB47" s="48">
        <f t="shared" si="6"/>
        <v>7.179530107568462</v>
      </c>
      <c r="BC47" s="48"/>
      <c r="BD47" s="48">
        <f t="shared" si="7"/>
        <v>8.299980170898472</v>
      </c>
      <c r="BE47" s="48"/>
      <c r="BF47" s="48">
        <f t="shared" si="8"/>
        <v>8.764393881023981</v>
      </c>
      <c r="BG47" s="48"/>
      <c r="BH47" s="48">
        <f aca="true" t="shared" si="13" ref="BH47:BH58">AJ47+AZ47+AB47+T47+L47</f>
        <v>8.034405203506983</v>
      </c>
    </row>
    <row r="48" spans="2:60" ht="12.75">
      <c r="B48" s="9" t="s">
        <v>103</v>
      </c>
      <c r="D48" s="9" t="s">
        <v>71</v>
      </c>
      <c r="E48" s="5" t="s">
        <v>19</v>
      </c>
      <c r="F48" s="47">
        <f t="shared" si="4"/>
        <v>70.16522334884273</v>
      </c>
      <c r="G48" s="47"/>
      <c r="H48" s="47">
        <f t="shared" si="4"/>
        <v>61.300757524521835</v>
      </c>
      <c r="I48" s="47"/>
      <c r="J48" s="47">
        <f t="shared" si="4"/>
        <v>67.20544279420908</v>
      </c>
      <c r="K48" s="47"/>
      <c r="L48" s="47">
        <f t="shared" si="9"/>
        <v>66.1949242867404</v>
      </c>
      <c r="M48" s="47"/>
      <c r="N48" s="47">
        <f t="shared" si="9"/>
        <v>677.4561295345218</v>
      </c>
      <c r="O48" s="47"/>
      <c r="P48" s="47">
        <f t="shared" si="9"/>
        <v>652.8441677660461</v>
      </c>
      <c r="Q48" s="47"/>
      <c r="R48" s="47">
        <f t="shared" si="9"/>
        <v>686.5360760952284</v>
      </c>
      <c r="S48" s="47"/>
      <c r="T48" s="47">
        <f t="shared" si="9"/>
        <v>671.940072371787</v>
      </c>
      <c r="U48" s="47"/>
      <c r="V48" s="47">
        <f aca="true" t="shared" si="14" ref="V48:AJ48">V30*V$25*2000*454/1000000*1000000/V$42/60/0.0283*(21-7)/(21-V$43)</f>
        <v>8.076961709577066</v>
      </c>
      <c r="W48" s="47"/>
      <c r="X48" s="47">
        <f t="shared" si="14"/>
        <v>9.992232429969244</v>
      </c>
      <c r="Y48" s="47"/>
      <c r="Z48" s="47">
        <f t="shared" si="14"/>
        <v>12.514389588845782</v>
      </c>
      <c r="AA48" s="47"/>
      <c r="AB48" s="47">
        <f t="shared" si="14"/>
        <v>10.128808610050028</v>
      </c>
      <c r="AC48" s="47"/>
      <c r="AD48" s="47">
        <f t="shared" si="14"/>
        <v>67.12766741404484</v>
      </c>
      <c r="AE48" s="47"/>
      <c r="AF48" s="47">
        <f t="shared" si="14"/>
        <v>45.195862131449005</v>
      </c>
      <c r="AG48" s="47"/>
      <c r="AH48" s="47">
        <f t="shared" si="14"/>
        <v>17.474443034908173</v>
      </c>
      <c r="AI48" s="47"/>
      <c r="AJ48" s="47">
        <f t="shared" si="14"/>
        <v>43.139563281562005</v>
      </c>
      <c r="AK48" s="47"/>
      <c r="AL48" s="47">
        <f t="shared" si="11"/>
        <v>75.2046291236219</v>
      </c>
      <c r="AM48" s="47"/>
      <c r="AN48" s="47">
        <f t="shared" si="11"/>
        <v>55.18809456141825</v>
      </c>
      <c r="AO48" s="47"/>
      <c r="AP48" s="47">
        <f t="shared" si="11"/>
        <v>29.988832623753957</v>
      </c>
      <c r="AQ48" s="47"/>
      <c r="AR48" s="47">
        <f t="shared" si="11"/>
        <v>53.268371891612034</v>
      </c>
      <c r="AS48" s="47"/>
      <c r="AT48" s="47">
        <f t="shared" si="12"/>
        <v>0</v>
      </c>
      <c r="AU48" s="47"/>
      <c r="AV48" s="47">
        <f t="shared" si="12"/>
        <v>0</v>
      </c>
      <c r="AW48" s="47"/>
      <c r="AX48" s="47">
        <f t="shared" si="12"/>
        <v>0</v>
      </c>
      <c r="AY48" s="47"/>
      <c r="AZ48" s="47">
        <f t="shared" si="12"/>
        <v>0</v>
      </c>
      <c r="BA48" s="47"/>
      <c r="BB48" s="48">
        <f t="shared" si="6"/>
        <v>822.8259820069864</v>
      </c>
      <c r="BC48" s="48"/>
      <c r="BD48" s="48">
        <f t="shared" si="7"/>
        <v>769.3330198519861</v>
      </c>
      <c r="BE48" s="48"/>
      <c r="BF48" s="48">
        <f t="shared" si="8"/>
        <v>783.7303515131914</v>
      </c>
      <c r="BG48" s="48"/>
      <c r="BH48" s="48">
        <f t="shared" si="13"/>
        <v>791.4033685501394</v>
      </c>
    </row>
    <row r="49" spans="2:60" ht="12.75">
      <c r="B49" s="9" t="s">
        <v>99</v>
      </c>
      <c r="D49" s="9" t="s">
        <v>71</v>
      </c>
      <c r="E49" s="5" t="s">
        <v>19</v>
      </c>
      <c r="F49" s="47">
        <f t="shared" si="4"/>
        <v>2207.4452289523547</v>
      </c>
      <c r="G49" s="47"/>
      <c r="H49" s="47">
        <f t="shared" si="4"/>
        <v>1928.5631580748445</v>
      </c>
      <c r="I49" s="47"/>
      <c r="J49" s="47">
        <f t="shared" si="4"/>
        <v>2114.3285373459034</v>
      </c>
      <c r="K49" s="47"/>
      <c r="L49" s="47">
        <f t="shared" si="9"/>
        <v>2082.5369438525067</v>
      </c>
      <c r="M49" s="47"/>
      <c r="N49" s="47">
        <f t="shared" si="9"/>
        <v>930.1645520947869</v>
      </c>
      <c r="O49" s="47"/>
      <c r="P49" s="47">
        <f t="shared" si="9"/>
        <v>896.3717005779248</v>
      </c>
      <c r="Q49" s="47"/>
      <c r="R49" s="47">
        <f t="shared" si="9"/>
        <v>942.6315504102162</v>
      </c>
      <c r="S49" s="47"/>
      <c r="T49" s="47">
        <f t="shared" si="9"/>
        <v>922.5908648604125</v>
      </c>
      <c r="U49" s="47"/>
      <c r="V49" s="47">
        <f aca="true" t="shared" si="15" ref="V49:AJ49">V31*V$25*2000*454/1000000*1000000/V$42/60/0.0283*(21-7)/(21-V$43)</f>
        <v>20.926673520267858</v>
      </c>
      <c r="W49" s="47"/>
      <c r="X49" s="47">
        <f t="shared" si="15"/>
        <v>33.38418668998941</v>
      </c>
      <c r="Y49" s="47"/>
      <c r="Z49" s="47">
        <f t="shared" si="15"/>
        <v>28.463179328013894</v>
      </c>
      <c r="AA49" s="47"/>
      <c r="AB49" s="47">
        <f t="shared" si="15"/>
        <v>27.375158405540613</v>
      </c>
      <c r="AC49" s="47"/>
      <c r="AD49" s="47">
        <f t="shared" si="15"/>
        <v>1.693843214022789</v>
      </c>
      <c r="AE49" s="47"/>
      <c r="AF49" s="47">
        <f t="shared" si="15"/>
        <v>1.3156329730045084</v>
      </c>
      <c r="AG49" s="47"/>
      <c r="AH49" s="47">
        <f t="shared" si="15"/>
        <v>0.6384892647370294</v>
      </c>
      <c r="AI49" s="47"/>
      <c r="AJ49" s="47">
        <f t="shared" si="15"/>
        <v>1.2158516300839213</v>
      </c>
      <c r="AK49" s="47"/>
      <c r="AL49" s="47">
        <f t="shared" si="11"/>
        <v>22.620516734290646</v>
      </c>
      <c r="AM49" s="47"/>
      <c r="AN49" s="47">
        <f t="shared" si="11"/>
        <v>34.699819662993924</v>
      </c>
      <c r="AO49" s="47"/>
      <c r="AP49" s="47">
        <f t="shared" si="11"/>
        <v>29.101668592750922</v>
      </c>
      <c r="AQ49" s="47"/>
      <c r="AR49" s="47">
        <f t="shared" si="11"/>
        <v>28.591010035624535</v>
      </c>
      <c r="AS49" s="47"/>
      <c r="AT49" s="47">
        <f t="shared" si="12"/>
        <v>7043.187902250817</v>
      </c>
      <c r="AU49" s="47"/>
      <c r="AV49" s="47">
        <f t="shared" si="12"/>
        <v>6597.512408743198</v>
      </c>
      <c r="AW49" s="47"/>
      <c r="AX49" s="47">
        <f t="shared" si="12"/>
        <v>7561.057082412192</v>
      </c>
      <c r="AY49" s="47"/>
      <c r="AZ49" s="47">
        <f t="shared" si="12"/>
        <v>7061.207289053626</v>
      </c>
      <c r="BA49" s="47"/>
      <c r="BB49" s="48">
        <f t="shared" si="6"/>
        <v>10203.41820003225</v>
      </c>
      <c r="BC49" s="48"/>
      <c r="BD49" s="48">
        <f t="shared" si="7"/>
        <v>9457.14708705896</v>
      </c>
      <c r="BE49" s="48"/>
      <c r="BF49" s="48">
        <f t="shared" si="8"/>
        <v>10647.118838761064</v>
      </c>
      <c r="BG49" s="48"/>
      <c r="BH49" s="48">
        <f t="shared" si="13"/>
        <v>10094.92610780217</v>
      </c>
    </row>
    <row r="50" spans="2:60" ht="12.75">
      <c r="B50" s="9" t="s">
        <v>100</v>
      </c>
      <c r="D50" s="9" t="s">
        <v>71</v>
      </c>
      <c r="E50" s="5" t="s">
        <v>19</v>
      </c>
      <c r="F50" s="47">
        <f t="shared" si="4"/>
        <v>1541.2697937863766</v>
      </c>
      <c r="G50" s="47"/>
      <c r="H50" s="47">
        <f t="shared" si="4"/>
        <v>1346.5503478701144</v>
      </c>
      <c r="I50" s="47"/>
      <c r="J50" s="47">
        <f t="shared" si="4"/>
        <v>1476.2543894683006</v>
      </c>
      <c r="K50" s="47"/>
      <c r="L50" s="47">
        <f t="shared" si="9"/>
        <v>1454.0570447255895</v>
      </c>
      <c r="M50" s="47"/>
      <c r="N50" s="47">
        <f t="shared" si="9"/>
        <v>61489.63897476158</v>
      </c>
      <c r="O50" s="47"/>
      <c r="P50" s="47">
        <f t="shared" si="9"/>
        <v>59255.72215324865</v>
      </c>
      <c r="Q50" s="47"/>
      <c r="R50" s="47">
        <f t="shared" si="9"/>
        <v>62313.784792604565</v>
      </c>
      <c r="S50" s="47"/>
      <c r="T50" s="47">
        <f t="shared" si="9"/>
        <v>60988.971331922854</v>
      </c>
      <c r="U50" s="47"/>
      <c r="V50" s="47">
        <f aca="true" t="shared" si="16" ref="V50:AJ50">V32*V$25*2000*454/1000000*1000000/V$42/60/0.0283*(21-7)/(21-V$43)</f>
        <v>10940.611770245303</v>
      </c>
      <c r="W50" s="47"/>
      <c r="X50" s="47">
        <f t="shared" si="16"/>
        <v>14850.207182788388</v>
      </c>
      <c r="Y50" s="47"/>
      <c r="Z50" s="47">
        <f t="shared" si="16"/>
        <v>14725.578726724543</v>
      </c>
      <c r="AA50" s="47"/>
      <c r="AB50" s="47">
        <f t="shared" si="16"/>
        <v>13449.847563985353</v>
      </c>
      <c r="AC50" s="47"/>
      <c r="AD50" s="47">
        <f t="shared" si="16"/>
        <v>219.46921315161805</v>
      </c>
      <c r="AE50" s="47"/>
      <c r="AF50" s="47">
        <f t="shared" si="16"/>
        <v>306.7746532346983</v>
      </c>
      <c r="AG50" s="47"/>
      <c r="AH50" s="47">
        <f t="shared" si="16"/>
        <v>61.16055062217862</v>
      </c>
      <c r="AI50" s="47"/>
      <c r="AJ50" s="47">
        <f t="shared" si="16"/>
        <v>199.03778046019906</v>
      </c>
      <c r="AK50" s="47"/>
      <c r="AL50" s="47">
        <f t="shared" si="11"/>
        <v>11160.080983396922</v>
      </c>
      <c r="AM50" s="47"/>
      <c r="AN50" s="47">
        <f t="shared" si="11"/>
        <v>15156.981836023087</v>
      </c>
      <c r="AO50" s="47"/>
      <c r="AP50" s="47">
        <f t="shared" si="11"/>
        <v>14786.739277346722</v>
      </c>
      <c r="AQ50" s="47"/>
      <c r="AR50" s="47">
        <f t="shared" si="11"/>
        <v>13648.885344445553</v>
      </c>
      <c r="AS50" s="47"/>
      <c r="AT50" s="47">
        <f t="shared" si="12"/>
        <v>0</v>
      </c>
      <c r="AU50" s="47"/>
      <c r="AV50" s="47">
        <f t="shared" si="12"/>
        <v>0</v>
      </c>
      <c r="AW50" s="47"/>
      <c r="AX50" s="47">
        <f t="shared" si="12"/>
        <v>0</v>
      </c>
      <c r="AY50" s="47"/>
      <c r="AZ50" s="47">
        <f t="shared" si="12"/>
        <v>0</v>
      </c>
      <c r="BA50" s="47"/>
      <c r="BB50" s="48">
        <f t="shared" si="6"/>
        <v>74190.98975194487</v>
      </c>
      <c r="BC50" s="48"/>
      <c r="BD50" s="48">
        <f t="shared" si="7"/>
        <v>75759.25433714186</v>
      </c>
      <c r="BE50" s="48"/>
      <c r="BF50" s="48">
        <f t="shared" si="8"/>
        <v>78576.7784594196</v>
      </c>
      <c r="BG50" s="48"/>
      <c r="BH50" s="48">
        <f t="shared" si="13"/>
        <v>76091.913721094</v>
      </c>
    </row>
    <row r="51" spans="2:60" ht="12.75">
      <c r="B51" s="9" t="s">
        <v>101</v>
      </c>
      <c r="D51" s="9" t="s">
        <v>71</v>
      </c>
      <c r="E51" s="5" t="s">
        <v>19</v>
      </c>
      <c r="F51" s="47">
        <f t="shared" si="4"/>
        <v>118.25599440816188</v>
      </c>
      <c r="G51" s="47"/>
      <c r="H51" s="47">
        <f t="shared" si="4"/>
        <v>103.31588346829524</v>
      </c>
      <c r="I51" s="47"/>
      <c r="J51" s="47">
        <f t="shared" si="4"/>
        <v>113.26760021495912</v>
      </c>
      <c r="K51" s="47"/>
      <c r="L51" s="47">
        <f t="shared" si="9"/>
        <v>111.56447913495572</v>
      </c>
      <c r="M51" s="47"/>
      <c r="N51" s="47">
        <f t="shared" si="9"/>
        <v>280.6956745701969</v>
      </c>
      <c r="O51" s="47"/>
      <c r="P51" s="47">
        <f t="shared" si="9"/>
        <v>270.4980087584711</v>
      </c>
      <c r="Q51" s="47"/>
      <c r="R51" s="47">
        <f t="shared" si="9"/>
        <v>284.4578395485697</v>
      </c>
      <c r="S51" s="47"/>
      <c r="T51" s="47">
        <f t="shared" si="9"/>
        <v>278.4101636437175</v>
      </c>
      <c r="U51" s="47"/>
      <c r="V51" s="47">
        <f aca="true" t="shared" si="17" ref="V51:AJ51">V33*V$25*2000*454/1000000*1000000/V$42/60/0.0283*(21-7)/(21-V$43)</f>
        <v>0.6847060721982381</v>
      </c>
      <c r="W51" s="47"/>
      <c r="X51" s="47">
        <f t="shared" si="17"/>
        <v>0.7620803996128614</v>
      </c>
      <c r="Y51" s="47"/>
      <c r="Z51" s="47">
        <f t="shared" si="17"/>
        <v>0.9479885346437685</v>
      </c>
      <c r="AA51" s="47"/>
      <c r="AB51" s="47">
        <f t="shared" si="17"/>
        <v>0.7974815882877225</v>
      </c>
      <c r="AC51" s="47"/>
      <c r="AD51" s="47">
        <f t="shared" si="17"/>
        <v>0.31685650266422194</v>
      </c>
      <c r="AE51" s="47"/>
      <c r="AF51" s="47">
        <f t="shared" si="17"/>
        <v>0.23650437444128103</v>
      </c>
      <c r="AG51" s="47"/>
      <c r="AH51" s="47">
        <f t="shared" si="17"/>
        <v>0.228847994361009</v>
      </c>
      <c r="AI51" s="47"/>
      <c r="AJ51" s="47">
        <f t="shared" si="17"/>
        <v>0.25994069332828657</v>
      </c>
      <c r="AK51" s="47"/>
      <c r="AL51" s="47">
        <f t="shared" si="11"/>
        <v>1.0015625748624601</v>
      </c>
      <c r="AM51" s="47"/>
      <c r="AN51" s="47">
        <f t="shared" si="11"/>
        <v>0.9985847740541425</v>
      </c>
      <c r="AO51" s="47"/>
      <c r="AP51" s="47">
        <f t="shared" si="11"/>
        <v>1.1768365290047775</v>
      </c>
      <c r="AQ51" s="47"/>
      <c r="AR51" s="47">
        <f t="shared" si="11"/>
        <v>1.057422281616009</v>
      </c>
      <c r="AS51" s="47"/>
      <c r="AT51" s="47">
        <f t="shared" si="12"/>
        <v>0</v>
      </c>
      <c r="AU51" s="47"/>
      <c r="AV51" s="47">
        <f t="shared" si="12"/>
        <v>0</v>
      </c>
      <c r="AW51" s="47"/>
      <c r="AX51" s="47">
        <f t="shared" si="12"/>
        <v>0</v>
      </c>
      <c r="AY51" s="47"/>
      <c r="AZ51" s="47">
        <f t="shared" si="12"/>
        <v>0</v>
      </c>
      <c r="BA51" s="47"/>
      <c r="BB51" s="48">
        <f t="shared" si="6"/>
        <v>399.95323155322126</v>
      </c>
      <c r="BC51" s="48"/>
      <c r="BD51" s="48">
        <f t="shared" si="7"/>
        <v>374.8124770008205</v>
      </c>
      <c r="BE51" s="48"/>
      <c r="BF51" s="48">
        <f t="shared" si="8"/>
        <v>398.90227629253366</v>
      </c>
      <c r="BG51" s="48"/>
      <c r="BH51" s="48">
        <f t="shared" si="13"/>
        <v>391.03206506028926</v>
      </c>
    </row>
    <row r="52" spans="2:60" ht="12.75">
      <c r="B52" s="9" t="s">
        <v>106</v>
      </c>
      <c r="D52" s="9" t="s">
        <v>71</v>
      </c>
      <c r="E52" s="5" t="s">
        <v>19</v>
      </c>
      <c r="F52" s="47">
        <f t="shared" si="4"/>
        <v>24.0848041944623</v>
      </c>
      <c r="G52" s="47"/>
      <c r="H52" s="47">
        <f t="shared" si="4"/>
        <v>21.042001599709458</v>
      </c>
      <c r="I52" s="47"/>
      <c r="J52" s="47">
        <f t="shared" si="4"/>
        <v>23.068834577113346</v>
      </c>
      <c r="K52" s="47"/>
      <c r="L52" s="47">
        <f t="shared" si="9"/>
        <v>22.72196558381932</v>
      </c>
      <c r="M52" s="47"/>
      <c r="N52" s="47">
        <f t="shared" si="9"/>
        <v>239.53795102617966</v>
      </c>
      <c r="O52" s="47"/>
      <c r="P52" s="47">
        <f t="shared" si="9"/>
        <v>230.83554413112924</v>
      </c>
      <c r="Q52" s="47"/>
      <c r="R52" s="47">
        <f t="shared" si="9"/>
        <v>242.7484789109495</v>
      </c>
      <c r="S52" s="47"/>
      <c r="T52" s="47">
        <f t="shared" si="9"/>
        <v>237.58755900387612</v>
      </c>
      <c r="U52" s="47"/>
      <c r="V52" s="47">
        <f aca="true" t="shared" si="18" ref="V52:AJ52">V34*V$25*2000*454/1000000*1000000/V$42/60/0.0283*(21-7)/(21-V$43)</f>
        <v>35.97919306993421</v>
      </c>
      <c r="W52" s="47"/>
      <c r="X52" s="47">
        <f t="shared" si="18"/>
        <v>49.50069060929463</v>
      </c>
      <c r="Y52" s="47"/>
      <c r="Z52" s="47">
        <f t="shared" si="18"/>
        <v>48.22274183671775</v>
      </c>
      <c r="AA52" s="47"/>
      <c r="AB52" s="47">
        <f t="shared" si="18"/>
        <v>44.37657257319214</v>
      </c>
      <c r="AC52" s="47"/>
      <c r="AD52" s="47">
        <f t="shared" si="18"/>
        <v>1.4608093426890585</v>
      </c>
      <c r="AE52" s="47"/>
      <c r="AF52" s="47">
        <f t="shared" si="18"/>
        <v>1.312537366009204</v>
      </c>
      <c r="AG52" s="47"/>
      <c r="AH52" s="47">
        <f t="shared" si="18"/>
        <v>0.30109809537072557</v>
      </c>
      <c r="AI52" s="47"/>
      <c r="AJ52" s="47">
        <f t="shared" si="18"/>
        <v>1.030053613290698</v>
      </c>
      <c r="AK52" s="47"/>
      <c r="AL52" s="47">
        <f t="shared" si="11"/>
        <v>37.44000241262327</v>
      </c>
      <c r="AM52" s="47"/>
      <c r="AN52" s="47">
        <f t="shared" si="11"/>
        <v>50.81322797530383</v>
      </c>
      <c r="AO52" s="47"/>
      <c r="AP52" s="47">
        <f t="shared" si="11"/>
        <v>48.52383993208848</v>
      </c>
      <c r="AQ52" s="47"/>
      <c r="AR52" s="47">
        <f t="shared" si="11"/>
        <v>45.40662618648284</v>
      </c>
      <c r="AS52" s="47"/>
      <c r="AT52" s="47">
        <f t="shared" si="12"/>
        <v>5941.7840327630365</v>
      </c>
      <c r="AU52" s="47"/>
      <c r="AV52" s="47">
        <f t="shared" si="12"/>
        <v>6394.363199676323</v>
      </c>
      <c r="AW52" s="47"/>
      <c r="AX52" s="47">
        <f t="shared" si="12"/>
        <v>6720.939628810836</v>
      </c>
      <c r="AY52" s="47"/>
      <c r="AZ52" s="47">
        <f t="shared" si="12"/>
        <v>6347.298463873571</v>
      </c>
      <c r="BA52" s="47"/>
      <c r="BB52" s="48">
        <f t="shared" si="6"/>
        <v>6242.846790396301</v>
      </c>
      <c r="BC52" s="48"/>
      <c r="BD52" s="48">
        <f t="shared" si="7"/>
        <v>6697.053973382467</v>
      </c>
      <c r="BE52" s="48"/>
      <c r="BF52" s="48">
        <f t="shared" si="8"/>
        <v>7035.280782230987</v>
      </c>
      <c r="BG52" s="48"/>
      <c r="BH52" s="48">
        <f t="shared" si="13"/>
        <v>6653.014614647748</v>
      </c>
    </row>
    <row r="53" spans="2:60" ht="12.75">
      <c r="B53" s="9" t="s">
        <v>108</v>
      </c>
      <c r="D53" s="9" t="s">
        <v>71</v>
      </c>
      <c r="E53" s="5" t="s">
        <v>19</v>
      </c>
      <c r="F53" s="47">
        <f t="shared" si="4"/>
        <v>476.9658441129196</v>
      </c>
      <c r="G53" s="47"/>
      <c r="H53" s="47">
        <f t="shared" si="4"/>
        <v>416.7073966554575</v>
      </c>
      <c r="I53" s="47"/>
      <c r="J53" s="47">
        <f t="shared" si="4"/>
        <v>456.84598753366845</v>
      </c>
      <c r="K53" s="47"/>
      <c r="L53" s="47">
        <f t="shared" si="9"/>
        <v>449.976732510988</v>
      </c>
      <c r="M53" s="47"/>
      <c r="N53" s="47">
        <f t="shared" si="9"/>
        <v>30868.292658012844</v>
      </c>
      <c r="O53" s="47"/>
      <c r="P53" s="47">
        <f t="shared" si="9"/>
        <v>29746.84847050635</v>
      </c>
      <c r="Q53" s="47"/>
      <c r="R53" s="47">
        <f t="shared" si="9"/>
        <v>31282.02047821515</v>
      </c>
      <c r="S53" s="47"/>
      <c r="T53" s="47">
        <f t="shared" si="9"/>
        <v>30616.95347988095</v>
      </c>
      <c r="U53" s="47"/>
      <c r="V53" s="47">
        <f aca="true" t="shared" si="19" ref="V53:AJ53">V35*V$25*2000*454/1000000*1000000/V$42/60/0.0283*(21-7)/(21-V$43)</f>
        <v>2294.5913947662134</v>
      </c>
      <c r="W53" s="47"/>
      <c r="X53" s="47">
        <f t="shared" si="19"/>
        <v>2647.7113581715735</v>
      </c>
      <c r="Y53" s="47"/>
      <c r="Z53" s="47">
        <f t="shared" si="19"/>
        <v>2963.934376305579</v>
      </c>
      <c r="AA53" s="47"/>
      <c r="AB53" s="47">
        <f t="shared" si="19"/>
        <v>2636.6599937968067</v>
      </c>
      <c r="AC53" s="47"/>
      <c r="AD53" s="47">
        <f t="shared" si="19"/>
        <v>37.91148056026366</v>
      </c>
      <c r="AE53" s="47"/>
      <c r="AF53" s="47">
        <f t="shared" si="19"/>
        <v>42.10025513614427</v>
      </c>
      <c r="AG53" s="47"/>
      <c r="AH53" s="47">
        <f t="shared" si="19"/>
        <v>10.518270519088961</v>
      </c>
      <c r="AI53" s="47"/>
      <c r="AJ53" s="47">
        <f t="shared" si="19"/>
        <v>30.4845558432112</v>
      </c>
      <c r="AK53" s="47"/>
      <c r="AL53" s="47">
        <f t="shared" si="11"/>
        <v>2332.502875326477</v>
      </c>
      <c r="AM53" s="47"/>
      <c r="AN53" s="47">
        <f t="shared" si="11"/>
        <v>2689.811613307718</v>
      </c>
      <c r="AO53" s="47"/>
      <c r="AP53" s="47">
        <f t="shared" si="11"/>
        <v>2974.452646824668</v>
      </c>
      <c r="AQ53" s="47"/>
      <c r="AR53" s="47">
        <f t="shared" si="11"/>
        <v>2667.144549640018</v>
      </c>
      <c r="AS53" s="47"/>
      <c r="AT53" s="47">
        <f t="shared" si="12"/>
        <v>59031.38282956446</v>
      </c>
      <c r="AU53" s="47"/>
      <c r="AV53" s="47">
        <f t="shared" si="12"/>
        <v>53844.214174581575</v>
      </c>
      <c r="AW53" s="47"/>
      <c r="AX53" s="47">
        <f t="shared" si="12"/>
        <v>57592.52237805992</v>
      </c>
      <c r="AY53" s="47"/>
      <c r="AZ53" s="47">
        <f t="shared" si="12"/>
        <v>56797.937123302196</v>
      </c>
      <c r="BA53" s="47"/>
      <c r="BB53" s="48">
        <f t="shared" si="6"/>
        <v>92709.1442070167</v>
      </c>
      <c r="BC53" s="48"/>
      <c r="BD53" s="48">
        <f t="shared" si="7"/>
        <v>86697.58165505111</v>
      </c>
      <c r="BE53" s="48"/>
      <c r="BF53" s="48">
        <f t="shared" si="8"/>
        <v>92305.84149063341</v>
      </c>
      <c r="BG53" s="48"/>
      <c r="BH53" s="48">
        <f t="shared" si="13"/>
        <v>90532.01188533416</v>
      </c>
    </row>
    <row r="54" spans="2:60" ht="12.75">
      <c r="B54" s="9" t="s">
        <v>104</v>
      </c>
      <c r="D54" s="9" t="s">
        <v>71</v>
      </c>
      <c r="E54" s="5" t="s">
        <v>19</v>
      </c>
      <c r="F54" s="47">
        <f t="shared" si="4"/>
        <v>1154.9668787197145</v>
      </c>
      <c r="G54" s="47"/>
      <c r="H54" s="47">
        <f t="shared" si="4"/>
        <v>1009.0517952070169</v>
      </c>
      <c r="I54" s="47"/>
      <c r="J54" s="47">
        <f t="shared" si="4"/>
        <v>1106.2468954327676</v>
      </c>
      <c r="K54" s="47"/>
      <c r="L54" s="47">
        <f t="shared" si="9"/>
        <v>1089.6130795514011</v>
      </c>
      <c r="M54" s="47"/>
      <c r="N54" s="47">
        <f t="shared" si="9"/>
        <v>1646.308941760685</v>
      </c>
      <c r="O54" s="47"/>
      <c r="P54" s="47">
        <f t="shared" si="9"/>
        <v>1586.4985850936719</v>
      </c>
      <c r="Q54" s="47"/>
      <c r="R54" s="47">
        <f t="shared" si="9"/>
        <v>1668.3744255048077</v>
      </c>
      <c r="S54" s="47"/>
      <c r="T54" s="47">
        <f t="shared" si="9"/>
        <v>1632.9041855936505</v>
      </c>
      <c r="U54" s="47"/>
      <c r="V54" s="47">
        <f aca="true" t="shared" si="20" ref="V54:AJ54">V36*V$25*2000*454/1000000*1000000/V$42/60/0.0283*(21-7)/(21-V$43)</f>
        <v>3799.843349732848</v>
      </c>
      <c r="W54" s="47"/>
      <c r="X54" s="47">
        <f t="shared" si="20"/>
        <v>4973.092637957041</v>
      </c>
      <c r="Y54" s="47"/>
      <c r="Z54" s="47">
        <f t="shared" si="20"/>
        <v>4939.890627175965</v>
      </c>
      <c r="AA54" s="47"/>
      <c r="AB54" s="47">
        <f t="shared" si="20"/>
        <v>4560.12507123874</v>
      </c>
      <c r="AC54" s="47"/>
      <c r="AD54" s="47">
        <f t="shared" si="20"/>
        <v>351.28986574189264</v>
      </c>
      <c r="AE54" s="47"/>
      <c r="AF54" s="47">
        <f t="shared" si="20"/>
        <v>274.5803404835293</v>
      </c>
      <c r="AG54" s="47"/>
      <c r="AH54" s="47">
        <f t="shared" si="20"/>
        <v>12.097691331859505</v>
      </c>
      <c r="AI54" s="47"/>
      <c r="AJ54" s="47">
        <f t="shared" si="20"/>
        <v>213.27052640219776</v>
      </c>
      <c r="AK54" s="47"/>
      <c r="AL54" s="47">
        <f t="shared" si="11"/>
        <v>4151.133215474741</v>
      </c>
      <c r="AM54" s="47"/>
      <c r="AN54" s="47">
        <f t="shared" si="11"/>
        <v>5247.672978440571</v>
      </c>
      <c r="AO54" s="47"/>
      <c r="AP54" s="47">
        <f t="shared" si="11"/>
        <v>4951.988318507824</v>
      </c>
      <c r="AQ54" s="47"/>
      <c r="AR54" s="47">
        <f t="shared" si="11"/>
        <v>4773.395597640938</v>
      </c>
      <c r="AS54" s="47"/>
      <c r="AT54" s="47">
        <f t="shared" si="12"/>
        <v>21284.146705978812</v>
      </c>
      <c r="AU54" s="47"/>
      <c r="AV54" s="47">
        <f t="shared" si="12"/>
        <v>21466.09975806621</v>
      </c>
      <c r="AW54" s="47"/>
      <c r="AX54" s="47">
        <f t="shared" si="12"/>
        <v>22722.70618622958</v>
      </c>
      <c r="AY54" s="47"/>
      <c r="AZ54" s="47">
        <f t="shared" si="12"/>
        <v>21809.914609250645</v>
      </c>
      <c r="BA54" s="47"/>
      <c r="BB54" s="48">
        <f t="shared" si="6"/>
        <v>28236.555741933953</v>
      </c>
      <c r="BC54" s="48"/>
      <c r="BD54" s="48">
        <f t="shared" si="7"/>
        <v>29309.32311680747</v>
      </c>
      <c r="BE54" s="48"/>
      <c r="BF54" s="48">
        <f t="shared" si="8"/>
        <v>30449.31582567498</v>
      </c>
      <c r="BG54" s="48"/>
      <c r="BH54" s="48">
        <f t="shared" si="13"/>
        <v>29305.827472036635</v>
      </c>
    </row>
    <row r="55" spans="2:60" ht="12.75">
      <c r="B55" s="9" t="s">
        <v>105</v>
      </c>
      <c r="D55" s="9" t="s">
        <v>71</v>
      </c>
      <c r="E55" s="5" t="s">
        <v>19</v>
      </c>
      <c r="F55" s="47">
        <f t="shared" si="4"/>
        <v>1115.5482139169937</v>
      </c>
      <c r="G55" s="47"/>
      <c r="H55" s="47">
        <f t="shared" si="4"/>
        <v>974.6131673842516</v>
      </c>
      <c r="I55" s="47"/>
      <c r="J55" s="47">
        <f t="shared" si="4"/>
        <v>1068.4910286944478</v>
      </c>
      <c r="K55" s="47"/>
      <c r="L55" s="47">
        <f t="shared" si="9"/>
        <v>1052.4249198397492</v>
      </c>
      <c r="M55" s="47"/>
      <c r="N55" s="47">
        <f t="shared" si="9"/>
        <v>8396.175602979492</v>
      </c>
      <c r="O55" s="47"/>
      <c r="P55" s="47">
        <f t="shared" si="9"/>
        <v>8091.142783977726</v>
      </c>
      <c r="Q55" s="47"/>
      <c r="R55" s="47">
        <f t="shared" si="9"/>
        <v>8508.709570074518</v>
      </c>
      <c r="S55" s="47"/>
      <c r="T55" s="47">
        <f t="shared" si="9"/>
        <v>8327.811346527618</v>
      </c>
      <c r="U55" s="47"/>
      <c r="V55" s="47">
        <f aca="true" t="shared" si="21" ref="V55:AJ55">V37*V$25*2000*454/1000000*1000000/V$42/60/0.0283*(21-7)/(21-V$43)</f>
        <v>190.91000404454888</v>
      </c>
      <c r="W55" s="47"/>
      <c r="X55" s="47">
        <f t="shared" si="21"/>
        <v>253.2593473033679</v>
      </c>
      <c r="Y55" s="47"/>
      <c r="Z55" s="47">
        <f t="shared" si="21"/>
        <v>268.1654911895524</v>
      </c>
      <c r="AA55" s="47"/>
      <c r="AB55" s="47">
        <f t="shared" si="21"/>
        <v>236.29084097414002</v>
      </c>
      <c r="AC55" s="47"/>
      <c r="AD55" s="47">
        <f t="shared" si="21"/>
        <v>18.155773259135444</v>
      </c>
      <c r="AE55" s="47"/>
      <c r="AF55" s="47">
        <f t="shared" si="21"/>
        <v>22.381238576053168</v>
      </c>
      <c r="AG55" s="47"/>
      <c r="AH55" s="47">
        <f t="shared" si="21"/>
        <v>5.242332910472453</v>
      </c>
      <c r="AI55" s="47"/>
      <c r="AJ55" s="47">
        <f t="shared" si="21"/>
        <v>15.457424081193949</v>
      </c>
      <c r="AK55" s="47"/>
      <c r="AL55" s="47">
        <f t="shared" si="11"/>
        <v>209.06577730368434</v>
      </c>
      <c r="AM55" s="47"/>
      <c r="AN55" s="47">
        <f t="shared" si="11"/>
        <v>275.64058587942105</v>
      </c>
      <c r="AO55" s="47"/>
      <c r="AP55" s="47">
        <f t="shared" si="11"/>
        <v>273.40782410002487</v>
      </c>
      <c r="AQ55" s="47"/>
      <c r="AR55" s="47">
        <f t="shared" si="11"/>
        <v>251.74826505533397</v>
      </c>
      <c r="AS55" s="47"/>
      <c r="AT55" s="47">
        <f t="shared" si="12"/>
        <v>0</v>
      </c>
      <c r="AU55" s="47"/>
      <c r="AV55" s="47">
        <f t="shared" si="12"/>
        <v>0</v>
      </c>
      <c r="AW55" s="47"/>
      <c r="AX55" s="47">
        <f t="shared" si="12"/>
        <v>0</v>
      </c>
      <c r="AY55" s="47"/>
      <c r="AZ55" s="47">
        <f t="shared" si="12"/>
        <v>0</v>
      </c>
      <c r="BA55" s="47"/>
      <c r="BB55" s="48">
        <f t="shared" si="6"/>
        <v>9720.78959420017</v>
      </c>
      <c r="BC55" s="48"/>
      <c r="BD55" s="48">
        <f t="shared" si="7"/>
        <v>9341.396537241399</v>
      </c>
      <c r="BE55" s="48"/>
      <c r="BF55" s="48">
        <f t="shared" si="8"/>
        <v>9850.60842286899</v>
      </c>
      <c r="BG55" s="48"/>
      <c r="BH55" s="48">
        <f t="shared" si="13"/>
        <v>9631.984531422702</v>
      </c>
    </row>
    <row r="56" spans="2:60" ht="12.75">
      <c r="B56" s="9" t="s">
        <v>132</v>
      </c>
      <c r="D56" s="9" t="s">
        <v>71</v>
      </c>
      <c r="E56" s="5" t="s">
        <v>19</v>
      </c>
      <c r="F56" s="47">
        <f t="shared" si="4"/>
        <v>74.10708982911478</v>
      </c>
      <c r="G56" s="47"/>
      <c r="H56" s="47">
        <f t="shared" si="4"/>
        <v>64.74462030679834</v>
      </c>
      <c r="I56" s="47"/>
      <c r="J56" s="47">
        <f t="shared" si="4"/>
        <v>70.98102946804104</v>
      </c>
      <c r="K56" s="47"/>
      <c r="L56" s="47">
        <f t="shared" si="9"/>
        <v>69.91374025790557</v>
      </c>
      <c r="M56" s="47"/>
      <c r="N56" s="47">
        <f t="shared" si="9"/>
        <v>1275.889429864531</v>
      </c>
      <c r="O56" s="47"/>
      <c r="P56" s="47">
        <f t="shared" si="9"/>
        <v>1229.5364034475956</v>
      </c>
      <c r="Q56" s="47"/>
      <c r="R56" s="47">
        <f t="shared" si="9"/>
        <v>1292.990179766226</v>
      </c>
      <c r="S56" s="47"/>
      <c r="T56" s="47">
        <f t="shared" si="9"/>
        <v>1265.5007438350794</v>
      </c>
      <c r="U56" s="47"/>
      <c r="V56" s="47">
        <f aca="true" t="shared" si="22" ref="V56:AJ56">V38*V$25*2000*454/1000000*1000000/V$42/60/0.0283*(21-7)/(21-V$43)</f>
        <v>14.281536841024911</v>
      </c>
      <c r="W56" s="47"/>
      <c r="X56" s="47">
        <f t="shared" si="22"/>
        <v>23.714284338406273</v>
      </c>
      <c r="Y56" s="47"/>
      <c r="Z56" s="47">
        <f t="shared" si="22"/>
        <v>21.07686667595078</v>
      </c>
      <c r="AA56" s="47"/>
      <c r="AB56" s="47">
        <f t="shared" si="22"/>
        <v>19.479586402258377</v>
      </c>
      <c r="AC56" s="47"/>
      <c r="AD56" s="47">
        <f t="shared" si="22"/>
        <v>0.8312700783397262</v>
      </c>
      <c r="AE56" s="47"/>
      <c r="AF56" s="47">
        <f t="shared" si="22"/>
        <v>0.79247539079801</v>
      </c>
      <c r="AG56" s="47"/>
      <c r="AH56" s="47">
        <f t="shared" si="22"/>
        <v>0.635128794922624</v>
      </c>
      <c r="AI56" s="47"/>
      <c r="AJ56" s="47">
        <f t="shared" si="22"/>
        <v>0.7546665290176063</v>
      </c>
      <c r="AK56" s="47"/>
      <c r="AL56" s="47">
        <f t="shared" si="11"/>
        <v>15.112806919364637</v>
      </c>
      <c r="AM56" s="47"/>
      <c r="AN56" s="47">
        <f t="shared" si="11"/>
        <v>24.506759729204283</v>
      </c>
      <c r="AO56" s="47"/>
      <c r="AP56" s="47">
        <f t="shared" si="11"/>
        <v>21.711995470873404</v>
      </c>
      <c r="AQ56" s="47"/>
      <c r="AR56" s="47">
        <f t="shared" si="11"/>
        <v>20.234252931275982</v>
      </c>
      <c r="AS56" s="47"/>
      <c r="AT56" s="47">
        <f t="shared" si="12"/>
        <v>0</v>
      </c>
      <c r="AU56" s="47"/>
      <c r="AV56" s="47">
        <f t="shared" si="12"/>
        <v>0</v>
      </c>
      <c r="AW56" s="47"/>
      <c r="AX56" s="47">
        <f t="shared" si="12"/>
        <v>0</v>
      </c>
      <c r="AY56" s="47"/>
      <c r="AZ56" s="47">
        <f t="shared" si="12"/>
        <v>0</v>
      </c>
      <c r="BA56" s="47"/>
      <c r="BB56" s="48">
        <f t="shared" si="6"/>
        <v>1365.1093266130104</v>
      </c>
      <c r="BC56" s="48"/>
      <c r="BD56" s="48">
        <f t="shared" si="7"/>
        <v>1318.7877834835983</v>
      </c>
      <c r="BE56" s="48"/>
      <c r="BF56" s="48">
        <f t="shared" si="8"/>
        <v>1385.6832047051405</v>
      </c>
      <c r="BG56" s="48"/>
      <c r="BH56" s="48">
        <f t="shared" si="13"/>
        <v>1355.648737024261</v>
      </c>
    </row>
    <row r="57" spans="2:60" ht="12.75">
      <c r="B57" s="9" t="s">
        <v>107</v>
      </c>
      <c r="D57" s="9" t="s">
        <v>71</v>
      </c>
      <c r="E57" s="5" t="s">
        <v>19</v>
      </c>
      <c r="F57" s="47">
        <f t="shared" si="4"/>
        <v>10.64303949673457</v>
      </c>
      <c r="G57" s="47"/>
      <c r="H57" s="47">
        <f t="shared" si="4"/>
        <v>9.298429512146573</v>
      </c>
      <c r="I57" s="47"/>
      <c r="J57" s="47">
        <f t="shared" si="4"/>
        <v>10.19408401934632</v>
      </c>
      <c r="K57" s="47"/>
      <c r="L57" s="47">
        <f t="shared" si="9"/>
        <v>10.040803122146015</v>
      </c>
      <c r="M57" s="47"/>
      <c r="N57" s="47">
        <f t="shared" si="9"/>
        <v>135.8204876952565</v>
      </c>
      <c r="O57" s="47"/>
      <c r="P57" s="47">
        <f t="shared" si="9"/>
        <v>130.88613327022796</v>
      </c>
      <c r="Q57" s="47"/>
      <c r="R57" s="47">
        <f t="shared" si="9"/>
        <v>137.6408901041467</v>
      </c>
      <c r="S57" s="47"/>
      <c r="T57" s="47">
        <f t="shared" si="9"/>
        <v>134.7145953114762</v>
      </c>
      <c r="U57" s="47"/>
      <c r="V57" s="47">
        <f aca="true" t="shared" si="23" ref="V57:AJ57">V39*V$25*2000*454/1000000*1000000/V$42/60/0.0283*(21-7)/(21-V$43)</f>
        <v>21.110240831849154</v>
      </c>
      <c r="W57" s="47"/>
      <c r="X57" s="47">
        <f t="shared" si="23"/>
        <v>28.549235514197832</v>
      </c>
      <c r="Y57" s="47"/>
      <c r="Z57" s="47">
        <f t="shared" si="23"/>
        <v>30.58027531108931</v>
      </c>
      <c r="AA57" s="47"/>
      <c r="AB57" s="47">
        <f t="shared" si="23"/>
        <v>26.582719609590747</v>
      </c>
      <c r="AC57" s="47"/>
      <c r="AD57" s="47">
        <f t="shared" si="23"/>
        <v>0.6538860867274833</v>
      </c>
      <c r="AE57" s="47"/>
      <c r="AF57" s="47">
        <f t="shared" si="23"/>
        <v>3.3742116248821516</v>
      </c>
      <c r="AG57" s="47"/>
      <c r="AH57" s="47">
        <f t="shared" si="23"/>
        <v>0.1075350340609734</v>
      </c>
      <c r="AI57" s="47"/>
      <c r="AJ57" s="47">
        <f t="shared" si="23"/>
        <v>1.4453408669781642</v>
      </c>
      <c r="AK57" s="47"/>
      <c r="AL57" s="47">
        <f t="shared" si="11"/>
        <v>21.764126918576636</v>
      </c>
      <c r="AM57" s="47"/>
      <c r="AN57" s="47">
        <f t="shared" si="11"/>
        <v>31.923447139079983</v>
      </c>
      <c r="AO57" s="47"/>
      <c r="AP57" s="47">
        <f t="shared" si="11"/>
        <v>30.687810345150282</v>
      </c>
      <c r="AQ57" s="47"/>
      <c r="AR57" s="47">
        <f t="shared" si="11"/>
        <v>28.02806047656891</v>
      </c>
      <c r="AS57" s="47"/>
      <c r="AT57" s="47">
        <f t="shared" si="12"/>
        <v>0</v>
      </c>
      <c r="AU57" s="47"/>
      <c r="AV57" s="47">
        <f t="shared" si="12"/>
        <v>0</v>
      </c>
      <c r="AW57" s="47"/>
      <c r="AX57" s="47">
        <f t="shared" si="12"/>
        <v>0</v>
      </c>
      <c r="AY57" s="47"/>
      <c r="AZ57" s="47">
        <f t="shared" si="12"/>
        <v>0</v>
      </c>
      <c r="BA57" s="47"/>
      <c r="BB57" s="48">
        <f t="shared" si="6"/>
        <v>168.2276541105677</v>
      </c>
      <c r="BC57" s="48"/>
      <c r="BD57" s="48">
        <f t="shared" si="7"/>
        <v>172.10800992145454</v>
      </c>
      <c r="BE57" s="48"/>
      <c r="BF57" s="48">
        <f t="shared" si="8"/>
        <v>178.52278446864332</v>
      </c>
      <c r="BG57" s="48"/>
      <c r="BH57" s="48">
        <f t="shared" si="13"/>
        <v>172.78345891019111</v>
      </c>
    </row>
    <row r="58" spans="2:60" ht="12.75">
      <c r="B58" s="9" t="s">
        <v>102</v>
      </c>
      <c r="D58" s="9" t="s">
        <v>71</v>
      </c>
      <c r="E58" s="5" t="s">
        <v>19</v>
      </c>
      <c r="F58" s="47">
        <f t="shared" si="4"/>
        <v>37.88133687541452</v>
      </c>
      <c r="G58" s="47"/>
      <c r="H58" s="47">
        <f t="shared" si="4"/>
        <v>33.09552133767724</v>
      </c>
      <c r="I58" s="47"/>
      <c r="J58" s="47">
        <f t="shared" si="4"/>
        <v>36.283387935525234</v>
      </c>
      <c r="K58" s="47"/>
      <c r="L58" s="47">
        <f t="shared" si="9"/>
        <v>35.73782148289749</v>
      </c>
      <c r="M58" s="47"/>
      <c r="N58" s="47">
        <f t="shared" si="9"/>
        <v>14.405203240405996</v>
      </c>
      <c r="O58" s="47"/>
      <c r="P58" s="47">
        <f t="shared" si="9"/>
        <v>13.881862619569633</v>
      </c>
      <c r="Q58" s="47"/>
      <c r="R58" s="47">
        <f t="shared" si="9"/>
        <v>14.598276223167069</v>
      </c>
      <c r="S58" s="47"/>
      <c r="T58" s="47">
        <f t="shared" si="9"/>
        <v>14.287911623944446</v>
      </c>
      <c r="U58" s="47"/>
      <c r="V58" s="47">
        <f aca="true" t="shared" si="24" ref="V58:AJ58">V40*V$25*2000*454/1000000*1000000/V$42/60/0.0283*(21-7)/(21-V$43)</f>
        <v>6.20457513144784</v>
      </c>
      <c r="W58" s="47"/>
      <c r="X58" s="47">
        <f t="shared" si="24"/>
        <v>7.459638956935564</v>
      </c>
      <c r="Y58" s="47"/>
      <c r="Z58" s="47">
        <f t="shared" si="24"/>
        <v>7.456882518165624</v>
      </c>
      <c r="AA58" s="47"/>
      <c r="AB58" s="47">
        <f t="shared" si="24"/>
        <v>7.052705283953753</v>
      </c>
      <c r="AC58" s="47"/>
      <c r="AD58" s="47">
        <f t="shared" si="24"/>
        <v>0.22816450685810052</v>
      </c>
      <c r="AE58" s="47"/>
      <c r="AF58" s="47">
        <f t="shared" si="24"/>
        <v>0.1817121306243874</v>
      </c>
      <c r="AG58" s="47"/>
      <c r="AH58" s="47">
        <f t="shared" si="24"/>
        <v>0.15021300070392227</v>
      </c>
      <c r="AI58" s="47"/>
      <c r="AJ58" s="47">
        <f t="shared" si="24"/>
        <v>0.1864600049765723</v>
      </c>
      <c r="AK58" s="47"/>
      <c r="AL58" s="47">
        <f t="shared" si="11"/>
        <v>6.432739638305941</v>
      </c>
      <c r="AM58" s="47"/>
      <c r="AN58" s="47">
        <f t="shared" si="11"/>
        <v>7.641351087559951</v>
      </c>
      <c r="AO58" s="47"/>
      <c r="AP58" s="47">
        <f t="shared" si="11"/>
        <v>7.607095518869547</v>
      </c>
      <c r="AQ58" s="47"/>
      <c r="AR58" s="47">
        <f t="shared" si="11"/>
        <v>7.239165288930326</v>
      </c>
      <c r="AS58" s="47"/>
      <c r="AT58" s="47">
        <f t="shared" si="12"/>
        <v>0</v>
      </c>
      <c r="AU58" s="47"/>
      <c r="AV58" s="47">
        <f t="shared" si="12"/>
        <v>0</v>
      </c>
      <c r="AW58" s="47"/>
      <c r="AX58" s="47">
        <f t="shared" si="12"/>
        <v>0</v>
      </c>
      <c r="AY58" s="47"/>
      <c r="AZ58" s="47">
        <f t="shared" si="12"/>
        <v>0</v>
      </c>
      <c r="BA58" s="47"/>
      <c r="BB58" s="48">
        <f t="shared" si="6"/>
        <v>58.719279754126454</v>
      </c>
      <c r="BC58" s="48"/>
      <c r="BD58" s="48">
        <f t="shared" si="7"/>
        <v>54.618735044806826</v>
      </c>
      <c r="BE58" s="48"/>
      <c r="BF58" s="48">
        <f t="shared" si="8"/>
        <v>58.488759677561845</v>
      </c>
      <c r="BG58" s="48"/>
      <c r="BH58" s="48">
        <f t="shared" si="13"/>
        <v>57.26489839577226</v>
      </c>
    </row>
    <row r="59" spans="6:60" ht="12.75">
      <c r="F59" s="47"/>
      <c r="G59" s="47"/>
      <c r="H59" s="47"/>
      <c r="I59" s="47"/>
      <c r="J59" s="47"/>
      <c r="K59" s="47"/>
      <c r="L59" s="48"/>
      <c r="M59" s="48"/>
      <c r="N59" s="13"/>
      <c r="O59" s="13"/>
      <c r="P59" s="13"/>
      <c r="Q59" s="13"/>
      <c r="R59" s="13"/>
      <c r="S59" s="13"/>
      <c r="T59" s="48"/>
      <c r="U59" s="48"/>
      <c r="V59" s="13"/>
      <c r="W59" s="13"/>
      <c r="X59" s="13"/>
      <c r="Y59" s="13"/>
      <c r="Z59" s="13"/>
      <c r="AA59" s="13"/>
      <c r="AB59" s="48"/>
      <c r="AC59" s="48"/>
      <c r="AD59" s="13"/>
      <c r="AE59" s="13"/>
      <c r="AF59" s="13"/>
      <c r="AG59" s="13"/>
      <c r="AH59" s="13"/>
      <c r="AI59" s="13"/>
      <c r="AJ59" s="48"/>
      <c r="AK59" s="48"/>
      <c r="AL59" s="47"/>
      <c r="AM59" s="48"/>
      <c r="AN59" s="47"/>
      <c r="AO59" s="48"/>
      <c r="AP59" s="47"/>
      <c r="AQ59" s="48"/>
      <c r="AR59" s="47"/>
      <c r="AS59" s="48"/>
      <c r="AT59" s="13"/>
      <c r="AU59" s="13"/>
      <c r="AV59" s="13"/>
      <c r="AW59" s="13"/>
      <c r="AX59" s="13"/>
      <c r="AY59" s="13"/>
      <c r="AZ59" s="48"/>
      <c r="BA59" s="48"/>
      <c r="BB59" s="48"/>
      <c r="BC59" s="48"/>
      <c r="BD59" s="48"/>
      <c r="BE59" s="48"/>
      <c r="BF59" s="48"/>
      <c r="BG59" s="48"/>
      <c r="BH59" s="48"/>
    </row>
    <row r="60" spans="2:60" ht="12.75">
      <c r="B60" s="9" t="s">
        <v>79</v>
      </c>
      <c r="D60" s="9" t="s">
        <v>71</v>
      </c>
      <c r="E60" s="5" t="s">
        <v>19</v>
      </c>
      <c r="F60" s="47">
        <f>F52+F54</f>
        <v>1179.0516829141768</v>
      </c>
      <c r="G60" s="47"/>
      <c r="H60" s="47">
        <f>H52+H54</f>
        <v>1030.0937968067262</v>
      </c>
      <c r="I60" s="47"/>
      <c r="J60" s="47">
        <f>J52+J54</f>
        <v>1129.315730009881</v>
      </c>
      <c r="K60" s="47"/>
      <c r="L60" s="47">
        <f>L52+L54</f>
        <v>1112.3350451352205</v>
      </c>
      <c r="M60" s="47"/>
      <c r="N60" s="47">
        <f>N52+N54</f>
        <v>1885.8468927868646</v>
      </c>
      <c r="O60" s="13"/>
      <c r="P60" s="47">
        <f>P52+P54</f>
        <v>1817.334129224801</v>
      </c>
      <c r="Q60" s="13"/>
      <c r="R60" s="47">
        <f>R52+R54</f>
        <v>1911.1229044157571</v>
      </c>
      <c r="S60" s="13"/>
      <c r="T60" s="47">
        <f>T52+T54</f>
        <v>1870.4917445975266</v>
      </c>
      <c r="U60" s="47"/>
      <c r="V60" s="47">
        <f>V52+V54</f>
        <v>3835.822542802782</v>
      </c>
      <c r="W60" s="13"/>
      <c r="X60" s="47">
        <f>X52+X54</f>
        <v>5022.593328566336</v>
      </c>
      <c r="Y60" s="13"/>
      <c r="Z60" s="47">
        <f>Z52+Z54</f>
        <v>4988.113369012683</v>
      </c>
      <c r="AA60" s="13"/>
      <c r="AB60" s="47">
        <f>AB52+AB54</f>
        <v>4604.501643811932</v>
      </c>
      <c r="AC60" s="47"/>
      <c r="AD60" s="47">
        <f>AD52+AD54</f>
        <v>352.7506750845817</v>
      </c>
      <c r="AE60" s="13"/>
      <c r="AF60" s="47">
        <f>AF52+AF54</f>
        <v>275.89287784953854</v>
      </c>
      <c r="AG60" s="13"/>
      <c r="AH60" s="47">
        <f>AH52+AH54</f>
        <v>12.39878942723023</v>
      </c>
      <c r="AI60" s="13"/>
      <c r="AJ60" s="47">
        <f>AJ52+AJ54</f>
        <v>214.30058001548846</v>
      </c>
      <c r="AK60" s="47"/>
      <c r="AL60" s="47">
        <f t="shared" si="11"/>
        <v>4188.573217887364</v>
      </c>
      <c r="AM60" s="47"/>
      <c r="AN60" s="47">
        <f t="shared" si="11"/>
        <v>5298.486206415874</v>
      </c>
      <c r="AO60" s="47"/>
      <c r="AP60" s="47">
        <f t="shared" si="11"/>
        <v>5000.512158439913</v>
      </c>
      <c r="AQ60" s="47"/>
      <c r="AR60" s="47">
        <f t="shared" si="11"/>
        <v>4818.802223827421</v>
      </c>
      <c r="AS60" s="47"/>
      <c r="AT60" s="47">
        <f>AT52+AT54</f>
        <v>27225.93073874185</v>
      </c>
      <c r="AU60" s="13"/>
      <c r="AV60" s="47">
        <f>AV52+AV54</f>
        <v>27860.462957742537</v>
      </c>
      <c r="AW60" s="13"/>
      <c r="AX60" s="47">
        <f>AX52+AX54</f>
        <v>29443.645815040418</v>
      </c>
      <c r="AY60" s="13"/>
      <c r="AZ60" s="47">
        <f>AZ52+AZ54</f>
        <v>28157.213073124214</v>
      </c>
      <c r="BA60" s="48"/>
      <c r="BB60" s="47">
        <f>BB52+BB54</f>
        <v>34479.402532330256</v>
      </c>
      <c r="BC60" s="47"/>
      <c r="BD60" s="47">
        <f>BD52+BD54</f>
        <v>36006.37709018994</v>
      </c>
      <c r="BE60" s="47"/>
      <c r="BF60" s="47">
        <f>BF52+BF54</f>
        <v>37484.596607905965</v>
      </c>
      <c r="BG60" s="47"/>
      <c r="BH60" s="47">
        <f>BH52+BH54</f>
        <v>35958.84208668438</v>
      </c>
    </row>
    <row r="61" spans="2:60" ht="12.75">
      <c r="B61" s="9" t="s">
        <v>80</v>
      </c>
      <c r="D61" s="9" t="s">
        <v>71</v>
      </c>
      <c r="E61" s="5" t="s">
        <v>19</v>
      </c>
      <c r="F61" s="47">
        <f>F49+F51+F53</f>
        <v>2802.667067473436</v>
      </c>
      <c r="G61" s="47"/>
      <c r="H61" s="47">
        <f>H49+H51+H53</f>
        <v>2448.586438198597</v>
      </c>
      <c r="I61" s="47"/>
      <c r="J61" s="47">
        <f>J49+J51+J53</f>
        <v>2684.442125094531</v>
      </c>
      <c r="K61" s="47"/>
      <c r="L61" s="47">
        <f>L49+L51+L53</f>
        <v>2644.0781554984505</v>
      </c>
      <c r="M61" s="47"/>
      <c r="N61" s="47">
        <f>N49+N51+N53</f>
        <v>32079.152884677827</v>
      </c>
      <c r="O61" s="13"/>
      <c r="P61" s="47">
        <f>P49+P51+P53</f>
        <v>30913.718179842745</v>
      </c>
      <c r="Q61" s="13"/>
      <c r="R61" s="47">
        <f>R49+R51+R53</f>
        <v>32509.109868173935</v>
      </c>
      <c r="S61" s="13"/>
      <c r="T61" s="47">
        <f>T49+T51+T53</f>
        <v>31817.954508385083</v>
      </c>
      <c r="U61" s="47"/>
      <c r="V61" s="47">
        <f>V49+V51+V53</f>
        <v>2316.2027743586796</v>
      </c>
      <c r="W61" s="13"/>
      <c r="X61" s="47">
        <f>X49+X51+X53</f>
        <v>2681.8576252611756</v>
      </c>
      <c r="Y61" s="13"/>
      <c r="Z61" s="47">
        <f>Z49+Z51+Z53</f>
        <v>2993.3455441682368</v>
      </c>
      <c r="AA61" s="13"/>
      <c r="AB61" s="47">
        <f>AB49+AB51+AB53</f>
        <v>2664.832633790635</v>
      </c>
      <c r="AC61" s="47"/>
      <c r="AD61" s="47">
        <f>AD49+AD51+AD53</f>
        <v>39.92218027695067</v>
      </c>
      <c r="AE61" s="13"/>
      <c r="AF61" s="47">
        <f>AF49+AF51+AF53</f>
        <v>43.65239248359006</v>
      </c>
      <c r="AG61" s="13"/>
      <c r="AH61" s="47">
        <f>AH49+AH51+AH53</f>
        <v>11.385607778187</v>
      </c>
      <c r="AI61" s="13"/>
      <c r="AJ61" s="47">
        <f>AJ49+AJ51+AJ53</f>
        <v>31.960348166623408</v>
      </c>
      <c r="AK61" s="47"/>
      <c r="AL61" s="47">
        <f t="shared" si="11"/>
        <v>2356.1249546356303</v>
      </c>
      <c r="AM61" s="47"/>
      <c r="AN61" s="47">
        <f t="shared" si="11"/>
        <v>2725.5100177447657</v>
      </c>
      <c r="AO61" s="47"/>
      <c r="AP61" s="47">
        <f t="shared" si="11"/>
        <v>3004.731151946424</v>
      </c>
      <c r="AQ61" s="47"/>
      <c r="AR61" s="47">
        <f t="shared" si="11"/>
        <v>2696.7929819572587</v>
      </c>
      <c r="AS61" s="47"/>
      <c r="AT61" s="47">
        <f>AT49+AT51+AT53</f>
        <v>66074.57073181529</v>
      </c>
      <c r="AU61" s="13"/>
      <c r="AV61" s="47">
        <f>AV49+AV51+AV53</f>
        <v>60441.72658332477</v>
      </c>
      <c r="AW61" s="13"/>
      <c r="AX61" s="47">
        <f>AX49+AX51+AX53</f>
        <v>65153.57946047211</v>
      </c>
      <c r="AY61" s="13"/>
      <c r="AZ61" s="47">
        <f>AZ49+AZ51+AZ53</f>
        <v>63859.14441235582</v>
      </c>
      <c r="BA61" s="48"/>
      <c r="BB61" s="47">
        <f>BB49+BB51+BB53</f>
        <v>103312.51563860217</v>
      </c>
      <c r="BC61" s="47"/>
      <c r="BD61" s="47">
        <f>BD49+BD51+BD53</f>
        <v>96529.54121911089</v>
      </c>
      <c r="BE61" s="47"/>
      <c r="BF61" s="47">
        <f>BF49+BF51+BF53</f>
        <v>103351.862605687</v>
      </c>
      <c r="BG61" s="47"/>
      <c r="BH61" s="47">
        <f>BH49+BH51+BH53</f>
        <v>101017.97005819662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C12" sqref="C12"/>
    </sheetView>
  </sheetViews>
  <sheetFormatPr defaultColWidth="9.140625" defaultRowHeight="12.75"/>
  <cols>
    <col min="1" max="1" width="4.00390625" style="16" hidden="1" customWidth="1"/>
    <col min="2" max="2" width="20.28125" style="16" customWidth="1"/>
    <col min="3" max="3" width="6.8515625" style="16" customWidth="1"/>
    <col min="4" max="4" width="3.00390625" style="16" customWidth="1"/>
    <col min="5" max="16384" width="9.140625" style="16" customWidth="1"/>
  </cols>
  <sheetData>
    <row r="1" ht="12.75">
      <c r="B1" s="3" t="s">
        <v>171</v>
      </c>
    </row>
    <row r="3" spans="1:8" ht="12.75">
      <c r="A3" s="16" t="s">
        <v>110</v>
      </c>
      <c r="B3" s="3" t="str">
        <f>feed!B3</f>
        <v>3029C10</v>
      </c>
      <c r="D3" s="16" t="s">
        <v>148</v>
      </c>
      <c r="E3" s="20">
        <v>1</v>
      </c>
      <c r="F3" s="20">
        <v>2</v>
      </c>
      <c r="G3" s="20">
        <v>3</v>
      </c>
      <c r="H3" s="20" t="s">
        <v>72</v>
      </c>
    </row>
    <row r="5" spans="2:8" s="4" customFormat="1" ht="12.75">
      <c r="B5" s="9" t="s">
        <v>127</v>
      </c>
      <c r="C5" s="9" t="s">
        <v>128</v>
      </c>
      <c r="D5" s="9"/>
      <c r="E5">
        <v>180</v>
      </c>
      <c r="F5">
        <v>183</v>
      </c>
      <c r="G5">
        <v>177</v>
      </c>
      <c r="H5" s="37"/>
    </row>
    <row r="6" spans="2:8" s="4" customFormat="1" ht="12.75">
      <c r="B6" s="9" t="s">
        <v>125</v>
      </c>
      <c r="C6" s="9" t="s">
        <v>126</v>
      </c>
      <c r="D6" s="9"/>
      <c r="E6">
        <v>401</v>
      </c>
      <c r="F6">
        <v>399</v>
      </c>
      <c r="G6">
        <v>401</v>
      </c>
      <c r="H6" s="46">
        <f>AVERAGE(E6,F6,G6)</f>
        <v>400.3333333333333</v>
      </c>
    </row>
    <row r="7" spans="2:8" s="4" customFormat="1" ht="12.75">
      <c r="B7" s="9" t="s">
        <v>147</v>
      </c>
      <c r="C7" s="9" t="s">
        <v>126</v>
      </c>
      <c r="D7" s="9"/>
      <c r="E7">
        <v>428</v>
      </c>
      <c r="F7">
        <v>425</v>
      </c>
      <c r="G7">
        <v>422</v>
      </c>
      <c r="H7" s="46">
        <f>AVERAGE(E7,F7,G7)</f>
        <v>425</v>
      </c>
    </row>
    <row r="8" spans="2:7" ht="12.75">
      <c r="B8" s="16" t="s">
        <v>133</v>
      </c>
      <c r="C8" s="16" t="s">
        <v>126</v>
      </c>
      <c r="E8">
        <v>1722</v>
      </c>
      <c r="F8">
        <v>1699</v>
      </c>
      <c r="G8">
        <v>1703</v>
      </c>
    </row>
    <row r="9" spans="2:7" ht="12.75">
      <c r="B9" s="3"/>
      <c r="E9"/>
      <c r="F9"/>
      <c r="G9"/>
    </row>
    <row r="10" spans="1:8" ht="12.75">
      <c r="A10" s="16" t="s">
        <v>110</v>
      </c>
      <c r="B10" s="3" t="str">
        <f>feed!B19</f>
        <v>3029C11</v>
      </c>
      <c r="D10" s="16" t="s">
        <v>160</v>
      </c>
      <c r="E10" s="20">
        <v>1</v>
      </c>
      <c r="F10" s="20">
        <v>2</v>
      </c>
      <c r="G10" s="20">
        <v>3</v>
      </c>
      <c r="H10" s="20" t="s">
        <v>72</v>
      </c>
    </row>
    <row r="11" spans="2:8" s="4" customFormat="1" ht="12.75">
      <c r="B11" s="9"/>
      <c r="C11" s="9"/>
      <c r="D11" s="9"/>
      <c r="E11"/>
      <c r="F11"/>
      <c r="G11"/>
      <c r="H11" s="37"/>
    </row>
    <row r="12" spans="2:7" ht="12.75">
      <c r="B12" s="9" t="s">
        <v>127</v>
      </c>
      <c r="C12" s="9" t="s">
        <v>128</v>
      </c>
      <c r="E12" s="16">
        <v>199</v>
      </c>
      <c r="F12" s="16">
        <v>215</v>
      </c>
      <c r="G12" s="16">
        <v>211</v>
      </c>
    </row>
    <row r="13" spans="2:8" ht="12.75">
      <c r="B13" s="9" t="s">
        <v>125</v>
      </c>
      <c r="C13" s="9" t="s">
        <v>126</v>
      </c>
      <c r="E13" s="16">
        <v>401</v>
      </c>
      <c r="F13" s="16">
        <v>414</v>
      </c>
      <c r="G13" s="16">
        <v>405</v>
      </c>
      <c r="H13" s="46">
        <f>AVERAGE(E13,F13,G13)</f>
        <v>406.6666666666667</v>
      </c>
    </row>
    <row r="14" spans="2:8" ht="12.75">
      <c r="B14" s="9" t="s">
        <v>147</v>
      </c>
      <c r="C14" s="9" t="s">
        <v>126</v>
      </c>
      <c r="E14" s="16">
        <v>389</v>
      </c>
      <c r="F14" s="16">
        <v>386</v>
      </c>
      <c r="G14" s="16">
        <v>395</v>
      </c>
      <c r="H14" s="46">
        <f>AVERAGE(E14,F14,G14)</f>
        <v>390</v>
      </c>
    </row>
    <row r="15" spans="2:7" ht="12.75">
      <c r="B15" s="16" t="s">
        <v>133</v>
      </c>
      <c r="C15" s="16" t="s">
        <v>126</v>
      </c>
      <c r="E15" s="16">
        <v>1723</v>
      </c>
      <c r="F15" s="16">
        <v>1722</v>
      </c>
      <c r="G15" s="16">
        <v>1720</v>
      </c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9"/>
  <sheetViews>
    <sheetView workbookViewId="0" topLeftCell="A1">
      <selection activeCell="C12" sqref="C12"/>
    </sheetView>
  </sheetViews>
  <sheetFormatPr defaultColWidth="9.140625" defaultRowHeight="12.75"/>
  <cols>
    <col min="1" max="1" width="0.9921875" style="4" customWidth="1"/>
    <col min="2" max="2" width="25.8515625" style="4" customWidth="1"/>
    <col min="3" max="3" width="9.28125" style="4" customWidth="1"/>
    <col min="4" max="4" width="4.8515625" style="5" customWidth="1"/>
    <col min="5" max="5" width="8.7109375" style="6" customWidth="1"/>
    <col min="6" max="6" width="7.7109375" style="7" customWidth="1"/>
    <col min="7" max="7" width="8.57421875" style="6" customWidth="1"/>
    <col min="8" max="8" width="7.7109375" style="7" customWidth="1"/>
    <col min="9" max="9" width="4.00390625" style="8" bestFit="1" customWidth="1"/>
    <col min="10" max="10" width="7.00390625" style="6" customWidth="1"/>
    <col min="11" max="11" width="8.28125" style="6" customWidth="1"/>
    <col min="12" max="12" width="9.140625" style="6" customWidth="1"/>
    <col min="13" max="13" width="8.28125" style="6" customWidth="1"/>
    <col min="14" max="14" width="4.57421875" style="8" bestFit="1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0" t="s">
        <v>83</v>
      </c>
    </row>
    <row r="2" ht="9.75" customHeight="1"/>
    <row r="3" spans="1:3" ht="12.75">
      <c r="A3" s="4" t="s">
        <v>26</v>
      </c>
      <c r="C3" s="9" t="s">
        <v>135</v>
      </c>
    </row>
    <row r="4" spans="1:18" ht="12.75">
      <c r="A4" s="4" t="s">
        <v>27</v>
      </c>
      <c r="C4" s="9" t="s">
        <v>164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28</v>
      </c>
      <c r="C5" s="9" t="s">
        <v>136</v>
      </c>
    </row>
    <row r="6" spans="3:17" ht="12.75">
      <c r="C6" s="5"/>
      <c r="E6" s="8"/>
      <c r="G6" s="8"/>
      <c r="J6" s="8"/>
      <c r="L6" s="8"/>
      <c r="O6" s="8"/>
      <c r="Q6" s="8"/>
    </row>
    <row r="7" spans="3:18" ht="12.75">
      <c r="C7" s="5" t="s">
        <v>29</v>
      </c>
      <c r="E7" s="12" t="s">
        <v>30</v>
      </c>
      <c r="F7" s="12"/>
      <c r="G7" s="12"/>
      <c r="H7" s="12"/>
      <c r="I7" s="13"/>
      <c r="J7" s="12" t="s">
        <v>31</v>
      </c>
      <c r="K7" s="12"/>
      <c r="L7" s="12"/>
      <c r="M7" s="12"/>
      <c r="N7" s="13"/>
      <c r="O7" s="12" t="s">
        <v>32</v>
      </c>
      <c r="P7" s="12"/>
      <c r="Q7" s="12"/>
      <c r="R7" s="12"/>
    </row>
    <row r="8" spans="3:18" ht="12.75">
      <c r="C8" s="5" t="s">
        <v>33</v>
      </c>
      <c r="E8" s="8" t="s">
        <v>34</v>
      </c>
      <c r="F8" s="11" t="s">
        <v>35</v>
      </c>
      <c r="G8" s="8" t="s">
        <v>34</v>
      </c>
      <c r="H8" s="11" t="s">
        <v>35</v>
      </c>
      <c r="J8" s="8" t="s">
        <v>34</v>
      </c>
      <c r="K8" s="8" t="s">
        <v>36</v>
      </c>
      <c r="L8" s="8" t="s">
        <v>34</v>
      </c>
      <c r="M8" s="8" t="s">
        <v>36</v>
      </c>
      <c r="O8" s="8" t="s">
        <v>34</v>
      </c>
      <c r="P8" s="8" t="s">
        <v>36</v>
      </c>
      <c r="Q8" s="8" t="s">
        <v>34</v>
      </c>
      <c r="R8" s="8" t="s">
        <v>36</v>
      </c>
    </row>
    <row r="9" spans="3:18" ht="12.75">
      <c r="C9" s="5"/>
      <c r="E9" s="8" t="s">
        <v>209</v>
      </c>
      <c r="F9" s="8" t="s">
        <v>209</v>
      </c>
      <c r="G9" s="8" t="s">
        <v>76</v>
      </c>
      <c r="H9" s="11" t="s">
        <v>76</v>
      </c>
      <c r="J9" s="8" t="s">
        <v>209</v>
      </c>
      <c r="K9" s="8" t="s">
        <v>209</v>
      </c>
      <c r="L9" s="8" t="s">
        <v>76</v>
      </c>
      <c r="M9" s="11" t="s">
        <v>76</v>
      </c>
      <c r="O9" s="8" t="s">
        <v>209</v>
      </c>
      <c r="P9" s="8" t="s">
        <v>209</v>
      </c>
      <c r="Q9" s="8" t="s">
        <v>76</v>
      </c>
      <c r="R9" s="11" t="s">
        <v>76</v>
      </c>
    </row>
    <row r="10" spans="1:15" ht="13.5" customHeight="1">
      <c r="A10" s="4" t="s">
        <v>154</v>
      </c>
      <c r="O10" s="14"/>
    </row>
    <row r="11" spans="2:18" ht="12.75">
      <c r="B11" s="4" t="s">
        <v>37</v>
      </c>
      <c r="C11" s="5">
        <v>1</v>
      </c>
      <c r="D11" t="s">
        <v>17</v>
      </c>
      <c r="E11">
        <v>9.46</v>
      </c>
      <c r="F11" s="7">
        <f aca="true" t="shared" si="0" ref="F11:H27">IF(E11="","",E11*$C11)</f>
        <v>9.46</v>
      </c>
      <c r="G11" s="15">
        <f aca="true" t="shared" si="1" ref="G11:G16">IF(E11=0,"",IF(D11="nd",E11/2,E11))</f>
        <v>4.73</v>
      </c>
      <c r="H11" s="7">
        <f t="shared" si="0"/>
        <v>4.73</v>
      </c>
      <c r="I11" t="s">
        <v>17</v>
      </c>
      <c r="J11">
        <v>8.09</v>
      </c>
      <c r="K11" s="7">
        <f aca="true" t="shared" si="2" ref="K11:M27">IF(J11="","",J11*$C11)</f>
        <v>8.09</v>
      </c>
      <c r="L11" s="15">
        <f>IF(J11=0,"",IF(I11="nd",J11/2,J11))</f>
        <v>4.045</v>
      </c>
      <c r="M11" s="7">
        <f t="shared" si="2"/>
        <v>4.045</v>
      </c>
      <c r="N11" t="s">
        <v>17</v>
      </c>
      <c r="O11">
        <v>10.9</v>
      </c>
      <c r="P11" s="7">
        <f aca="true" t="shared" si="3" ref="P11:R27">IF(O11="","",O11*$C11)</f>
        <v>10.9</v>
      </c>
      <c r="Q11" s="15">
        <f>IF(O11=0,"",IF(N11="nd",O11/2,O11))</f>
        <v>5.45</v>
      </c>
      <c r="R11" s="7">
        <f t="shared" si="3"/>
        <v>5.45</v>
      </c>
    </row>
    <row r="12" spans="2:18" ht="12.75">
      <c r="B12" s="4" t="s">
        <v>39</v>
      </c>
      <c r="C12" s="5">
        <v>0.5</v>
      </c>
      <c r="D12" t="s">
        <v>17</v>
      </c>
      <c r="E12">
        <v>13.2</v>
      </c>
      <c r="F12" s="7">
        <f t="shared" si="0"/>
        <v>6.6</v>
      </c>
      <c r="G12" s="15">
        <f t="shared" si="1"/>
        <v>6.6</v>
      </c>
      <c r="H12" s="7">
        <f t="shared" si="0"/>
        <v>3.3</v>
      </c>
      <c r="I12" t="s">
        <v>17</v>
      </c>
      <c r="J12">
        <v>14.4</v>
      </c>
      <c r="K12" s="7">
        <f t="shared" si="2"/>
        <v>7.2</v>
      </c>
      <c r="L12" s="15">
        <f aca="true" t="shared" si="4" ref="L12:L27">IF(J12=0,"",IF(I12="nd",J12/2,J12))</f>
        <v>7.2</v>
      </c>
      <c r="M12" s="7">
        <f t="shared" si="2"/>
        <v>3.6</v>
      </c>
      <c r="N12" t="s">
        <v>17</v>
      </c>
      <c r="O12">
        <v>15.3</v>
      </c>
      <c r="P12" s="7">
        <f t="shared" si="3"/>
        <v>7.65</v>
      </c>
      <c r="Q12" s="15">
        <f aca="true" t="shared" si="5" ref="Q12:Q27">IF(O12=0,"",IF(N12="nd",O12/2,O12))</f>
        <v>7.65</v>
      </c>
      <c r="R12" s="7">
        <f t="shared" si="3"/>
        <v>3.825</v>
      </c>
    </row>
    <row r="13" spans="2:18" ht="12.75">
      <c r="B13" s="4" t="s">
        <v>41</v>
      </c>
      <c r="C13" s="5">
        <v>0.1</v>
      </c>
      <c r="D13" t="s">
        <v>17</v>
      </c>
      <c r="E13">
        <v>27.4</v>
      </c>
      <c r="F13" s="7">
        <f t="shared" si="0"/>
        <v>2.74</v>
      </c>
      <c r="G13" s="15">
        <f t="shared" si="1"/>
        <v>13.7</v>
      </c>
      <c r="H13" s="7">
        <f t="shared" si="0"/>
        <v>1.37</v>
      </c>
      <c r="I13" t="s">
        <v>17</v>
      </c>
      <c r="J13">
        <v>20</v>
      </c>
      <c r="K13" s="7">
        <f t="shared" si="2"/>
        <v>2</v>
      </c>
      <c r="L13" s="15">
        <f t="shared" si="4"/>
        <v>10</v>
      </c>
      <c r="M13" s="7">
        <f t="shared" si="2"/>
        <v>1</v>
      </c>
      <c r="N13" t="s">
        <v>17</v>
      </c>
      <c r="O13">
        <v>27.5</v>
      </c>
      <c r="P13" s="7">
        <f t="shared" si="3"/>
        <v>2.75</v>
      </c>
      <c r="Q13" s="15">
        <f t="shared" si="5"/>
        <v>13.75</v>
      </c>
      <c r="R13" s="7">
        <f t="shared" si="3"/>
        <v>1.375</v>
      </c>
    </row>
    <row r="14" spans="2:18" ht="12.75">
      <c r="B14" s="4" t="s">
        <v>42</v>
      </c>
      <c r="C14" s="5">
        <v>0.1</v>
      </c>
      <c r="D14" t="s">
        <v>17</v>
      </c>
      <c r="E14">
        <v>30.6</v>
      </c>
      <c r="F14" s="7">
        <f t="shared" si="0"/>
        <v>3.0600000000000005</v>
      </c>
      <c r="G14" s="15">
        <f t="shared" si="1"/>
        <v>15.3</v>
      </c>
      <c r="H14" s="7">
        <f t="shared" si="0"/>
        <v>1.5300000000000002</v>
      </c>
      <c r="I14" t="s">
        <v>17</v>
      </c>
      <c r="J14">
        <v>22.3</v>
      </c>
      <c r="K14" s="7">
        <f t="shared" si="2"/>
        <v>2.23</v>
      </c>
      <c r="L14" s="15">
        <f t="shared" si="4"/>
        <v>11.15</v>
      </c>
      <c r="M14" s="7">
        <f t="shared" si="2"/>
        <v>1.115</v>
      </c>
      <c r="N14" t="s">
        <v>17</v>
      </c>
      <c r="O14">
        <v>30.6</v>
      </c>
      <c r="P14" s="7">
        <f t="shared" si="3"/>
        <v>3.0600000000000005</v>
      </c>
      <c r="Q14" s="15">
        <f t="shared" si="5"/>
        <v>15.3</v>
      </c>
      <c r="R14" s="7">
        <f t="shared" si="3"/>
        <v>1.5300000000000002</v>
      </c>
    </row>
    <row r="15" spans="2:18" ht="12.75">
      <c r="B15" s="4" t="s">
        <v>43</v>
      </c>
      <c r="C15" s="5">
        <v>0.1</v>
      </c>
      <c r="D15" t="s">
        <v>17</v>
      </c>
      <c r="E15">
        <v>27.4</v>
      </c>
      <c r="F15" s="7">
        <f t="shared" si="0"/>
        <v>2.74</v>
      </c>
      <c r="G15" s="15">
        <f t="shared" si="1"/>
        <v>13.7</v>
      </c>
      <c r="H15" s="7">
        <f t="shared" si="0"/>
        <v>1.37</v>
      </c>
      <c r="I15" t="s">
        <v>17</v>
      </c>
      <c r="J15">
        <v>19.9</v>
      </c>
      <c r="K15" s="7">
        <f t="shared" si="2"/>
        <v>1.99</v>
      </c>
      <c r="L15" s="15">
        <f t="shared" si="4"/>
        <v>9.95</v>
      </c>
      <c r="M15" s="7">
        <f t="shared" si="2"/>
        <v>0.995</v>
      </c>
      <c r="N15" t="s">
        <v>17</v>
      </c>
      <c r="O15">
        <v>27.4</v>
      </c>
      <c r="P15" s="7">
        <f t="shared" si="3"/>
        <v>2.74</v>
      </c>
      <c r="Q15" s="15">
        <f t="shared" si="5"/>
        <v>13.7</v>
      </c>
      <c r="R15" s="7">
        <f t="shared" si="3"/>
        <v>1.37</v>
      </c>
    </row>
    <row r="16" spans="2:18" ht="12.75">
      <c r="B16" s="4" t="s">
        <v>45</v>
      </c>
      <c r="C16" s="5">
        <v>0.01</v>
      </c>
      <c r="D16" t="s">
        <v>17</v>
      </c>
      <c r="E16">
        <v>26.4</v>
      </c>
      <c r="F16" s="7">
        <f t="shared" si="0"/>
        <v>0.264</v>
      </c>
      <c r="G16" s="15">
        <f t="shared" si="1"/>
        <v>13.2</v>
      </c>
      <c r="H16" s="7">
        <f t="shared" si="0"/>
        <v>0.132</v>
      </c>
      <c r="I16" t="s">
        <v>17</v>
      </c>
      <c r="J16">
        <v>34.4</v>
      </c>
      <c r="K16" s="7">
        <f t="shared" si="2"/>
        <v>0.344</v>
      </c>
      <c r="L16" s="15">
        <f t="shared" si="4"/>
        <v>17.2</v>
      </c>
      <c r="M16" s="7">
        <f t="shared" si="2"/>
        <v>0.172</v>
      </c>
      <c r="N16" t="s">
        <v>17</v>
      </c>
      <c r="O16">
        <v>21.4</v>
      </c>
      <c r="P16" s="7">
        <f t="shared" si="3"/>
        <v>0.214</v>
      </c>
      <c r="Q16" s="15">
        <f t="shared" si="5"/>
        <v>10.7</v>
      </c>
      <c r="R16" s="7">
        <f t="shared" si="3"/>
        <v>0.107</v>
      </c>
    </row>
    <row r="17" spans="2:18" ht="12.75">
      <c r="B17" s="4" t="s">
        <v>47</v>
      </c>
      <c r="C17" s="5">
        <v>0.001</v>
      </c>
      <c r="D17" t="s">
        <v>17</v>
      </c>
      <c r="E17">
        <v>51.9</v>
      </c>
      <c r="F17" s="7">
        <f t="shared" si="0"/>
        <v>0.0519</v>
      </c>
      <c r="G17" s="15">
        <f aca="true" t="shared" si="6" ref="G17:G27">IF(E17=0,"",IF(D17="nd",E17/2,E17))</f>
        <v>25.95</v>
      </c>
      <c r="H17" s="7">
        <f t="shared" si="0"/>
        <v>0.02595</v>
      </c>
      <c r="I17" t="s">
        <v>17</v>
      </c>
      <c r="J17">
        <v>90.3</v>
      </c>
      <c r="K17" s="7">
        <f t="shared" si="2"/>
        <v>0.0903</v>
      </c>
      <c r="L17" s="15">
        <f t="shared" si="4"/>
        <v>45.15</v>
      </c>
      <c r="M17" s="7">
        <f t="shared" si="2"/>
        <v>0.04515</v>
      </c>
      <c r="N17" t="s">
        <v>17</v>
      </c>
      <c r="O17">
        <v>53.5</v>
      </c>
      <c r="P17" s="7">
        <f t="shared" si="3"/>
        <v>0.0535</v>
      </c>
      <c r="Q17" s="15">
        <f t="shared" si="5"/>
        <v>26.75</v>
      </c>
      <c r="R17" s="7">
        <f t="shared" si="3"/>
        <v>0.02675</v>
      </c>
    </row>
    <row r="18" spans="2:18" ht="12.75">
      <c r="B18" s="4" t="s">
        <v>48</v>
      </c>
      <c r="C18" s="5">
        <v>0.1</v>
      </c>
      <c r="D18" t="s">
        <v>17</v>
      </c>
      <c r="E18">
        <v>29.9</v>
      </c>
      <c r="F18" s="7">
        <f t="shared" si="0"/>
        <v>2.99</v>
      </c>
      <c r="G18" s="15">
        <f t="shared" si="6"/>
        <v>14.95</v>
      </c>
      <c r="H18" s="7">
        <f t="shared" si="0"/>
        <v>1.495</v>
      </c>
      <c r="I18" t="s">
        <v>17</v>
      </c>
      <c r="J18">
        <v>19.2</v>
      </c>
      <c r="K18" s="7">
        <f t="shared" si="2"/>
        <v>1.92</v>
      </c>
      <c r="L18" s="15">
        <f t="shared" si="4"/>
        <v>9.6</v>
      </c>
      <c r="M18" s="7">
        <f t="shared" si="2"/>
        <v>0.96</v>
      </c>
      <c r="N18"/>
      <c r="O18">
        <v>10</v>
      </c>
      <c r="P18" s="7">
        <f t="shared" si="3"/>
        <v>1</v>
      </c>
      <c r="Q18" s="15">
        <f t="shared" si="5"/>
        <v>10</v>
      </c>
      <c r="R18" s="7">
        <f t="shared" si="3"/>
        <v>1</v>
      </c>
    </row>
    <row r="19" spans="2:18" ht="12.75">
      <c r="B19" s="4" t="s">
        <v>50</v>
      </c>
      <c r="C19" s="5">
        <v>0.05</v>
      </c>
      <c r="D19"/>
      <c r="E19">
        <v>20.9</v>
      </c>
      <c r="F19" s="7">
        <f t="shared" si="0"/>
        <v>1.045</v>
      </c>
      <c r="G19" s="15">
        <f t="shared" si="6"/>
        <v>20.9</v>
      </c>
      <c r="H19" s="7">
        <f t="shared" si="0"/>
        <v>1.045</v>
      </c>
      <c r="I19" t="s">
        <v>17</v>
      </c>
      <c r="J19">
        <v>20.7</v>
      </c>
      <c r="K19" s="7">
        <f t="shared" si="2"/>
        <v>1.035</v>
      </c>
      <c r="L19" s="15">
        <f t="shared" si="4"/>
        <v>10.35</v>
      </c>
      <c r="M19" s="7">
        <f t="shared" si="2"/>
        <v>0.5175</v>
      </c>
      <c r="N19" t="s">
        <v>17</v>
      </c>
      <c r="O19">
        <v>15</v>
      </c>
      <c r="P19" s="7">
        <f t="shared" si="3"/>
        <v>0.75</v>
      </c>
      <c r="Q19" s="15">
        <f t="shared" si="5"/>
        <v>7.5</v>
      </c>
      <c r="R19" s="7">
        <f t="shared" si="3"/>
        <v>0.375</v>
      </c>
    </row>
    <row r="20" spans="2:18" ht="12.75">
      <c r="B20" s="4" t="s">
        <v>51</v>
      </c>
      <c r="C20" s="5">
        <v>0.5</v>
      </c>
      <c r="D20"/>
      <c r="E20">
        <v>23.6</v>
      </c>
      <c r="F20" s="7">
        <f t="shared" si="0"/>
        <v>11.8</v>
      </c>
      <c r="G20" s="15">
        <f t="shared" si="6"/>
        <v>23.6</v>
      </c>
      <c r="H20" s="7">
        <f t="shared" si="0"/>
        <v>11.8</v>
      </c>
      <c r="I20" t="s">
        <v>17</v>
      </c>
      <c r="J20">
        <v>20.3</v>
      </c>
      <c r="K20" s="7">
        <f t="shared" si="2"/>
        <v>10.15</v>
      </c>
      <c r="L20" s="15">
        <f t="shared" si="4"/>
        <v>10.15</v>
      </c>
      <c r="M20" s="7">
        <f t="shared" si="2"/>
        <v>5.075</v>
      </c>
      <c r="N20" t="s">
        <v>17</v>
      </c>
      <c r="O20">
        <v>14.8</v>
      </c>
      <c r="P20" s="7">
        <f t="shared" si="3"/>
        <v>7.4</v>
      </c>
      <c r="Q20" s="15">
        <f t="shared" si="5"/>
        <v>7.4</v>
      </c>
      <c r="R20" s="7">
        <f t="shared" si="3"/>
        <v>3.7</v>
      </c>
    </row>
    <row r="21" spans="2:18" ht="12.75">
      <c r="B21" s="4" t="s">
        <v>53</v>
      </c>
      <c r="C21" s="5">
        <v>0.1</v>
      </c>
      <c r="D21"/>
      <c r="E21">
        <v>20.4</v>
      </c>
      <c r="F21" s="7">
        <f t="shared" si="0"/>
        <v>2.04</v>
      </c>
      <c r="G21" s="15">
        <f t="shared" si="6"/>
        <v>20.4</v>
      </c>
      <c r="H21" s="7">
        <f t="shared" si="0"/>
        <v>2.04</v>
      </c>
      <c r="I21" t="s">
        <v>17</v>
      </c>
      <c r="J21">
        <v>6.45</v>
      </c>
      <c r="K21" s="7">
        <f t="shared" si="2"/>
        <v>0.645</v>
      </c>
      <c r="L21" s="15">
        <f t="shared" si="4"/>
        <v>3.225</v>
      </c>
      <c r="M21" s="7">
        <f t="shared" si="2"/>
        <v>0.3225</v>
      </c>
      <c r="N21" t="s">
        <v>17</v>
      </c>
      <c r="O21">
        <v>8.8</v>
      </c>
      <c r="P21" s="7">
        <f t="shared" si="3"/>
        <v>0.8800000000000001</v>
      </c>
      <c r="Q21" s="15">
        <f t="shared" si="5"/>
        <v>4.4</v>
      </c>
      <c r="R21" s="7">
        <f t="shared" si="3"/>
        <v>0.44000000000000006</v>
      </c>
    </row>
    <row r="22" spans="2:18" ht="12.75">
      <c r="B22" s="4" t="s">
        <v>54</v>
      </c>
      <c r="C22" s="5">
        <v>0.1</v>
      </c>
      <c r="D22"/>
      <c r="E22">
        <v>17.7</v>
      </c>
      <c r="F22" s="7">
        <f t="shared" si="0"/>
        <v>1.77</v>
      </c>
      <c r="G22" s="15">
        <f t="shared" si="6"/>
        <v>17.7</v>
      </c>
      <c r="H22" s="7">
        <f t="shared" si="0"/>
        <v>1.77</v>
      </c>
      <c r="I22" t="s">
        <v>17</v>
      </c>
      <c r="J22">
        <v>5.9</v>
      </c>
      <c r="K22" s="7">
        <f t="shared" si="2"/>
        <v>0.5900000000000001</v>
      </c>
      <c r="L22" s="15">
        <f t="shared" si="4"/>
        <v>2.95</v>
      </c>
      <c r="M22" s="7">
        <f t="shared" si="2"/>
        <v>0.29500000000000004</v>
      </c>
      <c r="N22" t="s">
        <v>17</v>
      </c>
      <c r="O22">
        <v>8.04</v>
      </c>
      <c r="P22" s="7">
        <f t="shared" si="3"/>
        <v>0.8039999999999999</v>
      </c>
      <c r="Q22" s="15">
        <f t="shared" si="5"/>
        <v>4.02</v>
      </c>
      <c r="R22" s="7">
        <f t="shared" si="3"/>
        <v>0.40199999999999997</v>
      </c>
    </row>
    <row r="23" spans="2:18" ht="12.75">
      <c r="B23" s="4" t="s">
        <v>55</v>
      </c>
      <c r="C23" s="5">
        <v>0.1</v>
      </c>
      <c r="D23"/>
      <c r="E23">
        <v>11.3</v>
      </c>
      <c r="F23" s="7">
        <f t="shared" si="0"/>
        <v>1.1300000000000001</v>
      </c>
      <c r="G23" s="15">
        <f t="shared" si="6"/>
        <v>11.3</v>
      </c>
      <c r="H23" s="7">
        <f t="shared" si="0"/>
        <v>1.1300000000000001</v>
      </c>
      <c r="I23" t="s">
        <v>17</v>
      </c>
      <c r="J23">
        <v>6.27</v>
      </c>
      <c r="K23" s="7">
        <f t="shared" si="2"/>
        <v>0.627</v>
      </c>
      <c r="L23" s="15">
        <f t="shared" si="4"/>
        <v>3.135</v>
      </c>
      <c r="M23" s="7">
        <f t="shared" si="2"/>
        <v>0.3135</v>
      </c>
      <c r="N23" t="s">
        <v>17</v>
      </c>
      <c r="O23">
        <v>8.56</v>
      </c>
      <c r="P23" s="7">
        <f t="shared" si="3"/>
        <v>0.8560000000000001</v>
      </c>
      <c r="Q23" s="15">
        <f t="shared" si="5"/>
        <v>4.28</v>
      </c>
      <c r="R23" s="7">
        <f t="shared" si="3"/>
        <v>0.42800000000000005</v>
      </c>
    </row>
    <row r="24" spans="2:18" ht="12.75">
      <c r="B24" s="4" t="s">
        <v>56</v>
      </c>
      <c r="C24" s="5">
        <v>0.1</v>
      </c>
      <c r="D24" t="s">
        <v>17</v>
      </c>
      <c r="E24">
        <v>10.9</v>
      </c>
      <c r="F24" s="7">
        <f t="shared" si="0"/>
        <v>1.09</v>
      </c>
      <c r="G24" s="15">
        <f t="shared" si="6"/>
        <v>5.45</v>
      </c>
      <c r="H24" s="7">
        <f t="shared" si="0"/>
        <v>0.545</v>
      </c>
      <c r="I24" t="s">
        <v>17</v>
      </c>
      <c r="J24">
        <v>7.17</v>
      </c>
      <c r="K24" s="7">
        <f t="shared" si="2"/>
        <v>0.7170000000000001</v>
      </c>
      <c r="L24" s="15">
        <f t="shared" si="4"/>
        <v>3.585</v>
      </c>
      <c r="M24" s="7">
        <f t="shared" si="2"/>
        <v>0.35850000000000004</v>
      </c>
      <c r="N24" t="s">
        <v>17</v>
      </c>
      <c r="O24">
        <v>9.79</v>
      </c>
      <c r="P24" s="7">
        <f t="shared" si="3"/>
        <v>0.979</v>
      </c>
      <c r="Q24" s="15">
        <f t="shared" si="5"/>
        <v>4.895</v>
      </c>
      <c r="R24" s="7">
        <f t="shared" si="3"/>
        <v>0.4895</v>
      </c>
    </row>
    <row r="25" spans="2:18" ht="12.75">
      <c r="B25" s="4" t="s">
        <v>58</v>
      </c>
      <c r="C25" s="5">
        <v>0.01</v>
      </c>
      <c r="D25"/>
      <c r="E25">
        <v>20.9</v>
      </c>
      <c r="F25" s="7">
        <f t="shared" si="0"/>
        <v>0.209</v>
      </c>
      <c r="G25" s="15">
        <f t="shared" si="6"/>
        <v>20.9</v>
      </c>
      <c r="H25" s="7">
        <f t="shared" si="0"/>
        <v>0.209</v>
      </c>
      <c r="I25" t="s">
        <v>17</v>
      </c>
      <c r="J25">
        <v>13.2</v>
      </c>
      <c r="K25" s="7">
        <f t="shared" si="2"/>
        <v>0.132</v>
      </c>
      <c r="L25" s="15">
        <f t="shared" si="4"/>
        <v>6.6</v>
      </c>
      <c r="M25" s="7">
        <f t="shared" si="2"/>
        <v>0.066</v>
      </c>
      <c r="N25" t="s">
        <v>17</v>
      </c>
      <c r="O25">
        <v>13.5</v>
      </c>
      <c r="P25" s="7">
        <f t="shared" si="3"/>
        <v>0.135</v>
      </c>
      <c r="Q25" s="15">
        <f t="shared" si="5"/>
        <v>6.75</v>
      </c>
      <c r="R25" s="7">
        <f t="shared" si="3"/>
        <v>0.0675</v>
      </c>
    </row>
    <row r="26" spans="2:18" ht="12.75">
      <c r="B26" s="4" t="s">
        <v>59</v>
      </c>
      <c r="C26" s="5">
        <v>0.01</v>
      </c>
      <c r="D26" t="s">
        <v>17</v>
      </c>
      <c r="E26">
        <v>15</v>
      </c>
      <c r="F26" s="7">
        <f t="shared" si="0"/>
        <v>0.15</v>
      </c>
      <c r="G26" s="15">
        <f t="shared" si="6"/>
        <v>7.5</v>
      </c>
      <c r="H26" s="7">
        <f t="shared" si="0"/>
        <v>0.075</v>
      </c>
      <c r="I26" t="s">
        <v>17</v>
      </c>
      <c r="J26">
        <v>15.7</v>
      </c>
      <c r="K26" s="7">
        <f t="shared" si="2"/>
        <v>0.157</v>
      </c>
      <c r="L26" s="15">
        <f t="shared" si="4"/>
        <v>7.85</v>
      </c>
      <c r="M26" s="7">
        <f t="shared" si="2"/>
        <v>0.0785</v>
      </c>
      <c r="N26" t="s">
        <v>17</v>
      </c>
      <c r="O26">
        <v>16.1</v>
      </c>
      <c r="P26" s="7">
        <f t="shared" si="3"/>
        <v>0.161</v>
      </c>
      <c r="Q26" s="15">
        <f t="shared" si="5"/>
        <v>8.05</v>
      </c>
      <c r="R26" s="7">
        <f t="shared" si="3"/>
        <v>0.0805</v>
      </c>
    </row>
    <row r="27" spans="2:18" ht="12.75">
      <c r="B27" s="4" t="s">
        <v>61</v>
      </c>
      <c r="C27" s="5">
        <v>0.001</v>
      </c>
      <c r="D27" t="s">
        <v>17</v>
      </c>
      <c r="E27">
        <v>38.3</v>
      </c>
      <c r="F27" s="7">
        <f t="shared" si="0"/>
        <v>0.0383</v>
      </c>
      <c r="G27" s="15">
        <f t="shared" si="6"/>
        <v>19.15</v>
      </c>
      <c r="H27" s="7">
        <f t="shared" si="0"/>
        <v>0.01915</v>
      </c>
      <c r="I27" t="s">
        <v>17</v>
      </c>
      <c r="J27">
        <v>46.6</v>
      </c>
      <c r="K27" s="7">
        <f t="shared" si="2"/>
        <v>0.0466</v>
      </c>
      <c r="L27" s="15">
        <f t="shared" si="4"/>
        <v>23.3</v>
      </c>
      <c r="M27" s="7">
        <f t="shared" si="2"/>
        <v>0.0233</v>
      </c>
      <c r="N27" t="s">
        <v>17</v>
      </c>
      <c r="O27">
        <v>50.4</v>
      </c>
      <c r="P27" s="7">
        <f t="shared" si="3"/>
        <v>0.0504</v>
      </c>
      <c r="Q27" s="15">
        <f t="shared" si="5"/>
        <v>25.2</v>
      </c>
      <c r="R27" s="7">
        <f t="shared" si="3"/>
        <v>0.0252</v>
      </c>
    </row>
    <row r="28" spans="3:18" ht="12.75">
      <c r="C28" s="5"/>
      <c r="D28"/>
      <c r="E28"/>
      <c r="G28" s="15"/>
      <c r="I28"/>
      <c r="J28"/>
      <c r="K28" s="7"/>
      <c r="L28" s="15"/>
      <c r="M28" s="7"/>
      <c r="N28"/>
      <c r="O28"/>
      <c r="P28" s="7"/>
      <c r="Q28" s="15"/>
      <c r="R28" s="7"/>
    </row>
    <row r="29" spans="2:18" ht="12.75">
      <c r="B29" s="4" t="s">
        <v>38</v>
      </c>
      <c r="C29" s="5">
        <v>0</v>
      </c>
      <c r="D29"/>
      <c r="E29">
        <v>67.3</v>
      </c>
      <c r="F29" s="7">
        <f aca="true" t="shared" si="7" ref="F29:H36">IF(E29="","",E29*$C29)</f>
        <v>0</v>
      </c>
      <c r="G29" s="15">
        <f aca="true" t="shared" si="8" ref="G29:G36">IF(E29=0,"",IF(D29="nd",E29/2,E29))</f>
        <v>67.3</v>
      </c>
      <c r="H29" s="7">
        <f t="shared" si="7"/>
        <v>0</v>
      </c>
      <c r="I29"/>
      <c r="J29">
        <v>68.4</v>
      </c>
      <c r="K29" s="7">
        <f aca="true" t="shared" si="9" ref="K29:M36">IF(J29="","",J29*$C29)</f>
        <v>0</v>
      </c>
      <c r="L29" s="15">
        <f aca="true" t="shared" si="10" ref="L29:L36">IF(J29=0,"",IF(I29="nd",J29/2,J29))</f>
        <v>68.4</v>
      </c>
      <c r="M29" s="7">
        <f t="shared" si="9"/>
        <v>0</v>
      </c>
      <c r="N29"/>
      <c r="O29">
        <v>33.9</v>
      </c>
      <c r="P29" s="7">
        <f aca="true" t="shared" si="11" ref="P29:R36">IF(O29="","",O29*$C29)</f>
        <v>0</v>
      </c>
      <c r="Q29" s="15">
        <f aca="true" t="shared" si="12" ref="Q29:Q36">IF(O29=0,"",IF(N29="nd",O29/2,O29))</f>
        <v>33.9</v>
      </c>
      <c r="R29" s="7">
        <f t="shared" si="11"/>
        <v>0</v>
      </c>
    </row>
    <row r="30" spans="2:18" ht="12.75">
      <c r="B30" s="4" t="s">
        <v>40</v>
      </c>
      <c r="C30" s="5">
        <v>0</v>
      </c>
      <c r="D30"/>
      <c r="E30">
        <v>32.4</v>
      </c>
      <c r="F30" s="7">
        <f t="shared" si="7"/>
        <v>0</v>
      </c>
      <c r="G30" s="15">
        <f t="shared" si="8"/>
        <v>32.4</v>
      </c>
      <c r="H30" s="7">
        <f t="shared" si="7"/>
        <v>0</v>
      </c>
      <c r="I30"/>
      <c r="J30">
        <v>78.7</v>
      </c>
      <c r="K30" s="7">
        <f t="shared" si="9"/>
        <v>0</v>
      </c>
      <c r="L30" s="15">
        <f t="shared" si="10"/>
        <v>78.7</v>
      </c>
      <c r="M30" s="7">
        <f t="shared" si="9"/>
        <v>0</v>
      </c>
      <c r="N30"/>
      <c r="O30">
        <v>30.9</v>
      </c>
      <c r="P30" s="7">
        <f t="shared" si="11"/>
        <v>0</v>
      </c>
      <c r="Q30" s="15">
        <f t="shared" si="12"/>
        <v>30.9</v>
      </c>
      <c r="R30" s="7">
        <f t="shared" si="11"/>
        <v>0</v>
      </c>
    </row>
    <row r="31" spans="2:18" ht="12.75">
      <c r="B31" s="4" t="s">
        <v>44</v>
      </c>
      <c r="C31" s="5">
        <v>0</v>
      </c>
      <c r="D31"/>
      <c r="E31">
        <v>133</v>
      </c>
      <c r="F31" s="7">
        <f t="shared" si="7"/>
        <v>0</v>
      </c>
      <c r="G31" s="15">
        <f t="shared" si="8"/>
        <v>133</v>
      </c>
      <c r="H31" s="7">
        <f t="shared" si="7"/>
        <v>0</v>
      </c>
      <c r="I31"/>
      <c r="J31">
        <v>141.5</v>
      </c>
      <c r="K31" s="7">
        <f t="shared" si="9"/>
        <v>0</v>
      </c>
      <c r="L31" s="15">
        <f t="shared" si="10"/>
        <v>141.5</v>
      </c>
      <c r="M31" s="7">
        <f t="shared" si="9"/>
        <v>0</v>
      </c>
      <c r="N31"/>
      <c r="O31">
        <v>42.6</v>
      </c>
      <c r="P31" s="7">
        <f t="shared" si="11"/>
        <v>0</v>
      </c>
      <c r="Q31" s="15">
        <f t="shared" si="12"/>
        <v>42.6</v>
      </c>
      <c r="R31" s="7">
        <f t="shared" si="11"/>
        <v>0</v>
      </c>
    </row>
    <row r="32" spans="2:18" ht="12.75">
      <c r="B32" s="4" t="s">
        <v>46</v>
      </c>
      <c r="C32" s="5">
        <v>0</v>
      </c>
      <c r="D32"/>
      <c r="E32">
        <v>0</v>
      </c>
      <c r="F32" s="7">
        <f t="shared" si="7"/>
        <v>0</v>
      </c>
      <c r="G32" s="15">
        <f t="shared" si="8"/>
      </c>
      <c r="H32" s="7">
        <f t="shared" si="7"/>
      </c>
      <c r="I32"/>
      <c r="J32">
        <v>0</v>
      </c>
      <c r="K32" s="7">
        <f t="shared" si="9"/>
        <v>0</v>
      </c>
      <c r="L32" s="15">
        <f t="shared" si="10"/>
      </c>
      <c r="M32" s="7">
        <f t="shared" si="9"/>
      </c>
      <c r="N32"/>
      <c r="O32">
        <v>0</v>
      </c>
      <c r="P32" s="7">
        <f t="shared" si="11"/>
        <v>0</v>
      </c>
      <c r="Q32" s="15">
        <f t="shared" si="12"/>
      </c>
      <c r="R32" s="7">
        <f t="shared" si="11"/>
      </c>
    </row>
    <row r="33" spans="2:18" ht="12.75">
      <c r="B33" s="4" t="s">
        <v>49</v>
      </c>
      <c r="C33" s="5">
        <v>0</v>
      </c>
      <c r="D33"/>
      <c r="E33">
        <v>593</v>
      </c>
      <c r="F33" s="7">
        <f t="shared" si="7"/>
        <v>0</v>
      </c>
      <c r="G33" s="15">
        <f t="shared" si="8"/>
        <v>593</v>
      </c>
      <c r="H33" s="7">
        <f t="shared" si="7"/>
        <v>0</v>
      </c>
      <c r="I33"/>
      <c r="J33">
        <v>137</v>
      </c>
      <c r="K33" s="7">
        <f t="shared" si="9"/>
        <v>0</v>
      </c>
      <c r="L33" s="15">
        <f t="shared" si="10"/>
        <v>137</v>
      </c>
      <c r="M33" s="7">
        <f t="shared" si="9"/>
        <v>0</v>
      </c>
      <c r="N33"/>
      <c r="O33">
        <v>259</v>
      </c>
      <c r="P33" s="7">
        <f t="shared" si="11"/>
        <v>0</v>
      </c>
      <c r="Q33" s="15">
        <f t="shared" si="12"/>
        <v>259</v>
      </c>
      <c r="R33" s="7">
        <f t="shared" si="11"/>
        <v>0</v>
      </c>
    </row>
    <row r="34" spans="2:18" ht="12.75">
      <c r="B34" s="4" t="s">
        <v>52</v>
      </c>
      <c r="C34" s="5">
        <v>0</v>
      </c>
      <c r="D34"/>
      <c r="E34">
        <v>247</v>
      </c>
      <c r="F34" s="7">
        <f t="shared" si="7"/>
        <v>0</v>
      </c>
      <c r="G34" s="15">
        <f t="shared" si="8"/>
        <v>247</v>
      </c>
      <c r="H34" s="7">
        <f t="shared" si="7"/>
        <v>0</v>
      </c>
      <c r="I34"/>
      <c r="J34">
        <v>0</v>
      </c>
      <c r="K34" s="7">
        <f t="shared" si="9"/>
        <v>0</v>
      </c>
      <c r="L34" s="15">
        <f t="shared" si="10"/>
      </c>
      <c r="M34" s="7">
        <f t="shared" si="9"/>
      </c>
      <c r="N34"/>
      <c r="O34">
        <v>0</v>
      </c>
      <c r="P34" s="7">
        <f t="shared" si="11"/>
        <v>0</v>
      </c>
      <c r="Q34" s="15">
        <f t="shared" si="12"/>
      </c>
      <c r="R34" s="7">
        <f t="shared" si="11"/>
      </c>
    </row>
    <row r="35" spans="2:18" ht="12.75">
      <c r="B35" s="4" t="s">
        <v>57</v>
      </c>
      <c r="C35" s="5">
        <v>0</v>
      </c>
      <c r="D35"/>
      <c r="E35">
        <v>136</v>
      </c>
      <c r="F35" s="7">
        <f t="shared" si="7"/>
        <v>0</v>
      </c>
      <c r="G35" s="15">
        <f t="shared" si="8"/>
        <v>136</v>
      </c>
      <c r="H35" s="7">
        <f t="shared" si="7"/>
        <v>0</v>
      </c>
      <c r="I35"/>
      <c r="J35">
        <v>0</v>
      </c>
      <c r="K35" s="7">
        <f t="shared" si="9"/>
        <v>0</v>
      </c>
      <c r="L35" s="15">
        <f t="shared" si="10"/>
      </c>
      <c r="M35" s="7">
        <f t="shared" si="9"/>
      </c>
      <c r="N35"/>
      <c r="O35">
        <v>0</v>
      </c>
      <c r="P35" s="7">
        <f t="shared" si="11"/>
        <v>0</v>
      </c>
      <c r="Q35" s="15">
        <f t="shared" si="12"/>
      </c>
      <c r="R35" s="7">
        <f t="shared" si="11"/>
      </c>
    </row>
    <row r="36" spans="2:18" ht="12.75">
      <c r="B36" s="4" t="s">
        <v>60</v>
      </c>
      <c r="C36" s="5">
        <v>0</v>
      </c>
      <c r="D36"/>
      <c r="E36">
        <v>20.9</v>
      </c>
      <c r="F36" s="7">
        <f t="shared" si="7"/>
        <v>0</v>
      </c>
      <c r="G36" s="15">
        <f t="shared" si="8"/>
        <v>20.9</v>
      </c>
      <c r="H36" s="7">
        <f t="shared" si="7"/>
        <v>0</v>
      </c>
      <c r="I36"/>
      <c r="J36">
        <v>0</v>
      </c>
      <c r="K36" s="7">
        <f t="shared" si="9"/>
        <v>0</v>
      </c>
      <c r="L36" s="15">
        <f t="shared" si="10"/>
      </c>
      <c r="M36" s="7">
        <f t="shared" si="9"/>
      </c>
      <c r="N36"/>
      <c r="O36">
        <v>0</v>
      </c>
      <c r="P36" s="7">
        <f t="shared" si="11"/>
        <v>0</v>
      </c>
      <c r="Q36" s="15">
        <f t="shared" si="12"/>
      </c>
      <c r="R36" s="7">
        <f t="shared" si="11"/>
      </c>
    </row>
    <row r="37" spans="5:17" ht="12.75">
      <c r="E37" s="17"/>
      <c r="G37" s="17"/>
      <c r="I37" s="18"/>
      <c r="J37" s="16"/>
      <c r="K37" s="14"/>
      <c r="L37" s="14"/>
      <c r="M37" s="14"/>
      <c r="N37" s="18"/>
      <c r="O37" s="16"/>
      <c r="Q37" s="17"/>
    </row>
    <row r="38" spans="2:18" ht="12.75">
      <c r="B38" s="4" t="s">
        <v>62</v>
      </c>
      <c r="E38" s="17"/>
      <c r="F38">
        <v>132.39</v>
      </c>
      <c r="G38">
        <v>132.39</v>
      </c>
      <c r="H38">
        <v>132.39</v>
      </c>
      <c r="I38"/>
      <c r="J38"/>
      <c r="K38">
        <v>129.92</v>
      </c>
      <c r="L38">
        <v>129.92</v>
      </c>
      <c r="M38">
        <v>129.92</v>
      </c>
      <c r="N38"/>
      <c r="O38"/>
      <c r="P38">
        <v>124.98</v>
      </c>
      <c r="Q38">
        <v>124.98</v>
      </c>
      <c r="R38">
        <v>124.98</v>
      </c>
    </row>
    <row r="39" spans="2:18" ht="12.75">
      <c r="B39" s="4" t="s">
        <v>63</v>
      </c>
      <c r="E39" s="17"/>
      <c r="F39">
        <v>4.8</v>
      </c>
      <c r="G39">
        <v>4.8</v>
      </c>
      <c r="H39">
        <v>4.8</v>
      </c>
      <c r="I39"/>
      <c r="J39"/>
      <c r="K39">
        <v>5.8</v>
      </c>
      <c r="L39">
        <v>5.8</v>
      </c>
      <c r="M39">
        <v>5.8</v>
      </c>
      <c r="N39"/>
      <c r="O39"/>
      <c r="P39">
        <v>6.4</v>
      </c>
      <c r="Q39">
        <v>6.4</v>
      </c>
      <c r="R39">
        <v>6.4</v>
      </c>
    </row>
    <row r="40" spans="5:18" ht="12.75">
      <c r="E40" s="17"/>
      <c r="F40" s="19"/>
      <c r="G40" s="17"/>
      <c r="H40" s="19"/>
      <c r="I40" s="20"/>
      <c r="J40" s="17"/>
      <c r="K40" s="21"/>
      <c r="L40" s="14"/>
      <c r="M40" s="21"/>
      <c r="N40" s="18"/>
      <c r="O40" s="17"/>
      <c r="P40" s="17"/>
      <c r="Q40" s="17"/>
      <c r="R40" s="17"/>
    </row>
    <row r="41" spans="2:18" ht="12" customHeight="1">
      <c r="B41" s="4" t="s">
        <v>64</v>
      </c>
      <c r="C41" s="7"/>
      <c r="D41" s="11"/>
      <c r="E41" s="14"/>
      <c r="F41" s="15">
        <f>SUM(F11:F27)</f>
        <v>47.178200000000025</v>
      </c>
      <c r="G41" s="15">
        <f>SUM(G27,G36,G35,G34,G33,G17,G32,G31,G30,G29)</f>
        <v>1274.7</v>
      </c>
      <c r="H41" s="15">
        <f>SUM(H11:H27)</f>
        <v>32.586100000000016</v>
      </c>
      <c r="I41" s="11"/>
      <c r="J41" s="14"/>
      <c r="K41" s="15">
        <f>SUM(K11:K27)</f>
        <v>37.9639</v>
      </c>
      <c r="L41" s="15">
        <f>SUM(L27,L36,L35,L34,L33,L17,L32,L31,L30,L29)</f>
        <v>494.05000000000007</v>
      </c>
      <c r="M41" s="15">
        <f>SUM(M11:M27)</f>
        <v>18.98195</v>
      </c>
      <c r="N41" s="11"/>
      <c r="O41" s="17"/>
      <c r="P41" s="15">
        <f>SUM(P11:P27)</f>
        <v>40.38290000000001</v>
      </c>
      <c r="Q41" s="15">
        <f>SUM(Q27,Q36,Q35,Q34,Q33,Q17,Q32,Q31,Q30,Q29)</f>
        <v>418.34999999999997</v>
      </c>
      <c r="R41" s="15">
        <f>SUM(R11:R27)</f>
        <v>20.691450000000003</v>
      </c>
    </row>
    <row r="42" spans="2:18" ht="12.75">
      <c r="B42" s="4" t="s">
        <v>65</v>
      </c>
      <c r="C42" s="7"/>
      <c r="D42" s="14">
        <f>(F42-H42)*2/F42*100</f>
        <v>61.85950290600323</v>
      </c>
      <c r="E42" s="17"/>
      <c r="F42" s="7">
        <f>(F41/F38/0.0283*(21-7)/(21-F39))/1000</f>
        <v>0.010882101455416501</v>
      </c>
      <c r="G42" s="15">
        <f>(G41/G38/0.0283*(21-7)/(21-G39))/1000</f>
        <v>0.29402170335492683</v>
      </c>
      <c r="H42" s="7">
        <f>(H41/H38/0.0283*(21-7)/(21-H39))/1000</f>
        <v>0.007516294522392706</v>
      </c>
      <c r="I42" s="48">
        <f>(K42-M42)*2/K42*100</f>
        <v>100</v>
      </c>
      <c r="J42" s="17"/>
      <c r="K42" s="7">
        <f>(K41/K38/0.0283*(21-7)/(21-K39))/1000</f>
        <v>0.009510269434628979</v>
      </c>
      <c r="L42" s="15">
        <f>(L41/L38/0.0283*(21-7)/(21-L39))/1000</f>
        <v>0.12376359157458655</v>
      </c>
      <c r="M42" s="7">
        <f>(M41/M38/0.0283*(21-7)/(21-M39))/1000</f>
        <v>0.004755134717314489</v>
      </c>
      <c r="N42" s="14">
        <f>(P42-R42)*2/P42*100</f>
        <v>97.5237043402034</v>
      </c>
      <c r="O42" s="17"/>
      <c r="P42" s="7">
        <f>(P41/P38/0.0283*(21-7)/(21-P39))/1000</f>
        <v>0.010948275757230216</v>
      </c>
      <c r="Q42" s="15">
        <f>(Q41/Q38/0.0283*(21-7)/(21-Q39))/1000</f>
        <v>0.11341957023981089</v>
      </c>
      <c r="R42" s="7">
        <f>(R41/R38/0.0283*(21-7)/(21-R39))/1000</f>
        <v>0.005609693717314536</v>
      </c>
    </row>
    <row r="43" spans="5:17" ht="12.75">
      <c r="E43" s="15"/>
      <c r="G43" s="15"/>
      <c r="I43" s="22"/>
      <c r="J43" s="15"/>
      <c r="K43" s="15"/>
      <c r="L43" s="15"/>
      <c r="M43" s="15"/>
      <c r="N43" s="22"/>
      <c r="O43" s="15"/>
      <c r="Q43" s="15"/>
    </row>
    <row r="44" spans="2:31" s="17" customFormat="1" ht="12.75">
      <c r="B44" s="17" t="s">
        <v>77</v>
      </c>
      <c r="C44" s="7">
        <f>AVERAGE(H42,M42,R42)</f>
        <v>0.005960374319007244</v>
      </c>
      <c r="D44" s="18"/>
      <c r="F44" s="7"/>
      <c r="H44" s="7"/>
      <c r="I44" s="18"/>
      <c r="N44" s="18"/>
      <c r="P44" s="6"/>
      <c r="R44" s="6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" ht="12.75">
      <c r="B45" s="4" t="s">
        <v>78</v>
      </c>
      <c r="C45" s="15">
        <f>AVERAGE(G42,L42,Q42)</f>
        <v>0.17706828838977476</v>
      </c>
    </row>
    <row r="46" spans="5:18" ht="12.75">
      <c r="E46" s="4"/>
      <c r="G46" s="4"/>
      <c r="I46" s="5"/>
      <c r="J46" s="4"/>
      <c r="K46" s="4"/>
      <c r="L46" s="4"/>
      <c r="M46" s="4"/>
      <c r="N46" s="5"/>
      <c r="O46" s="4"/>
      <c r="P46" s="4"/>
      <c r="Q46" s="4"/>
      <c r="R46" s="4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>
      <c r="O108" s="14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14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3:18" ht="12.75">
      <c r="C133" s="5"/>
      <c r="E133" s="14"/>
      <c r="F133" s="17"/>
      <c r="G133" s="14"/>
      <c r="H133" s="17"/>
      <c r="I133" s="11"/>
      <c r="J133" s="16"/>
      <c r="K133" s="14"/>
      <c r="L133" s="14"/>
      <c r="M133" s="14"/>
      <c r="N133" s="11"/>
      <c r="O133" s="21"/>
      <c r="P133" s="7"/>
      <c r="Q133" s="14"/>
      <c r="R133" s="7"/>
    </row>
    <row r="134" spans="5:17" ht="12.75">
      <c r="E134" s="17"/>
      <c r="G134" s="17"/>
      <c r="I134" s="18"/>
      <c r="J134" s="17"/>
      <c r="K134" s="14"/>
      <c r="L134" s="14"/>
      <c r="M134" s="14"/>
      <c r="N134" s="18"/>
      <c r="O134" s="16"/>
      <c r="Q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7"/>
      <c r="G136" s="17"/>
      <c r="H136" s="17"/>
      <c r="I136" s="18"/>
      <c r="J136" s="17"/>
      <c r="K136" s="14"/>
      <c r="L136" s="14"/>
      <c r="M136" s="14"/>
      <c r="N136" s="18"/>
      <c r="O136" s="17"/>
      <c r="P136" s="17"/>
      <c r="Q136" s="17"/>
      <c r="R136" s="17"/>
    </row>
    <row r="137" spans="5:18" ht="12.75">
      <c r="E137" s="17"/>
      <c r="F137" s="16"/>
      <c r="G137" s="17"/>
      <c r="H137" s="16"/>
      <c r="I137" s="20"/>
      <c r="J137" s="17"/>
      <c r="K137" s="21"/>
      <c r="L137" s="14"/>
      <c r="M137" s="21"/>
      <c r="N137" s="18"/>
      <c r="O137" s="17"/>
      <c r="P137" s="17"/>
      <c r="Q137" s="17"/>
      <c r="R137" s="17"/>
    </row>
    <row r="138" spans="3:18" ht="12.75">
      <c r="C138" s="7"/>
      <c r="D138" s="11"/>
      <c r="E138" s="14"/>
      <c r="F138" s="17"/>
      <c r="G138" s="14"/>
      <c r="H138" s="17"/>
      <c r="I138" s="11"/>
      <c r="J138" s="14"/>
      <c r="K138" s="14"/>
      <c r="L138" s="14"/>
      <c r="M138" s="14"/>
      <c r="N138" s="11"/>
      <c r="O138" s="17"/>
      <c r="P138" s="7"/>
      <c r="Q138" s="7"/>
      <c r="R138" s="7"/>
    </row>
    <row r="139" spans="3:18" ht="12.75">
      <c r="C139" s="7"/>
      <c r="D139" s="11"/>
      <c r="E139" s="17"/>
      <c r="G139" s="15"/>
      <c r="I139" s="11"/>
      <c r="J139" s="17"/>
      <c r="K139" s="7"/>
      <c r="L139" s="14"/>
      <c r="M139" s="7"/>
      <c r="N139" s="11"/>
      <c r="O139" s="17"/>
      <c r="P139" s="15"/>
      <c r="Q139" s="15"/>
      <c r="R139" s="15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2004-02-24T20:50:14Z</cp:lastPrinted>
  <dcterms:created xsi:type="dcterms:W3CDTF">2000-01-10T00:44:42Z</dcterms:created>
  <dcterms:modified xsi:type="dcterms:W3CDTF">2004-02-24T20:50:19Z</dcterms:modified>
  <cp:category/>
  <cp:version/>
  <cp:contentType/>
  <cp:contentStatus/>
</cp:coreProperties>
</file>