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601" activeTab="3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<sst xmlns="http://schemas.openxmlformats.org/spreadsheetml/2006/main" count="974" uniqueCount="186">
  <si>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</si>
  <si>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</si>
  <si>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</si>
  <si>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</si>
  <si>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</si>
  <si>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</si>
  <si>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</si>
  <si>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</si>
  <si>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</si>
  <si>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</si>
  <si>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</si>
  <si>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</si>
  <si>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</si>
  <si>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</si>
  <si>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</si>
  <si>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</si>
  <si>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</si>
  <si>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</si>
  <si>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</si>
  <si>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</si>
  <si>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Total</t>
  </si>
  <si>
    <t>nd</t>
  </si>
  <si>
    <t>Feedstream Description</t>
  </si>
  <si>
    <t>Ash</t>
  </si>
  <si>
    <t>HCl</t>
  </si>
  <si>
    <t>Cl2</t>
  </si>
  <si>
    <t>DRE</t>
  </si>
  <si>
    <t>lb/hr</t>
  </si>
  <si>
    <t>MM Btu/hr</t>
  </si>
  <si>
    <t>MMBtu/hr</t>
  </si>
  <si>
    <t>ug/dscm</t>
  </si>
  <si>
    <t>SVM</t>
  </si>
  <si>
    <t>LVM</t>
  </si>
  <si>
    <t>Stack Gas Flowrate</t>
  </si>
  <si>
    <t>Oxygen</t>
  </si>
  <si>
    <t>mg/dscm</t>
  </si>
  <si>
    <t>Stack Gas Emissions</t>
  </si>
  <si>
    <t>HW</t>
  </si>
  <si>
    <t>Combustor Characteristics</t>
  </si>
  <si>
    <t>7% O2</t>
  </si>
  <si>
    <t>Process Information</t>
  </si>
  <si>
    <t>Hazardous Wastes</t>
  </si>
  <si>
    <t>Supplemental Fuel</t>
  </si>
  <si>
    <t>POHC DRE</t>
  </si>
  <si>
    <t>Capacity (MMBtu/hr)</t>
  </si>
  <si>
    <t xml:space="preserve">    Gas Velocity (ft/sec)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</si>
  <si>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</si>
  <si>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</si>
  <si>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</si>
  <si>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</si>
  <si>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</si>
  <si>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</si>
  <si>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</si>
  <si>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</si>
  <si>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Antimony</t>
  </si>
  <si>
    <t>Arsenic</t>
  </si>
  <si>
    <t>Barium</t>
  </si>
  <si>
    <t>Beryllium</t>
  </si>
  <si>
    <t>Cadmium</t>
  </si>
  <si>
    <t>Nickel</t>
  </si>
  <si>
    <t>Silver</t>
  </si>
  <si>
    <t>Comments</t>
  </si>
  <si>
    <t>POHC Feedrate</t>
  </si>
  <si>
    <t>Emission Rate</t>
  </si>
  <si>
    <t xml:space="preserve">   O2</t>
  </si>
  <si>
    <t xml:space="preserve">   Moisture</t>
  </si>
  <si>
    <t>Chromium</t>
  </si>
  <si>
    <t>Sampling Train</t>
  </si>
  <si>
    <t>Zinc</t>
  </si>
  <si>
    <t>Trial burn</t>
  </si>
  <si>
    <t>*</t>
  </si>
  <si>
    <t>Thermal Feedrate</t>
  </si>
  <si>
    <t>Feed Rate</t>
  </si>
  <si>
    <t>HWC Burn Status (Date if Terminated)</t>
  </si>
  <si>
    <t>CO (RA)</t>
  </si>
  <si>
    <t>NOx</t>
  </si>
  <si>
    <t>HC (RA)</t>
  </si>
  <si>
    <t>SO2</t>
  </si>
  <si>
    <t>n</t>
  </si>
  <si>
    <t>Mercury</t>
  </si>
  <si>
    <t>Selenium</t>
  </si>
  <si>
    <t>Aqueous Waste</t>
  </si>
  <si>
    <t>R1</t>
  </si>
  <si>
    <t>R2</t>
  </si>
  <si>
    <t>R3</t>
  </si>
  <si>
    <t>Heating Value</t>
  </si>
  <si>
    <t>Btu/lb</t>
  </si>
  <si>
    <t>Density</t>
  </si>
  <si>
    <t>Viscosity</t>
  </si>
  <si>
    <t>cSt</t>
  </si>
  <si>
    <t>Chlorine</t>
  </si>
  <si>
    <r>
      <t>o</t>
    </r>
    <r>
      <rPr>
        <sz val="10"/>
        <rFont val="Arial"/>
        <family val="2"/>
      </rPr>
      <t>F</t>
    </r>
  </si>
  <si>
    <t>Celanese LTD.</t>
  </si>
  <si>
    <t>Pasadena</t>
  </si>
  <si>
    <t>TX</t>
  </si>
  <si>
    <t>Liquid Incinerator MN-460</t>
  </si>
  <si>
    <t>AirSource Technologies, Inc.</t>
  </si>
  <si>
    <t>Liq</t>
  </si>
  <si>
    <t>PM (total)</t>
  </si>
  <si>
    <t>Formaldehyde</t>
  </si>
  <si>
    <t>RCRA Trial Burn Test Report, January 1999</t>
  </si>
  <si>
    <t>Specific Gravity</t>
  </si>
  <si>
    <t>Tier I for all metals</t>
  </si>
  <si>
    <t>Natural gas</t>
  </si>
  <si>
    <t>Waste water, formaldehyde</t>
  </si>
  <si>
    <t>g/mL</t>
  </si>
  <si>
    <t>Trial burn, low temp</t>
  </si>
  <si>
    <t>Trial burn, high temp</t>
  </si>
  <si>
    <t>metals</t>
  </si>
  <si>
    <t>Aluminum</t>
  </si>
  <si>
    <t>Boron</t>
  </si>
  <si>
    <t>Calcium</t>
  </si>
  <si>
    <t>Cobalt</t>
  </si>
  <si>
    <t>Copper</t>
  </si>
  <si>
    <t>Iron</t>
  </si>
  <si>
    <t>Lithium</t>
  </si>
  <si>
    <t>Magnesium</t>
  </si>
  <si>
    <t>Manganese</t>
  </si>
  <si>
    <t>Molybdenum</t>
  </si>
  <si>
    <t>Phosphorus</t>
  </si>
  <si>
    <t>Potassium</t>
  </si>
  <si>
    <t>Sodium</t>
  </si>
  <si>
    <t>Strontium</t>
  </si>
  <si>
    <t>Thallium</t>
  </si>
  <si>
    <t>Tin</t>
  </si>
  <si>
    <t>Titanium</t>
  </si>
  <si>
    <t>Vanadium</t>
  </si>
  <si>
    <t>Cr+6</t>
  </si>
  <si>
    <t>Organic Waste A</t>
  </si>
  <si>
    <t>Organic Waste B</t>
  </si>
  <si>
    <t>3027C1</t>
  </si>
  <si>
    <t>mg/kg</t>
  </si>
  <si>
    <t>PM, CO, DRE, HCl/Cl2</t>
  </si>
  <si>
    <t>PM, CO, metals, HCl/Cl2</t>
  </si>
  <si>
    <t>3027C2</t>
  </si>
  <si>
    <t>3027C1 Trial burn</t>
  </si>
  <si>
    <t>Firebox Temp A</t>
  </si>
  <si>
    <t>Firebox Temp B</t>
  </si>
  <si>
    <t>Firebox Temp C</t>
  </si>
  <si>
    <t>Blowdown</t>
  </si>
  <si>
    <t>gpm</t>
  </si>
  <si>
    <t>3027C2 Trial burn</t>
  </si>
  <si>
    <t>Scrubber</t>
  </si>
  <si>
    <t>September 24-25, 1998</t>
  </si>
  <si>
    <t>September 26-29</t>
  </si>
  <si>
    <t>PM, HCl/Cl2</t>
  </si>
  <si>
    <t>Condition Description</t>
  </si>
  <si>
    <t>TXD078432457</t>
  </si>
  <si>
    <t>Combustor Type</t>
  </si>
  <si>
    <t>Combustor Class</t>
  </si>
  <si>
    <t>Report Name/Date</t>
  </si>
  <si>
    <t>Report Prepare</t>
  </si>
  <si>
    <t>Testing Firm</t>
  </si>
  <si>
    <t>Testing Dates</t>
  </si>
  <si>
    <t>Condition Descr</t>
  </si>
  <si>
    <t>Content</t>
  </si>
  <si>
    <t>Feedstream 2</t>
  </si>
  <si>
    <t>Phase I ID No.</t>
  </si>
  <si>
    <t>Cond Avg</t>
  </si>
  <si>
    <t>E1</t>
  </si>
  <si>
    <t>E2</t>
  </si>
  <si>
    <t>Total Chlorine</t>
  </si>
  <si>
    <t>E3</t>
  </si>
  <si>
    <t>Chromium (Hex)</t>
  </si>
  <si>
    <t>Cond Dates</t>
  </si>
  <si>
    <t>Number of Sister Facilities</t>
  </si>
  <si>
    <t>APCS Detailed Acronym</t>
  </si>
  <si>
    <t>APCS General Class</t>
  </si>
  <si>
    <t>LEWS</t>
  </si>
  <si>
    <t>source</t>
  </si>
  <si>
    <t>cond</t>
  </si>
  <si>
    <t>emiss</t>
  </si>
  <si>
    <t>feed</t>
  </si>
  <si>
    <t>process</t>
  </si>
  <si>
    <t>Onsite incinerator</t>
  </si>
  <si>
    <t>Liquid injection</t>
  </si>
  <si>
    <t>WS</t>
  </si>
  <si>
    <t>Feedstream Number</t>
  </si>
  <si>
    <t>Feed Class</t>
  </si>
  <si>
    <t>Liq HW</t>
  </si>
  <si>
    <t>F1</t>
  </si>
  <si>
    <t>F2</t>
  </si>
  <si>
    <t>F3</t>
  </si>
  <si>
    <t>F4</t>
  </si>
  <si>
    <t>Feed Class 2</t>
  </si>
  <si>
    <t>Estimated Firing Rate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</si>
</sst>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E+00"/>
    <numFmt numFmtId="178" formatCode="0.000E+00"/>
    <numFmt numFmtId="179" formatCode="0.E+00"/>
  </numFmts>
  <fonts count="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170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17" fontId="0" fillId="0" borderId="0" xfId="0" applyNumberFormat="1" applyAlignment="1">
      <alignment horizontal="left"/>
    </xf>
    <xf numFmtId="1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169</v>
      </c>
    </row>
    <row r="2" ht="12.75">
      <c r="A2" t="s">
        <v>170</v>
      </c>
    </row>
    <row r="3" ht="12.75">
      <c r="A3" t="s">
        <v>171</v>
      </c>
    </row>
    <row r="4" ht="12.75">
      <c r="A4" t="s">
        <v>172</v>
      </c>
    </row>
    <row r="5" ht="12.75">
      <c r="A5" t="s">
        <v>173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11"/>
  <sheetViews>
    <sheetView workbookViewId="0" topLeftCell="B1">
      <selection activeCell="A1" sqref="A1"/>
    </sheetView>
  </sheetViews>
  <sheetFormatPr defaultColWidth="9.140625" defaultRowHeight="12.75"/>
  <cols>
    <col min="1" max="1" width="3.57421875" style="1" hidden="1" customWidth="1"/>
    <col min="2" max="2" width="28.57421875" style="1" customWidth="1"/>
    <col min="3" max="3" width="58.421875" style="1" customWidth="1"/>
    <col min="4" max="16384" width="8.8515625" style="1" customWidth="1"/>
  </cols>
  <sheetData>
    <row r="1" spans="2:12" ht="12.75">
      <c r="B1" s="3" t="s">
        <v>48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2.75">
      <c r="B3" s="9" t="s">
        <v>157</v>
      </c>
      <c r="C3" s="10">
        <v>3027</v>
      </c>
      <c r="D3" s="9"/>
      <c r="E3" s="9"/>
      <c r="F3" s="9"/>
      <c r="G3" s="9"/>
      <c r="H3" s="9"/>
      <c r="I3" s="9"/>
      <c r="J3" s="9"/>
      <c r="K3" s="9"/>
      <c r="L3" s="9"/>
    </row>
    <row r="4" spans="2:12" ht="12.75">
      <c r="B4" s="9" t="s">
        <v>0</v>
      </c>
      <c r="C4" s="9" t="s">
        <v>147</v>
      </c>
      <c r="D4" s="9"/>
      <c r="E4" s="9"/>
      <c r="F4" s="9"/>
      <c r="G4" s="9"/>
      <c r="H4" s="9"/>
      <c r="I4" s="9"/>
      <c r="J4" s="9"/>
      <c r="K4" s="9"/>
      <c r="L4" s="9"/>
    </row>
    <row r="5" spans="2:12" ht="12.75">
      <c r="B5" s="9" t="s">
        <v>1</v>
      </c>
      <c r="C5" s="9" t="s">
        <v>92</v>
      </c>
      <c r="D5" s="9"/>
      <c r="E5" s="9"/>
      <c r="F5" s="9"/>
      <c r="G5" s="9"/>
      <c r="H5" s="9"/>
      <c r="I5" s="9"/>
      <c r="J5" s="9"/>
      <c r="K5" s="9"/>
      <c r="L5" s="9"/>
    </row>
    <row r="6" spans="2:12" ht="12.75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ht="12.75">
      <c r="B7" s="9" t="s">
        <v>3</v>
      </c>
      <c r="C7" s="9" t="s">
        <v>93</v>
      </c>
      <c r="D7" s="9"/>
      <c r="E7" s="9"/>
      <c r="F7" s="9"/>
      <c r="G7" s="9"/>
      <c r="H7" s="9"/>
      <c r="I7" s="9"/>
      <c r="J7" s="9"/>
      <c r="K7" s="9"/>
      <c r="L7" s="9"/>
    </row>
    <row r="8" spans="2:12" ht="12.75">
      <c r="B8" s="9" t="s">
        <v>4</v>
      </c>
      <c r="C8" s="9" t="s">
        <v>94</v>
      </c>
      <c r="D8" s="9"/>
      <c r="E8" s="9"/>
      <c r="F8" s="9"/>
      <c r="G8" s="9"/>
      <c r="H8" s="9"/>
      <c r="I8" s="9"/>
      <c r="J8" s="9"/>
      <c r="K8" s="9"/>
      <c r="L8" s="9"/>
    </row>
    <row r="9" spans="2:12" ht="12.75">
      <c r="B9" s="9" t="s">
        <v>5</v>
      </c>
      <c r="C9" s="9" t="s">
        <v>95</v>
      </c>
      <c r="D9" s="9"/>
      <c r="E9" s="9"/>
      <c r="F9" s="9"/>
      <c r="G9" s="9"/>
      <c r="H9" s="9"/>
      <c r="I9" s="9"/>
      <c r="J9" s="9"/>
      <c r="K9" s="9"/>
      <c r="L9" s="9"/>
    </row>
    <row r="10" spans="2:12" ht="12.75">
      <c r="B10" s="9" t="s">
        <v>6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2.75">
      <c r="B11" s="9" t="s">
        <v>165</v>
      </c>
      <c r="C11" s="10">
        <v>0</v>
      </c>
      <c r="D11" s="9"/>
      <c r="E11" s="9"/>
      <c r="F11" s="9"/>
      <c r="G11" s="9"/>
      <c r="H11" s="9"/>
      <c r="I11" s="9"/>
      <c r="J11" s="9"/>
      <c r="K11" s="9"/>
      <c r="L11" s="9"/>
    </row>
    <row r="12" spans="2:12" ht="12.75">
      <c r="B12" s="9" t="s">
        <v>149</v>
      </c>
      <c r="C12" s="1" t="s">
        <v>174</v>
      </c>
      <c r="D12" s="9"/>
      <c r="E12" s="9"/>
      <c r="F12" s="9"/>
      <c r="G12" s="9"/>
      <c r="H12" s="9"/>
      <c r="I12" s="9"/>
      <c r="J12" s="9"/>
      <c r="K12" s="9"/>
      <c r="L12" s="9"/>
    </row>
    <row r="13" spans="2:12" ht="12.75">
      <c r="B13" s="9" t="s">
        <v>148</v>
      </c>
      <c r="C13" s="9" t="s">
        <v>175</v>
      </c>
      <c r="D13" s="9"/>
      <c r="E13" s="9"/>
      <c r="F13" s="9"/>
      <c r="G13" s="9"/>
      <c r="H13" s="9"/>
      <c r="I13" s="9"/>
      <c r="J13" s="9"/>
      <c r="K13" s="9"/>
      <c r="L13" s="9"/>
    </row>
    <row r="14" spans="2:12" s="32" customFormat="1" ht="12.75">
      <c r="B14" s="31" t="s">
        <v>38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2:12" s="32" customFormat="1" ht="12.75">
      <c r="B15" s="31" t="s">
        <v>44</v>
      </c>
      <c r="C15" s="33"/>
      <c r="D15" s="31"/>
      <c r="E15" s="31"/>
      <c r="F15" s="31"/>
      <c r="G15" s="31"/>
      <c r="H15" s="31"/>
      <c r="I15" s="31"/>
      <c r="J15" s="31"/>
      <c r="K15" s="31"/>
      <c r="L15" s="31"/>
    </row>
    <row r="16" spans="2:12" s="32" customFormat="1" ht="12.75">
      <c r="B16" s="9" t="s">
        <v>49</v>
      </c>
      <c r="C16" s="9"/>
      <c r="F16" s="31"/>
      <c r="G16" s="31"/>
      <c r="H16" s="31"/>
      <c r="I16" s="31"/>
      <c r="J16" s="31"/>
      <c r="K16" s="31"/>
      <c r="L16" s="31"/>
    </row>
    <row r="17" spans="2:12" s="32" customFormat="1" ht="12.75">
      <c r="B17" s="9" t="s">
        <v>166</v>
      </c>
      <c r="C17" s="31" t="s">
        <v>176</v>
      </c>
      <c r="D17" s="31"/>
      <c r="E17" s="31"/>
      <c r="F17" s="31"/>
      <c r="G17" s="31"/>
      <c r="H17" s="31"/>
      <c r="I17" s="31"/>
      <c r="J17" s="31"/>
      <c r="K17" s="31"/>
      <c r="L17" s="31"/>
    </row>
    <row r="18" spans="2:12" s="32" customFormat="1" ht="12.75">
      <c r="B18" s="9" t="s">
        <v>167</v>
      </c>
      <c r="C18" s="31" t="s">
        <v>168</v>
      </c>
      <c r="D18" s="31"/>
      <c r="E18" s="31"/>
      <c r="F18" s="31"/>
      <c r="G18" s="31"/>
      <c r="H18" s="31"/>
      <c r="I18" s="31"/>
      <c r="J18" s="31"/>
      <c r="K18" s="31"/>
      <c r="L18" s="31"/>
    </row>
    <row r="19" spans="2:12" ht="12.75">
      <c r="B19" s="31" t="s">
        <v>7</v>
      </c>
      <c r="C19" s="31" t="s">
        <v>142</v>
      </c>
      <c r="D19" s="9"/>
      <c r="E19" s="9"/>
      <c r="F19" s="9"/>
      <c r="G19" s="9"/>
      <c r="H19" s="9"/>
      <c r="I19" s="9"/>
      <c r="J19" s="9"/>
      <c r="K19" s="9"/>
      <c r="L19" s="9"/>
    </row>
    <row r="20" spans="2:12" ht="12.75">
      <c r="B20" s="9" t="s">
        <v>41</v>
      </c>
      <c r="C20" s="31" t="s">
        <v>97</v>
      </c>
      <c r="D20" s="9"/>
      <c r="E20" s="9"/>
      <c r="F20" s="9"/>
      <c r="G20" s="9"/>
      <c r="H20" s="9"/>
      <c r="I20" s="9"/>
      <c r="J20" s="9"/>
      <c r="K20" s="9"/>
      <c r="L20" s="9"/>
    </row>
    <row r="21" spans="2:12" ht="12.75">
      <c r="B21" s="9" t="s">
        <v>50</v>
      </c>
      <c r="C21" s="31" t="s">
        <v>104</v>
      </c>
      <c r="D21" s="9"/>
      <c r="E21" s="9"/>
      <c r="F21" s="9"/>
      <c r="G21" s="9"/>
      <c r="H21" s="9"/>
      <c r="I21" s="9"/>
      <c r="J21" s="9"/>
      <c r="K21" s="9"/>
      <c r="L21" s="9"/>
    </row>
    <row r="22" spans="2:12" ht="12.75">
      <c r="B22" s="9" t="s">
        <v>42</v>
      </c>
      <c r="C22" s="31" t="s">
        <v>103</v>
      </c>
      <c r="D22" s="9"/>
      <c r="E22" s="9"/>
      <c r="F22" s="9"/>
      <c r="G22" s="9"/>
      <c r="H22" s="9"/>
      <c r="I22" s="9"/>
      <c r="J22" s="9"/>
      <c r="K22" s="9"/>
      <c r="L22" s="9"/>
    </row>
    <row r="23" spans="2:12" ht="12.7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2" ht="12.75">
      <c r="B24" s="9" t="s">
        <v>8</v>
      </c>
      <c r="C24" s="10"/>
      <c r="D24" s="9"/>
      <c r="E24" s="9"/>
      <c r="F24" s="9"/>
      <c r="G24" s="9"/>
      <c r="H24" s="9"/>
      <c r="I24" s="9"/>
      <c r="J24" s="9"/>
      <c r="K24" s="9"/>
      <c r="L24" s="9"/>
    </row>
    <row r="25" spans="2:12" ht="12.75">
      <c r="B25" s="9" t="s">
        <v>9</v>
      </c>
      <c r="C25" s="10">
        <f>53.4/12</f>
        <v>4.45</v>
      </c>
      <c r="D25" s="9"/>
      <c r="E25" s="9"/>
      <c r="F25" s="9"/>
      <c r="G25" s="9"/>
      <c r="H25" s="9"/>
      <c r="I25" s="9"/>
      <c r="J25" s="9"/>
      <c r="K25" s="9"/>
      <c r="L25" s="9"/>
    </row>
    <row r="26" spans="2:12" ht="12.75">
      <c r="B26" s="9" t="s">
        <v>10</v>
      </c>
      <c r="C26" s="10">
        <v>88</v>
      </c>
      <c r="D26" s="9"/>
      <c r="E26" s="9"/>
      <c r="F26" s="9"/>
      <c r="G26" s="9"/>
      <c r="H26" s="9"/>
      <c r="I26" s="9"/>
      <c r="J26" s="9"/>
      <c r="K26" s="9"/>
      <c r="L26" s="9"/>
    </row>
    <row r="27" spans="2:12" ht="12.75">
      <c r="B27" s="9" t="s">
        <v>45</v>
      </c>
      <c r="C27" s="11">
        <f>1475/60</f>
        <v>24.583333333333332</v>
      </c>
      <c r="D27" s="9"/>
      <c r="E27" s="9"/>
      <c r="F27" s="9"/>
      <c r="G27" s="9"/>
      <c r="H27" s="9"/>
      <c r="I27" s="9"/>
      <c r="J27" s="9"/>
      <c r="K27" s="9"/>
      <c r="L27" s="9"/>
    </row>
    <row r="28" spans="2:12" ht="14.25" customHeight="1">
      <c r="B28" s="9" t="s">
        <v>46</v>
      </c>
      <c r="C28" s="10">
        <v>160</v>
      </c>
      <c r="D28" s="9"/>
      <c r="E28" s="9"/>
      <c r="F28" s="9"/>
      <c r="G28" s="9"/>
      <c r="H28" s="9"/>
      <c r="I28" s="9"/>
      <c r="J28" s="9"/>
      <c r="K28" s="9"/>
      <c r="L28" s="9"/>
    </row>
    <row r="29" spans="2:12" ht="12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2.75">
      <c r="B30" s="9" t="s">
        <v>11</v>
      </c>
      <c r="C30" s="9" t="s">
        <v>102</v>
      </c>
      <c r="D30" s="9"/>
      <c r="E30" s="9"/>
      <c r="F30" s="9"/>
      <c r="G30" s="9"/>
      <c r="H30" s="9"/>
      <c r="I30" s="9"/>
      <c r="J30" s="9"/>
      <c r="K30" s="9"/>
      <c r="L30" s="9"/>
    </row>
    <row r="31" spans="2:12" ht="12.75">
      <c r="B31" s="9" t="s">
        <v>73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47" spans="2:12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2" ht="12.7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2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2" ht="12.7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2:12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ht="12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2:12" ht="12.7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2:12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2:12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2:12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2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2:12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2:12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2:12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2:12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2:12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2:12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2:12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2:12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2:12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2:12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2:12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2:12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2:12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2:12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2:12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2:12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2:12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2:12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2:12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2:12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2:12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2:12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2:12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2:12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2:12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2:12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2:12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2:12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2:12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2:12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2:12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2:12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2:12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2:12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2:12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2:12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2:12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2:12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2:12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2:12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2:12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2:12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2:12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2:12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2:12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2:12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2:12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2:12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2:12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2:12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2:12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2:12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2:12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2:12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2:12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2:12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2:12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2:12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2:12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2:12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2:12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2:12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2:12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2:12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2:12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2:12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2:12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2:12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2:12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2:12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2:12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2:12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2:12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2:12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2:12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2:12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2:12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2:12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2:12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2:12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2:12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2:12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2:12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2:12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2:12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2:12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2:12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2:12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2:12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2:12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2:12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2:12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2:12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2:12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2:12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2:12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2:12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2:12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2:12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2:12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2:12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2:12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2:12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2:12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2:12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2:12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2:12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2:12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2:12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2:12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2:12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2:12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2:12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2:12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2:12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2:12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2:12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2:12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2:12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2:12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2:12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2:12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2:12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2:12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2:12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2:12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2:12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2:12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2:12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2:12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2:12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2:12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2:12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2:12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2:12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2:12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2:12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2:12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2:12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2:12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2:12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2:12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2:12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2:12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2:12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2:12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2:12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2:12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2:12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2:12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2:12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2:12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2:12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2:12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2:12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2:12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2:12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2:12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2:12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2:12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2:12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2:12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2:12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2:12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2:12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2:12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2:12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2:12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2:12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2:12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2:12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2:12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2:12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2:12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2:12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2:12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2:12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2:12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2:12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2:12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2:12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2:12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2:12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2:12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2:12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2:12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2:12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2:12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2:12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2:12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2:12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2:12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2:12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2:12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2:12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2:12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2:12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2:12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2:12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2:12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2:12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2:12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2:12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2:12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2:12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2:12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2:12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2:12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2:12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2:12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2:12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2:12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2:12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2:12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2:12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2:12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2:12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2:12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2:12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2:12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2:12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2:12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2:12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2:12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2:12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2:12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2:12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2:12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2:12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2:12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2:12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2:12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2:12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2:12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2:12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2:12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2:12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2:12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2:12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2:12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2:12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2:12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2:12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2:12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2:12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2:12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2:12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2:12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2:12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2:12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2:12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2:12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2:12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2:12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2:12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2:12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2:12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2:12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2:12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2:12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2:12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2:12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2:12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2:12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2:12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2:12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2:12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2:12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2:12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2:12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2:12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2:12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2:12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2:12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2:12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2:12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2:12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2:12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2:12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2:12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2:12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2:12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2:12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2:12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2:12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2:12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2:12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2:12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2:12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2:12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2:12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2:12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2:12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2:12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2:12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2:12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2:12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2:12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2:12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2:12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2:12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2:12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2:12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2:12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2:12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2:12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2:12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2:12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2:12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2:12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2:12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2:12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2:12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2:12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2:12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2:12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2:12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2:12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2:12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2:12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2:12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2:12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2:12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2:12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2:12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2:12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2:12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2:12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2:12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2:12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2:12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2:12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2:12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2:12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2:12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2:12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2:12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2:12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2:12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2:12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2:12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2:12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2:12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2:12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2:12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2:12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2:12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2:12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2:12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2:12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21"/>
  <sheetViews>
    <sheetView workbookViewId="0" topLeftCell="B1">
      <selection activeCell="C16" sqref="C16"/>
    </sheetView>
  </sheetViews>
  <sheetFormatPr defaultColWidth="9.140625" defaultRowHeight="12.75"/>
  <cols>
    <col min="1" max="1" width="0.9921875" style="0" hidden="1" customWidth="1"/>
    <col min="2" max="2" width="23.57421875" style="0" customWidth="1"/>
    <col min="3" max="3" width="53.421875" style="0" customWidth="1"/>
  </cols>
  <sheetData>
    <row r="1" ht="12.75">
      <c r="B1" s="3" t="s">
        <v>146</v>
      </c>
    </row>
    <row r="3" spans="2:12" s="1" customFormat="1" ht="12.75">
      <c r="B3" s="3" t="s">
        <v>130</v>
      </c>
      <c r="C3"/>
      <c r="D3" s="9"/>
      <c r="E3" s="9"/>
      <c r="F3" s="9"/>
      <c r="G3" s="9"/>
      <c r="H3" s="9"/>
      <c r="I3" s="9"/>
      <c r="J3" s="9"/>
      <c r="K3" s="9"/>
      <c r="L3" s="9"/>
    </row>
    <row r="4" spans="2:12" s="1" customFormat="1" ht="12.75">
      <c r="B4" s="9"/>
      <c r="C4"/>
      <c r="D4" s="9"/>
      <c r="E4" s="9"/>
      <c r="F4" s="9"/>
      <c r="G4" s="9"/>
      <c r="H4" s="9"/>
      <c r="I4" s="9"/>
      <c r="J4" s="9"/>
      <c r="K4" s="9"/>
      <c r="L4" s="9"/>
    </row>
    <row r="5" spans="2:12" s="39" customFormat="1" ht="12.75">
      <c r="B5" s="38" t="s">
        <v>150</v>
      </c>
      <c r="C5" s="31" t="s">
        <v>100</v>
      </c>
      <c r="D5" s="38"/>
      <c r="E5" s="38"/>
      <c r="F5" s="38"/>
      <c r="G5" s="38"/>
      <c r="H5" s="38"/>
      <c r="I5" s="38"/>
      <c r="J5" s="38"/>
      <c r="K5" s="38"/>
      <c r="L5" s="38"/>
    </row>
    <row r="6" spans="2:12" s="1" customFormat="1" ht="12.75">
      <c r="B6" s="9" t="s">
        <v>151</v>
      </c>
      <c r="C6" t="s">
        <v>96</v>
      </c>
      <c r="D6" s="9"/>
      <c r="E6" s="9"/>
      <c r="F6" s="9"/>
      <c r="G6" s="9"/>
      <c r="H6" s="9"/>
      <c r="I6" s="9"/>
      <c r="J6" s="9"/>
      <c r="K6" s="9"/>
      <c r="L6" s="9"/>
    </row>
    <row r="7" spans="2:12" s="1" customFormat="1" ht="12.75">
      <c r="B7" s="9" t="s">
        <v>152</v>
      </c>
      <c r="C7" t="s">
        <v>96</v>
      </c>
      <c r="D7" s="9"/>
      <c r="E7" s="9"/>
      <c r="F7" s="9"/>
      <c r="G7" s="9"/>
      <c r="H7" s="9"/>
      <c r="I7" s="9"/>
      <c r="J7" s="9"/>
      <c r="K7" s="9"/>
      <c r="L7" s="9"/>
    </row>
    <row r="8" spans="2:12" s="1" customFormat="1" ht="12.75">
      <c r="B8" s="9" t="s">
        <v>153</v>
      </c>
      <c r="C8" t="s">
        <v>143</v>
      </c>
      <c r="D8" s="9"/>
      <c r="E8" s="9"/>
      <c r="F8" s="9"/>
      <c r="G8" s="9"/>
      <c r="H8" s="9"/>
      <c r="I8" s="9"/>
      <c r="J8" s="9"/>
      <c r="K8" s="9"/>
      <c r="L8" s="9"/>
    </row>
    <row r="9" spans="2:12" s="1" customFormat="1" ht="12.75">
      <c r="B9" s="9" t="s">
        <v>164</v>
      </c>
      <c r="C9" s="46">
        <v>36039</v>
      </c>
      <c r="D9" s="9"/>
      <c r="E9" s="9"/>
      <c r="F9" s="9"/>
      <c r="G9" s="9"/>
      <c r="H9" s="9"/>
      <c r="I9" s="9"/>
      <c r="J9" s="9"/>
      <c r="K9" s="9"/>
      <c r="L9" s="9"/>
    </row>
    <row r="10" spans="2:12" s="1" customFormat="1" ht="12.75">
      <c r="B10" s="9" t="s">
        <v>154</v>
      </c>
      <c r="C10" t="s">
        <v>106</v>
      </c>
      <c r="D10" s="9"/>
      <c r="E10" s="9"/>
      <c r="F10" s="9"/>
      <c r="G10" s="9"/>
      <c r="H10" s="9"/>
      <c r="I10" s="9"/>
      <c r="J10" s="9"/>
      <c r="K10" s="9"/>
      <c r="L10" s="9"/>
    </row>
    <row r="11" spans="2:12" s="1" customFormat="1" ht="12.75">
      <c r="B11" s="9" t="s">
        <v>155</v>
      </c>
      <c r="C11" t="s">
        <v>132</v>
      </c>
      <c r="D11" s="9"/>
      <c r="E11" s="9"/>
      <c r="F11" s="9"/>
      <c r="G11" s="9"/>
      <c r="H11" s="9"/>
      <c r="I11" s="9"/>
      <c r="J11" s="9"/>
      <c r="K11" s="9"/>
      <c r="L11" s="9"/>
    </row>
    <row r="12" spans="2:12" s="1" customFormat="1" ht="12.75">
      <c r="B12" s="9"/>
      <c r="C12"/>
      <c r="D12" s="9"/>
      <c r="E12" s="9"/>
      <c r="F12" s="9"/>
      <c r="G12" s="9"/>
      <c r="H12" s="9"/>
      <c r="I12" s="9"/>
      <c r="J12" s="9"/>
      <c r="K12" s="9"/>
      <c r="L12" s="9"/>
    </row>
    <row r="13" spans="2:12" s="1" customFormat="1" ht="12.75">
      <c r="B13" s="3" t="s">
        <v>134</v>
      </c>
      <c r="C13"/>
      <c r="D13" s="9"/>
      <c r="E13" s="9"/>
      <c r="F13" s="9"/>
      <c r="G13" s="9"/>
      <c r="H13" s="9"/>
      <c r="I13" s="9"/>
      <c r="J13" s="9"/>
      <c r="K13" s="9"/>
      <c r="L13" s="9"/>
    </row>
    <row r="14" spans="2:12" s="1" customFormat="1" ht="12.75">
      <c r="B14" s="9"/>
      <c r="C14"/>
      <c r="D14" s="9"/>
      <c r="E14" s="9"/>
      <c r="F14" s="9"/>
      <c r="G14" s="9"/>
      <c r="H14" s="9"/>
      <c r="I14" s="9"/>
      <c r="J14" s="9"/>
      <c r="K14" s="9"/>
      <c r="L14" s="9"/>
    </row>
    <row r="15" spans="2:12" s="39" customFormat="1" ht="12.75">
      <c r="B15" s="38" t="s">
        <v>150</v>
      </c>
      <c r="C15" s="31" t="s">
        <v>100</v>
      </c>
      <c r="D15" s="38"/>
      <c r="E15" s="38"/>
      <c r="F15" s="38"/>
      <c r="G15" s="38"/>
      <c r="H15" s="38"/>
      <c r="I15" s="38"/>
      <c r="J15" s="38"/>
      <c r="K15" s="38"/>
      <c r="L15" s="38"/>
    </row>
    <row r="16" spans="2:12" s="1" customFormat="1" ht="12.75">
      <c r="B16" s="9" t="s">
        <v>151</v>
      </c>
      <c r="C16" t="s">
        <v>96</v>
      </c>
      <c r="D16" s="9"/>
      <c r="E16" s="9"/>
      <c r="F16" s="9"/>
      <c r="G16" s="9"/>
      <c r="H16" s="9"/>
      <c r="I16" s="9"/>
      <c r="J16" s="9"/>
      <c r="K16" s="9"/>
      <c r="L16" s="9"/>
    </row>
    <row r="17" spans="2:12" s="1" customFormat="1" ht="12.75">
      <c r="B17" s="9" t="s">
        <v>152</v>
      </c>
      <c r="C17" t="s">
        <v>96</v>
      </c>
      <c r="D17" s="9"/>
      <c r="E17" s="9"/>
      <c r="F17" s="9"/>
      <c r="G17" s="9"/>
      <c r="H17" s="9"/>
      <c r="I17" s="9"/>
      <c r="J17" s="9"/>
      <c r="K17" s="9"/>
      <c r="L17" s="9"/>
    </row>
    <row r="18" spans="2:12" s="1" customFormat="1" ht="12.75">
      <c r="B18" s="9" t="s">
        <v>153</v>
      </c>
      <c r="C18" t="s">
        <v>144</v>
      </c>
      <c r="D18" s="9"/>
      <c r="E18" s="9"/>
      <c r="F18" s="9"/>
      <c r="G18" s="9"/>
      <c r="H18" s="9"/>
      <c r="I18" s="9"/>
      <c r="J18" s="9"/>
      <c r="K18" s="9"/>
      <c r="L18" s="9"/>
    </row>
    <row r="19" spans="2:12" s="1" customFormat="1" ht="12.75">
      <c r="B19" s="9" t="s">
        <v>164</v>
      </c>
      <c r="C19" s="46">
        <v>36039</v>
      </c>
      <c r="D19" s="9"/>
      <c r="E19" s="9"/>
      <c r="F19" s="9"/>
      <c r="G19" s="9"/>
      <c r="H19" s="9"/>
      <c r="I19" s="9"/>
      <c r="J19" s="9"/>
      <c r="K19" s="9"/>
      <c r="L19" s="9"/>
    </row>
    <row r="20" spans="2:12" s="1" customFormat="1" ht="12.75">
      <c r="B20" s="9" t="s">
        <v>154</v>
      </c>
      <c r="C20" t="s">
        <v>107</v>
      </c>
      <c r="D20" s="9"/>
      <c r="E20" s="9"/>
      <c r="F20" s="9"/>
      <c r="G20" s="9"/>
      <c r="H20" s="9"/>
      <c r="I20" s="9"/>
      <c r="J20" s="9"/>
      <c r="K20" s="9"/>
      <c r="L20" s="9"/>
    </row>
    <row r="21" spans="2:12" s="1" customFormat="1" ht="12.75">
      <c r="B21" s="9" t="s">
        <v>155</v>
      </c>
      <c r="C21" t="s">
        <v>133</v>
      </c>
      <c r="D21" s="9"/>
      <c r="E21" s="9"/>
      <c r="F21" s="9"/>
      <c r="G21" s="9"/>
      <c r="H21" s="9"/>
      <c r="I21" s="9"/>
      <c r="J21" s="9"/>
      <c r="K21" s="9"/>
      <c r="L21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46"/>
  <sheetViews>
    <sheetView tabSelected="1" workbookViewId="0" topLeftCell="B1">
      <selection activeCell="K13" sqref="K13"/>
    </sheetView>
  </sheetViews>
  <sheetFormatPr defaultColWidth="9.140625" defaultRowHeight="12.75"/>
  <cols>
    <col min="1" max="1" width="3.28125" style="13" hidden="1" customWidth="1"/>
    <col min="2" max="2" width="19.7109375" style="13" bestFit="1" customWidth="1"/>
    <col min="3" max="3" width="13.28125" style="13" customWidth="1"/>
    <col min="4" max="4" width="8.8515625" style="4" customWidth="1"/>
    <col min="5" max="5" width="6.140625" style="4" customWidth="1"/>
    <col min="6" max="6" width="3.140625" style="4" customWidth="1"/>
    <col min="7" max="7" width="10.00390625" style="13" customWidth="1"/>
    <col min="8" max="8" width="2.7109375" style="13" customWidth="1"/>
    <col min="9" max="9" width="9.7109375" style="14" customWidth="1"/>
    <col min="10" max="10" width="2.8515625" style="13" customWidth="1"/>
    <col min="11" max="11" width="12.28125" style="13" customWidth="1"/>
    <col min="12" max="12" width="2.57421875" style="13" customWidth="1"/>
    <col min="13" max="13" width="8.8515625" style="13" customWidth="1"/>
    <col min="14" max="14" width="2.140625" style="13" customWidth="1"/>
    <col min="15" max="15" width="8.8515625" style="13" customWidth="1"/>
    <col min="16" max="16" width="2.28125" style="13" customWidth="1"/>
    <col min="17" max="17" width="8.8515625" style="13" customWidth="1"/>
    <col min="18" max="18" width="2.28125" style="13" customWidth="1"/>
    <col min="19" max="19" width="8.8515625" style="13" customWidth="1"/>
    <col min="20" max="20" width="2.28125" style="13" customWidth="1"/>
    <col min="21" max="21" width="8.8515625" style="13" customWidth="1"/>
    <col min="22" max="22" width="2.140625" style="13" customWidth="1"/>
    <col min="23" max="23" width="8.8515625" style="13" customWidth="1"/>
    <col min="24" max="24" width="2.140625" style="13" customWidth="1"/>
    <col min="25" max="25" width="10.57421875" style="13" bestFit="1" customWidth="1"/>
    <col min="26" max="26" width="2.57421875" style="13" customWidth="1"/>
    <col min="27" max="27" width="8.8515625" style="13" customWidth="1"/>
    <col min="28" max="28" width="2.140625" style="13" customWidth="1"/>
    <col min="29" max="16384" width="8.8515625" style="13" customWidth="1"/>
  </cols>
  <sheetData>
    <row r="1" spans="2:3" ht="12.75">
      <c r="B1" s="12" t="s">
        <v>36</v>
      </c>
      <c r="C1" s="12"/>
    </row>
    <row r="2" spans="2:12" ht="12.75">
      <c r="B2" s="15"/>
      <c r="C2" s="15"/>
      <c r="G2" s="15"/>
      <c r="H2" s="15"/>
      <c r="I2" s="16"/>
      <c r="J2" s="15"/>
      <c r="K2" s="15"/>
      <c r="L2" s="15"/>
    </row>
    <row r="3" spans="2:5" ht="12.75">
      <c r="B3" s="9"/>
      <c r="C3" s="9" t="s">
        <v>61</v>
      </c>
      <c r="D3" s="4" t="s">
        <v>12</v>
      </c>
      <c r="E3" s="4" t="s">
        <v>39</v>
      </c>
    </row>
    <row r="4" spans="2:13" ht="12.75">
      <c r="B4" s="4"/>
      <c r="C4" s="4"/>
      <c r="G4" s="5"/>
      <c r="H4" s="5"/>
      <c r="I4" s="5"/>
      <c r="J4" s="5"/>
      <c r="K4" s="5"/>
      <c r="L4" s="5"/>
      <c r="M4" s="5"/>
    </row>
    <row r="5" spans="1:13" ht="12.75">
      <c r="A5" s="13">
        <v>1</v>
      </c>
      <c r="B5" s="17" t="s">
        <v>130</v>
      </c>
      <c r="C5" s="17"/>
      <c r="G5" s="15" t="s">
        <v>82</v>
      </c>
      <c r="H5" s="15"/>
      <c r="I5" s="16" t="s">
        <v>83</v>
      </c>
      <c r="J5" s="15"/>
      <c r="K5" s="15" t="s">
        <v>84</v>
      </c>
      <c r="L5" s="15"/>
      <c r="M5" s="13" t="s">
        <v>158</v>
      </c>
    </row>
    <row r="6" spans="2:12" ht="12.75">
      <c r="B6" s="4"/>
      <c r="C6" s="4"/>
      <c r="D6" s="9"/>
      <c r="E6" s="9"/>
      <c r="F6" s="9"/>
      <c r="G6" s="9"/>
      <c r="H6" s="9"/>
      <c r="I6" s="18"/>
      <c r="J6" s="9"/>
      <c r="K6" s="9"/>
      <c r="L6" s="15"/>
    </row>
    <row r="7" spans="2:13" ht="12.75">
      <c r="B7" s="4" t="s">
        <v>13</v>
      </c>
      <c r="C7" s="4" t="s">
        <v>159</v>
      </c>
      <c r="D7" s="9" t="s">
        <v>14</v>
      </c>
      <c r="E7" s="9" t="s">
        <v>15</v>
      </c>
      <c r="F7" s="9"/>
      <c r="G7" s="9">
        <v>0.0052</v>
      </c>
      <c r="H7" s="9"/>
      <c r="I7" s="18">
        <v>0.0039</v>
      </c>
      <c r="J7" s="9"/>
      <c r="K7" s="9">
        <v>0.0037</v>
      </c>
      <c r="L7" s="15"/>
      <c r="M7" s="19">
        <f>AVERAGE(K7,I7,G7)</f>
        <v>0.004266666666666666</v>
      </c>
    </row>
    <row r="8" spans="2:13" ht="12.75">
      <c r="B8" s="4" t="s">
        <v>98</v>
      </c>
      <c r="C8" s="4" t="s">
        <v>159</v>
      </c>
      <c r="D8" s="9" t="s">
        <v>14</v>
      </c>
      <c r="E8" s="9" t="s">
        <v>15</v>
      </c>
      <c r="F8" s="9"/>
      <c r="G8" s="9">
        <v>0.0059</v>
      </c>
      <c r="H8" s="9"/>
      <c r="I8" s="18">
        <v>0.0042</v>
      </c>
      <c r="J8" s="9"/>
      <c r="K8" s="9">
        <v>0.004</v>
      </c>
      <c r="L8" s="15"/>
      <c r="M8" s="19">
        <f>AVERAGE(K8,I8,G8)</f>
        <v>0.004699999999999999</v>
      </c>
    </row>
    <row r="9" spans="2:13" ht="12.75">
      <c r="B9" s="4" t="s">
        <v>74</v>
      </c>
      <c r="C9" s="4" t="s">
        <v>159</v>
      </c>
      <c r="D9" s="9" t="s">
        <v>16</v>
      </c>
      <c r="E9" s="9" t="s">
        <v>15</v>
      </c>
      <c r="F9" s="9"/>
      <c r="G9" s="9">
        <v>4.3</v>
      </c>
      <c r="H9" s="9"/>
      <c r="I9" s="18">
        <v>3.9</v>
      </c>
      <c r="J9" s="9"/>
      <c r="K9" s="9">
        <v>3.9</v>
      </c>
      <c r="L9" s="15"/>
      <c r="M9" s="20">
        <f>AVERAGE(K9,I9,G9)</f>
        <v>4.033333333333333</v>
      </c>
    </row>
    <row r="10" spans="2:13" ht="12.75">
      <c r="B10" s="4" t="s">
        <v>76</v>
      </c>
      <c r="C10" s="4"/>
      <c r="D10" s="9" t="s">
        <v>16</v>
      </c>
      <c r="E10" s="9" t="s">
        <v>78</v>
      </c>
      <c r="F10" s="9"/>
      <c r="G10" s="9">
        <v>0.6</v>
      </c>
      <c r="H10" s="9"/>
      <c r="I10" s="18">
        <v>0.5</v>
      </c>
      <c r="J10" s="9"/>
      <c r="K10" s="9">
        <v>0.3</v>
      </c>
      <c r="L10" s="15"/>
      <c r="M10" s="20">
        <f>AVERAGE(K10,I10,G10)</f>
        <v>0.4666666666666666</v>
      </c>
    </row>
    <row r="11" spans="2:13" ht="12.75">
      <c r="B11" s="4" t="s">
        <v>75</v>
      </c>
      <c r="C11" s="4"/>
      <c r="D11" s="9" t="s">
        <v>16</v>
      </c>
      <c r="E11" s="9" t="s">
        <v>78</v>
      </c>
      <c r="F11" s="9"/>
      <c r="G11" s="9">
        <v>282.6</v>
      </c>
      <c r="H11" s="9"/>
      <c r="I11" s="18">
        <v>277.8</v>
      </c>
      <c r="J11" s="9"/>
      <c r="K11" s="9">
        <v>286.7</v>
      </c>
      <c r="L11" s="15"/>
      <c r="M11" s="20">
        <f>AVERAGE(G11,I11,K11)</f>
        <v>282.36666666666673</v>
      </c>
    </row>
    <row r="12" spans="2:13" ht="12.75">
      <c r="B12" s="4" t="s">
        <v>77</v>
      </c>
      <c r="C12" s="4"/>
      <c r="D12" s="9" t="s">
        <v>16</v>
      </c>
      <c r="E12" s="9" t="s">
        <v>78</v>
      </c>
      <c r="F12" s="9"/>
      <c r="G12" s="9">
        <v>0.2</v>
      </c>
      <c r="H12" s="9"/>
      <c r="I12" s="18">
        <v>0.2</v>
      </c>
      <c r="J12" s="9"/>
      <c r="K12" s="9">
        <v>0.4</v>
      </c>
      <c r="L12" s="15"/>
      <c r="M12" s="20">
        <f>AVERAGE(G12,I12,K12)</f>
        <v>0.26666666666666666</v>
      </c>
    </row>
    <row r="13" spans="2:13" ht="12.75">
      <c r="B13" s="4"/>
      <c r="C13" s="4"/>
      <c r="D13" s="9"/>
      <c r="E13" s="9"/>
      <c r="F13" s="9"/>
      <c r="G13" s="9"/>
      <c r="H13" s="9"/>
      <c r="I13" s="18"/>
      <c r="J13" s="9"/>
      <c r="K13" s="9"/>
      <c r="L13" s="15"/>
      <c r="M13" s="20"/>
    </row>
    <row r="14" spans="2:13" ht="12.75">
      <c r="B14" s="4" t="s">
        <v>24</v>
      </c>
      <c r="C14" s="4"/>
      <c r="D14" s="9" t="s">
        <v>27</v>
      </c>
      <c r="E14" s="4" t="s">
        <v>78</v>
      </c>
      <c r="F14" s="9"/>
      <c r="G14" s="9">
        <v>0.00384</v>
      </c>
      <c r="H14" s="9"/>
      <c r="I14" s="18">
        <v>0.00352</v>
      </c>
      <c r="J14" s="9"/>
      <c r="K14" s="9">
        <v>0.0298</v>
      </c>
      <c r="L14" s="15"/>
      <c r="M14" s="20"/>
    </row>
    <row r="15" spans="2:13" ht="12.75">
      <c r="B15" s="4" t="s">
        <v>25</v>
      </c>
      <c r="C15" s="4"/>
      <c r="D15" s="9" t="s">
        <v>27</v>
      </c>
      <c r="E15" s="4" t="s">
        <v>78</v>
      </c>
      <c r="F15" s="9"/>
      <c r="G15" s="9">
        <v>0.0233</v>
      </c>
      <c r="H15" s="9"/>
      <c r="I15" s="18">
        <v>0.0221</v>
      </c>
      <c r="J15" s="9"/>
      <c r="K15" s="9">
        <v>0.415</v>
      </c>
      <c r="L15" s="15"/>
      <c r="M15" s="20"/>
    </row>
    <row r="16" spans="2:13" ht="12.75">
      <c r="B16" s="4"/>
      <c r="C16" s="4"/>
      <c r="F16"/>
      <c r="G16"/>
      <c r="H16"/>
      <c r="I16"/>
      <c r="J16"/>
      <c r="K16"/>
      <c r="L16" s="15"/>
      <c r="M16" s="36"/>
    </row>
    <row r="17" spans="2:13" ht="12.75">
      <c r="B17" s="4" t="s">
        <v>43</v>
      </c>
      <c r="C17" s="4" t="s">
        <v>99</v>
      </c>
      <c r="F17"/>
      <c r="G17"/>
      <c r="H17"/>
      <c r="I17"/>
      <c r="J17"/>
      <c r="K17"/>
      <c r="L17"/>
      <c r="M17"/>
    </row>
    <row r="18" spans="2:13" ht="12.75">
      <c r="B18" s="4" t="s">
        <v>62</v>
      </c>
      <c r="C18" s="4"/>
      <c r="D18" s="4" t="s">
        <v>27</v>
      </c>
      <c r="F18"/>
      <c r="G18">
        <v>282.2</v>
      </c>
      <c r="H18"/>
      <c r="I18">
        <v>220.4</v>
      </c>
      <c r="J18"/>
      <c r="K18">
        <v>282.5</v>
      </c>
      <c r="L18"/>
      <c r="M18"/>
    </row>
    <row r="19" spans="2:13" ht="12.75">
      <c r="B19" s="4" t="s">
        <v>63</v>
      </c>
      <c r="C19" s="4" t="s">
        <v>160</v>
      </c>
      <c r="D19" s="4" t="s">
        <v>27</v>
      </c>
      <c r="F19"/>
      <c r="G19">
        <v>0.00133</v>
      </c>
      <c r="H19"/>
      <c r="I19">
        <v>0.00098</v>
      </c>
      <c r="J19"/>
      <c r="K19">
        <v>0.00155</v>
      </c>
      <c r="L19"/>
      <c r="M19"/>
    </row>
    <row r="20" spans="2:13" ht="12.75">
      <c r="B20" s="4" t="s">
        <v>26</v>
      </c>
      <c r="C20" s="4" t="s">
        <v>160</v>
      </c>
      <c r="D20" s="4" t="s">
        <v>18</v>
      </c>
      <c r="F20"/>
      <c r="G20">
        <v>99.9995</v>
      </c>
      <c r="H20"/>
      <c r="I20">
        <v>99.9996</v>
      </c>
      <c r="J20"/>
      <c r="K20">
        <v>99.9994</v>
      </c>
      <c r="L20"/>
      <c r="M20"/>
    </row>
    <row r="21" spans="2:13" ht="12.75">
      <c r="B21" s="4"/>
      <c r="C21" s="4"/>
      <c r="F21"/>
      <c r="G21"/>
      <c r="H21"/>
      <c r="I21"/>
      <c r="J21"/>
      <c r="K21"/>
      <c r="L21"/>
      <c r="M21"/>
    </row>
    <row r="22" spans="2:13" ht="12.75">
      <c r="B22" s="4" t="s">
        <v>67</v>
      </c>
      <c r="C22" s="4" t="s">
        <v>145</v>
      </c>
      <c r="D22" s="4" t="s">
        <v>159</v>
      </c>
      <c r="F22"/>
      <c r="G22"/>
      <c r="H22"/>
      <c r="I22"/>
      <c r="J22"/>
      <c r="K22"/>
      <c r="L22" s="15"/>
      <c r="M22" s="21"/>
    </row>
    <row r="23" spans="2:13" ht="12.75">
      <c r="B23" s="4" t="s">
        <v>52</v>
      </c>
      <c r="C23" s="4"/>
      <c r="D23" s="4" t="s">
        <v>17</v>
      </c>
      <c r="F23"/>
      <c r="G23">
        <v>16686</v>
      </c>
      <c r="H23"/>
      <c r="I23">
        <v>17084</v>
      </c>
      <c r="J23"/>
      <c r="K23">
        <v>16867</v>
      </c>
      <c r="L23" s="15"/>
      <c r="M23" s="20">
        <f>AVERAGE(K23,I23,G23)</f>
        <v>16879</v>
      </c>
    </row>
    <row r="24" spans="2:13" ht="12.75">
      <c r="B24" s="4" t="s">
        <v>64</v>
      </c>
      <c r="C24" s="4"/>
      <c r="D24" s="4" t="s">
        <v>18</v>
      </c>
      <c r="F24"/>
      <c r="G24">
        <v>4.19</v>
      </c>
      <c r="H24"/>
      <c r="I24">
        <v>4.4</v>
      </c>
      <c r="J24"/>
      <c r="K24">
        <v>4.23</v>
      </c>
      <c r="M24" s="20">
        <f>AVERAGE(K24,I24,G24)</f>
        <v>4.273333333333333</v>
      </c>
    </row>
    <row r="25" spans="2:13" ht="12.75">
      <c r="B25" s="4" t="s">
        <v>65</v>
      </c>
      <c r="C25" s="4"/>
      <c r="D25" s="4" t="s">
        <v>18</v>
      </c>
      <c r="F25"/>
      <c r="G25">
        <v>14.07</v>
      </c>
      <c r="H25"/>
      <c r="I25">
        <v>13.34</v>
      </c>
      <c r="J25"/>
      <c r="K25">
        <v>13.98</v>
      </c>
      <c r="M25" s="20">
        <f>AVERAGE(K25,I25,G25)</f>
        <v>13.796666666666667</v>
      </c>
    </row>
    <row r="26" spans="2:13" ht="12.75">
      <c r="B26" s="4" t="s">
        <v>51</v>
      </c>
      <c r="C26" s="4"/>
      <c r="D26" s="4" t="s">
        <v>19</v>
      </c>
      <c r="F26"/>
      <c r="G26">
        <v>161</v>
      </c>
      <c r="H26"/>
      <c r="I26">
        <v>157</v>
      </c>
      <c r="J26"/>
      <c r="K26">
        <v>156</v>
      </c>
      <c r="M26" s="20">
        <f>AVERAGE(K26,I26,G26)</f>
        <v>158</v>
      </c>
    </row>
    <row r="27" spans="2:13" ht="12.75">
      <c r="B27" s="4"/>
      <c r="C27" s="4"/>
      <c r="F27"/>
      <c r="G27"/>
      <c r="H27"/>
      <c r="I27"/>
      <c r="J27"/>
      <c r="K27"/>
      <c r="L27" s="15"/>
      <c r="M27" s="36"/>
    </row>
    <row r="28" spans="2:13" ht="12.75">
      <c r="B28" s="4" t="s">
        <v>67</v>
      </c>
      <c r="C28" s="4" t="s">
        <v>26</v>
      </c>
      <c r="D28" s="4" t="s">
        <v>160</v>
      </c>
      <c r="F28"/>
      <c r="G28"/>
      <c r="H28"/>
      <c r="I28"/>
      <c r="J28"/>
      <c r="K28"/>
      <c r="L28" s="15"/>
      <c r="M28" s="21"/>
    </row>
    <row r="29" spans="2:13" ht="12.75">
      <c r="B29" s="4" t="s">
        <v>52</v>
      </c>
      <c r="C29" s="4"/>
      <c r="D29" s="4" t="s">
        <v>17</v>
      </c>
      <c r="F29"/>
      <c r="G29">
        <v>16710</v>
      </c>
      <c r="H29"/>
      <c r="I29">
        <v>16447</v>
      </c>
      <c r="J29"/>
      <c r="K29">
        <v>16121</v>
      </c>
      <c r="L29" s="15"/>
      <c r="M29" s="20">
        <f>AVERAGE(K29,I29,G29)</f>
        <v>16426</v>
      </c>
    </row>
    <row r="30" spans="2:13" ht="12.75">
      <c r="B30" s="4" t="s">
        <v>64</v>
      </c>
      <c r="C30" s="4"/>
      <c r="D30" s="4" t="s">
        <v>18</v>
      </c>
      <c r="F30"/>
      <c r="G30">
        <v>4.19</v>
      </c>
      <c r="H30"/>
      <c r="I30">
        <v>4.4</v>
      </c>
      <c r="J30"/>
      <c r="K30">
        <v>4.23</v>
      </c>
      <c r="M30" s="20">
        <f>AVERAGE(K30,I30,G30)</f>
        <v>4.273333333333333</v>
      </c>
    </row>
    <row r="31" spans="2:13" ht="12.75">
      <c r="B31" s="4" t="s">
        <v>65</v>
      </c>
      <c r="C31" s="4"/>
      <c r="D31" s="4" t="s">
        <v>18</v>
      </c>
      <c r="F31"/>
      <c r="G31">
        <v>14.25</v>
      </c>
      <c r="H31"/>
      <c r="I31">
        <v>13.98</v>
      </c>
      <c r="J31"/>
      <c r="K31">
        <v>14.32</v>
      </c>
      <c r="M31" s="20">
        <f>AVERAGE(K31,I31,G31)</f>
        <v>14.183333333333332</v>
      </c>
    </row>
    <row r="32" spans="2:13" ht="12.75">
      <c r="B32" s="4" t="s">
        <v>51</v>
      </c>
      <c r="C32" s="4"/>
      <c r="D32" s="4" t="s">
        <v>19</v>
      </c>
      <c r="F32"/>
      <c r="G32">
        <v>161</v>
      </c>
      <c r="H32"/>
      <c r="I32">
        <v>157</v>
      </c>
      <c r="J32"/>
      <c r="K32">
        <v>155</v>
      </c>
      <c r="M32" s="20">
        <f>AVERAGE(K32,I32,G32)</f>
        <v>157.66666666666666</v>
      </c>
    </row>
    <row r="33" spans="2:13" ht="12.75">
      <c r="B33" s="4"/>
      <c r="C33" s="4"/>
      <c r="F33"/>
      <c r="G33"/>
      <c r="H33"/>
      <c r="I33"/>
      <c r="J33"/>
      <c r="K33"/>
      <c r="M33" s="20"/>
    </row>
    <row r="34" spans="2:13" ht="12.75">
      <c r="B34" s="4" t="s">
        <v>76</v>
      </c>
      <c r="C34" s="4" t="s">
        <v>159</v>
      </c>
      <c r="D34" s="9" t="s">
        <v>16</v>
      </c>
      <c r="E34" s="4" t="s">
        <v>15</v>
      </c>
      <c r="F34"/>
      <c r="G34" s="29">
        <f>G10*(21-7)/(21-G$24)</f>
        <v>0.49970255800118984</v>
      </c>
      <c r="H34" s="29"/>
      <c r="I34" s="29">
        <f>I10*(21-7)/(21-I$24)</f>
        <v>0.4216867469879518</v>
      </c>
      <c r="J34" s="29"/>
      <c r="K34" s="29">
        <f>K10*(21-7)/(21-K$24)</f>
        <v>0.25044722719141327</v>
      </c>
      <c r="L34" s="15"/>
      <c r="M34" s="20">
        <f>AVERAGE(G34,I34,K34)</f>
        <v>0.3906121773935183</v>
      </c>
    </row>
    <row r="35" spans="2:13" ht="12.75">
      <c r="B35" s="4" t="s">
        <v>75</v>
      </c>
      <c r="C35" s="4" t="s">
        <v>159</v>
      </c>
      <c r="D35" s="9" t="s">
        <v>16</v>
      </c>
      <c r="E35" s="9" t="s">
        <v>15</v>
      </c>
      <c r="F35" s="9"/>
      <c r="G35" s="29">
        <f>G11*(21-7)/(21-G$24)</f>
        <v>235.35990481856044</v>
      </c>
      <c r="H35" s="29"/>
      <c r="I35" s="29">
        <f>I11*(21-7)/(21-I$24)</f>
        <v>234.289156626506</v>
      </c>
      <c r="J35" s="29"/>
      <c r="K35" s="29">
        <f>K11*(21-7)/(21-K$24)</f>
        <v>239.34406678592725</v>
      </c>
      <c r="L35" s="15"/>
      <c r="M35" s="20">
        <f>AVERAGE(G35,I35,K35)</f>
        <v>236.33104274366454</v>
      </c>
    </row>
    <row r="36" spans="2:13" ht="12.75">
      <c r="B36" s="4" t="s">
        <v>77</v>
      </c>
      <c r="C36" s="4" t="s">
        <v>159</v>
      </c>
      <c r="D36" s="9" t="s">
        <v>16</v>
      </c>
      <c r="E36" s="9" t="s">
        <v>15</v>
      </c>
      <c r="F36" s="9"/>
      <c r="G36" s="29">
        <f>G12*(21-7)/(21-G$24)</f>
        <v>0.16656751933372996</v>
      </c>
      <c r="H36" s="29"/>
      <c r="I36" s="29">
        <f>I12*(21-7)/(21-I$24)</f>
        <v>0.1686746987951807</v>
      </c>
      <c r="J36" s="29"/>
      <c r="K36" s="29">
        <f>K12*(21-7)/(21-K$24)</f>
        <v>0.3339296362552177</v>
      </c>
      <c r="L36" s="15"/>
      <c r="M36" s="20">
        <f>AVERAGE(G36,I36,K36)</f>
        <v>0.22305728479470943</v>
      </c>
    </row>
    <row r="37" spans="2:13" ht="12.75">
      <c r="B37" s="4"/>
      <c r="C37" s="4"/>
      <c r="F37"/>
      <c r="G37"/>
      <c r="H37"/>
      <c r="I37"/>
      <c r="J37"/>
      <c r="K37"/>
      <c r="L37" s="15"/>
      <c r="M37" s="20"/>
    </row>
    <row r="38" spans="2:13" ht="12.75">
      <c r="B38" s="4" t="s">
        <v>24</v>
      </c>
      <c r="C38" s="4" t="s">
        <v>159</v>
      </c>
      <c r="D38" s="9" t="s">
        <v>16</v>
      </c>
      <c r="E38" s="4" t="s">
        <v>15</v>
      </c>
      <c r="F38"/>
      <c r="G38" s="42">
        <f>G14*454/60/0.0283/G$23*(21-7)/(21-G24)*667.8</f>
        <v>0.03422188196456669</v>
      </c>
      <c r="H38"/>
      <c r="I38" s="42">
        <f>I14*454/60/0.0283/I$23*(21-7)/(21-I24)*667.8</f>
        <v>0.031026845995025257</v>
      </c>
      <c r="J38"/>
      <c r="K38" s="42">
        <f>K14*454/60/0.0283/K$23*(21-7)/(21-K24)*667.8</f>
        <v>0.26335282043193536</v>
      </c>
      <c r="L38" s="15"/>
      <c r="M38" s="21">
        <f>AVERAGE(G38,I38,K38)</f>
        <v>0.10953384946384244</v>
      </c>
    </row>
    <row r="39" spans="2:13" ht="12.75">
      <c r="B39" s="4" t="s">
        <v>25</v>
      </c>
      <c r="C39" s="4" t="s">
        <v>159</v>
      </c>
      <c r="D39" s="9" t="s">
        <v>16</v>
      </c>
      <c r="E39" s="4" t="s">
        <v>15</v>
      </c>
      <c r="F39"/>
      <c r="G39" s="43">
        <f>G15*454/60/0.0283/G$23*(21-7)/(21-G25)*343.4</f>
        <v>0.2590102437663014</v>
      </c>
      <c r="H39"/>
      <c r="I39" s="43">
        <f>I15*454/60/0.0283/I$23*(21-7)/(21-I25)*343.4</f>
        <v>0.21708031082523763</v>
      </c>
      <c r="J39"/>
      <c r="K39" s="43">
        <f>K15*454/60/0.0283/K$23*(21-7)/(21-K25)*343.4</f>
        <v>4.505257653378373</v>
      </c>
      <c r="L39" s="15"/>
      <c r="M39" s="21">
        <f>AVERAGE(G39,I39,K39)</f>
        <v>1.6604494026566374</v>
      </c>
    </row>
    <row r="40" spans="2:13" ht="12.75">
      <c r="B40" s="4" t="s">
        <v>161</v>
      </c>
      <c r="C40" s="4" t="s">
        <v>159</v>
      </c>
      <c r="D40" s="9" t="s">
        <v>16</v>
      </c>
      <c r="E40" s="4" t="s">
        <v>15</v>
      </c>
      <c r="F40"/>
      <c r="G40" s="43">
        <f>G39*2+G38</f>
        <v>0.5522423694971694</v>
      </c>
      <c r="H40"/>
      <c r="I40" s="43">
        <f>I39*2+I38</f>
        <v>0.4651874676455005</v>
      </c>
      <c r="J40"/>
      <c r="K40" s="43">
        <f>K39*2+K38</f>
        <v>9.273868127188681</v>
      </c>
      <c r="L40" s="15"/>
      <c r="M40" s="21">
        <f>AVERAGE(G40,I40,K40)</f>
        <v>3.430432654777117</v>
      </c>
    </row>
    <row r="41" spans="2:13" ht="12.75">
      <c r="B41" s="4"/>
      <c r="C41" s="4"/>
      <c r="F41"/>
      <c r="G41"/>
      <c r="H41"/>
      <c r="I41"/>
      <c r="J41"/>
      <c r="K41"/>
      <c r="L41" s="15"/>
      <c r="M41" s="20"/>
    </row>
    <row r="42" spans="1:13" ht="12.75">
      <c r="A42" s="13">
        <v>1</v>
      </c>
      <c r="B42" s="17" t="s">
        <v>134</v>
      </c>
      <c r="C42" s="17"/>
      <c r="G42" s="15" t="s">
        <v>82</v>
      </c>
      <c r="H42" s="15"/>
      <c r="I42" s="16" t="s">
        <v>83</v>
      </c>
      <c r="J42" s="15"/>
      <c r="K42" s="15" t="s">
        <v>84</v>
      </c>
      <c r="L42" s="15"/>
      <c r="M42" s="13" t="s">
        <v>158</v>
      </c>
    </row>
    <row r="43" spans="2:12" ht="12.75">
      <c r="B43" s="4"/>
      <c r="C43" s="4"/>
      <c r="D43" s="9"/>
      <c r="E43" s="9"/>
      <c r="F43" s="9"/>
      <c r="G43" s="9"/>
      <c r="H43" s="9"/>
      <c r="I43" s="18"/>
      <c r="J43" s="9"/>
      <c r="K43" s="9"/>
      <c r="L43" s="15"/>
    </row>
    <row r="44" spans="2:13" ht="12.75">
      <c r="B44" s="4" t="s">
        <v>13</v>
      </c>
      <c r="C44" s="4" t="s">
        <v>159</v>
      </c>
      <c r="D44" s="9" t="s">
        <v>14</v>
      </c>
      <c r="E44" s="9" t="s">
        <v>15</v>
      </c>
      <c r="F44" s="9"/>
      <c r="G44" s="9">
        <v>0.0124</v>
      </c>
      <c r="H44" s="9"/>
      <c r="I44" s="18">
        <v>0.0089</v>
      </c>
      <c r="J44" s="9"/>
      <c r="K44" s="9">
        <v>0.0084</v>
      </c>
      <c r="L44" s="15"/>
      <c r="M44" s="19">
        <f>AVERAGE(K44,I44,G44)</f>
        <v>0.009899999999999999</v>
      </c>
    </row>
    <row r="45" spans="2:13" ht="12.75">
      <c r="B45" s="4" t="s">
        <v>98</v>
      </c>
      <c r="C45" s="4" t="s">
        <v>159</v>
      </c>
      <c r="D45" s="9" t="s">
        <v>14</v>
      </c>
      <c r="E45" s="9" t="s">
        <v>15</v>
      </c>
      <c r="F45" s="9"/>
      <c r="G45" s="9">
        <v>0.0126</v>
      </c>
      <c r="H45" s="9"/>
      <c r="I45" s="18">
        <v>0.0092</v>
      </c>
      <c r="J45" s="9"/>
      <c r="K45" s="9">
        <v>0.0085</v>
      </c>
      <c r="L45" s="15"/>
      <c r="M45" s="19">
        <f>AVERAGE(K45,I45,G45)</f>
        <v>0.0101</v>
      </c>
    </row>
    <row r="46" spans="2:13" ht="12.75">
      <c r="B46" s="4" t="s">
        <v>74</v>
      </c>
      <c r="C46" s="4" t="s">
        <v>159</v>
      </c>
      <c r="D46" s="9" t="s">
        <v>16</v>
      </c>
      <c r="E46" s="9" t="s">
        <v>15</v>
      </c>
      <c r="F46" s="9"/>
      <c r="G46" s="9">
        <v>3.2</v>
      </c>
      <c r="H46" s="9"/>
      <c r="I46" s="18">
        <v>2.9</v>
      </c>
      <c r="J46" s="9"/>
      <c r="K46" s="9">
        <v>2.8</v>
      </c>
      <c r="L46" s="15"/>
      <c r="M46" s="21">
        <f>AVERAGE(K46,I46,G46)</f>
        <v>2.9666666666666663</v>
      </c>
    </row>
    <row r="47" spans="2:13" ht="12.75">
      <c r="B47" s="4" t="s">
        <v>76</v>
      </c>
      <c r="C47" s="4"/>
      <c r="D47" s="9" t="s">
        <v>16</v>
      </c>
      <c r="E47" s="9" t="s">
        <v>78</v>
      </c>
      <c r="F47" s="9"/>
      <c r="G47" s="9">
        <v>0.5</v>
      </c>
      <c r="H47" s="9"/>
      <c r="I47" s="18">
        <v>0.2</v>
      </c>
      <c r="J47" s="9"/>
      <c r="K47" s="9">
        <v>0.1</v>
      </c>
      <c r="L47" s="15"/>
      <c r="M47" s="21">
        <f>AVERAGE(K47,I47,G47)</f>
        <v>0.26666666666666666</v>
      </c>
    </row>
    <row r="48" spans="2:13" ht="12.75">
      <c r="B48" s="4" t="s">
        <v>75</v>
      </c>
      <c r="C48" s="4"/>
      <c r="D48" s="9" t="s">
        <v>16</v>
      </c>
      <c r="E48" s="9" t="s">
        <v>78</v>
      </c>
      <c r="F48" s="9"/>
      <c r="G48" s="9">
        <v>295.4</v>
      </c>
      <c r="H48" s="9"/>
      <c r="I48" s="18">
        <v>294.7</v>
      </c>
      <c r="J48" s="9"/>
      <c r="K48" s="9">
        <v>293.4</v>
      </c>
      <c r="L48" s="15"/>
      <c r="M48" s="20"/>
    </row>
    <row r="49" spans="2:13" ht="12.75">
      <c r="B49" s="4" t="s">
        <v>77</v>
      </c>
      <c r="C49" s="4"/>
      <c r="D49" s="9" t="s">
        <v>16</v>
      </c>
      <c r="E49" s="9" t="s">
        <v>78</v>
      </c>
      <c r="F49" s="9"/>
      <c r="G49" s="9">
        <v>0.1</v>
      </c>
      <c r="H49" s="9"/>
      <c r="I49" s="18">
        <v>0.1</v>
      </c>
      <c r="J49" s="9"/>
      <c r="K49" s="9">
        <v>0.2</v>
      </c>
      <c r="L49" s="15"/>
      <c r="M49" s="20"/>
    </row>
    <row r="50" spans="2:13" ht="12.75">
      <c r="B50" s="4"/>
      <c r="C50" s="4"/>
      <c r="D50" s="9"/>
      <c r="E50" s="9"/>
      <c r="F50" s="9"/>
      <c r="G50" s="9"/>
      <c r="H50" s="9"/>
      <c r="I50" s="18"/>
      <c r="J50" s="9"/>
      <c r="K50" s="9"/>
      <c r="L50" s="15"/>
      <c r="M50" s="20"/>
    </row>
    <row r="51" spans="2:13" ht="12.75">
      <c r="B51" s="4" t="s">
        <v>24</v>
      </c>
      <c r="C51" s="4"/>
      <c r="D51" s="9" t="s">
        <v>27</v>
      </c>
      <c r="E51" s="4" t="s">
        <v>78</v>
      </c>
      <c r="F51" s="9"/>
      <c r="G51" s="9">
        <v>0.024</v>
      </c>
      <c r="H51" s="9"/>
      <c r="I51" s="18">
        <v>0.0189</v>
      </c>
      <c r="J51" s="9"/>
      <c r="K51" s="9">
        <v>0.0185</v>
      </c>
      <c r="L51" s="15"/>
      <c r="M51" s="20"/>
    </row>
    <row r="52" spans="2:13" ht="12.75">
      <c r="B52" s="4" t="s">
        <v>25</v>
      </c>
      <c r="C52" s="4"/>
      <c r="D52" s="9" t="s">
        <v>27</v>
      </c>
      <c r="E52" s="4" t="s">
        <v>78</v>
      </c>
      <c r="F52" s="9"/>
      <c r="G52" s="9">
        <v>22.366</v>
      </c>
      <c r="H52" s="9"/>
      <c r="I52" s="18">
        <v>0.589</v>
      </c>
      <c r="J52" s="9"/>
      <c r="K52" s="9">
        <v>0.634</v>
      </c>
      <c r="L52" s="15"/>
      <c r="M52" s="20"/>
    </row>
    <row r="53" spans="2:13" ht="12.75">
      <c r="B53" s="4"/>
      <c r="C53" s="4"/>
      <c r="F53"/>
      <c r="G53"/>
      <c r="H53"/>
      <c r="I53"/>
      <c r="J53"/>
      <c r="K53"/>
      <c r="L53"/>
      <c r="M53"/>
    </row>
    <row r="54" spans="2:12" ht="12.75">
      <c r="B54" s="4" t="s">
        <v>109</v>
      </c>
      <c r="C54" s="4"/>
      <c r="D54" s="4" t="s">
        <v>30</v>
      </c>
      <c r="E54" s="4" t="s">
        <v>78</v>
      </c>
      <c r="F54"/>
      <c r="G54">
        <v>402.959</v>
      </c>
      <c r="H54"/>
      <c r="I54">
        <v>353.458</v>
      </c>
      <c r="J54"/>
      <c r="K54">
        <v>312.781</v>
      </c>
      <c r="L54"/>
    </row>
    <row r="55" spans="2:12" ht="12.75">
      <c r="B55" s="4" t="s">
        <v>54</v>
      </c>
      <c r="C55" s="4"/>
      <c r="D55" s="4" t="s">
        <v>30</v>
      </c>
      <c r="E55" s="4" t="s">
        <v>78</v>
      </c>
      <c r="F55"/>
      <c r="G55">
        <v>0.306</v>
      </c>
      <c r="H55"/>
      <c r="I55">
        <v>0.295</v>
      </c>
      <c r="J55"/>
      <c r="K55">
        <v>0.436</v>
      </c>
      <c r="L55"/>
    </row>
    <row r="56" spans="2:12" ht="12.75">
      <c r="B56" s="4" t="s">
        <v>55</v>
      </c>
      <c r="C56" s="4"/>
      <c r="D56" s="4" t="s">
        <v>30</v>
      </c>
      <c r="E56" s="4" t="s">
        <v>78</v>
      </c>
      <c r="F56"/>
      <c r="G56">
        <v>0.167</v>
      </c>
      <c r="H56"/>
      <c r="I56">
        <v>0.161</v>
      </c>
      <c r="J56"/>
      <c r="K56">
        <v>0.163</v>
      </c>
      <c r="L56"/>
    </row>
    <row r="57" spans="2:12" ht="12.75">
      <c r="B57" s="4" t="s">
        <v>56</v>
      </c>
      <c r="C57" s="4"/>
      <c r="D57" s="4" t="s">
        <v>30</v>
      </c>
      <c r="E57" s="4" t="s">
        <v>78</v>
      </c>
      <c r="F57"/>
      <c r="G57">
        <v>19.016</v>
      </c>
      <c r="H57"/>
      <c r="I57">
        <v>18.96</v>
      </c>
      <c r="J57"/>
      <c r="K57">
        <v>17.778</v>
      </c>
      <c r="L57"/>
    </row>
    <row r="58" spans="2:12" ht="12.75">
      <c r="B58" s="4" t="s">
        <v>57</v>
      </c>
      <c r="C58" s="4"/>
      <c r="D58" s="4" t="s">
        <v>30</v>
      </c>
      <c r="E58" s="4" t="s">
        <v>78</v>
      </c>
      <c r="F58"/>
      <c r="G58">
        <v>0.014</v>
      </c>
      <c r="H58"/>
      <c r="I58">
        <v>0.013</v>
      </c>
      <c r="J58"/>
      <c r="K58">
        <v>0.014</v>
      </c>
      <c r="L58"/>
    </row>
    <row r="59" spans="2:12" ht="12.75">
      <c r="B59" s="4" t="s">
        <v>110</v>
      </c>
      <c r="C59" s="4"/>
      <c r="D59" s="4" t="s">
        <v>30</v>
      </c>
      <c r="E59" s="4" t="s">
        <v>78</v>
      </c>
      <c r="F59"/>
      <c r="G59">
        <v>110.584</v>
      </c>
      <c r="H59"/>
      <c r="I59">
        <v>127.293</v>
      </c>
      <c r="J59"/>
      <c r="K59">
        <v>104.578</v>
      </c>
      <c r="L59"/>
    </row>
    <row r="60" spans="2:12" ht="12.75">
      <c r="B60" s="4" t="s">
        <v>58</v>
      </c>
      <c r="C60" s="4"/>
      <c r="D60" s="4" t="s">
        <v>30</v>
      </c>
      <c r="E60" s="4" t="s">
        <v>78</v>
      </c>
      <c r="F60"/>
      <c r="G60">
        <v>0.667</v>
      </c>
      <c r="H60"/>
      <c r="I60">
        <v>0.67</v>
      </c>
      <c r="J60"/>
      <c r="K60">
        <v>0.626</v>
      </c>
      <c r="L60"/>
    </row>
    <row r="61" spans="2:12" ht="12.75">
      <c r="B61" s="4" t="s">
        <v>111</v>
      </c>
      <c r="C61" s="4"/>
      <c r="D61" s="4" t="s">
        <v>30</v>
      </c>
      <c r="E61" s="4" t="s">
        <v>78</v>
      </c>
      <c r="F61"/>
      <c r="G61">
        <v>76.943</v>
      </c>
      <c r="H61"/>
      <c r="I61">
        <v>76.07</v>
      </c>
      <c r="J61"/>
      <c r="K61">
        <v>72.9</v>
      </c>
      <c r="L61"/>
    </row>
    <row r="62" spans="2:12" ht="12.75">
      <c r="B62" s="4" t="s">
        <v>66</v>
      </c>
      <c r="C62" s="4"/>
      <c r="D62" s="4" t="s">
        <v>30</v>
      </c>
      <c r="E62" s="4" t="s">
        <v>78</v>
      </c>
      <c r="F62"/>
      <c r="G62">
        <v>60.068</v>
      </c>
      <c r="H62"/>
      <c r="I62">
        <v>46.61</v>
      </c>
      <c r="J62"/>
      <c r="K62">
        <v>51.2</v>
      </c>
      <c r="L62"/>
    </row>
    <row r="63" spans="2:12" ht="12.75">
      <c r="B63" s="4" t="s">
        <v>112</v>
      </c>
      <c r="C63" s="4"/>
      <c r="D63" s="4" t="s">
        <v>30</v>
      </c>
      <c r="E63" s="4" t="s">
        <v>78</v>
      </c>
      <c r="F63"/>
      <c r="G63">
        <v>0.556</v>
      </c>
      <c r="H63"/>
      <c r="I63">
        <v>0.804</v>
      </c>
      <c r="J63"/>
      <c r="K63">
        <v>0.545</v>
      </c>
      <c r="L63"/>
    </row>
    <row r="64" spans="2:12" ht="12.75">
      <c r="B64" s="4" t="s">
        <v>113</v>
      </c>
      <c r="C64" s="4"/>
      <c r="D64" s="4" t="s">
        <v>30</v>
      </c>
      <c r="E64" s="4" t="s">
        <v>78</v>
      </c>
      <c r="F64"/>
      <c r="G64">
        <v>3.615</v>
      </c>
      <c r="H64"/>
      <c r="I64">
        <v>3.214</v>
      </c>
      <c r="J64"/>
      <c r="K64">
        <v>2.996</v>
      </c>
      <c r="L64"/>
    </row>
    <row r="65" spans="2:12" ht="12.75">
      <c r="B65" s="4" t="s">
        <v>114</v>
      </c>
      <c r="C65" s="4"/>
      <c r="D65" s="4" t="s">
        <v>30</v>
      </c>
      <c r="E65" s="4" t="s">
        <v>78</v>
      </c>
      <c r="F65"/>
      <c r="G65">
        <v>79.521</v>
      </c>
      <c r="H65"/>
      <c r="I65">
        <v>72.741</v>
      </c>
      <c r="J65"/>
      <c r="K65">
        <v>76.84</v>
      </c>
      <c r="L65"/>
    </row>
    <row r="66" spans="2:12" ht="12.75">
      <c r="B66" s="4" t="s">
        <v>53</v>
      </c>
      <c r="C66" s="4"/>
      <c r="D66" s="4" t="s">
        <v>30</v>
      </c>
      <c r="E66" s="4" t="s">
        <v>78</v>
      </c>
      <c r="F66"/>
      <c r="G66">
        <v>0.854</v>
      </c>
      <c r="H66"/>
      <c r="I66">
        <v>0.321</v>
      </c>
      <c r="J66"/>
      <c r="K66">
        <v>0.545</v>
      </c>
      <c r="L66"/>
    </row>
    <row r="67" spans="2:12" ht="12.75">
      <c r="B67" s="4" t="s">
        <v>115</v>
      </c>
      <c r="C67" s="4"/>
      <c r="D67" s="4" t="s">
        <v>30</v>
      </c>
      <c r="E67" s="4" t="s">
        <v>78</v>
      </c>
      <c r="F67"/>
      <c r="G67">
        <v>3.337</v>
      </c>
      <c r="H67"/>
      <c r="I67">
        <v>2.786</v>
      </c>
      <c r="J67"/>
      <c r="K67">
        <v>3.159</v>
      </c>
      <c r="L67"/>
    </row>
    <row r="68" spans="2:12" ht="12.75">
      <c r="B68" s="4" t="s">
        <v>116</v>
      </c>
      <c r="C68" s="4"/>
      <c r="D68" s="4" t="s">
        <v>30</v>
      </c>
      <c r="E68" s="4" t="s">
        <v>78</v>
      </c>
      <c r="F68"/>
      <c r="G68">
        <v>163.798</v>
      </c>
      <c r="H68"/>
      <c r="I68">
        <v>56.248</v>
      </c>
      <c r="J68"/>
      <c r="K68">
        <v>34.745</v>
      </c>
      <c r="L68"/>
    </row>
    <row r="69" spans="2:12" ht="12.75">
      <c r="B69" s="4" t="s">
        <v>117</v>
      </c>
      <c r="C69" s="4"/>
      <c r="D69" s="4" t="s">
        <v>30</v>
      </c>
      <c r="E69" s="4" t="s">
        <v>78</v>
      </c>
      <c r="F69"/>
      <c r="G69">
        <v>99.28</v>
      </c>
      <c r="H69"/>
      <c r="I69">
        <v>95.095</v>
      </c>
      <c r="J69"/>
      <c r="K69">
        <v>104.033</v>
      </c>
      <c r="L69"/>
    </row>
    <row r="70" spans="2:12" ht="12.75">
      <c r="B70" s="4" t="s">
        <v>79</v>
      </c>
      <c r="C70" s="4"/>
      <c r="D70" s="4" t="s">
        <v>30</v>
      </c>
      <c r="E70" s="4" t="s">
        <v>78</v>
      </c>
      <c r="F70"/>
      <c r="G70">
        <v>1.224</v>
      </c>
      <c r="H70"/>
      <c r="I70">
        <v>1.179</v>
      </c>
      <c r="J70"/>
      <c r="K70">
        <v>1.198</v>
      </c>
      <c r="L70"/>
    </row>
    <row r="71" spans="2:12" ht="12.75">
      <c r="B71" s="4" t="s">
        <v>118</v>
      </c>
      <c r="C71" s="4"/>
      <c r="D71" s="4" t="s">
        <v>30</v>
      </c>
      <c r="E71" s="4" t="s">
        <v>78</v>
      </c>
      <c r="F71"/>
      <c r="G71">
        <v>97.889</v>
      </c>
      <c r="H71"/>
      <c r="I71">
        <v>80.63</v>
      </c>
      <c r="J71"/>
      <c r="K71">
        <v>85.242</v>
      </c>
      <c r="L71"/>
    </row>
    <row r="72" spans="2:12" ht="12.75">
      <c r="B72" s="4" t="s">
        <v>59</v>
      </c>
      <c r="C72" s="4"/>
      <c r="D72" s="4" t="s">
        <v>30</v>
      </c>
      <c r="E72" s="4" t="s">
        <v>78</v>
      </c>
      <c r="F72"/>
      <c r="G72">
        <v>19.189</v>
      </c>
      <c r="H72"/>
      <c r="I72">
        <v>11.251</v>
      </c>
      <c r="J72"/>
      <c r="K72">
        <v>13.072</v>
      </c>
      <c r="L72"/>
    </row>
    <row r="73" spans="2:12" ht="12.75">
      <c r="B73" s="4" t="s">
        <v>119</v>
      </c>
      <c r="C73" s="4"/>
      <c r="D73" s="4" t="s">
        <v>30</v>
      </c>
      <c r="E73" s="4" t="s">
        <v>78</v>
      </c>
      <c r="F73"/>
      <c r="G73">
        <v>7276.43</v>
      </c>
      <c r="H73"/>
      <c r="I73">
        <v>6742.878</v>
      </c>
      <c r="J73"/>
      <c r="K73" s="43">
        <v>6864.869</v>
      </c>
      <c r="L73"/>
    </row>
    <row r="74" spans="2:12" ht="12.75">
      <c r="B74" s="4" t="s">
        <v>120</v>
      </c>
      <c r="C74" s="4"/>
      <c r="D74" s="4" t="s">
        <v>30</v>
      </c>
      <c r="E74" s="4" t="s">
        <v>78</v>
      </c>
      <c r="F74"/>
      <c r="G74">
        <v>520.037</v>
      </c>
      <c r="H74"/>
      <c r="I74">
        <v>420.56</v>
      </c>
      <c r="J74"/>
      <c r="K74">
        <v>484.763</v>
      </c>
      <c r="L74"/>
    </row>
    <row r="75" spans="2:12" ht="12.75">
      <c r="B75" s="4" t="s">
        <v>80</v>
      </c>
      <c r="C75" s="4"/>
      <c r="D75" s="4" t="s">
        <v>30</v>
      </c>
      <c r="E75" s="4" t="s">
        <v>78</v>
      </c>
      <c r="F75"/>
      <c r="G75">
        <v>0.306</v>
      </c>
      <c r="H75"/>
      <c r="I75">
        <v>0.295</v>
      </c>
      <c r="J75"/>
      <c r="K75">
        <v>0.3</v>
      </c>
      <c r="L75"/>
    </row>
    <row r="76" spans="2:12" ht="12.75">
      <c r="B76" s="4" t="s">
        <v>60</v>
      </c>
      <c r="C76" s="4"/>
      <c r="D76" s="4" t="s">
        <v>30</v>
      </c>
      <c r="E76" s="4" t="s">
        <v>78</v>
      </c>
      <c r="F76"/>
      <c r="G76">
        <v>0.362</v>
      </c>
      <c r="H76"/>
      <c r="I76">
        <v>0.241</v>
      </c>
      <c r="J76"/>
      <c r="K76">
        <v>0.245</v>
      </c>
      <c r="L76"/>
    </row>
    <row r="77" spans="2:12" ht="12.75">
      <c r="B77" s="4" t="s">
        <v>121</v>
      </c>
      <c r="C77" s="4"/>
      <c r="D77" s="4" t="s">
        <v>30</v>
      </c>
      <c r="E77" s="4" t="s">
        <v>78</v>
      </c>
      <c r="F77"/>
      <c r="G77">
        <v>1057.552</v>
      </c>
      <c r="H77"/>
      <c r="I77">
        <v>858.358</v>
      </c>
      <c r="J77"/>
      <c r="K77">
        <v>1047.687</v>
      </c>
      <c r="L77" s="15"/>
    </row>
    <row r="78" spans="2:12" ht="12.75">
      <c r="B78" s="4" t="s">
        <v>122</v>
      </c>
      <c r="C78" s="4"/>
      <c r="D78" s="4" t="s">
        <v>30</v>
      </c>
      <c r="E78" s="4" t="s">
        <v>78</v>
      </c>
      <c r="F78"/>
      <c r="G78">
        <v>0.834</v>
      </c>
      <c r="H78"/>
      <c r="I78">
        <v>0.804</v>
      </c>
      <c r="J78"/>
      <c r="K78">
        <v>0.817</v>
      </c>
      <c r="L78" s="15"/>
    </row>
    <row r="79" spans="2:12" ht="12.75">
      <c r="B79" s="4" t="s">
        <v>123</v>
      </c>
      <c r="C79" s="4"/>
      <c r="D79" s="4" t="s">
        <v>30</v>
      </c>
      <c r="E79" s="4" t="s">
        <v>78</v>
      </c>
      <c r="F79"/>
      <c r="G79">
        <v>0.306</v>
      </c>
      <c r="H79"/>
      <c r="I79">
        <v>0.295</v>
      </c>
      <c r="J79"/>
      <c r="K79">
        <v>0.3</v>
      </c>
      <c r="L79" s="15"/>
    </row>
    <row r="80" spans="2:12" ht="12.75">
      <c r="B80" s="4" t="s">
        <v>124</v>
      </c>
      <c r="C80" s="4"/>
      <c r="D80" s="4" t="s">
        <v>30</v>
      </c>
      <c r="E80" s="4" t="s">
        <v>78</v>
      </c>
      <c r="F80"/>
      <c r="G80">
        <v>3.337</v>
      </c>
      <c r="H80"/>
      <c r="I80">
        <v>3.75</v>
      </c>
      <c r="J80"/>
      <c r="K80">
        <v>3.268</v>
      </c>
      <c r="L80" s="15"/>
    </row>
    <row r="81" spans="2:12" ht="12.75">
      <c r="B81" s="4" t="s">
        <v>125</v>
      </c>
      <c r="C81" s="4"/>
      <c r="D81" s="4" t="s">
        <v>30</v>
      </c>
      <c r="E81" s="4" t="s">
        <v>78</v>
      </c>
      <c r="F81"/>
      <c r="G81">
        <v>1.669</v>
      </c>
      <c r="H81"/>
      <c r="I81">
        <v>1.607</v>
      </c>
      <c r="J81"/>
      <c r="K81">
        <v>1.634</v>
      </c>
      <c r="L81" s="15"/>
    </row>
    <row r="82" spans="2:12" ht="12.75">
      <c r="B82" s="4" t="s">
        <v>126</v>
      </c>
      <c r="C82" s="4"/>
      <c r="D82" s="4" t="s">
        <v>30</v>
      </c>
      <c r="E82" s="4" t="s">
        <v>78</v>
      </c>
      <c r="F82"/>
      <c r="G82">
        <v>3.059</v>
      </c>
      <c r="H82"/>
      <c r="I82">
        <v>2.947</v>
      </c>
      <c r="J82"/>
      <c r="K82">
        <v>2.996</v>
      </c>
      <c r="L82" s="15"/>
    </row>
    <row r="83" spans="2:12" ht="12.75">
      <c r="B83" s="4" t="s">
        <v>68</v>
      </c>
      <c r="C83" s="4"/>
      <c r="D83" s="4" t="s">
        <v>30</v>
      </c>
      <c r="E83" s="4" t="s">
        <v>78</v>
      </c>
      <c r="F83"/>
      <c r="G83">
        <v>9.227</v>
      </c>
      <c r="H83"/>
      <c r="I83">
        <v>11.829</v>
      </c>
      <c r="J83"/>
      <c r="K83">
        <v>15.009</v>
      </c>
      <c r="L83" s="15"/>
    </row>
    <row r="84" spans="2:12" ht="12.75">
      <c r="B84" s="45" t="s">
        <v>163</v>
      </c>
      <c r="C84" s="4"/>
      <c r="D84" s="4" t="s">
        <v>30</v>
      </c>
      <c r="E84" s="4" t="s">
        <v>78</v>
      </c>
      <c r="F84"/>
      <c r="G84" s="13">
        <v>14.9</v>
      </c>
      <c r="H84"/>
      <c r="I84">
        <v>15.2</v>
      </c>
      <c r="J84"/>
      <c r="K84">
        <v>23</v>
      </c>
      <c r="L84" s="15"/>
    </row>
    <row r="85" spans="2:13" ht="12.75">
      <c r="B85" s="4"/>
      <c r="C85" s="4"/>
      <c r="F85"/>
      <c r="G85"/>
      <c r="H85"/>
      <c r="I85"/>
      <c r="J85"/>
      <c r="K85"/>
      <c r="L85" s="15"/>
      <c r="M85" s="36"/>
    </row>
    <row r="86" spans="2:13" ht="12.75">
      <c r="B86" s="4"/>
      <c r="C86" s="4"/>
      <c r="F86"/>
      <c r="G86"/>
      <c r="H86"/>
      <c r="I86"/>
      <c r="J86"/>
      <c r="K86"/>
      <c r="L86" s="15"/>
      <c r="M86" s="36"/>
    </row>
    <row r="87" spans="2:13" ht="12.75">
      <c r="B87" s="4" t="s">
        <v>67</v>
      </c>
      <c r="C87" s="4" t="s">
        <v>145</v>
      </c>
      <c r="D87" s="4" t="s">
        <v>159</v>
      </c>
      <c r="F87"/>
      <c r="G87"/>
      <c r="H87"/>
      <c r="I87"/>
      <c r="J87"/>
      <c r="K87"/>
      <c r="L87" s="15"/>
      <c r="M87" s="21"/>
    </row>
    <row r="88" spans="2:13" ht="12.75">
      <c r="B88" s="4" t="s">
        <v>52</v>
      </c>
      <c r="C88" s="4"/>
      <c r="D88" s="4" t="s">
        <v>17</v>
      </c>
      <c r="F88"/>
      <c r="G88">
        <v>16466</v>
      </c>
      <c r="H88"/>
      <c r="I88">
        <v>17545</v>
      </c>
      <c r="J88"/>
      <c r="K88">
        <v>17116</v>
      </c>
      <c r="L88" s="15"/>
      <c r="M88" s="20">
        <f>AVERAGE(K88,I88,G88)</f>
        <v>17042.333333333332</v>
      </c>
    </row>
    <row r="89" spans="2:13" ht="12.75">
      <c r="B89" s="4" t="s">
        <v>64</v>
      </c>
      <c r="C89" s="4"/>
      <c r="D89" s="4" t="s">
        <v>18</v>
      </c>
      <c r="F89"/>
      <c r="G89">
        <v>5.1</v>
      </c>
      <c r="H89"/>
      <c r="I89">
        <v>5.06</v>
      </c>
      <c r="J89"/>
      <c r="K89">
        <v>4.93</v>
      </c>
      <c r="M89" s="21">
        <f>AVERAGE(K89,I89,G89)</f>
        <v>5.029999999999999</v>
      </c>
    </row>
    <row r="90" spans="2:13" ht="12.75">
      <c r="B90" s="4" t="s">
        <v>65</v>
      </c>
      <c r="C90" s="4"/>
      <c r="D90" s="4" t="s">
        <v>18</v>
      </c>
      <c r="F90"/>
      <c r="G90">
        <v>15.06</v>
      </c>
      <c r="H90"/>
      <c r="I90">
        <v>15.13</v>
      </c>
      <c r="J90"/>
      <c r="K90">
        <v>14.42</v>
      </c>
      <c r="M90" s="20">
        <f>AVERAGE(K90,I90,G90)</f>
        <v>14.87</v>
      </c>
    </row>
    <row r="91" spans="2:13" ht="12.75">
      <c r="B91" s="4" t="s">
        <v>51</v>
      </c>
      <c r="C91" s="4"/>
      <c r="D91" s="4" t="s">
        <v>19</v>
      </c>
      <c r="F91"/>
      <c r="G91">
        <v>158</v>
      </c>
      <c r="H91"/>
      <c r="I91">
        <v>158</v>
      </c>
      <c r="J91"/>
      <c r="K91">
        <v>160</v>
      </c>
      <c r="M91" s="20">
        <f>AVERAGE(K91,I91,G91)</f>
        <v>158.66666666666666</v>
      </c>
    </row>
    <row r="92" spans="2:12" ht="12.75">
      <c r="B92" s="4"/>
      <c r="C92" s="4"/>
      <c r="F92"/>
      <c r="G92"/>
      <c r="H92"/>
      <c r="I92"/>
      <c r="J92"/>
      <c r="K92"/>
      <c r="L92" s="15"/>
    </row>
    <row r="93" spans="2:12" ht="12.75">
      <c r="B93" s="4" t="s">
        <v>67</v>
      </c>
      <c r="C93" s="4" t="s">
        <v>108</v>
      </c>
      <c r="D93" s="4" t="s">
        <v>160</v>
      </c>
      <c r="F93"/>
      <c r="G93"/>
      <c r="H93"/>
      <c r="I93"/>
      <c r="J93"/>
      <c r="K93"/>
      <c r="L93" s="15"/>
    </row>
    <row r="94" spans="2:18" ht="12.75">
      <c r="B94" s="4" t="s">
        <v>52</v>
      </c>
      <c r="C94" s="4"/>
      <c r="D94" s="4" t="s">
        <v>17</v>
      </c>
      <c r="F94"/>
      <c r="G94">
        <v>15893</v>
      </c>
      <c r="H94"/>
      <c r="I94">
        <v>16135</v>
      </c>
      <c r="J94"/>
      <c r="K94">
        <v>16251</v>
      </c>
      <c r="M94" s="20">
        <f>AVERAGE(K94,I94,G94)</f>
        <v>16093</v>
      </c>
      <c r="R94" s="15"/>
    </row>
    <row r="95" spans="2:13" ht="12.75">
      <c r="B95" s="4" t="s">
        <v>64</v>
      </c>
      <c r="C95" s="4"/>
      <c r="D95" s="4" t="s">
        <v>18</v>
      </c>
      <c r="F95"/>
      <c r="G95">
        <v>3.71</v>
      </c>
      <c r="H95"/>
      <c r="I95">
        <v>4.77</v>
      </c>
      <c r="J95"/>
      <c r="K95">
        <v>5.02</v>
      </c>
      <c r="M95" s="20">
        <f>AVERAGE(K95,I95,G95)</f>
        <v>4.5</v>
      </c>
    </row>
    <row r="96" spans="2:13" ht="12.75">
      <c r="B96" s="4" t="s">
        <v>65</v>
      </c>
      <c r="C96" s="4"/>
      <c r="D96" s="4" t="s">
        <v>18</v>
      </c>
      <c r="F96"/>
      <c r="G96">
        <v>15.16</v>
      </c>
      <c r="H96"/>
      <c r="I96">
        <v>14.3</v>
      </c>
      <c r="J96"/>
      <c r="K96">
        <v>12.24</v>
      </c>
      <c r="M96" s="20">
        <f>AVERAGE(K96,I96,G96)</f>
        <v>13.9</v>
      </c>
    </row>
    <row r="97" spans="2:13" ht="12.75">
      <c r="B97" s="4" t="s">
        <v>51</v>
      </c>
      <c r="C97" s="4"/>
      <c r="D97" s="4" t="s">
        <v>19</v>
      </c>
      <c r="F97"/>
      <c r="G97">
        <v>161</v>
      </c>
      <c r="H97"/>
      <c r="I97">
        <v>159</v>
      </c>
      <c r="J97"/>
      <c r="K97">
        <v>159</v>
      </c>
      <c r="M97" s="20">
        <f>AVERAGE(K97,I97,G97)</f>
        <v>159.66666666666666</v>
      </c>
    </row>
    <row r="98" spans="2:13" ht="12.75">
      <c r="B98" s="4"/>
      <c r="C98" s="4"/>
      <c r="F98"/>
      <c r="G98"/>
      <c r="H98"/>
      <c r="I98"/>
      <c r="J98"/>
      <c r="K98"/>
      <c r="M98" s="20"/>
    </row>
    <row r="99" spans="2:13" ht="12.75">
      <c r="B99" s="4" t="s">
        <v>67</v>
      </c>
      <c r="C99" s="4" t="s">
        <v>127</v>
      </c>
      <c r="D99" s="4" t="s">
        <v>162</v>
      </c>
      <c r="F99"/>
      <c r="G99"/>
      <c r="H99"/>
      <c r="I99"/>
      <c r="J99"/>
      <c r="K99"/>
      <c r="L99" s="15"/>
      <c r="M99" s="21"/>
    </row>
    <row r="100" spans="2:13" ht="12.75">
      <c r="B100" s="4" t="s">
        <v>52</v>
      </c>
      <c r="C100" s="4"/>
      <c r="D100" s="4" t="s">
        <v>17</v>
      </c>
      <c r="F100"/>
      <c r="G100">
        <v>15634</v>
      </c>
      <c r="H100"/>
      <c r="I100">
        <v>16699</v>
      </c>
      <c r="J100"/>
      <c r="K100">
        <v>16071</v>
      </c>
      <c r="L100" s="15"/>
      <c r="M100" s="20">
        <f>AVERAGE(K100,I100,G100)</f>
        <v>16134.666666666666</v>
      </c>
    </row>
    <row r="101" spans="2:13" ht="12.75">
      <c r="B101" s="4" t="s">
        <v>64</v>
      </c>
      <c r="C101" s="4"/>
      <c r="D101" s="4" t="s">
        <v>18</v>
      </c>
      <c r="F101"/>
      <c r="G101">
        <v>3.7</v>
      </c>
      <c r="H101"/>
      <c r="I101">
        <v>5</v>
      </c>
      <c r="J101"/>
      <c r="K101">
        <v>4.6</v>
      </c>
      <c r="M101" s="20">
        <f>AVERAGE(K101,I101,G101)</f>
        <v>4.433333333333334</v>
      </c>
    </row>
    <row r="102" spans="2:13" ht="12.75">
      <c r="B102" s="4" t="s">
        <v>65</v>
      </c>
      <c r="C102" s="4"/>
      <c r="D102" s="4" t="s">
        <v>18</v>
      </c>
      <c r="F102"/>
      <c r="G102">
        <v>14.61</v>
      </c>
      <c r="H102"/>
      <c r="I102">
        <v>13.2</v>
      </c>
      <c r="J102"/>
      <c r="K102">
        <v>12.98</v>
      </c>
      <c r="M102" s="20">
        <f>AVERAGE(K102,I102,G102)</f>
        <v>13.596666666666666</v>
      </c>
    </row>
    <row r="103" spans="2:13" ht="12.75">
      <c r="B103" s="4" t="s">
        <v>51</v>
      </c>
      <c r="C103" s="4"/>
      <c r="D103" s="4" t="s">
        <v>19</v>
      </c>
      <c r="F103"/>
      <c r="G103">
        <v>160</v>
      </c>
      <c r="H103"/>
      <c r="I103">
        <v>96</v>
      </c>
      <c r="J103"/>
      <c r="K103">
        <v>87</v>
      </c>
      <c r="M103" s="20">
        <f>AVERAGE(K103,I103,G103)</f>
        <v>114.33333333333333</v>
      </c>
    </row>
    <row r="104" spans="2:13" ht="12.75">
      <c r="B104" s="4"/>
      <c r="C104" s="4"/>
      <c r="F104"/>
      <c r="G104"/>
      <c r="H104"/>
      <c r="I104"/>
      <c r="J104"/>
      <c r="K104"/>
      <c r="M104" s="20"/>
    </row>
    <row r="105" spans="2:19" ht="12.75">
      <c r="B105" s="4" t="s">
        <v>76</v>
      </c>
      <c r="C105" s="4" t="s">
        <v>159</v>
      </c>
      <c r="D105" s="9" t="s">
        <v>16</v>
      </c>
      <c r="E105" s="9" t="s">
        <v>15</v>
      </c>
      <c r="F105"/>
      <c r="G105" s="29">
        <f>G47*(21-7)/(21-G$89)</f>
        <v>0.44025157232704404</v>
      </c>
      <c r="H105"/>
      <c r="I105" s="29">
        <f>I47*(21-7)/(21-I$89)</f>
        <v>0.17565872020075282</v>
      </c>
      <c r="J105"/>
      <c r="K105" s="29">
        <f>K47*(21-7)/(21-K$89)</f>
        <v>0.08711885500933417</v>
      </c>
      <c r="M105" s="20">
        <f>AVERAGE(K105,I105,G105)</f>
        <v>0.2343430491790437</v>
      </c>
      <c r="O105" s="29"/>
      <c r="Q105" s="29"/>
      <c r="S105" s="29"/>
    </row>
    <row r="106" spans="2:19" ht="12.75">
      <c r="B106" s="4" t="s">
        <v>75</v>
      </c>
      <c r="C106" s="4" t="s">
        <v>159</v>
      </c>
      <c r="D106" s="9" t="s">
        <v>16</v>
      </c>
      <c r="E106" s="9" t="s">
        <v>15</v>
      </c>
      <c r="F106" s="9"/>
      <c r="G106" s="29">
        <f>G48*(21-7)/(21-G$89)</f>
        <v>260.10062893081755</v>
      </c>
      <c r="H106" s="29"/>
      <c r="I106" s="29">
        <f>I48*(21-7)/(21-I$89)</f>
        <v>258.8331242158093</v>
      </c>
      <c r="J106" s="29"/>
      <c r="K106" s="29">
        <f>K48*(21-7)/(21-K$89)</f>
        <v>255.60672059738638</v>
      </c>
      <c r="L106" s="15"/>
      <c r="M106" s="20">
        <f>AVERAGE(K106,I106,G106)</f>
        <v>258.1801579146711</v>
      </c>
      <c r="O106" s="29"/>
      <c r="Q106" s="29"/>
      <c r="S106" s="29"/>
    </row>
    <row r="107" spans="2:19" ht="12.75">
      <c r="B107" s="4" t="s">
        <v>77</v>
      </c>
      <c r="C107" s="4" t="s">
        <v>159</v>
      </c>
      <c r="D107" s="9" t="s">
        <v>16</v>
      </c>
      <c r="E107" s="9" t="s">
        <v>15</v>
      </c>
      <c r="F107" s="9"/>
      <c r="G107" s="29">
        <f>G49*(21-7)/(21-G$89)</f>
        <v>0.08805031446540881</v>
      </c>
      <c r="H107" s="29"/>
      <c r="I107" s="29">
        <f>I49*(21-7)/(21-I$89)</f>
        <v>0.08782936010037641</v>
      </c>
      <c r="J107" s="29"/>
      <c r="K107" s="29">
        <f>K49*(21-7)/(21-K$89)</f>
        <v>0.17423771001866833</v>
      </c>
      <c r="L107" s="15"/>
      <c r="M107" s="20">
        <f>AVERAGE(K107,I107,G107)</f>
        <v>0.11670579486148451</v>
      </c>
      <c r="O107" s="29"/>
      <c r="Q107" s="29"/>
      <c r="S107" s="29"/>
    </row>
    <row r="109" spans="2:13" ht="12.75">
      <c r="B109" s="4" t="s">
        <v>24</v>
      </c>
      <c r="C109" s="4" t="s">
        <v>159</v>
      </c>
      <c r="D109" s="9" t="s">
        <v>16</v>
      </c>
      <c r="E109" s="4" t="s">
        <v>15</v>
      </c>
      <c r="F109"/>
      <c r="G109" s="43">
        <f>G51*454/60/0.0283/G$88*(21-7)/(21-G$89)*667.8</f>
        <v>0.22914934682839336</v>
      </c>
      <c r="H109"/>
      <c r="I109" s="43">
        <f>I51*454/60/0.0283/I$88*(21-7)/(21-I$89)*667.8</f>
        <v>0.16893231436168143</v>
      </c>
      <c r="J109"/>
      <c r="K109" s="43">
        <f>K51*454/60/0.0283/K$88*(21-7)/(21-K$89)*667.8</f>
        <v>0.16813037869380196</v>
      </c>
      <c r="L109" s="15"/>
      <c r="M109" s="20">
        <f>AVERAGE(K109,I109,G109)</f>
        <v>0.18873734662795894</v>
      </c>
    </row>
    <row r="110" spans="2:13" ht="12.75">
      <c r="B110" s="4" t="s">
        <v>25</v>
      </c>
      <c r="C110" s="4" t="s">
        <v>159</v>
      </c>
      <c r="D110" s="9" t="s">
        <v>16</v>
      </c>
      <c r="E110" s="4" t="s">
        <v>15</v>
      </c>
      <c r="F110"/>
      <c r="G110" s="43">
        <f>G52*454/60/0.0283/G$88*(21-7)/(21-G$89)*343.4</f>
        <v>109.8119436698653</v>
      </c>
      <c r="H110"/>
      <c r="I110" s="43">
        <f>I52*454/60/0.0283/I$88*(21-7)/(21-I$89)*343.4</f>
        <v>2.7071984869223145</v>
      </c>
      <c r="J110"/>
      <c r="K110" s="43">
        <f>K52*454/60/0.0283/K$88*(21-7)/(21-K$89)*343.4</f>
        <v>2.962904112377741</v>
      </c>
      <c r="L110" s="15"/>
      <c r="M110" s="20">
        <f>AVERAGE(K110,I110,G110)</f>
        <v>38.49401542305512</v>
      </c>
    </row>
    <row r="111" spans="2:13" ht="12.75">
      <c r="B111" s="4" t="s">
        <v>161</v>
      </c>
      <c r="C111" s="4" t="s">
        <v>159</v>
      </c>
      <c r="D111" s="9" t="s">
        <v>16</v>
      </c>
      <c r="E111" s="4" t="s">
        <v>15</v>
      </c>
      <c r="F111"/>
      <c r="G111" s="2">
        <f>G110*2+G109</f>
        <v>219.853036686559</v>
      </c>
      <c r="H111"/>
      <c r="I111" s="2">
        <f>I110*2+I109</f>
        <v>5.58332928820631</v>
      </c>
      <c r="J111"/>
      <c r="K111" s="2">
        <f>K110*2+K109</f>
        <v>6.093938603449284</v>
      </c>
      <c r="L111" s="15"/>
      <c r="M111" s="20">
        <f>AVERAGE(K111,I111,G111)</f>
        <v>77.1767681927382</v>
      </c>
    </row>
    <row r="113" spans="2:13" ht="12.75">
      <c r="B113" s="4" t="s">
        <v>109</v>
      </c>
      <c r="C113" s="4" t="s">
        <v>160</v>
      </c>
      <c r="D113" s="4" t="s">
        <v>30</v>
      </c>
      <c r="E113" s="4" t="s">
        <v>15</v>
      </c>
      <c r="G113" s="20">
        <f>G54*(21-7)/(21-I$95)</f>
        <v>347.592483056069</v>
      </c>
      <c r="I113" s="20">
        <f>I54*(21-7)/(21-K$95)</f>
        <v>309.6628285356696</v>
      </c>
      <c r="K113" s="20">
        <f>K54*(21-7)/(21-M$95)</f>
        <v>265.3899393939394</v>
      </c>
      <c r="M113" s="20">
        <f aca="true" t="shared" si="0" ref="M113:M128">AVERAGE(K113,I113,G113)</f>
        <v>307.548416995226</v>
      </c>
    </row>
    <row r="114" spans="2:13" ht="12.75">
      <c r="B114" s="4" t="s">
        <v>54</v>
      </c>
      <c r="C114" s="4" t="s">
        <v>160</v>
      </c>
      <c r="D114" s="4" t="s">
        <v>30</v>
      </c>
      <c r="E114" s="4" t="s">
        <v>15</v>
      </c>
      <c r="G114" s="20">
        <f aca="true" t="shared" si="1" ref="G114:K143">G55*(21-7)/(21-I$95)</f>
        <v>0.2639556377079482</v>
      </c>
      <c r="I114" s="20">
        <f t="shared" si="1"/>
        <v>0.25844806007509386</v>
      </c>
      <c r="K114" s="20">
        <f t="shared" si="1"/>
        <v>0.36993939393939396</v>
      </c>
      <c r="M114" s="20">
        <f t="shared" si="0"/>
        <v>0.297447697240812</v>
      </c>
    </row>
    <row r="115" spans="2:13" ht="12.75">
      <c r="B115" s="4" t="s">
        <v>55</v>
      </c>
      <c r="C115" s="4" t="s">
        <v>160</v>
      </c>
      <c r="D115" s="4" t="s">
        <v>30</v>
      </c>
      <c r="E115" s="4" t="s">
        <v>15</v>
      </c>
      <c r="G115" s="20">
        <f t="shared" si="1"/>
        <v>0.14405422057917436</v>
      </c>
      <c r="I115" s="20">
        <f t="shared" si="1"/>
        <v>0.14105131414267835</v>
      </c>
      <c r="K115" s="20">
        <f t="shared" si="1"/>
        <v>0.13830303030303032</v>
      </c>
      <c r="M115" s="20">
        <f t="shared" si="0"/>
        <v>0.14113618834162767</v>
      </c>
    </row>
    <row r="116" spans="2:13" ht="12.75">
      <c r="B116" s="4" t="s">
        <v>56</v>
      </c>
      <c r="C116" s="4" t="s">
        <v>160</v>
      </c>
      <c r="D116" s="4" t="s">
        <v>30</v>
      </c>
      <c r="E116" s="4" t="s">
        <v>15</v>
      </c>
      <c r="G116" s="20">
        <f t="shared" si="1"/>
        <v>16.403203943314846</v>
      </c>
      <c r="I116" s="20">
        <f t="shared" si="1"/>
        <v>16.610763454317897</v>
      </c>
      <c r="K116" s="20">
        <f t="shared" si="1"/>
        <v>15.084363636363635</v>
      </c>
      <c r="M116" s="20">
        <f t="shared" si="0"/>
        <v>16.032777011332126</v>
      </c>
    </row>
    <row r="117" spans="2:13" ht="12.75">
      <c r="B117" s="4" t="s">
        <v>57</v>
      </c>
      <c r="C117" s="4" t="s">
        <v>160</v>
      </c>
      <c r="D117" s="4" t="s">
        <v>30</v>
      </c>
      <c r="E117" s="4" t="s">
        <v>15</v>
      </c>
      <c r="G117" s="20">
        <f t="shared" si="1"/>
        <v>0.012076401725200246</v>
      </c>
      <c r="I117" s="20">
        <f t="shared" si="1"/>
        <v>0.011389236545682102</v>
      </c>
      <c r="K117" s="20">
        <f t="shared" si="1"/>
        <v>0.01187878787878788</v>
      </c>
      <c r="M117" s="20">
        <f t="shared" si="0"/>
        <v>0.01178147538322341</v>
      </c>
    </row>
    <row r="118" spans="2:13" ht="12.75">
      <c r="B118" s="4" t="s">
        <v>110</v>
      </c>
      <c r="C118" s="4" t="s">
        <v>160</v>
      </c>
      <c r="D118" s="4" t="s">
        <v>30</v>
      </c>
      <c r="E118" s="4" t="s">
        <v>15</v>
      </c>
      <c r="G118" s="20">
        <f t="shared" si="1"/>
        <v>95.38977202711028</v>
      </c>
      <c r="I118" s="20">
        <f t="shared" si="1"/>
        <v>111.52077596996246</v>
      </c>
      <c r="K118" s="20">
        <f t="shared" si="1"/>
        <v>88.73284848484849</v>
      </c>
      <c r="M118" s="20">
        <f t="shared" si="0"/>
        <v>98.54779882730708</v>
      </c>
    </row>
    <row r="119" spans="2:13" ht="12.75">
      <c r="B119" s="4" t="s">
        <v>58</v>
      </c>
      <c r="C119" s="4" t="s">
        <v>160</v>
      </c>
      <c r="D119" s="4" t="s">
        <v>30</v>
      </c>
      <c r="E119" s="4" t="s">
        <v>15</v>
      </c>
      <c r="G119" s="20">
        <f t="shared" si="1"/>
        <v>0.575354282193469</v>
      </c>
      <c r="I119" s="20">
        <f t="shared" si="1"/>
        <v>0.5869837296620777</v>
      </c>
      <c r="K119" s="20">
        <f t="shared" si="1"/>
        <v>0.5311515151515152</v>
      </c>
      <c r="M119" s="20">
        <f t="shared" si="0"/>
        <v>0.5644965090023539</v>
      </c>
    </row>
    <row r="120" spans="2:13" ht="12.75">
      <c r="B120" s="4" t="s">
        <v>111</v>
      </c>
      <c r="C120" s="4" t="s">
        <v>160</v>
      </c>
      <c r="D120" s="4" t="s">
        <v>30</v>
      </c>
      <c r="E120" s="4" t="s">
        <v>15</v>
      </c>
      <c r="G120" s="20">
        <f t="shared" si="1"/>
        <v>66.37104128157732</v>
      </c>
      <c r="I120" s="20">
        <f t="shared" si="1"/>
        <v>66.64455569461828</v>
      </c>
      <c r="K120" s="20">
        <f t="shared" si="1"/>
        <v>61.854545454545466</v>
      </c>
      <c r="M120" s="20">
        <f t="shared" si="0"/>
        <v>64.95671414358036</v>
      </c>
    </row>
    <row r="121" spans="2:13" ht="12.75">
      <c r="B121" s="4" t="s">
        <v>66</v>
      </c>
      <c r="C121" s="4" t="s">
        <v>160</v>
      </c>
      <c r="D121" s="4" t="s">
        <v>30</v>
      </c>
      <c r="E121" s="4" t="s">
        <v>15</v>
      </c>
      <c r="G121" s="20">
        <f t="shared" si="1"/>
        <v>51.81466420209488</v>
      </c>
      <c r="I121" s="20">
        <f t="shared" si="1"/>
        <v>40.83479349186483</v>
      </c>
      <c r="K121" s="20">
        <f t="shared" si="1"/>
        <v>43.442424242424245</v>
      </c>
      <c r="M121" s="20">
        <f t="shared" si="0"/>
        <v>45.363960645461326</v>
      </c>
    </row>
    <row r="122" spans="2:13" ht="12.75">
      <c r="B122" s="4" t="s">
        <v>112</v>
      </c>
      <c r="C122" s="4" t="s">
        <v>160</v>
      </c>
      <c r="D122" s="4" t="s">
        <v>30</v>
      </c>
      <c r="E122" s="4" t="s">
        <v>15</v>
      </c>
      <c r="G122" s="20">
        <f t="shared" si="1"/>
        <v>0.4796056685150955</v>
      </c>
      <c r="I122" s="20">
        <f t="shared" si="1"/>
        <v>0.7043804755944931</v>
      </c>
      <c r="K122" s="20">
        <f t="shared" si="1"/>
        <v>0.46242424242424246</v>
      </c>
      <c r="M122" s="20">
        <f t="shared" si="0"/>
        <v>0.5488034621779437</v>
      </c>
    </row>
    <row r="123" spans="2:13" ht="12.75">
      <c r="B123" s="4" t="s">
        <v>113</v>
      </c>
      <c r="C123" s="4" t="s">
        <v>160</v>
      </c>
      <c r="D123" s="4" t="s">
        <v>30</v>
      </c>
      <c r="E123" s="4" t="s">
        <v>15</v>
      </c>
      <c r="G123" s="20">
        <f t="shared" si="1"/>
        <v>3.118299445471349</v>
      </c>
      <c r="I123" s="20">
        <f t="shared" si="1"/>
        <v>2.8157697121401752</v>
      </c>
      <c r="K123" s="20">
        <f t="shared" si="1"/>
        <v>2.5420606060606064</v>
      </c>
      <c r="M123" s="20">
        <f t="shared" si="0"/>
        <v>2.8253765878907102</v>
      </c>
    </row>
    <row r="124" spans="2:13" ht="12.75">
      <c r="B124" s="4" t="s">
        <v>114</v>
      </c>
      <c r="C124" s="4" t="s">
        <v>160</v>
      </c>
      <c r="D124" s="4" t="s">
        <v>30</v>
      </c>
      <c r="E124" s="4" t="s">
        <v>15</v>
      </c>
      <c r="G124" s="20">
        <f t="shared" si="1"/>
        <v>68.59482439926063</v>
      </c>
      <c r="I124" s="20">
        <f t="shared" si="1"/>
        <v>63.72803504380476</v>
      </c>
      <c r="K124" s="20">
        <f t="shared" si="1"/>
        <v>65.19757575757576</v>
      </c>
      <c r="M124" s="20">
        <f t="shared" si="0"/>
        <v>65.84014506688038</v>
      </c>
    </row>
    <row r="125" spans="2:13" ht="12.75">
      <c r="B125" s="4" t="s">
        <v>53</v>
      </c>
      <c r="C125" s="4" t="s">
        <v>160</v>
      </c>
      <c r="D125" s="4" t="s">
        <v>30</v>
      </c>
      <c r="E125" s="4" t="s">
        <v>15</v>
      </c>
      <c r="G125" s="20">
        <f t="shared" si="1"/>
        <v>0.7366605052372149</v>
      </c>
      <c r="I125" s="20">
        <f t="shared" si="1"/>
        <v>0.28122653316645807</v>
      </c>
      <c r="K125" s="20">
        <f t="shared" si="1"/>
        <v>0.46242424242424246</v>
      </c>
      <c r="M125" s="20">
        <f t="shared" si="0"/>
        <v>0.49343709360930516</v>
      </c>
    </row>
    <row r="126" spans="2:13" ht="12.75">
      <c r="B126" s="4" t="s">
        <v>115</v>
      </c>
      <c r="C126" s="4" t="s">
        <v>160</v>
      </c>
      <c r="D126" s="4" t="s">
        <v>30</v>
      </c>
      <c r="E126" s="4" t="s">
        <v>15</v>
      </c>
      <c r="G126" s="20">
        <f t="shared" si="1"/>
        <v>2.878496611213802</v>
      </c>
      <c r="I126" s="20">
        <f t="shared" si="1"/>
        <v>2.440801001251564</v>
      </c>
      <c r="K126" s="20">
        <f t="shared" si="1"/>
        <v>2.6803636363636363</v>
      </c>
      <c r="M126" s="20">
        <f t="shared" si="0"/>
        <v>2.666553749609667</v>
      </c>
    </row>
    <row r="127" spans="2:13" ht="12.75">
      <c r="B127" s="4" t="s">
        <v>116</v>
      </c>
      <c r="C127" s="4" t="s">
        <v>160</v>
      </c>
      <c r="D127" s="4" t="s">
        <v>30</v>
      </c>
      <c r="E127" s="4" t="s">
        <v>15</v>
      </c>
      <c r="G127" s="20">
        <f t="shared" si="1"/>
        <v>141.29217498459641</v>
      </c>
      <c r="I127" s="20">
        <f t="shared" si="1"/>
        <v>49.27859824780976</v>
      </c>
      <c r="K127" s="20">
        <f t="shared" si="1"/>
        <v>29.480606060606057</v>
      </c>
      <c r="M127" s="20">
        <f t="shared" si="0"/>
        <v>73.35045976433742</v>
      </c>
    </row>
    <row r="128" spans="2:13" ht="12.75">
      <c r="B128" s="4" t="s">
        <v>117</v>
      </c>
      <c r="C128" s="4" t="s">
        <v>160</v>
      </c>
      <c r="D128" s="4" t="s">
        <v>30</v>
      </c>
      <c r="E128" s="4" t="s">
        <v>15</v>
      </c>
      <c r="G128" s="20">
        <f t="shared" si="1"/>
        <v>85.63894023413432</v>
      </c>
      <c r="I128" s="20">
        <f t="shared" si="1"/>
        <v>83.31226533166458</v>
      </c>
      <c r="K128" s="20">
        <f t="shared" si="1"/>
        <v>88.27042424242424</v>
      </c>
      <c r="M128" s="20">
        <f t="shared" si="0"/>
        <v>85.74054326940772</v>
      </c>
    </row>
    <row r="129" spans="2:13" ht="12.75">
      <c r="B129" s="4" t="s">
        <v>79</v>
      </c>
      <c r="C129" s="4" t="s">
        <v>160</v>
      </c>
      <c r="D129" s="4" t="s">
        <v>30</v>
      </c>
      <c r="E129" s="4" t="s">
        <v>15</v>
      </c>
      <c r="G129" s="20">
        <f t="shared" si="1"/>
        <v>1.0558225508317929</v>
      </c>
      <c r="I129" s="20">
        <f t="shared" si="1"/>
        <v>1.0329161451814768</v>
      </c>
      <c r="K129" s="20">
        <f t="shared" si="1"/>
        <v>1.0164848484848483</v>
      </c>
      <c r="M129" s="20">
        <f>AVERAGE(K129,I129,G129)</f>
        <v>1.035074514832706</v>
      </c>
    </row>
    <row r="130" spans="2:13" ht="12.75">
      <c r="B130" s="4" t="s">
        <v>118</v>
      </c>
      <c r="C130" s="4" t="s">
        <v>160</v>
      </c>
      <c r="D130" s="4" t="s">
        <v>30</v>
      </c>
      <c r="E130" s="4" t="s">
        <v>15</v>
      </c>
      <c r="G130" s="20">
        <f t="shared" si="1"/>
        <v>84.43906346272334</v>
      </c>
      <c r="I130" s="20">
        <f t="shared" si="1"/>
        <v>70.63954943679599</v>
      </c>
      <c r="K130" s="20">
        <f t="shared" si="1"/>
        <v>72.32654545454547</v>
      </c>
      <c r="M130" s="20">
        <f aca="true" t="shared" si="2" ref="M130:M143">AVERAGE(K130,I130,G130)</f>
        <v>75.80171945135494</v>
      </c>
    </row>
    <row r="131" spans="2:13" ht="12.75">
      <c r="B131" s="4" t="s">
        <v>59</v>
      </c>
      <c r="C131" s="4" t="s">
        <v>160</v>
      </c>
      <c r="D131" s="4" t="s">
        <v>30</v>
      </c>
      <c r="E131" s="4" t="s">
        <v>15</v>
      </c>
      <c r="G131" s="20">
        <f t="shared" si="1"/>
        <v>16.552433764633395</v>
      </c>
      <c r="I131" s="20">
        <f t="shared" si="1"/>
        <v>9.856946182728409</v>
      </c>
      <c r="K131" s="20">
        <f t="shared" si="1"/>
        <v>11.091393939393939</v>
      </c>
      <c r="M131" s="20">
        <f t="shared" si="2"/>
        <v>12.500257962251913</v>
      </c>
    </row>
    <row r="132" spans="2:13" ht="12.75">
      <c r="B132" s="4" t="s">
        <v>119</v>
      </c>
      <c r="C132" s="4" t="s">
        <v>160</v>
      </c>
      <c r="D132" s="4" t="s">
        <v>30</v>
      </c>
      <c r="E132" s="4" t="s">
        <v>15</v>
      </c>
      <c r="G132" s="20">
        <f t="shared" si="1"/>
        <v>6276.649414664203</v>
      </c>
      <c r="I132" s="20">
        <f t="shared" si="1"/>
        <v>5907.402503128911</v>
      </c>
      <c r="K132" s="20">
        <f t="shared" si="1"/>
        <v>5824.7373333333335</v>
      </c>
      <c r="M132" s="20">
        <f t="shared" si="2"/>
        <v>6002.929750375482</v>
      </c>
    </row>
    <row r="133" spans="2:13" ht="12.75">
      <c r="B133" s="4" t="s">
        <v>120</v>
      </c>
      <c r="C133" s="4" t="s">
        <v>160</v>
      </c>
      <c r="D133" s="4" t="s">
        <v>30</v>
      </c>
      <c r="E133" s="4" t="s">
        <v>15</v>
      </c>
      <c r="G133" s="20">
        <f t="shared" si="1"/>
        <v>448.5839802834257</v>
      </c>
      <c r="I133" s="20">
        <f t="shared" si="1"/>
        <v>368.450563204005</v>
      </c>
      <c r="K133" s="20">
        <f t="shared" si="1"/>
        <v>411.3140606060606</v>
      </c>
      <c r="M133" s="20">
        <f t="shared" si="2"/>
        <v>409.4495346978304</v>
      </c>
    </row>
    <row r="134" spans="2:13" ht="12.75">
      <c r="B134" s="4" t="s">
        <v>80</v>
      </c>
      <c r="C134" s="4" t="s">
        <v>160</v>
      </c>
      <c r="D134" s="4" t="s">
        <v>30</v>
      </c>
      <c r="E134" s="4" t="s">
        <v>15</v>
      </c>
      <c r="G134" s="20">
        <f t="shared" si="1"/>
        <v>0.2639556377079482</v>
      </c>
      <c r="I134" s="20">
        <f t="shared" si="1"/>
        <v>0.25844806007509386</v>
      </c>
      <c r="K134" s="20">
        <f t="shared" si="1"/>
        <v>0.2545454545454546</v>
      </c>
      <c r="M134" s="20">
        <f t="shared" si="2"/>
        <v>0.2589830507761655</v>
      </c>
    </row>
    <row r="135" spans="2:13" ht="12.75">
      <c r="B135" s="4" t="s">
        <v>60</v>
      </c>
      <c r="C135" s="4" t="s">
        <v>160</v>
      </c>
      <c r="D135" s="4" t="s">
        <v>30</v>
      </c>
      <c r="E135" s="4" t="s">
        <v>15</v>
      </c>
      <c r="G135" s="20">
        <f t="shared" si="1"/>
        <v>0.3122612446087492</v>
      </c>
      <c r="I135" s="20">
        <f t="shared" si="1"/>
        <v>0.21113892365456818</v>
      </c>
      <c r="K135" s="20">
        <f t="shared" si="1"/>
        <v>0.20787878787878786</v>
      </c>
      <c r="M135" s="20">
        <f t="shared" si="2"/>
        <v>0.2437596520473684</v>
      </c>
    </row>
    <row r="136" spans="2:13" ht="12.75">
      <c r="B136" s="4" t="s">
        <v>121</v>
      </c>
      <c r="C136" s="4" t="s">
        <v>160</v>
      </c>
      <c r="D136" s="4" t="s">
        <v>30</v>
      </c>
      <c r="E136" s="4" t="s">
        <v>15</v>
      </c>
      <c r="G136" s="20">
        <f t="shared" si="1"/>
        <v>912.2444855206408</v>
      </c>
      <c r="I136" s="20">
        <f t="shared" si="1"/>
        <v>752.0032540675844</v>
      </c>
      <c r="K136" s="20">
        <f t="shared" si="1"/>
        <v>888.9465454545453</v>
      </c>
      <c r="M136" s="20">
        <f t="shared" si="2"/>
        <v>851.0647616809234</v>
      </c>
    </row>
    <row r="137" spans="2:13" ht="12.75">
      <c r="B137" s="4" t="s">
        <v>122</v>
      </c>
      <c r="C137" s="4" t="s">
        <v>160</v>
      </c>
      <c r="D137" s="4" t="s">
        <v>30</v>
      </c>
      <c r="E137" s="4" t="s">
        <v>15</v>
      </c>
      <c r="G137" s="20">
        <f t="shared" si="1"/>
        <v>0.7194085027726432</v>
      </c>
      <c r="I137" s="20">
        <f t="shared" si="1"/>
        <v>0.7043804755944931</v>
      </c>
      <c r="K137" s="20">
        <f t="shared" si="1"/>
        <v>0.6932121212121212</v>
      </c>
      <c r="M137" s="20">
        <f t="shared" si="2"/>
        <v>0.7056670331930858</v>
      </c>
    </row>
    <row r="138" spans="2:13" ht="12.75">
      <c r="B138" s="4" t="s">
        <v>123</v>
      </c>
      <c r="C138" s="4" t="s">
        <v>160</v>
      </c>
      <c r="D138" s="4" t="s">
        <v>30</v>
      </c>
      <c r="E138" s="4" t="s">
        <v>15</v>
      </c>
      <c r="G138" s="20">
        <f t="shared" si="1"/>
        <v>0.2639556377079482</v>
      </c>
      <c r="I138" s="20">
        <f t="shared" si="1"/>
        <v>0.25844806007509386</v>
      </c>
      <c r="K138" s="20">
        <f t="shared" si="1"/>
        <v>0.2545454545454546</v>
      </c>
      <c r="M138" s="20">
        <f t="shared" si="2"/>
        <v>0.2589830507761655</v>
      </c>
    </row>
    <row r="139" spans="2:13" ht="12.75">
      <c r="B139" s="4" t="s">
        <v>124</v>
      </c>
      <c r="C139" s="4" t="s">
        <v>160</v>
      </c>
      <c r="D139" s="4" t="s">
        <v>30</v>
      </c>
      <c r="E139" s="4" t="s">
        <v>15</v>
      </c>
      <c r="G139" s="20">
        <f t="shared" si="1"/>
        <v>2.878496611213802</v>
      </c>
      <c r="I139" s="20">
        <f t="shared" si="1"/>
        <v>3.285356695869837</v>
      </c>
      <c r="K139" s="20">
        <f t="shared" si="1"/>
        <v>2.7728484848484847</v>
      </c>
      <c r="M139" s="20">
        <f t="shared" si="2"/>
        <v>2.9789005973107074</v>
      </c>
    </row>
    <row r="140" spans="2:13" ht="12.75">
      <c r="B140" s="4" t="s">
        <v>125</v>
      </c>
      <c r="C140" s="4" t="s">
        <v>160</v>
      </c>
      <c r="D140" s="4" t="s">
        <v>30</v>
      </c>
      <c r="E140" s="4" t="s">
        <v>15</v>
      </c>
      <c r="G140" s="20">
        <f t="shared" si="1"/>
        <v>1.439679605668515</v>
      </c>
      <c r="I140" s="20">
        <f t="shared" si="1"/>
        <v>1.4078848560700876</v>
      </c>
      <c r="K140" s="20">
        <f t="shared" si="1"/>
        <v>1.3864242424242423</v>
      </c>
      <c r="M140" s="20">
        <f t="shared" si="2"/>
        <v>1.411329568054282</v>
      </c>
    </row>
    <row r="141" spans="2:13" ht="12.75">
      <c r="B141" s="4" t="s">
        <v>126</v>
      </c>
      <c r="C141" s="4" t="s">
        <v>160</v>
      </c>
      <c r="D141" s="4" t="s">
        <v>30</v>
      </c>
      <c r="E141" s="4" t="s">
        <v>15</v>
      </c>
      <c r="G141" s="20">
        <f t="shared" si="1"/>
        <v>2.638693776956254</v>
      </c>
      <c r="I141" s="20">
        <f t="shared" si="1"/>
        <v>2.5818523153942428</v>
      </c>
      <c r="K141" s="20">
        <f t="shared" si="1"/>
        <v>2.5420606060606064</v>
      </c>
      <c r="M141" s="20">
        <f t="shared" si="2"/>
        <v>2.5875355661370345</v>
      </c>
    </row>
    <row r="142" spans="2:13" ht="12.75">
      <c r="B142" s="4" t="s">
        <v>68</v>
      </c>
      <c r="C142" s="4" t="s">
        <v>160</v>
      </c>
      <c r="D142" s="4" t="s">
        <v>30</v>
      </c>
      <c r="E142" s="4" t="s">
        <v>15</v>
      </c>
      <c r="G142" s="20">
        <f t="shared" si="1"/>
        <v>7.95921133703019</v>
      </c>
      <c r="I142" s="20">
        <f t="shared" si="1"/>
        <v>10.363329161451814</v>
      </c>
      <c r="K142" s="20">
        <f t="shared" si="1"/>
        <v>12.734909090909092</v>
      </c>
      <c r="M142" s="20">
        <f t="shared" si="2"/>
        <v>10.3524831964637</v>
      </c>
    </row>
    <row r="143" spans="2:13" ht="12.75">
      <c r="B143" s="45" t="s">
        <v>163</v>
      </c>
      <c r="C143" s="4" t="s">
        <v>162</v>
      </c>
      <c r="D143" s="4" t="s">
        <v>30</v>
      </c>
      <c r="E143" s="4" t="s">
        <v>15</v>
      </c>
      <c r="G143" s="20">
        <f t="shared" si="1"/>
        <v>12.852741836105976</v>
      </c>
      <c r="I143" s="20">
        <f t="shared" si="1"/>
        <v>13.316645807259073</v>
      </c>
      <c r="K143" s="20">
        <f t="shared" si="1"/>
        <v>19.515151515151516</v>
      </c>
      <c r="M143" s="20">
        <f t="shared" si="2"/>
        <v>15.22817971950552</v>
      </c>
    </row>
    <row r="145" spans="2:13" ht="12.75">
      <c r="B145" s="4" t="s">
        <v>31</v>
      </c>
      <c r="C145" s="4" t="s">
        <v>160</v>
      </c>
      <c r="D145" s="4" t="s">
        <v>30</v>
      </c>
      <c r="E145" s="4" t="s">
        <v>15</v>
      </c>
      <c r="G145" s="20">
        <f>G125+G119</f>
        <v>1.3120147874306838</v>
      </c>
      <c r="I145" s="20">
        <f>I125+I119</f>
        <v>0.8682102628285358</v>
      </c>
      <c r="K145" s="20">
        <f>K125+K119</f>
        <v>0.9935757575757576</v>
      </c>
      <c r="M145" s="20">
        <f>AVERAGE(K145,I145,G145)</f>
        <v>1.057933602611659</v>
      </c>
    </row>
    <row r="146" spans="2:13" ht="12.75">
      <c r="B146" s="4" t="s">
        <v>32</v>
      </c>
      <c r="C146" s="4" t="s">
        <v>160</v>
      </c>
      <c r="D146" s="4" t="s">
        <v>30</v>
      </c>
      <c r="E146" s="4" t="s">
        <v>15</v>
      </c>
      <c r="G146" s="20">
        <f>G121+G117+G115</f>
        <v>51.970794824399256</v>
      </c>
      <c r="I146" s="20">
        <f>I121+I117+I115</f>
        <v>40.98723404255319</v>
      </c>
      <c r="K146" s="20">
        <f>K121+K117+K115</f>
        <v>43.59260606060606</v>
      </c>
      <c r="M146" s="20">
        <f>AVERAGE(K146,I146,G146)</f>
        <v>45.516878309186175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95"/>
  <sheetViews>
    <sheetView workbookViewId="0" topLeftCell="B1">
      <selection activeCell="J79" sqref="J79"/>
    </sheetView>
  </sheetViews>
  <sheetFormatPr defaultColWidth="9.140625" defaultRowHeight="12.75"/>
  <cols>
    <col min="1" max="1" width="2.57421875" style="23" hidden="1" customWidth="1"/>
    <col min="2" max="2" width="20.140625" style="6" customWidth="1"/>
    <col min="3" max="3" width="4.00390625" style="6" customWidth="1"/>
    <col min="4" max="4" width="9.28125" style="6" customWidth="1"/>
    <col min="5" max="5" width="4.00390625" style="23" customWidth="1"/>
    <col min="6" max="6" width="14.28125" style="24" bestFit="1" customWidth="1"/>
    <col min="7" max="7" width="3.7109375" style="25" customWidth="1"/>
    <col min="8" max="8" width="14.28125" style="23" bestFit="1" customWidth="1"/>
    <col min="9" max="9" width="3.7109375" style="23" customWidth="1"/>
    <col min="10" max="10" width="12.421875" style="23" customWidth="1"/>
    <col min="11" max="11" width="3.8515625" style="23" customWidth="1"/>
    <col min="12" max="12" width="12.421875" style="23" customWidth="1"/>
    <col min="13" max="13" width="3.7109375" style="23" customWidth="1"/>
    <col min="14" max="14" width="13.28125" style="23" customWidth="1"/>
    <col min="15" max="15" width="4.00390625" style="23" customWidth="1"/>
    <col min="16" max="16" width="11.140625" style="23" customWidth="1"/>
    <col min="17" max="17" width="3.7109375" style="23" customWidth="1"/>
    <col min="18" max="18" width="10.57421875" style="23" customWidth="1"/>
    <col min="19" max="19" width="3.8515625" style="23" customWidth="1"/>
    <col min="20" max="20" width="12.421875" style="23" customWidth="1"/>
    <col min="21" max="21" width="4.421875" style="23" customWidth="1"/>
    <col min="22" max="22" width="9.421875" style="23" customWidth="1"/>
    <col min="23" max="23" width="3.7109375" style="23" customWidth="1"/>
    <col min="24" max="24" width="9.57421875" style="23" customWidth="1"/>
    <col min="25" max="25" width="3.8515625" style="23" customWidth="1"/>
    <col min="26" max="26" width="9.7109375" style="23" customWidth="1"/>
    <col min="27" max="27" width="4.140625" style="23" customWidth="1"/>
    <col min="28" max="28" width="9.57421875" style="23" customWidth="1"/>
    <col min="29" max="29" width="4.7109375" style="23" customWidth="1"/>
    <col min="30" max="30" width="9.57421875" style="23" customWidth="1"/>
    <col min="31" max="31" width="4.28125" style="23" customWidth="1"/>
    <col min="32" max="32" width="9.57421875" style="23" customWidth="1"/>
    <col min="33" max="33" width="4.8515625" style="23" customWidth="1"/>
    <col min="34" max="34" width="9.57421875" style="23" customWidth="1"/>
    <col min="35" max="35" width="3.8515625" style="23" customWidth="1"/>
    <col min="36" max="36" width="9.57421875" style="23" customWidth="1"/>
    <col min="37" max="37" width="3.7109375" style="23" customWidth="1"/>
    <col min="38" max="38" width="12.140625" style="23" customWidth="1"/>
    <col min="39" max="39" width="3.7109375" style="23" customWidth="1"/>
    <col min="40" max="40" width="13.28125" style="23" customWidth="1"/>
    <col min="41" max="41" width="3.7109375" style="23" customWidth="1"/>
    <col min="42" max="42" width="14.7109375" style="23" customWidth="1"/>
    <col min="43" max="43" width="4.00390625" style="23" customWidth="1"/>
    <col min="44" max="44" width="12.7109375" style="23" customWidth="1"/>
    <col min="45" max="16384" width="8.8515625" style="23" customWidth="1"/>
  </cols>
  <sheetData>
    <row r="1" spans="2:3" ht="12.75">
      <c r="B1" s="22" t="s">
        <v>156</v>
      </c>
      <c r="C1" s="22"/>
    </row>
    <row r="2" ht="12.75">
      <c r="F2" s="23"/>
    </row>
    <row r="3" spans="1:44" ht="12.75">
      <c r="A3" s="23" t="s">
        <v>70</v>
      </c>
      <c r="B3" s="22" t="s">
        <v>130</v>
      </c>
      <c r="C3" s="22" t="s">
        <v>69</v>
      </c>
      <c r="F3" s="25" t="s">
        <v>82</v>
      </c>
      <c r="H3" s="25" t="s">
        <v>83</v>
      </c>
      <c r="I3" s="25"/>
      <c r="J3" s="25" t="s">
        <v>84</v>
      </c>
      <c r="K3" s="25"/>
      <c r="L3" s="25" t="s">
        <v>158</v>
      </c>
      <c r="M3" s="25"/>
      <c r="N3" s="25" t="s">
        <v>82</v>
      </c>
      <c r="O3" s="25"/>
      <c r="P3" s="25" t="s">
        <v>83</v>
      </c>
      <c r="Q3" s="25"/>
      <c r="R3" s="25" t="s">
        <v>84</v>
      </c>
      <c r="S3" s="25"/>
      <c r="T3" s="25" t="s">
        <v>158</v>
      </c>
      <c r="U3" s="25"/>
      <c r="V3" s="25" t="s">
        <v>82</v>
      </c>
      <c r="W3" s="25"/>
      <c r="X3" s="25" t="s">
        <v>83</v>
      </c>
      <c r="Y3" s="25"/>
      <c r="Z3" s="25" t="s">
        <v>84</v>
      </c>
      <c r="AA3" s="25"/>
      <c r="AB3" s="25" t="s">
        <v>158</v>
      </c>
      <c r="AC3" s="25"/>
      <c r="AD3" s="25" t="s">
        <v>82</v>
      </c>
      <c r="AE3" s="25"/>
      <c r="AF3" s="25" t="s">
        <v>83</v>
      </c>
      <c r="AG3" s="25"/>
      <c r="AH3" s="25" t="s">
        <v>84</v>
      </c>
      <c r="AI3" s="25"/>
      <c r="AJ3" s="25" t="s">
        <v>158</v>
      </c>
      <c r="AK3" s="25"/>
      <c r="AL3" s="25" t="s">
        <v>82</v>
      </c>
      <c r="AM3" s="25"/>
      <c r="AN3" s="25" t="s">
        <v>83</v>
      </c>
      <c r="AO3" s="25"/>
      <c r="AP3" s="25" t="s">
        <v>84</v>
      </c>
      <c r="AQ3" s="25"/>
      <c r="AR3" s="25" t="s">
        <v>158</v>
      </c>
    </row>
    <row r="4" spans="2:44" ht="12.75">
      <c r="B4" s="22"/>
      <c r="C4" s="22"/>
      <c r="F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</row>
    <row r="5" spans="2:44" ht="12.75">
      <c r="B5" s="6" t="s">
        <v>177</v>
      </c>
      <c r="C5" s="22"/>
      <c r="F5" s="25" t="s">
        <v>180</v>
      </c>
      <c r="H5" s="25" t="s">
        <v>180</v>
      </c>
      <c r="I5" s="25"/>
      <c r="J5" s="25" t="s">
        <v>180</v>
      </c>
      <c r="K5" s="25"/>
      <c r="L5" s="25" t="s">
        <v>180</v>
      </c>
      <c r="M5" s="25"/>
      <c r="N5" s="25" t="s">
        <v>181</v>
      </c>
      <c r="O5" s="25"/>
      <c r="P5" s="25" t="s">
        <v>181</v>
      </c>
      <c r="Q5" s="25"/>
      <c r="R5" s="25" t="s">
        <v>181</v>
      </c>
      <c r="S5" s="25"/>
      <c r="T5" s="25" t="s">
        <v>181</v>
      </c>
      <c r="U5" s="25"/>
      <c r="V5" s="25" t="s">
        <v>182</v>
      </c>
      <c r="W5" s="25"/>
      <c r="X5" s="25" t="s">
        <v>182</v>
      </c>
      <c r="Y5" s="25"/>
      <c r="Z5" s="25" t="s">
        <v>182</v>
      </c>
      <c r="AA5" s="25"/>
      <c r="AB5" s="25" t="s">
        <v>182</v>
      </c>
      <c r="AC5" s="25"/>
      <c r="AD5" s="25"/>
      <c r="AE5" s="25"/>
      <c r="AF5" s="25"/>
      <c r="AG5" s="25"/>
      <c r="AH5" s="25"/>
      <c r="AI5" s="25"/>
      <c r="AJ5" s="25"/>
      <c r="AK5" s="25"/>
      <c r="AL5" s="25" t="s">
        <v>183</v>
      </c>
      <c r="AM5" s="25"/>
      <c r="AN5" s="25" t="s">
        <v>183</v>
      </c>
      <c r="AO5" s="25"/>
      <c r="AP5" s="25" t="s">
        <v>183</v>
      </c>
      <c r="AQ5" s="25"/>
      <c r="AR5" s="25" t="s">
        <v>183</v>
      </c>
    </row>
    <row r="6" spans="2:44" ht="12.75">
      <c r="B6" s="6" t="s">
        <v>178</v>
      </c>
      <c r="F6" s="24" t="s">
        <v>179</v>
      </c>
      <c r="H6" s="24" t="s">
        <v>179</v>
      </c>
      <c r="J6" s="24" t="s">
        <v>179</v>
      </c>
      <c r="L6" s="24" t="s">
        <v>179</v>
      </c>
      <c r="N6" s="24" t="s">
        <v>179</v>
      </c>
      <c r="O6" s="25"/>
      <c r="P6" s="24" t="s">
        <v>179</v>
      </c>
      <c r="R6" s="24" t="s">
        <v>179</v>
      </c>
      <c r="T6" s="24" t="s">
        <v>179</v>
      </c>
      <c r="V6" s="24" t="s">
        <v>179</v>
      </c>
      <c r="W6" s="25"/>
      <c r="X6" s="24" t="s">
        <v>179</v>
      </c>
      <c r="Z6" s="24" t="s">
        <v>179</v>
      </c>
      <c r="AB6" s="24" t="s">
        <v>179</v>
      </c>
      <c r="AC6" s="24"/>
      <c r="AD6" s="24"/>
      <c r="AE6" s="24"/>
      <c r="AF6" s="24"/>
      <c r="AG6" s="24"/>
      <c r="AH6" s="24"/>
      <c r="AI6" s="24"/>
      <c r="AJ6" s="24"/>
      <c r="AL6" s="23" t="s">
        <v>20</v>
      </c>
      <c r="AN6" s="23" t="s">
        <v>20</v>
      </c>
      <c r="AP6" s="23" t="s">
        <v>20</v>
      </c>
      <c r="AR6" s="23" t="s">
        <v>20</v>
      </c>
    </row>
    <row r="7" spans="2:44" ht="12.75">
      <c r="B7" s="6" t="s">
        <v>184</v>
      </c>
      <c r="H7" s="24"/>
      <c r="J7" s="24"/>
      <c r="L7" s="24"/>
      <c r="N7" s="24"/>
      <c r="O7" s="25"/>
      <c r="P7" s="24"/>
      <c r="R7" s="24"/>
      <c r="T7" s="24"/>
      <c r="V7" s="24"/>
      <c r="W7" s="25"/>
      <c r="X7" s="24"/>
      <c r="Z7" s="24"/>
      <c r="AB7" s="24"/>
      <c r="AC7" s="24"/>
      <c r="AD7" s="24" t="s">
        <v>37</v>
      </c>
      <c r="AE7" s="24"/>
      <c r="AF7" s="24" t="s">
        <v>37</v>
      </c>
      <c r="AG7" s="24"/>
      <c r="AH7" s="24" t="s">
        <v>37</v>
      </c>
      <c r="AI7" s="24"/>
      <c r="AJ7" s="24" t="s">
        <v>37</v>
      </c>
      <c r="AL7" s="23" t="s">
        <v>20</v>
      </c>
      <c r="AN7" s="23" t="s">
        <v>20</v>
      </c>
      <c r="AP7" s="23" t="s">
        <v>20</v>
      </c>
      <c r="AR7" s="23" t="s">
        <v>20</v>
      </c>
    </row>
    <row r="8" spans="2:44" ht="12.75">
      <c r="B8" s="6" t="s">
        <v>22</v>
      </c>
      <c r="F8" s="24" t="s">
        <v>81</v>
      </c>
      <c r="G8" s="24"/>
      <c r="H8" s="24" t="s">
        <v>81</v>
      </c>
      <c r="I8" s="24"/>
      <c r="J8" s="24" t="s">
        <v>81</v>
      </c>
      <c r="K8" s="24"/>
      <c r="L8" s="24" t="s">
        <v>81</v>
      </c>
      <c r="M8" s="24"/>
      <c r="N8" s="24" t="s">
        <v>128</v>
      </c>
      <c r="O8" s="24"/>
      <c r="P8" s="24" t="s">
        <v>128</v>
      </c>
      <c r="R8" s="24" t="s">
        <v>128</v>
      </c>
      <c r="T8" s="24" t="s">
        <v>128</v>
      </c>
      <c r="V8" s="24" t="s">
        <v>129</v>
      </c>
      <c r="X8" s="24" t="s">
        <v>129</v>
      </c>
      <c r="Z8" s="24" t="s">
        <v>129</v>
      </c>
      <c r="AB8" s="24" t="s">
        <v>129</v>
      </c>
      <c r="AC8" s="24"/>
      <c r="AD8" s="24"/>
      <c r="AE8" s="24"/>
      <c r="AF8" s="24"/>
      <c r="AG8" s="24"/>
      <c r="AH8" s="24"/>
      <c r="AI8" s="24"/>
      <c r="AJ8" s="24"/>
      <c r="AL8" s="23" t="s">
        <v>20</v>
      </c>
      <c r="AN8" s="23" t="s">
        <v>20</v>
      </c>
      <c r="AP8" s="23" t="s">
        <v>20</v>
      </c>
      <c r="AR8" s="23" t="s">
        <v>20</v>
      </c>
    </row>
    <row r="9" spans="2:38" ht="12.75">
      <c r="B9" s="6" t="s">
        <v>72</v>
      </c>
      <c r="D9" s="6" t="s">
        <v>27</v>
      </c>
      <c r="E9" s="9"/>
      <c r="F9" s="28">
        <f>34.16*F13*3785*60/454</f>
        <v>17429.274713656385</v>
      </c>
      <c r="H9" s="28">
        <f>32.6*H13*3785*60/454</f>
        <v>16633.32422907489</v>
      </c>
      <c r="J9" s="28">
        <f>31.28*J13*3785*60/454</f>
        <v>15959.82766519824</v>
      </c>
      <c r="L9" s="26"/>
      <c r="M9" s="26"/>
      <c r="N9" s="28">
        <f>7.07*N13*3785*60/454</f>
        <v>3925.5785682819387</v>
      </c>
      <c r="P9" s="28">
        <f>7.09*P13*3785*60/454</f>
        <v>3936.6834581497797</v>
      </c>
      <c r="R9" s="28">
        <f>7.08*R13*3785*60/454</f>
        <v>3931.131013215859</v>
      </c>
      <c r="T9" s="26"/>
      <c r="V9" s="28">
        <f>5.22*V13*3785*60/454</f>
        <v>2846.1532599118946</v>
      </c>
      <c r="X9" s="28">
        <f>5.36*X13*3785*60/454</f>
        <v>2922.4868722466963</v>
      </c>
      <c r="Z9" s="28">
        <f>5.39*Z13*3785*60/454</f>
        <v>2938.844074889868</v>
      </c>
      <c r="AL9" s="26"/>
    </row>
    <row r="10" spans="2:38" ht="12.75">
      <c r="B10" s="6" t="s">
        <v>85</v>
      </c>
      <c r="D10" s="6" t="s">
        <v>86</v>
      </c>
      <c r="E10" s="9"/>
      <c r="F10" s="9"/>
      <c r="L10" s="26"/>
      <c r="M10" s="26"/>
      <c r="N10" s="23">
        <v>7320</v>
      </c>
      <c r="P10" s="23">
        <v>7180</v>
      </c>
      <c r="R10" s="23">
        <v>6380</v>
      </c>
      <c r="T10" s="26"/>
      <c r="V10" s="23">
        <v>9540</v>
      </c>
      <c r="X10" s="23">
        <v>9620</v>
      </c>
      <c r="Z10" s="23">
        <v>9440</v>
      </c>
      <c r="AL10" s="26"/>
    </row>
    <row r="11" spans="2:38" ht="12.75">
      <c r="B11" s="6" t="s">
        <v>71</v>
      </c>
      <c r="D11" s="6" t="s">
        <v>28</v>
      </c>
      <c r="E11" s="9"/>
      <c r="F11" s="9"/>
      <c r="H11" s="26"/>
      <c r="I11" s="26"/>
      <c r="L11" s="26"/>
      <c r="M11" s="26"/>
      <c r="T11" s="26"/>
      <c r="AL11" s="26"/>
    </row>
    <row r="12" spans="2:26" ht="12.75">
      <c r="B12" s="6" t="s">
        <v>101</v>
      </c>
      <c r="E12" s="9"/>
      <c r="F12" s="9">
        <v>1.02</v>
      </c>
      <c r="H12" s="26">
        <v>1.02</v>
      </c>
      <c r="I12" s="26"/>
      <c r="J12" s="13">
        <v>1.02</v>
      </c>
      <c r="L12" s="30"/>
      <c r="M12" s="26"/>
      <c r="N12" s="23">
        <v>1.11</v>
      </c>
      <c r="P12" s="23">
        <v>1.11</v>
      </c>
      <c r="R12" s="23">
        <v>1.11</v>
      </c>
      <c r="T12" s="30"/>
      <c r="V12" s="23">
        <v>1.09</v>
      </c>
      <c r="X12" s="23">
        <v>1.09</v>
      </c>
      <c r="Z12" s="23">
        <v>1.09</v>
      </c>
    </row>
    <row r="13" spans="2:26" ht="12.75">
      <c r="B13" s="6" t="s">
        <v>87</v>
      </c>
      <c r="D13" s="6" t="s">
        <v>105</v>
      </c>
      <c r="E13" s="9"/>
      <c r="F13" s="9">
        <v>1.02</v>
      </c>
      <c r="H13" s="26">
        <v>1.02</v>
      </c>
      <c r="I13" s="26"/>
      <c r="J13" s="13">
        <v>1.02</v>
      </c>
      <c r="L13" s="30"/>
      <c r="M13" s="26"/>
      <c r="N13" s="23">
        <v>1.11</v>
      </c>
      <c r="P13" s="23">
        <v>1.11</v>
      </c>
      <c r="R13" s="23">
        <v>1.11</v>
      </c>
      <c r="T13" s="30"/>
      <c r="V13" s="23">
        <v>1.09</v>
      </c>
      <c r="X13" s="23">
        <v>1.09</v>
      </c>
      <c r="Z13" s="23">
        <v>1.09</v>
      </c>
    </row>
    <row r="14" spans="2:26" ht="12.75">
      <c r="B14" s="6" t="s">
        <v>88</v>
      </c>
      <c r="D14" s="6" t="s">
        <v>89</v>
      </c>
      <c r="E14" s="9"/>
      <c r="F14" s="9"/>
      <c r="H14" s="26"/>
      <c r="I14" s="26"/>
      <c r="J14" s="13"/>
      <c r="L14" s="30"/>
      <c r="M14" s="26"/>
      <c r="N14" s="13">
        <v>3.64</v>
      </c>
      <c r="P14" s="13">
        <v>3.68</v>
      </c>
      <c r="R14" s="23">
        <v>3.66</v>
      </c>
      <c r="T14" s="30"/>
      <c r="V14" s="23">
        <v>3.56</v>
      </c>
      <c r="X14" s="23">
        <v>3.63</v>
      </c>
      <c r="Z14" s="23">
        <v>3.64</v>
      </c>
    </row>
    <row r="15" spans="2:38" ht="12.75">
      <c r="B15" s="6" t="s">
        <v>23</v>
      </c>
      <c r="D15" s="6" t="s">
        <v>18</v>
      </c>
      <c r="E15" s="9" t="s">
        <v>21</v>
      </c>
      <c r="F15" s="9">
        <v>0.04</v>
      </c>
      <c r="G15" s="9" t="s">
        <v>21</v>
      </c>
      <c r="H15" s="26">
        <v>0.03</v>
      </c>
      <c r="I15" s="9" t="s">
        <v>21</v>
      </c>
      <c r="J15" s="23">
        <v>0.03</v>
      </c>
      <c r="L15" s="26"/>
      <c r="M15" s="26"/>
      <c r="N15" s="23">
        <v>0.27</v>
      </c>
      <c r="P15" s="23">
        <v>0.28</v>
      </c>
      <c r="R15" s="23">
        <v>0.27</v>
      </c>
      <c r="T15" s="26"/>
      <c r="V15" s="23">
        <v>1.85</v>
      </c>
      <c r="X15" s="23">
        <v>0.24</v>
      </c>
      <c r="Z15" s="23">
        <v>0.37</v>
      </c>
      <c r="AL15" s="26"/>
    </row>
    <row r="16" spans="2:38" ht="12.75">
      <c r="B16" s="6" t="s">
        <v>90</v>
      </c>
      <c r="D16" s="6" t="s">
        <v>131</v>
      </c>
      <c r="E16" s="9"/>
      <c r="F16" s="9">
        <v>19.35</v>
      </c>
      <c r="G16" s="9"/>
      <c r="H16" s="26">
        <v>20.3</v>
      </c>
      <c r="I16" s="9"/>
      <c r="J16" s="23">
        <v>23.6</v>
      </c>
      <c r="L16" s="26"/>
      <c r="M16" s="26"/>
      <c r="N16" s="13">
        <v>26.77</v>
      </c>
      <c r="P16" s="13">
        <v>10.44</v>
      </c>
      <c r="R16" s="23">
        <v>20.97</v>
      </c>
      <c r="T16" s="26"/>
      <c r="V16" s="23">
        <v>12.43</v>
      </c>
      <c r="X16" s="23">
        <v>18.21</v>
      </c>
      <c r="Z16" s="23">
        <v>23.34</v>
      </c>
      <c r="AB16" s="26"/>
      <c r="AC16" s="26"/>
      <c r="AD16" s="26"/>
      <c r="AE16" s="26"/>
      <c r="AF16" s="26"/>
      <c r="AG16" s="26"/>
      <c r="AH16" s="26"/>
      <c r="AI16" s="26"/>
      <c r="AJ16" s="26"/>
      <c r="AL16" s="26"/>
    </row>
    <row r="17" spans="2:36" ht="12.75">
      <c r="B17" s="4" t="s">
        <v>54</v>
      </c>
      <c r="D17" s="6" t="s">
        <v>131</v>
      </c>
      <c r="E17" s="9"/>
      <c r="F17" s="37">
        <f>6.4/F$13/1000</f>
        <v>0.006274509803921568</v>
      </c>
      <c r="G17" s="9" t="s">
        <v>21</v>
      </c>
      <c r="H17" s="37">
        <f>3.4/H$13/1000</f>
        <v>0.003333333333333333</v>
      </c>
      <c r="I17" s="9" t="s">
        <v>21</v>
      </c>
      <c r="J17" s="37">
        <f>3.4/J$13/1000</f>
        <v>0.003333333333333333</v>
      </c>
      <c r="L17" s="40"/>
      <c r="M17" s="23" t="s">
        <v>21</v>
      </c>
      <c r="N17" s="13">
        <v>0.19</v>
      </c>
      <c r="O17" s="23" t="s">
        <v>21</v>
      </c>
      <c r="P17" s="13">
        <v>0.2</v>
      </c>
      <c r="Q17" s="23" t="s">
        <v>21</v>
      </c>
      <c r="R17" s="23">
        <v>0.19</v>
      </c>
      <c r="T17" s="40"/>
      <c r="U17" s="23" t="s">
        <v>21</v>
      </c>
      <c r="V17" s="23">
        <v>0.21</v>
      </c>
      <c r="W17" s="23" t="s">
        <v>21</v>
      </c>
      <c r="X17" s="23">
        <v>0.21</v>
      </c>
      <c r="Y17" s="23" t="s">
        <v>21</v>
      </c>
      <c r="Z17" s="23">
        <v>0.18</v>
      </c>
      <c r="AB17" s="26"/>
      <c r="AC17" s="26"/>
      <c r="AD17" s="26"/>
      <c r="AE17" s="26"/>
      <c r="AF17" s="26"/>
      <c r="AG17" s="26"/>
      <c r="AH17" s="26"/>
      <c r="AI17" s="26"/>
      <c r="AJ17" s="26"/>
    </row>
    <row r="18" spans="2:36" ht="12.75">
      <c r="B18" s="4" t="s">
        <v>55</v>
      </c>
      <c r="D18" s="6" t="s">
        <v>131</v>
      </c>
      <c r="E18" s="9"/>
      <c r="F18" s="37">
        <f>4.2/F$13/1000</f>
        <v>0.00411764705882353</v>
      </c>
      <c r="G18" s="9" t="s">
        <v>21</v>
      </c>
      <c r="H18" s="37">
        <f>3.4/H$13/1000</f>
        <v>0.003333333333333333</v>
      </c>
      <c r="I18" s="9"/>
      <c r="J18" s="37">
        <f>3.5/J$13/1000</f>
        <v>0.003431372549019608</v>
      </c>
      <c r="K18" s="24"/>
      <c r="L18" s="40"/>
      <c r="M18" s="23" t="s">
        <v>21</v>
      </c>
      <c r="N18" s="13">
        <v>0.19</v>
      </c>
      <c r="O18" s="23" t="s">
        <v>21</v>
      </c>
      <c r="P18" s="13">
        <v>0.19</v>
      </c>
      <c r="Q18" s="23" t="s">
        <v>21</v>
      </c>
      <c r="R18" s="23">
        <v>0.19</v>
      </c>
      <c r="T18" s="40"/>
      <c r="U18" s="23" t="s">
        <v>21</v>
      </c>
      <c r="V18" s="23">
        <v>0.21</v>
      </c>
      <c r="W18" s="23" t="s">
        <v>21</v>
      </c>
      <c r="X18" s="23">
        <v>0.21</v>
      </c>
      <c r="Y18" s="23" t="s">
        <v>21</v>
      </c>
      <c r="Z18" s="23">
        <v>0.18</v>
      </c>
      <c r="AB18" s="26"/>
      <c r="AC18" s="26"/>
      <c r="AD18" s="26"/>
      <c r="AE18" s="26"/>
      <c r="AF18" s="26"/>
      <c r="AG18" s="26"/>
      <c r="AH18" s="26"/>
      <c r="AI18" s="26"/>
      <c r="AJ18" s="26"/>
    </row>
    <row r="19" spans="2:36" ht="12.75">
      <c r="B19" s="4" t="s">
        <v>56</v>
      </c>
      <c r="D19" s="6" t="s">
        <v>131</v>
      </c>
      <c r="E19" s="9"/>
      <c r="F19" s="37">
        <f>11/F$13/1000</f>
        <v>0.010784313725490196</v>
      </c>
      <c r="G19" s="9" t="s">
        <v>21</v>
      </c>
      <c r="H19" s="37">
        <f>11/H$13/1000</f>
        <v>0.010784313725490196</v>
      </c>
      <c r="I19" s="9"/>
      <c r="J19" s="37">
        <f>12/J$13/1000</f>
        <v>0.011764705882352941</v>
      </c>
      <c r="K19" s="24"/>
      <c r="L19" s="40"/>
      <c r="M19" s="23" t="s">
        <v>21</v>
      </c>
      <c r="N19" s="13">
        <v>0.63</v>
      </c>
      <c r="O19" s="23" t="s">
        <v>21</v>
      </c>
      <c r="P19" s="13">
        <v>0.64</v>
      </c>
      <c r="Q19" s="23" t="s">
        <v>21</v>
      </c>
      <c r="R19" s="23">
        <v>0.65</v>
      </c>
      <c r="T19" s="40"/>
      <c r="U19" s="23" t="s">
        <v>21</v>
      </c>
      <c r="V19" s="23">
        <v>0.69</v>
      </c>
      <c r="W19" s="23" t="s">
        <v>21</v>
      </c>
      <c r="X19" s="23">
        <v>0.69</v>
      </c>
      <c r="Y19" s="23" t="s">
        <v>21</v>
      </c>
      <c r="Z19" s="23">
        <v>0.61</v>
      </c>
      <c r="AB19" s="26"/>
      <c r="AC19" s="26"/>
      <c r="AD19" s="26"/>
      <c r="AE19" s="26"/>
      <c r="AF19" s="26"/>
      <c r="AG19" s="26"/>
      <c r="AH19" s="26"/>
      <c r="AI19" s="26"/>
      <c r="AJ19" s="26"/>
    </row>
    <row r="20" spans="2:36" ht="12.75">
      <c r="B20" s="4" t="s">
        <v>57</v>
      </c>
      <c r="D20" s="6" t="s">
        <v>131</v>
      </c>
      <c r="E20" s="9" t="s">
        <v>21</v>
      </c>
      <c r="F20" s="48">
        <f>0.17/F$13/1000</f>
        <v>0.0001666666666666667</v>
      </c>
      <c r="G20" s="9" t="s">
        <v>21</v>
      </c>
      <c r="H20" s="48">
        <f>0.17/H$13/1000</f>
        <v>0.0001666666666666667</v>
      </c>
      <c r="I20" s="9" t="s">
        <v>21</v>
      </c>
      <c r="J20" s="48">
        <f>0.17/J$13/1000</f>
        <v>0.0001666666666666667</v>
      </c>
      <c r="K20" s="24"/>
      <c r="L20" s="40"/>
      <c r="M20" s="23" t="s">
        <v>21</v>
      </c>
      <c r="N20" s="13">
        <v>0.01</v>
      </c>
      <c r="O20" s="23" t="s">
        <v>21</v>
      </c>
      <c r="P20" s="13">
        <v>0.01</v>
      </c>
      <c r="Q20" s="23" t="s">
        <v>21</v>
      </c>
      <c r="R20" s="23">
        <v>0.01</v>
      </c>
      <c r="T20" s="40"/>
      <c r="U20" s="23" t="s">
        <v>21</v>
      </c>
      <c r="V20" s="23">
        <v>0.01</v>
      </c>
      <c r="W20" s="23" t="s">
        <v>21</v>
      </c>
      <c r="X20" s="23">
        <v>0.01</v>
      </c>
      <c r="Y20" s="23" t="s">
        <v>21</v>
      </c>
      <c r="Z20" s="23">
        <v>0.01</v>
      </c>
      <c r="AB20" s="26"/>
      <c r="AC20" s="26"/>
      <c r="AD20" s="26"/>
      <c r="AE20" s="26"/>
      <c r="AF20" s="26"/>
      <c r="AG20" s="26"/>
      <c r="AH20" s="26"/>
      <c r="AI20" s="26"/>
      <c r="AJ20" s="26"/>
    </row>
    <row r="21" spans="2:36" ht="12.75">
      <c r="B21" s="4" t="s">
        <v>58</v>
      </c>
      <c r="D21" s="6" t="s">
        <v>131</v>
      </c>
      <c r="E21" s="9" t="s">
        <v>21</v>
      </c>
      <c r="F21" s="49">
        <f>0.016/F$13/1000</f>
        <v>1.568627450980392E-05</v>
      </c>
      <c r="G21" s="9" t="s">
        <v>21</v>
      </c>
      <c r="H21" s="49">
        <f>0.016/H$13/1000</f>
        <v>1.568627450980392E-05</v>
      </c>
      <c r="I21" s="9" t="s">
        <v>21</v>
      </c>
      <c r="J21" s="49">
        <f>0.016/J$13/1000</f>
        <v>1.568627450980392E-05</v>
      </c>
      <c r="K21" s="24"/>
      <c r="L21" s="40"/>
      <c r="M21" s="23" t="s">
        <v>21</v>
      </c>
      <c r="N21" s="13">
        <v>0.02</v>
      </c>
      <c r="O21" s="23" t="s">
        <v>21</v>
      </c>
      <c r="P21" s="13">
        <v>0.02</v>
      </c>
      <c r="Q21" s="23" t="s">
        <v>21</v>
      </c>
      <c r="R21" s="23">
        <v>0.02</v>
      </c>
      <c r="T21" s="40"/>
      <c r="U21" s="23" t="s">
        <v>21</v>
      </c>
      <c r="V21" s="23">
        <v>0.02</v>
      </c>
      <c r="W21" s="23" t="s">
        <v>21</v>
      </c>
      <c r="X21" s="23">
        <v>0.02</v>
      </c>
      <c r="Y21" s="23" t="s">
        <v>21</v>
      </c>
      <c r="Z21" s="23">
        <v>0.02</v>
      </c>
      <c r="AB21" s="26"/>
      <c r="AC21" s="26"/>
      <c r="AD21" s="26"/>
      <c r="AE21" s="26"/>
      <c r="AF21" s="26"/>
      <c r="AG21" s="26"/>
      <c r="AH21" s="26"/>
      <c r="AI21" s="26"/>
      <c r="AJ21" s="26"/>
    </row>
    <row r="22" spans="2:36" ht="12.75">
      <c r="B22" s="4" t="s">
        <v>66</v>
      </c>
      <c r="D22" s="6" t="s">
        <v>131</v>
      </c>
      <c r="E22" s="9"/>
      <c r="F22" s="37">
        <f>354/F$13/1000</f>
        <v>0.34705882352941175</v>
      </c>
      <c r="G22" s="9"/>
      <c r="H22" s="37">
        <f>460/H$13/1000</f>
        <v>0.45098039215686275</v>
      </c>
      <c r="I22" s="9"/>
      <c r="J22" s="37">
        <f>358/J$13/1000</f>
        <v>0.3509803921568628</v>
      </c>
      <c r="K22" s="24"/>
      <c r="L22" s="40"/>
      <c r="N22" s="26">
        <v>2</v>
      </c>
      <c r="P22" s="13">
        <v>1.5</v>
      </c>
      <c r="R22" s="23">
        <v>2</v>
      </c>
      <c r="T22" s="40"/>
      <c r="V22" s="23">
        <v>4.6</v>
      </c>
      <c r="X22" s="23">
        <v>4.3</v>
      </c>
      <c r="Z22" s="23">
        <v>5.1</v>
      </c>
      <c r="AB22" s="26"/>
      <c r="AC22" s="26"/>
      <c r="AD22" s="26"/>
      <c r="AE22" s="26"/>
      <c r="AF22" s="26"/>
      <c r="AG22" s="26"/>
      <c r="AH22" s="26"/>
      <c r="AI22" s="26"/>
      <c r="AJ22" s="26"/>
    </row>
    <row r="23" spans="2:36" ht="12.75">
      <c r="B23" s="4" t="s">
        <v>53</v>
      </c>
      <c r="D23" s="6" t="s">
        <v>131</v>
      </c>
      <c r="E23" s="9" t="s">
        <v>21</v>
      </c>
      <c r="F23" s="37">
        <f>3/F$13/1000</f>
        <v>0.0029411764705882353</v>
      </c>
      <c r="G23" s="9" t="s">
        <v>21</v>
      </c>
      <c r="H23" s="37">
        <f>3/H$13/1000</f>
        <v>0.0029411764705882353</v>
      </c>
      <c r="I23" s="9" t="s">
        <v>21</v>
      </c>
      <c r="J23" s="37">
        <f>3/J$13/1000</f>
        <v>0.0029411764705882353</v>
      </c>
      <c r="K23" s="25"/>
      <c r="L23" s="40"/>
      <c r="M23" s="23" t="s">
        <v>21</v>
      </c>
      <c r="N23" s="13">
        <v>0.19</v>
      </c>
      <c r="O23" s="23" t="s">
        <v>21</v>
      </c>
      <c r="P23" s="13">
        <v>0.19</v>
      </c>
      <c r="Q23" s="23" t="s">
        <v>21</v>
      </c>
      <c r="R23" s="23">
        <v>0.19</v>
      </c>
      <c r="T23" s="40"/>
      <c r="U23" s="23" t="s">
        <v>21</v>
      </c>
      <c r="V23" s="23">
        <v>0.21</v>
      </c>
      <c r="W23" s="23" t="s">
        <v>21</v>
      </c>
      <c r="X23" s="23">
        <v>0.21</v>
      </c>
      <c r="Y23" s="23" t="s">
        <v>21</v>
      </c>
      <c r="Z23" s="23">
        <v>0.18</v>
      </c>
      <c r="AB23" s="26"/>
      <c r="AC23" s="26"/>
      <c r="AD23" s="26"/>
      <c r="AE23" s="26"/>
      <c r="AF23" s="26"/>
      <c r="AG23" s="26"/>
      <c r="AH23" s="26"/>
      <c r="AI23" s="26"/>
      <c r="AJ23" s="26"/>
    </row>
    <row r="24" spans="2:36" ht="12.75">
      <c r="B24" s="4" t="s">
        <v>79</v>
      </c>
      <c r="D24" s="6" t="s">
        <v>131</v>
      </c>
      <c r="E24" s="9" t="s">
        <v>21</v>
      </c>
      <c r="F24" s="48">
        <f>0.11/F$13/1000</f>
        <v>0.00010784313725490196</v>
      </c>
      <c r="G24" s="9" t="s">
        <v>21</v>
      </c>
      <c r="H24" s="48">
        <f>0.11/H$13/1000</f>
        <v>0.00010784313725490196</v>
      </c>
      <c r="I24" s="9" t="s">
        <v>21</v>
      </c>
      <c r="J24" s="48">
        <f>0.11/J$13/1000</f>
        <v>0.00010784313725490196</v>
      </c>
      <c r="K24" s="25"/>
      <c r="L24" s="40"/>
      <c r="M24" s="23" t="s">
        <v>21</v>
      </c>
      <c r="N24" s="13">
        <v>0.03</v>
      </c>
      <c r="O24" s="23" t="s">
        <v>21</v>
      </c>
      <c r="P24" s="13">
        <v>0.03</v>
      </c>
      <c r="Q24" s="23" t="s">
        <v>21</v>
      </c>
      <c r="R24" s="23">
        <v>0.03</v>
      </c>
      <c r="T24" s="40"/>
      <c r="U24" s="23" t="s">
        <v>21</v>
      </c>
      <c r="V24" s="23">
        <v>0.03</v>
      </c>
      <c r="W24" s="23" t="s">
        <v>21</v>
      </c>
      <c r="X24" s="23">
        <v>0.03</v>
      </c>
      <c r="Y24" s="23" t="s">
        <v>21</v>
      </c>
      <c r="Z24" s="23">
        <v>0.03</v>
      </c>
      <c r="AB24" s="26"/>
      <c r="AC24" s="26"/>
      <c r="AD24" s="26"/>
      <c r="AE24" s="26"/>
      <c r="AF24" s="26"/>
      <c r="AG24" s="26"/>
      <c r="AH24" s="26"/>
      <c r="AI24" s="26"/>
      <c r="AJ24" s="26"/>
    </row>
    <row r="25" spans="2:36" ht="12.75">
      <c r="B25" s="4" t="s">
        <v>60</v>
      </c>
      <c r="D25" s="6" t="s">
        <v>131</v>
      </c>
      <c r="E25" s="9" t="s">
        <v>21</v>
      </c>
      <c r="F25" s="37">
        <f>0.57/F$13/1000</f>
        <v>0.0005588235294117646</v>
      </c>
      <c r="G25" s="9" t="s">
        <v>21</v>
      </c>
      <c r="H25" s="37">
        <f>0.57/H$13/1000</f>
        <v>0.0005588235294117646</v>
      </c>
      <c r="I25" s="9" t="s">
        <v>21</v>
      </c>
      <c r="J25" s="37">
        <f>0.57/J$13/1000</f>
        <v>0.0005588235294117646</v>
      </c>
      <c r="K25" s="25"/>
      <c r="L25" s="40"/>
      <c r="M25" s="23" t="s">
        <v>21</v>
      </c>
      <c r="N25" s="13">
        <v>0.03</v>
      </c>
      <c r="O25" s="23" t="s">
        <v>21</v>
      </c>
      <c r="P25" s="13">
        <v>0.03</v>
      </c>
      <c r="Q25" s="23" t="s">
        <v>21</v>
      </c>
      <c r="R25" s="23">
        <v>0.03</v>
      </c>
      <c r="T25" s="40"/>
      <c r="U25" s="23" t="s">
        <v>21</v>
      </c>
      <c r="V25" s="23">
        <v>0.03</v>
      </c>
      <c r="W25" s="23" t="s">
        <v>21</v>
      </c>
      <c r="X25" s="23">
        <v>0.03</v>
      </c>
      <c r="Y25" s="23" t="s">
        <v>21</v>
      </c>
      <c r="Z25" s="23">
        <v>0.03</v>
      </c>
      <c r="AB25" s="26"/>
      <c r="AC25" s="26"/>
      <c r="AD25" s="26"/>
      <c r="AE25" s="26"/>
      <c r="AF25" s="26"/>
      <c r="AG25" s="26"/>
      <c r="AH25" s="26"/>
      <c r="AI25" s="26"/>
      <c r="AJ25" s="26"/>
    </row>
    <row r="26" spans="2:36" ht="12.75">
      <c r="B26" s="4" t="s">
        <v>123</v>
      </c>
      <c r="D26" s="6" t="s">
        <v>131</v>
      </c>
      <c r="E26" s="9" t="s">
        <v>21</v>
      </c>
      <c r="F26" s="37">
        <f>5.7/F$13/1000</f>
        <v>0.0055882352941176465</v>
      </c>
      <c r="G26" s="9" t="s">
        <v>21</v>
      </c>
      <c r="H26" s="37">
        <f>5.7/H$13/1000</f>
        <v>0.0055882352941176465</v>
      </c>
      <c r="I26" s="9" t="s">
        <v>21</v>
      </c>
      <c r="J26" s="37">
        <f>5.7/J$13/1000</f>
        <v>0.0055882352941176465</v>
      </c>
      <c r="K26" s="25"/>
      <c r="L26" s="40"/>
      <c r="M26" s="23" t="s">
        <v>21</v>
      </c>
      <c r="N26" s="13">
        <v>0.32</v>
      </c>
      <c r="O26" s="23" t="s">
        <v>21</v>
      </c>
      <c r="P26" s="13">
        <v>0.32</v>
      </c>
      <c r="Q26" s="23" t="s">
        <v>21</v>
      </c>
      <c r="R26" s="23">
        <v>0.32</v>
      </c>
      <c r="T26" s="40"/>
      <c r="U26" s="23" t="s">
        <v>21</v>
      </c>
      <c r="V26" s="23">
        <v>0.35</v>
      </c>
      <c r="W26" s="23" t="s">
        <v>21</v>
      </c>
      <c r="X26" s="23">
        <v>0.34</v>
      </c>
      <c r="Y26" s="23" t="s">
        <v>21</v>
      </c>
      <c r="Z26" s="23">
        <v>0.31</v>
      </c>
      <c r="AB26" s="26"/>
      <c r="AC26" s="26"/>
      <c r="AD26" s="26"/>
      <c r="AE26" s="26"/>
      <c r="AF26" s="26"/>
      <c r="AG26" s="26"/>
      <c r="AH26" s="26"/>
      <c r="AI26" s="26"/>
      <c r="AJ26" s="26"/>
    </row>
    <row r="27" spans="5:11" ht="12.75">
      <c r="E27" s="25"/>
      <c r="H27" s="24"/>
      <c r="I27" s="24"/>
      <c r="J27" s="25"/>
      <c r="K27" s="25"/>
    </row>
    <row r="28" spans="2:36" ht="12.75">
      <c r="B28" s="6" t="s">
        <v>33</v>
      </c>
      <c r="D28" s="6" t="s">
        <v>17</v>
      </c>
      <c r="E28" s="25"/>
      <c r="F28" s="7">
        <f>emiss!$G$23</f>
        <v>16686</v>
      </c>
      <c r="H28" s="7">
        <f>emiss!$I$23</f>
        <v>17084</v>
      </c>
      <c r="I28" s="24"/>
      <c r="J28" s="7">
        <f>emiss!$K$23</f>
        <v>16867</v>
      </c>
      <c r="K28" s="25"/>
      <c r="L28" s="7">
        <f>emiss!$M$23</f>
        <v>16879</v>
      </c>
      <c r="N28" s="7">
        <f>emiss!$G$23</f>
        <v>16686</v>
      </c>
      <c r="O28" s="25"/>
      <c r="P28" s="7">
        <f>emiss!$I$23</f>
        <v>17084</v>
      </c>
      <c r="Q28" s="24"/>
      <c r="R28" s="7">
        <f>emiss!$K$23</f>
        <v>16867</v>
      </c>
      <c r="S28" s="25"/>
      <c r="T28" s="7">
        <f>emiss!$M$23</f>
        <v>16879</v>
      </c>
      <c r="V28" s="7">
        <f>emiss!$G$23</f>
        <v>16686</v>
      </c>
      <c r="W28" s="25"/>
      <c r="X28" s="7">
        <f>emiss!$I$23</f>
        <v>17084</v>
      </c>
      <c r="Y28" s="24"/>
      <c r="Z28" s="7">
        <f>emiss!$K$23</f>
        <v>16867</v>
      </c>
      <c r="AA28" s="25"/>
      <c r="AB28" s="7">
        <f>emiss!$M$23</f>
        <v>16879</v>
      </c>
      <c r="AC28" s="7"/>
      <c r="AD28" s="7"/>
      <c r="AE28" s="7"/>
      <c r="AF28" s="7"/>
      <c r="AG28" s="7"/>
      <c r="AH28" s="7"/>
      <c r="AI28" s="7"/>
      <c r="AJ28" s="7"/>
    </row>
    <row r="29" spans="2:36" ht="12.75">
      <c r="B29" s="6" t="s">
        <v>34</v>
      </c>
      <c r="D29" s="6" t="s">
        <v>18</v>
      </c>
      <c r="E29" s="25"/>
      <c r="F29" s="7">
        <f>emiss!$G$30</f>
        <v>4.19</v>
      </c>
      <c r="H29" s="7">
        <f>emiss!$I$30</f>
        <v>4.4</v>
      </c>
      <c r="I29" s="24"/>
      <c r="J29" s="7">
        <f>emiss!$K$30</f>
        <v>4.23</v>
      </c>
      <c r="K29" s="25"/>
      <c r="L29" s="7">
        <f>emiss!$M$30</f>
        <v>4.273333333333333</v>
      </c>
      <c r="N29" s="7">
        <f>emiss!$G$30</f>
        <v>4.19</v>
      </c>
      <c r="O29" s="25"/>
      <c r="P29" s="7">
        <f>emiss!$I$30</f>
        <v>4.4</v>
      </c>
      <c r="Q29" s="24"/>
      <c r="R29" s="7">
        <f>emiss!$K$30</f>
        <v>4.23</v>
      </c>
      <c r="S29" s="25"/>
      <c r="T29" s="7">
        <f>emiss!$M$30</f>
        <v>4.273333333333333</v>
      </c>
      <c r="V29" s="7">
        <f>emiss!$G$30</f>
        <v>4.19</v>
      </c>
      <c r="W29" s="25"/>
      <c r="X29" s="7">
        <f>emiss!$I$30</f>
        <v>4.4</v>
      </c>
      <c r="Y29" s="24"/>
      <c r="Z29" s="7">
        <f>emiss!$K$30</f>
        <v>4.23</v>
      </c>
      <c r="AA29" s="25"/>
      <c r="AB29" s="7">
        <f>emiss!$M$30</f>
        <v>4.273333333333333</v>
      </c>
      <c r="AC29" s="7"/>
      <c r="AD29" s="7"/>
      <c r="AE29" s="7"/>
      <c r="AF29" s="7"/>
      <c r="AG29" s="7"/>
      <c r="AH29" s="7"/>
      <c r="AI29" s="7"/>
      <c r="AJ29" s="7"/>
    </row>
    <row r="30" spans="5:11" ht="12.75">
      <c r="E30" s="25"/>
      <c r="H30" s="24"/>
      <c r="I30" s="24"/>
      <c r="J30" s="25"/>
      <c r="K30" s="25"/>
    </row>
    <row r="31" spans="2:44" ht="12.75">
      <c r="B31" s="6" t="s">
        <v>71</v>
      </c>
      <c r="D31" s="6" t="s">
        <v>29</v>
      </c>
      <c r="E31" s="25"/>
      <c r="F31" s="7"/>
      <c r="G31" s="8"/>
      <c r="H31" s="7"/>
      <c r="I31" s="7"/>
      <c r="J31" s="25"/>
      <c r="K31" s="25"/>
      <c r="N31" s="26">
        <f>N9*N10/1000000</f>
        <v>28.73523511982379</v>
      </c>
      <c r="P31" s="26">
        <f>P9*P10/1000000</f>
        <v>28.26538722951542</v>
      </c>
      <c r="R31" s="26">
        <f>R9*R10/1000000</f>
        <v>25.08061586431718</v>
      </c>
      <c r="T31" s="26">
        <f>AVERAGE(R31,P31,N31)</f>
        <v>27.360412737885465</v>
      </c>
      <c r="V31" s="26">
        <f>V9*V10/1000000</f>
        <v>27.152302099559474</v>
      </c>
      <c r="X31" s="26">
        <f>X9*X10/1000000</f>
        <v>28.114323711013217</v>
      </c>
      <c r="Z31" s="26">
        <f>Z9*Z10/1000000</f>
        <v>27.742688066960355</v>
      </c>
      <c r="AB31" s="26">
        <f>AVERAGE(Z31,X31,V31)</f>
        <v>27.669771292511015</v>
      </c>
      <c r="AC31" s="26"/>
      <c r="AD31" s="26"/>
      <c r="AE31" s="26"/>
      <c r="AF31" s="26"/>
      <c r="AG31" s="26"/>
      <c r="AH31" s="26"/>
      <c r="AI31" s="26"/>
      <c r="AJ31" s="26"/>
      <c r="AL31" s="26">
        <f>SUM(V31,N31,F31)</f>
        <v>55.88753721938326</v>
      </c>
      <c r="AN31" s="26">
        <f>SUM(X31,P31,H31)</f>
        <v>56.37971094052864</v>
      </c>
      <c r="AP31" s="26">
        <f>SUM(Z31,R31,J31)</f>
        <v>52.823303931277536</v>
      </c>
      <c r="AR31" s="26">
        <f>SUM(AB31,T31,L31)</f>
        <v>55.030184030396484</v>
      </c>
    </row>
    <row r="32" spans="2:16" ht="12.75">
      <c r="B32" s="6" t="s">
        <v>185</v>
      </c>
      <c r="D32" s="6" t="s">
        <v>29</v>
      </c>
      <c r="E32" s="25"/>
      <c r="F32" s="23"/>
      <c r="G32" s="8"/>
      <c r="H32" s="7"/>
      <c r="I32" s="7"/>
      <c r="J32" s="25"/>
      <c r="K32" s="25"/>
      <c r="P32" s="7"/>
    </row>
    <row r="33" spans="5:16" ht="12.75">
      <c r="E33" s="25"/>
      <c r="F33" s="23"/>
      <c r="G33" s="8"/>
      <c r="H33" s="7"/>
      <c r="I33" s="7"/>
      <c r="J33" s="25"/>
      <c r="K33" s="25"/>
      <c r="P33" s="7"/>
    </row>
    <row r="34" spans="2:16" ht="12.75">
      <c r="B34" s="34" t="s">
        <v>47</v>
      </c>
      <c r="C34" s="34"/>
      <c r="E34" s="25"/>
      <c r="F34" s="23"/>
      <c r="G34" s="8"/>
      <c r="H34" s="7"/>
      <c r="I34" s="7"/>
      <c r="J34" s="25"/>
      <c r="K34" s="25"/>
      <c r="P34" s="7"/>
    </row>
    <row r="35" spans="2:44" ht="12.75">
      <c r="B35" s="6" t="s">
        <v>23</v>
      </c>
      <c r="D35" s="6" t="s">
        <v>35</v>
      </c>
      <c r="E35" s="9">
        <v>100</v>
      </c>
      <c r="F35" s="28">
        <f>F15/100*F$9*454/60/0.0283/F$28*(21-7)/(21-F$29)*1000</f>
        <v>93.039111943876</v>
      </c>
      <c r="G35" s="9">
        <v>100</v>
      </c>
      <c r="H35" s="28">
        <f>H15/100*H$9*454/60/0.0283/H$28*(21-7)/(21-H$29)*1000</f>
        <v>65.86411485655434</v>
      </c>
      <c r="I35" s="9">
        <v>100</v>
      </c>
      <c r="J35" s="28">
        <f>J15/100*J$9*454/60/0.0283/J$28*(21-7)/(21-J$29)*1000</f>
        <v>63.36139747519531</v>
      </c>
      <c r="K35" s="23">
        <v>100</v>
      </c>
      <c r="L35" s="26">
        <f>AVERAGE(J35,H35,F35)/2</f>
        <v>37.04410404593761</v>
      </c>
      <c r="M35" s="26"/>
      <c r="N35" s="28">
        <f>N15/100*N$9*454/60/0.0283/N$28*(21-7)/(21-N$29)*1000</f>
        <v>141.44698282342617</v>
      </c>
      <c r="O35" s="26"/>
      <c r="P35" s="28">
        <f>P15/100*P$9*454/60/0.0283/P$28*(21-7)/(21-P$29)*1000</f>
        <v>145.4913181188973</v>
      </c>
      <c r="Q35" s="26"/>
      <c r="R35" s="28">
        <f>R15/100*R$9*454/60/0.0283/R$28*(21-7)/(21-R$29)*1000</f>
        <v>140.46126555534403</v>
      </c>
      <c r="S35" s="26"/>
      <c r="T35" s="26">
        <f>AVERAGE(R35,P35,N35)</f>
        <v>142.46652216588916</v>
      </c>
      <c r="V35" s="28">
        <f>V15/100*V$9*454/60/0.0283/V$28*(21-7)/(21-V$29)*1000</f>
        <v>702.6778448921107</v>
      </c>
      <c r="W35" s="26"/>
      <c r="X35" s="28">
        <f>X15/100*X$9*454/60/0.0283/X$28*(21-7)/(21-X$29)*1000</f>
        <v>92.5789738091984</v>
      </c>
      <c r="Y35" s="26"/>
      <c r="Z35" s="28">
        <f>Z15/100*Z$9*454/60/0.0283/Z$28*(21-7)/(21-Z$29)*1000</f>
        <v>143.89760432172034</v>
      </c>
      <c r="AA35" s="26"/>
      <c r="AB35" s="26">
        <f>AVERAGE(Z35,X35,V35)</f>
        <v>313.0514743410098</v>
      </c>
      <c r="AC35" s="26">
        <f>SUM((F35*E35/100),(N35*M35/100),(V35*U35/100))/AD35*100</f>
        <v>9.927730678336658</v>
      </c>
      <c r="AD35" s="26">
        <f>SUM(V35,N35,F35)</f>
        <v>937.1639396594129</v>
      </c>
      <c r="AE35" s="26">
        <f>SUM((H35*G35/100),(P35*O35/100),(X35*W35/100))/AF35*100</f>
        <v>21.67050303824988</v>
      </c>
      <c r="AF35" s="26">
        <f>SUM(X35,P35,H35)</f>
        <v>303.93440678465004</v>
      </c>
      <c r="AG35" s="26">
        <f>SUM((J35*I35/100),(R35*Q35/100),(Z35*Y35/100))/AH35*100</f>
        <v>18.221945461409284</v>
      </c>
      <c r="AH35" s="26">
        <f>SUM(Z35,R35,J35)</f>
        <v>347.72026735225967</v>
      </c>
      <c r="AI35" s="47">
        <f>SUM((AH35*AG35/100),(AF35*AE35/100),(AD35*AC35/100))/AJ35*100/3</f>
        <v>15.041394376205737</v>
      </c>
      <c r="AJ35" s="26">
        <f>SUM(AB35,T35,L35)</f>
        <v>492.56210055283657</v>
      </c>
      <c r="AK35" s="47">
        <f>AC35</f>
        <v>9.927730678336658</v>
      </c>
      <c r="AL35" s="26">
        <f>SUM(V35,N35,F35)</f>
        <v>937.1639396594129</v>
      </c>
      <c r="AM35" s="47">
        <f>AE35</f>
        <v>21.67050303824988</v>
      </c>
      <c r="AN35" s="26">
        <f>SUM(X35,P35,H35/2)</f>
        <v>271.00234935637286</v>
      </c>
      <c r="AO35" s="47">
        <f>AG35</f>
        <v>18.221945461409284</v>
      </c>
      <c r="AP35" s="26">
        <f>SUM(Z35,R35,J35/2)</f>
        <v>316.039568614662</v>
      </c>
      <c r="AQ35" s="47">
        <f>AI35</f>
        <v>15.041394376205737</v>
      </c>
      <c r="AR35" s="26">
        <f aca="true" t="shared" si="0" ref="AR35:AR48">SUM(AB35,T35,L35)</f>
        <v>492.56210055283657</v>
      </c>
    </row>
    <row r="36" spans="2:44" ht="12.75">
      <c r="B36" s="6" t="s">
        <v>90</v>
      </c>
      <c r="D36" s="6" t="s">
        <v>30</v>
      </c>
      <c r="E36" s="9"/>
      <c r="F36" s="28">
        <f>F16/1000000*F$9*454/60/0.0283/F$28*(21-7)/(21-F$29)*1000000</f>
        <v>4500.767040285002</v>
      </c>
      <c r="G36" s="9"/>
      <c r="H36" s="28">
        <f>H16/1000000*H$9*454/60/0.0283/H$28*(21-7)/(21-H$29)*1000000</f>
        <v>4456.805105293512</v>
      </c>
      <c r="I36" s="9"/>
      <c r="J36" s="28">
        <f aca="true" t="shared" si="1" ref="J36:J46">J16/1000000*J$9*454/60/0.0283/J$28*(21-7)/(21-J$29)*1000000</f>
        <v>4984.429934715366</v>
      </c>
      <c r="L36" s="26">
        <f>AVERAGE(J36,H36,F36)</f>
        <v>4647.334026764626</v>
      </c>
      <c r="M36" s="26"/>
      <c r="N36" s="28">
        <f aca="true" t="shared" si="2" ref="N36:N46">N16/1000000*N$9*454/60/0.0283/N$28*(21-7)/(21-N$29)*1000000</f>
        <v>1402.4206408085622</v>
      </c>
      <c r="O36" s="26"/>
      <c r="P36" s="28">
        <f aca="true" t="shared" si="3" ref="P36:P46">P16/1000000*P$9*454/60/0.0283/P$28*(21-7)/(21-P$29)*1000000</f>
        <v>542.4747718433171</v>
      </c>
      <c r="Q36" s="26"/>
      <c r="R36" s="28">
        <f aca="true" t="shared" si="4" ref="R36:R46">R16/1000000*R$9*454/60/0.0283/R$28*(21-7)/(21-R$29)*1000000</f>
        <v>1090.9158291465048</v>
      </c>
      <c r="S36" s="26"/>
      <c r="T36" s="26">
        <f aca="true" t="shared" si="5" ref="T36:T46">AVERAGE(R36,P36,N36)</f>
        <v>1011.9370805994613</v>
      </c>
      <c r="V36" s="28">
        <f>V16/1000000*V$9*454/60/0.0283/V$28*(21-7)/(21-V$29)*1000000</f>
        <v>472.1235465950776</v>
      </c>
      <c r="W36" s="26"/>
      <c r="X36" s="28">
        <f>X16/1000000*X$9*454/60/0.0283/X$28*(21-7)/(21-X$29)*1000000</f>
        <v>702.4429637772929</v>
      </c>
      <c r="Y36" s="26"/>
      <c r="Z36" s="28">
        <f>Z16/1000000*Z$9*454/60/0.0283/Z$28*(21-7)/(21-Z$29)*1000000</f>
        <v>907.7216445591761</v>
      </c>
      <c r="AB36" s="26">
        <f aca="true" t="shared" si="6" ref="AB36:AB47">AVERAGE(Z36,X36,V36)</f>
        <v>694.0960516438489</v>
      </c>
      <c r="AC36" s="26"/>
      <c r="AD36" s="26">
        <f aca="true" t="shared" si="7" ref="AD36:AJ48">SUM(V36,N36,F36)</f>
        <v>6375.311227688641</v>
      </c>
      <c r="AE36" s="26"/>
      <c r="AF36" s="26">
        <f t="shared" si="7"/>
        <v>5701.722840914122</v>
      </c>
      <c r="AG36" s="26"/>
      <c r="AH36" s="26">
        <f t="shared" si="7"/>
        <v>6983.067408421046</v>
      </c>
      <c r="AI36" s="47"/>
      <c r="AJ36" s="26">
        <f t="shared" si="7"/>
        <v>6353.367159007937</v>
      </c>
      <c r="AK36" s="47"/>
      <c r="AL36" s="26">
        <f aca="true" t="shared" si="8" ref="AL36:AL47">SUM(V36,N36,F36)</f>
        <v>6375.311227688641</v>
      </c>
      <c r="AM36" s="47"/>
      <c r="AN36" s="26">
        <f>SUM(X36,P36,H36)</f>
        <v>5701.722840914122</v>
      </c>
      <c r="AO36" s="47"/>
      <c r="AP36" s="26">
        <f>SUM(Z36,R36,J36)</f>
        <v>6983.067408421046</v>
      </c>
      <c r="AQ36" s="47"/>
      <c r="AR36" s="26">
        <f t="shared" si="0"/>
        <v>6353.367159007937</v>
      </c>
    </row>
    <row r="37" spans="2:44" ht="12.75">
      <c r="B37" s="4" t="s">
        <v>54</v>
      </c>
      <c r="D37" s="6" t="s">
        <v>30</v>
      </c>
      <c r="E37" s="9"/>
      <c r="F37" s="28">
        <f aca="true" t="shared" si="9" ref="F37:H46">F17/1000000*F$9*454/60/0.0283/F$28*(21-7)/(21-F$29)*1000000</f>
        <v>1.4594370501000153</v>
      </c>
      <c r="G37" s="9">
        <v>100</v>
      </c>
      <c r="H37" s="28">
        <f t="shared" si="9"/>
        <v>0.7318234984061595</v>
      </c>
      <c r="I37" s="9">
        <v>100</v>
      </c>
      <c r="J37" s="28">
        <f t="shared" si="1"/>
        <v>0.70401552750217</v>
      </c>
      <c r="K37" s="23">
        <f>SUM((J37*I37/100),(H37*G37/100),(F37*E37/100))/L37*100/3</f>
        <v>49.59247367829221</v>
      </c>
      <c r="L37" s="26">
        <f aca="true" t="shared" si="10" ref="L37:L47">AVERAGE(J37,H37,F37)</f>
        <v>0.9650920253361148</v>
      </c>
      <c r="M37" s="23">
        <v>100</v>
      </c>
      <c r="N37" s="28">
        <f t="shared" si="2"/>
        <v>9.953676569055913</v>
      </c>
      <c r="O37" s="23">
        <v>100</v>
      </c>
      <c r="P37" s="28">
        <f t="shared" si="3"/>
        <v>10.392237008492666</v>
      </c>
      <c r="Q37" s="23">
        <v>100</v>
      </c>
      <c r="R37" s="28">
        <f t="shared" si="4"/>
        <v>9.884311279820505</v>
      </c>
      <c r="S37" s="23">
        <v>100</v>
      </c>
      <c r="T37" s="26">
        <f t="shared" si="5"/>
        <v>10.076741619123029</v>
      </c>
      <c r="U37" s="23">
        <v>100</v>
      </c>
      <c r="V37" s="28">
        <f aca="true" t="shared" si="11" ref="V37:V46">V17/1000000*V$9*454/60/0.0283/V$28*(21-7)/(21-V$29)*1000000</f>
        <v>7.9763431041807165</v>
      </c>
      <c r="W37" s="23">
        <v>100</v>
      </c>
      <c r="X37" s="28">
        <f aca="true" t="shared" si="12" ref="X37:X46">X17/1000000*X$9*454/60/0.0283/X$28*(21-7)/(21-X$29)*1000000</f>
        <v>8.10066020830486</v>
      </c>
      <c r="Y37" s="23">
        <v>100</v>
      </c>
      <c r="Z37" s="28">
        <f aca="true" t="shared" si="13" ref="Z37:Z46">Z17/1000000*Z$9*454/60/0.0283/Z$28*(21-7)/(21-Z$29)*1000000</f>
        <v>7.000423994029637</v>
      </c>
      <c r="AA37" s="23">
        <v>100</v>
      </c>
      <c r="AB37" s="26">
        <f t="shared" si="6"/>
        <v>7.692475768838405</v>
      </c>
      <c r="AC37" s="26">
        <f>SUM((F37*E37/100),(N37*M37/100),(V37*U37/100))/AD37*100</f>
        <v>92.47303794570236</v>
      </c>
      <c r="AD37" s="26">
        <f t="shared" si="7"/>
        <v>19.389456723336643</v>
      </c>
      <c r="AE37" s="47">
        <f>SUM((H37*G37/100),(P37*O37/100),(X37*W37/100))/AF37*100</f>
        <v>100</v>
      </c>
      <c r="AF37" s="26">
        <f t="shared" si="7"/>
        <v>19.224720715203688</v>
      </c>
      <c r="AG37" s="47">
        <f>SUM((J37*I37/100),(R37*Q37/100),(Z37*Y37/100))/AH37*100</f>
        <v>100</v>
      </c>
      <c r="AH37" s="26">
        <f t="shared" si="7"/>
        <v>17.58875080135231</v>
      </c>
      <c r="AI37" s="47">
        <f aca="true" t="shared" si="14" ref="AI37:AI47">SUM((AH37*AG37/100),(AF37*AE37/100),(AD37*AC37/100))/AJ37*100/3</f>
        <v>97.40327222120767</v>
      </c>
      <c r="AJ37" s="26">
        <f t="shared" si="7"/>
        <v>18.73430941329755</v>
      </c>
      <c r="AK37" s="47">
        <f>AC37</f>
        <v>92.47303794570236</v>
      </c>
      <c r="AL37" s="26">
        <f t="shared" si="8"/>
        <v>19.389456723336643</v>
      </c>
      <c r="AM37" s="47">
        <f>AE37</f>
        <v>100</v>
      </c>
      <c r="AN37" s="26">
        <f>SUM(X37,P37,H37)/2</f>
        <v>9.612360357601844</v>
      </c>
      <c r="AO37" s="47">
        <f>AG37</f>
        <v>100</v>
      </c>
      <c r="AP37" s="26">
        <f>SUM(Z37,R37,J37)/2</f>
        <v>8.794375400676156</v>
      </c>
      <c r="AQ37" s="47">
        <f>AI37</f>
        <v>97.40327222120767</v>
      </c>
      <c r="AR37" s="26">
        <f t="shared" si="0"/>
        <v>18.73430941329755</v>
      </c>
    </row>
    <row r="38" spans="2:44" ht="12.75">
      <c r="B38" s="4" t="s">
        <v>55</v>
      </c>
      <c r="D38" s="6" t="s">
        <v>30</v>
      </c>
      <c r="E38" s="9"/>
      <c r="F38" s="28">
        <f t="shared" si="9"/>
        <v>0.9577555641281355</v>
      </c>
      <c r="G38" s="9">
        <v>100</v>
      </c>
      <c r="H38" s="28">
        <f t="shared" si="9"/>
        <v>0.7318234984061595</v>
      </c>
      <c r="I38" s="9"/>
      <c r="J38" s="28">
        <f t="shared" si="1"/>
        <v>0.7247218665463516</v>
      </c>
      <c r="K38" s="23">
        <f aca="true" t="shared" si="15" ref="K38:K47">SUM((J38*I38/100),(H38*G38/100),(F38*E38/100))/L38*100/3</f>
        <v>30.31202488435582</v>
      </c>
      <c r="L38" s="26">
        <f t="shared" si="10"/>
        <v>0.8047669763602155</v>
      </c>
      <c r="M38" s="23">
        <v>100</v>
      </c>
      <c r="N38" s="28">
        <f t="shared" si="2"/>
        <v>9.953676569055913</v>
      </c>
      <c r="O38" s="23">
        <v>100</v>
      </c>
      <c r="P38" s="28">
        <f t="shared" si="3"/>
        <v>9.872625158068033</v>
      </c>
      <c r="Q38" s="23">
        <v>100</v>
      </c>
      <c r="R38" s="28">
        <f t="shared" si="4"/>
        <v>9.884311279820505</v>
      </c>
      <c r="S38" s="23">
        <v>100</v>
      </c>
      <c r="T38" s="26">
        <f t="shared" si="5"/>
        <v>9.903537668981484</v>
      </c>
      <c r="U38" s="23">
        <v>100</v>
      </c>
      <c r="V38" s="28">
        <f t="shared" si="11"/>
        <v>7.9763431041807165</v>
      </c>
      <c r="W38" s="23">
        <v>100</v>
      </c>
      <c r="X38" s="28">
        <f t="shared" si="12"/>
        <v>8.10066020830486</v>
      </c>
      <c r="Y38" s="23">
        <v>100</v>
      </c>
      <c r="Z38" s="28">
        <f t="shared" si="13"/>
        <v>7.000423994029637</v>
      </c>
      <c r="AA38" s="23">
        <v>100</v>
      </c>
      <c r="AB38" s="26">
        <f t="shared" si="6"/>
        <v>7.692475768838405</v>
      </c>
      <c r="AC38" s="26">
        <f>SUM((F38*E38/100),(N38*M38/100),(V38*U38/100))/AD38*100</f>
        <v>94.92923040383575</v>
      </c>
      <c r="AD38" s="26">
        <f t="shared" si="7"/>
        <v>18.887775237364764</v>
      </c>
      <c r="AE38" s="47">
        <f>SUM((H38*G38/100),(P38*O38/100),(X38*W38/100))/AF38*100</f>
        <v>100</v>
      </c>
      <c r="AF38" s="26">
        <f t="shared" si="7"/>
        <v>18.705108864779053</v>
      </c>
      <c r="AG38" s="47">
        <f>SUM((J38*I38/100),(R38*Q38/100),(Z38*Y38/100))/AH38*100</f>
        <v>95.88447354868299</v>
      </c>
      <c r="AH38" s="26">
        <f t="shared" si="7"/>
        <v>17.60945714039649</v>
      </c>
      <c r="AI38" s="47">
        <f t="shared" si="14"/>
        <v>96.95216291047826</v>
      </c>
      <c r="AJ38" s="26">
        <f t="shared" si="7"/>
        <v>18.400780414180105</v>
      </c>
      <c r="AK38" s="47">
        <f>AC38</f>
        <v>94.92923040383575</v>
      </c>
      <c r="AL38" s="26">
        <f t="shared" si="8"/>
        <v>18.887775237364764</v>
      </c>
      <c r="AM38" s="47">
        <f>AE38</f>
        <v>100</v>
      </c>
      <c r="AN38" s="26">
        <f>SUM(X38,P38,H38)/2</f>
        <v>9.352554432389526</v>
      </c>
      <c r="AO38" s="47">
        <f>AG38</f>
        <v>95.88447354868299</v>
      </c>
      <c r="AP38" s="26">
        <f>SUM(Z38,R38,J38)/2</f>
        <v>8.804728570198245</v>
      </c>
      <c r="AQ38" s="47">
        <f>AI38</f>
        <v>96.95216291047826</v>
      </c>
      <c r="AR38" s="26">
        <f t="shared" si="0"/>
        <v>18.400780414180105</v>
      </c>
    </row>
    <row r="39" spans="2:44" ht="12.75">
      <c r="B39" s="4" t="s">
        <v>56</v>
      </c>
      <c r="D39" s="6" t="s">
        <v>30</v>
      </c>
      <c r="E39" s="9"/>
      <c r="F39" s="28">
        <f t="shared" si="9"/>
        <v>2.508407429859402</v>
      </c>
      <c r="G39" s="9">
        <v>100</v>
      </c>
      <c r="H39" s="28">
        <f t="shared" si="9"/>
        <v>2.367664259549339</v>
      </c>
      <c r="I39" s="9"/>
      <c r="J39" s="28">
        <f t="shared" si="1"/>
        <v>2.4847606853017767</v>
      </c>
      <c r="K39" s="23">
        <f t="shared" si="15"/>
        <v>32.16571359081456</v>
      </c>
      <c r="L39" s="26">
        <f t="shared" si="10"/>
        <v>2.4536107915701724</v>
      </c>
      <c r="M39" s="23">
        <v>100</v>
      </c>
      <c r="N39" s="28">
        <f t="shared" si="2"/>
        <v>33.004295992132775</v>
      </c>
      <c r="O39" s="23">
        <v>100</v>
      </c>
      <c r="P39" s="28">
        <f t="shared" si="3"/>
        <v>33.25515842717652</v>
      </c>
      <c r="Q39" s="23">
        <v>100</v>
      </c>
      <c r="R39" s="28">
        <f t="shared" si="4"/>
        <v>33.81474911517542</v>
      </c>
      <c r="S39" s="23">
        <v>100</v>
      </c>
      <c r="T39" s="26">
        <f t="shared" si="5"/>
        <v>33.358067844828234</v>
      </c>
      <c r="U39" s="23">
        <v>100</v>
      </c>
      <c r="V39" s="28">
        <f t="shared" si="11"/>
        <v>26.207984485165206</v>
      </c>
      <c r="W39" s="23">
        <v>100</v>
      </c>
      <c r="X39" s="28">
        <f t="shared" si="12"/>
        <v>26.61645497014454</v>
      </c>
      <c r="Y39" s="23">
        <v>100</v>
      </c>
      <c r="Z39" s="28">
        <f t="shared" si="13"/>
        <v>23.72365909087821</v>
      </c>
      <c r="AA39" s="23">
        <v>100</v>
      </c>
      <c r="AB39" s="26">
        <f t="shared" si="6"/>
        <v>25.51603284872932</v>
      </c>
      <c r="AC39" s="26">
        <f>SUM((F39*E39/100),(N39*M39/100),(V39*U39/100))/AD39*100</f>
        <v>95.93587253331873</v>
      </c>
      <c r="AD39" s="26">
        <f t="shared" si="7"/>
        <v>61.720687907157384</v>
      </c>
      <c r="AE39" s="47">
        <f>SUM((H39*G39/100),(P39*O39/100),(X39*W39/100))/AF39*100</f>
        <v>100.00000000000003</v>
      </c>
      <c r="AF39" s="26">
        <f t="shared" si="7"/>
        <v>62.23927765687039</v>
      </c>
      <c r="AG39" s="47">
        <f>SUM((J39*I39/100),(R39*Q39/100),(Z39*Y39/100))/AH39*100</f>
        <v>95.86033071696146</v>
      </c>
      <c r="AH39" s="26">
        <f t="shared" si="7"/>
        <v>60.02316889135541</v>
      </c>
      <c r="AI39" s="47">
        <f t="shared" si="14"/>
        <v>97.2860729164433</v>
      </c>
      <c r="AJ39" s="26">
        <f t="shared" si="7"/>
        <v>61.32771148512772</v>
      </c>
      <c r="AK39" s="47">
        <f>AC39</f>
        <v>95.93587253331873</v>
      </c>
      <c r="AL39" s="26">
        <f t="shared" si="8"/>
        <v>61.720687907157384</v>
      </c>
      <c r="AM39" s="47">
        <f>AE39</f>
        <v>100.00000000000003</v>
      </c>
      <c r="AN39" s="26">
        <f>SUM(X39,P39,H39)/2</f>
        <v>31.119638828435196</v>
      </c>
      <c r="AO39" s="47">
        <f>AG39</f>
        <v>95.86033071696146</v>
      </c>
      <c r="AP39" s="26">
        <f>SUM(Z39,R39,J39)/2</f>
        <v>30.011584445677705</v>
      </c>
      <c r="AQ39" s="47">
        <f>AI39</f>
        <v>97.2860729164433</v>
      </c>
      <c r="AR39" s="26">
        <f t="shared" si="0"/>
        <v>61.32771148512772</v>
      </c>
    </row>
    <row r="40" spans="2:44" ht="12.75">
      <c r="B40" s="4" t="s">
        <v>57</v>
      </c>
      <c r="D40" s="6" t="s">
        <v>30</v>
      </c>
      <c r="E40" s="9">
        <v>100</v>
      </c>
      <c r="F40" s="28">
        <f t="shared" si="9"/>
        <v>0.03876629664328167</v>
      </c>
      <c r="G40" s="9">
        <v>100</v>
      </c>
      <c r="H40" s="28">
        <f t="shared" si="9"/>
        <v>0.03659117492030798</v>
      </c>
      <c r="I40" s="9">
        <v>100</v>
      </c>
      <c r="J40" s="28">
        <f t="shared" si="1"/>
        <v>0.03520077637510852</v>
      </c>
      <c r="K40" s="23">
        <f t="shared" si="15"/>
        <v>100</v>
      </c>
      <c r="L40" s="26">
        <f t="shared" si="10"/>
        <v>0.036852749312899384</v>
      </c>
      <c r="M40" s="23">
        <v>100</v>
      </c>
      <c r="N40" s="28">
        <f t="shared" si="2"/>
        <v>0.5238777141608374</v>
      </c>
      <c r="O40" s="23">
        <v>100</v>
      </c>
      <c r="P40" s="28">
        <f t="shared" si="3"/>
        <v>0.5196118504246331</v>
      </c>
      <c r="Q40" s="23">
        <v>100</v>
      </c>
      <c r="R40" s="28">
        <f t="shared" si="4"/>
        <v>0.5202269094642371</v>
      </c>
      <c r="S40" s="23">
        <v>100</v>
      </c>
      <c r="T40" s="26">
        <f t="shared" si="5"/>
        <v>0.5212388246832358</v>
      </c>
      <c r="U40" s="23">
        <v>100</v>
      </c>
      <c r="V40" s="28">
        <f t="shared" si="11"/>
        <v>0.3798258621038436</v>
      </c>
      <c r="W40" s="23">
        <v>100</v>
      </c>
      <c r="X40" s="28">
        <f t="shared" si="12"/>
        <v>0.3857457242049934</v>
      </c>
      <c r="Y40" s="23">
        <v>100</v>
      </c>
      <c r="Z40" s="28">
        <f t="shared" si="13"/>
        <v>0.3889124441127576</v>
      </c>
      <c r="AA40" s="23">
        <v>100</v>
      </c>
      <c r="AB40" s="26">
        <f t="shared" si="6"/>
        <v>0.38482801014053153</v>
      </c>
      <c r="AC40" s="47">
        <f>SUM((F40*E40/100),(N40*M40/100),(V40*U40/100))/AD40*100</f>
        <v>100</v>
      </c>
      <c r="AD40" s="26">
        <f t="shared" si="7"/>
        <v>0.9424698729079627</v>
      </c>
      <c r="AE40" s="47">
        <f>SUM((H40*G40/100),(P40*O40/100),(X40*W40/100))/AF40*100</f>
        <v>100</v>
      </c>
      <c r="AF40" s="26">
        <f t="shared" si="7"/>
        <v>0.9419487495499345</v>
      </c>
      <c r="AG40" s="47">
        <f>SUM((J40*I40/100),(R40*Q40/100),(Z40*Y40/100))/AH40*100</f>
        <v>100</v>
      </c>
      <c r="AH40" s="26">
        <f t="shared" si="7"/>
        <v>0.9443401299521033</v>
      </c>
      <c r="AI40" s="47">
        <f t="shared" si="14"/>
        <v>100.00000000000004</v>
      </c>
      <c r="AJ40" s="26">
        <f t="shared" si="7"/>
        <v>0.9429195841366667</v>
      </c>
      <c r="AK40" s="47">
        <f>AC40</f>
        <v>100</v>
      </c>
      <c r="AL40" s="26">
        <f t="shared" si="8"/>
        <v>0.9424698729079627</v>
      </c>
      <c r="AM40" s="47">
        <f>AE40</f>
        <v>100</v>
      </c>
      <c r="AN40" s="26">
        <f>SUM(X40,P40,H40)/2</f>
        <v>0.47097437477496723</v>
      </c>
      <c r="AO40" s="47">
        <f>AG40</f>
        <v>100</v>
      </c>
      <c r="AP40" s="26">
        <f>SUM(Z40,R40,J40)/2</f>
        <v>0.47217006497605163</v>
      </c>
      <c r="AQ40" s="47">
        <f>AI40</f>
        <v>100.00000000000004</v>
      </c>
      <c r="AR40" s="26">
        <f t="shared" si="0"/>
        <v>0.9429195841366667</v>
      </c>
    </row>
    <row r="41" spans="2:44" ht="12.75">
      <c r="B41" s="4" t="s">
        <v>58</v>
      </c>
      <c r="D41" s="6" t="s">
        <v>30</v>
      </c>
      <c r="E41" s="9">
        <v>100</v>
      </c>
      <c r="F41" s="28">
        <f t="shared" si="9"/>
        <v>0.003648592625250039</v>
      </c>
      <c r="G41" s="9">
        <v>100</v>
      </c>
      <c r="H41" s="28">
        <f t="shared" si="9"/>
        <v>0.003443875286617221</v>
      </c>
      <c r="I41" s="9">
        <v>100</v>
      </c>
      <c r="J41" s="28">
        <f t="shared" si="1"/>
        <v>0.0033130142470690353</v>
      </c>
      <c r="K41" s="23">
        <f t="shared" si="15"/>
        <v>100</v>
      </c>
      <c r="L41" s="26">
        <f t="shared" si="10"/>
        <v>0.003468494052978765</v>
      </c>
      <c r="M41" s="23">
        <v>100</v>
      </c>
      <c r="N41" s="28">
        <f t="shared" si="2"/>
        <v>1.0477554283216748</v>
      </c>
      <c r="O41" s="23">
        <v>100</v>
      </c>
      <c r="P41" s="28">
        <f t="shared" si="3"/>
        <v>1.0392237008492662</v>
      </c>
      <c r="Q41" s="23">
        <v>100</v>
      </c>
      <c r="R41" s="28">
        <f t="shared" si="4"/>
        <v>1.0404538189284742</v>
      </c>
      <c r="S41" s="23">
        <v>100</v>
      </c>
      <c r="T41" s="26">
        <f t="shared" si="5"/>
        <v>1.0424776493664716</v>
      </c>
      <c r="U41" s="23">
        <v>100</v>
      </c>
      <c r="V41" s="28">
        <f t="shared" si="11"/>
        <v>0.7596517242076872</v>
      </c>
      <c r="W41" s="23">
        <v>100</v>
      </c>
      <c r="X41" s="28">
        <f t="shared" si="12"/>
        <v>0.7714914484099868</v>
      </c>
      <c r="Y41" s="23">
        <v>100</v>
      </c>
      <c r="Z41" s="28">
        <f t="shared" si="13"/>
        <v>0.7778248882255152</v>
      </c>
      <c r="AA41" s="23">
        <v>100</v>
      </c>
      <c r="AB41" s="26">
        <f t="shared" si="6"/>
        <v>0.7696560202810631</v>
      </c>
      <c r="AC41" s="47">
        <f>SUM((F41*E41/100),(N41*M41/100),(V41*U41/100))/AD41*100</f>
        <v>100</v>
      </c>
      <c r="AD41" s="26">
        <f t="shared" si="7"/>
        <v>1.811055745154612</v>
      </c>
      <c r="AE41" s="47">
        <f>SUM((H41*G41/100),(P41*O41/100),(X41*W41/100))/AF41*100</f>
        <v>100</v>
      </c>
      <c r="AF41" s="26">
        <f t="shared" si="7"/>
        <v>1.8141590245458703</v>
      </c>
      <c r="AG41" s="47">
        <f>SUM((J41*I41/100),(R41*Q41/100),(Z41*Y41/100))/AH41*100</f>
        <v>100.00000000000003</v>
      </c>
      <c r="AH41" s="26">
        <f t="shared" si="7"/>
        <v>1.8215917214010584</v>
      </c>
      <c r="AI41" s="47">
        <f t="shared" si="14"/>
        <v>100.00000000000004</v>
      </c>
      <c r="AJ41" s="26">
        <f t="shared" si="7"/>
        <v>1.8156021637005133</v>
      </c>
      <c r="AK41" s="47">
        <f>AC41</f>
        <v>100</v>
      </c>
      <c r="AL41" s="26">
        <f t="shared" si="8"/>
        <v>1.811055745154612</v>
      </c>
      <c r="AM41" s="47">
        <f>AE41</f>
        <v>100</v>
      </c>
      <c r="AN41" s="26">
        <f>SUM(X41,P41,H41)/2</f>
        <v>0.9070795122729352</v>
      </c>
      <c r="AO41" s="47">
        <f>AG41</f>
        <v>100.00000000000003</v>
      </c>
      <c r="AP41" s="26">
        <f>SUM(Z41,R41,J41)/2</f>
        <v>0.9107958607005292</v>
      </c>
      <c r="AQ41" s="47">
        <f>AI41</f>
        <v>100.00000000000004</v>
      </c>
      <c r="AR41" s="26">
        <f t="shared" si="0"/>
        <v>1.8156021637005133</v>
      </c>
    </row>
    <row r="42" spans="2:44" ht="12.75">
      <c r="B42" s="4" t="s">
        <v>66</v>
      </c>
      <c r="D42" s="6" t="s">
        <v>30</v>
      </c>
      <c r="E42" s="9"/>
      <c r="F42" s="28">
        <f t="shared" si="9"/>
        <v>80.72511183365711</v>
      </c>
      <c r="G42" s="9"/>
      <c r="H42" s="28">
        <f t="shared" si="9"/>
        <v>99.01141449024512</v>
      </c>
      <c r="I42" s="9"/>
      <c r="J42" s="28">
        <f t="shared" si="1"/>
        <v>74.12869377816969</v>
      </c>
      <c r="L42" s="26">
        <f t="shared" si="10"/>
        <v>84.62174003402397</v>
      </c>
      <c r="N42" s="28">
        <f t="shared" si="2"/>
        <v>104.77554283216752</v>
      </c>
      <c r="P42" s="28">
        <f t="shared" si="3"/>
        <v>77.94177756369498</v>
      </c>
      <c r="R42" s="28">
        <f t="shared" si="4"/>
        <v>104.0453818928474</v>
      </c>
      <c r="T42" s="26">
        <f t="shared" si="5"/>
        <v>95.58756742956996</v>
      </c>
      <c r="V42" s="28">
        <f t="shared" si="11"/>
        <v>174.71989656776807</v>
      </c>
      <c r="X42" s="28">
        <f t="shared" si="12"/>
        <v>165.87066140814716</v>
      </c>
      <c r="Z42" s="28">
        <f t="shared" si="13"/>
        <v>198.34534649750637</v>
      </c>
      <c r="AB42" s="26">
        <f t="shared" si="6"/>
        <v>179.64530149114054</v>
      </c>
      <c r="AC42" s="47"/>
      <c r="AD42" s="26">
        <f t="shared" si="7"/>
        <v>360.2205512335927</v>
      </c>
      <c r="AE42" s="47"/>
      <c r="AF42" s="26">
        <f t="shared" si="7"/>
        <v>342.82385346208724</v>
      </c>
      <c r="AG42" s="47"/>
      <c r="AH42" s="26">
        <f t="shared" si="7"/>
        <v>376.5194221685235</v>
      </c>
      <c r="AI42" s="47"/>
      <c r="AJ42" s="26">
        <f t="shared" si="7"/>
        <v>359.8546089547345</v>
      </c>
      <c r="AK42" s="47"/>
      <c r="AL42" s="26">
        <f t="shared" si="8"/>
        <v>360.2205512335927</v>
      </c>
      <c r="AM42" s="47"/>
      <c r="AN42" s="26">
        <f>SUM(X42,P42,H42)</f>
        <v>342.82385346208724</v>
      </c>
      <c r="AO42" s="47"/>
      <c r="AP42" s="26">
        <f>SUM(Z42,R42,J42)</f>
        <v>376.5194221685235</v>
      </c>
      <c r="AQ42" s="47"/>
      <c r="AR42" s="26">
        <f t="shared" si="0"/>
        <v>359.8546089547345</v>
      </c>
    </row>
    <row r="43" spans="2:44" ht="12.75">
      <c r="B43" s="4" t="s">
        <v>53</v>
      </c>
      <c r="D43" s="6" t="s">
        <v>30</v>
      </c>
      <c r="E43" s="9">
        <v>100</v>
      </c>
      <c r="F43" s="28">
        <f t="shared" si="9"/>
        <v>0.6841111172343822</v>
      </c>
      <c r="G43" s="9">
        <v>100</v>
      </c>
      <c r="H43" s="28">
        <f t="shared" si="9"/>
        <v>0.6457266162407289</v>
      </c>
      <c r="I43" s="9">
        <v>100</v>
      </c>
      <c r="J43" s="28">
        <f t="shared" si="1"/>
        <v>0.6211901713254442</v>
      </c>
      <c r="K43" s="23">
        <f t="shared" si="15"/>
        <v>100</v>
      </c>
      <c r="L43" s="26">
        <f t="shared" si="10"/>
        <v>0.6503426349335184</v>
      </c>
      <c r="M43" s="23">
        <v>100</v>
      </c>
      <c r="N43" s="28">
        <f t="shared" si="2"/>
        <v>9.953676569055913</v>
      </c>
      <c r="O43" s="23">
        <v>100</v>
      </c>
      <c r="P43" s="28">
        <f t="shared" si="3"/>
        <v>9.872625158068033</v>
      </c>
      <c r="Q43" s="23">
        <v>100</v>
      </c>
      <c r="R43" s="28">
        <f t="shared" si="4"/>
        <v>9.884311279820505</v>
      </c>
      <c r="S43" s="23">
        <v>100</v>
      </c>
      <c r="T43" s="26">
        <f t="shared" si="5"/>
        <v>9.903537668981484</v>
      </c>
      <c r="U43" s="23">
        <v>100</v>
      </c>
      <c r="V43" s="28">
        <f t="shared" si="11"/>
        <v>7.9763431041807165</v>
      </c>
      <c r="W43" s="23">
        <v>100</v>
      </c>
      <c r="X43" s="28">
        <f t="shared" si="12"/>
        <v>8.10066020830486</v>
      </c>
      <c r="Y43" s="23">
        <v>100</v>
      </c>
      <c r="Z43" s="28">
        <f t="shared" si="13"/>
        <v>7.000423994029637</v>
      </c>
      <c r="AA43" s="23">
        <v>100</v>
      </c>
      <c r="AB43" s="26">
        <f t="shared" si="6"/>
        <v>7.692475768838405</v>
      </c>
      <c r="AC43" s="47">
        <f>SUM((F43*E43/100),(N43*M43/100),(V43*U43/100))/AD43*100</f>
        <v>100</v>
      </c>
      <c r="AD43" s="26">
        <f t="shared" si="7"/>
        <v>18.614130790471012</v>
      </c>
      <c r="AE43" s="47">
        <f>SUM((H43*G43/100),(P43*O43/100),(X43*W43/100))/AF43*100</f>
        <v>100</v>
      </c>
      <c r="AF43" s="26">
        <f t="shared" si="7"/>
        <v>18.61901198261362</v>
      </c>
      <c r="AG43" s="47">
        <f>SUM((J43*I43/100),(R43*Q43/100),(Z43*Y43/100))/AH43*100</f>
        <v>100</v>
      </c>
      <c r="AH43" s="26">
        <f t="shared" si="7"/>
        <v>17.505925445175585</v>
      </c>
      <c r="AI43" s="47">
        <f t="shared" si="14"/>
        <v>99.99999999999999</v>
      </c>
      <c r="AJ43" s="26">
        <f t="shared" si="7"/>
        <v>18.246356072753407</v>
      </c>
      <c r="AK43" s="47">
        <f>AC43</f>
        <v>100</v>
      </c>
      <c r="AL43" s="26">
        <f t="shared" si="8"/>
        <v>18.614130790471012</v>
      </c>
      <c r="AM43" s="47">
        <f>AE43</f>
        <v>100</v>
      </c>
      <c r="AN43" s="26">
        <f>SUM(X43,P43,H43)/2</f>
        <v>9.30950599130681</v>
      </c>
      <c r="AO43" s="47">
        <f>AG43</f>
        <v>100</v>
      </c>
      <c r="AP43" s="26">
        <f>SUM(Z43,R43,J43)/2</f>
        <v>8.752962722587792</v>
      </c>
      <c r="AQ43" s="47">
        <f>AI43</f>
        <v>99.99999999999999</v>
      </c>
      <c r="AR43" s="26">
        <f t="shared" si="0"/>
        <v>18.246356072753407</v>
      </c>
    </row>
    <row r="44" spans="2:44" ht="12.75">
      <c r="B44" s="4" t="s">
        <v>79</v>
      </c>
      <c r="D44" s="6" t="s">
        <v>30</v>
      </c>
      <c r="E44" s="9">
        <v>100</v>
      </c>
      <c r="F44" s="28">
        <f t="shared" si="9"/>
        <v>0.025084074298594015</v>
      </c>
      <c r="G44" s="9">
        <v>100</v>
      </c>
      <c r="H44" s="28">
        <f t="shared" si="9"/>
        <v>0.023676642595493395</v>
      </c>
      <c r="I44" s="9">
        <v>100</v>
      </c>
      <c r="J44" s="28">
        <f t="shared" si="1"/>
        <v>0.02277697294859962</v>
      </c>
      <c r="K44" s="23">
        <f t="shared" si="15"/>
        <v>100</v>
      </c>
      <c r="L44" s="26">
        <f t="shared" si="10"/>
        <v>0.023845896614229006</v>
      </c>
      <c r="M44" s="23">
        <v>100</v>
      </c>
      <c r="N44" s="28">
        <f t="shared" si="2"/>
        <v>1.5716331424825125</v>
      </c>
      <c r="O44" s="23">
        <v>100</v>
      </c>
      <c r="P44" s="28">
        <f t="shared" si="3"/>
        <v>1.5588355512738992</v>
      </c>
      <c r="Q44" s="23">
        <v>100</v>
      </c>
      <c r="R44" s="28">
        <f t="shared" si="4"/>
        <v>1.5606807283927109</v>
      </c>
      <c r="S44" s="23">
        <v>100</v>
      </c>
      <c r="T44" s="26">
        <f t="shared" si="5"/>
        <v>1.5637164740497074</v>
      </c>
      <c r="U44" s="23">
        <v>100</v>
      </c>
      <c r="V44" s="28">
        <f t="shared" si="11"/>
        <v>1.1394775863115307</v>
      </c>
      <c r="W44" s="23">
        <v>100</v>
      </c>
      <c r="X44" s="28">
        <f t="shared" si="12"/>
        <v>1.15723717261498</v>
      </c>
      <c r="Y44" s="23">
        <v>100</v>
      </c>
      <c r="Z44" s="28">
        <f t="shared" si="13"/>
        <v>1.1667373323382724</v>
      </c>
      <c r="AA44" s="23">
        <v>100</v>
      </c>
      <c r="AB44" s="26">
        <f t="shared" si="6"/>
        <v>1.1544840304215944</v>
      </c>
      <c r="AC44" s="47">
        <f>SUM((F44*E44/100),(N44*M44/100),(V44*U44/100))/AD44*100</f>
        <v>99.99999999999999</v>
      </c>
      <c r="AD44" s="26">
        <f t="shared" si="7"/>
        <v>2.7361948030926375</v>
      </c>
      <c r="AE44" s="47">
        <f>SUM((H44*G44/100),(P44*O44/100),(X44*W44/100))/AF44*100</f>
        <v>100</v>
      </c>
      <c r="AF44" s="26">
        <f t="shared" si="7"/>
        <v>2.7397493664843724</v>
      </c>
      <c r="AG44" s="47">
        <f>SUM((J44*I44/100),(R44*Q44/100),(Z44*Y44/100))/AH44*100</f>
        <v>100</v>
      </c>
      <c r="AH44" s="26">
        <f t="shared" si="7"/>
        <v>2.750195033679583</v>
      </c>
      <c r="AI44" s="47">
        <f t="shared" si="14"/>
        <v>100</v>
      </c>
      <c r="AJ44" s="26">
        <f t="shared" si="7"/>
        <v>2.7420464010855308</v>
      </c>
      <c r="AK44" s="47">
        <f>AC44</f>
        <v>99.99999999999999</v>
      </c>
      <c r="AL44" s="26">
        <f t="shared" si="8"/>
        <v>2.7361948030926375</v>
      </c>
      <c r="AM44" s="47">
        <f>AE44</f>
        <v>100</v>
      </c>
      <c r="AN44" s="26">
        <f>SUM(X44,P44,H44)/2</f>
        <v>1.3698746832421862</v>
      </c>
      <c r="AO44" s="47">
        <f>AG44</f>
        <v>100</v>
      </c>
      <c r="AP44" s="26">
        <f>SUM(Z44,R44,J44)/2</f>
        <v>1.3750975168397914</v>
      </c>
      <c r="AQ44" s="47">
        <f>AI44</f>
        <v>100</v>
      </c>
      <c r="AR44" s="26">
        <f t="shared" si="0"/>
        <v>2.7420464010855308</v>
      </c>
    </row>
    <row r="45" spans="2:44" ht="12.75">
      <c r="B45" s="4" t="s">
        <v>60</v>
      </c>
      <c r="D45" s="6" t="s">
        <v>30</v>
      </c>
      <c r="E45" s="9">
        <v>100</v>
      </c>
      <c r="F45" s="28">
        <f t="shared" si="9"/>
        <v>0.12998111227453266</v>
      </c>
      <c r="G45" s="9">
        <v>100</v>
      </c>
      <c r="H45" s="28">
        <f t="shared" si="9"/>
        <v>0.12268805708573852</v>
      </c>
      <c r="I45" s="9">
        <v>100</v>
      </c>
      <c r="J45" s="28">
        <f t="shared" si="1"/>
        <v>0.11802613255183438</v>
      </c>
      <c r="K45" s="23">
        <f t="shared" si="15"/>
        <v>100</v>
      </c>
      <c r="L45" s="26">
        <f t="shared" si="10"/>
        <v>0.12356510063736852</v>
      </c>
      <c r="M45" s="23">
        <v>100</v>
      </c>
      <c r="N45" s="28">
        <f t="shared" si="2"/>
        <v>1.5716331424825125</v>
      </c>
      <c r="O45" s="23">
        <v>100</v>
      </c>
      <c r="P45" s="28">
        <f t="shared" si="3"/>
        <v>1.5588355512738992</v>
      </c>
      <c r="Q45" s="23">
        <v>100</v>
      </c>
      <c r="R45" s="28">
        <f t="shared" si="4"/>
        <v>1.5606807283927109</v>
      </c>
      <c r="S45" s="23">
        <v>100</v>
      </c>
      <c r="T45" s="26">
        <f t="shared" si="5"/>
        <v>1.5637164740497074</v>
      </c>
      <c r="U45" s="23">
        <v>100</v>
      </c>
      <c r="V45" s="28">
        <f t="shared" si="11"/>
        <v>1.1394775863115307</v>
      </c>
      <c r="W45" s="23">
        <v>100</v>
      </c>
      <c r="X45" s="28">
        <f t="shared" si="12"/>
        <v>1.15723717261498</v>
      </c>
      <c r="Y45" s="23">
        <v>100</v>
      </c>
      <c r="Z45" s="28">
        <f t="shared" si="13"/>
        <v>1.1667373323382724</v>
      </c>
      <c r="AA45" s="23">
        <v>100</v>
      </c>
      <c r="AB45" s="26">
        <f t="shared" si="6"/>
        <v>1.1544840304215944</v>
      </c>
      <c r="AC45" s="47">
        <f>SUM((F45*E45/100),(N45*M45/100),(V45*U45/100))/AD45*100</f>
        <v>100</v>
      </c>
      <c r="AD45" s="26">
        <f t="shared" si="7"/>
        <v>2.841091841068576</v>
      </c>
      <c r="AE45" s="47">
        <f>SUM((H45*G45/100),(P45*O45/100),(X45*W45/100))/AF45*100</f>
        <v>100</v>
      </c>
      <c r="AF45" s="26">
        <f t="shared" si="7"/>
        <v>2.8387607809746176</v>
      </c>
      <c r="AG45" s="47">
        <f>SUM((J45*I45/100),(R45*Q45/100),(Z45*Y45/100))/AH45*100</f>
        <v>100.00000000000003</v>
      </c>
      <c r="AH45" s="26">
        <f t="shared" si="7"/>
        <v>2.8454441932828174</v>
      </c>
      <c r="AI45" s="47">
        <f t="shared" si="14"/>
        <v>100.00000000000004</v>
      </c>
      <c r="AJ45" s="26">
        <f t="shared" si="7"/>
        <v>2.84176560510867</v>
      </c>
      <c r="AK45" s="47">
        <f>AC45</f>
        <v>100</v>
      </c>
      <c r="AL45" s="26">
        <f t="shared" si="8"/>
        <v>2.841091841068576</v>
      </c>
      <c r="AM45" s="47">
        <f>AE45</f>
        <v>100</v>
      </c>
      <c r="AN45" s="26">
        <f>SUM(X45,P45,H45)/2</f>
        <v>1.4193803904873088</v>
      </c>
      <c r="AO45" s="47">
        <f>AG45</f>
        <v>100.00000000000003</v>
      </c>
      <c r="AP45" s="26">
        <f>SUM(Z45,R45,J45)/2</f>
        <v>1.4227220966414087</v>
      </c>
      <c r="AQ45" s="47">
        <f>AI45</f>
        <v>100.00000000000004</v>
      </c>
      <c r="AR45" s="26">
        <f t="shared" si="0"/>
        <v>2.84176560510867</v>
      </c>
    </row>
    <row r="46" spans="2:44" ht="12.75">
      <c r="B46" s="4" t="s">
        <v>123</v>
      </c>
      <c r="D46" s="6" t="s">
        <v>30</v>
      </c>
      <c r="E46" s="9">
        <v>100</v>
      </c>
      <c r="F46" s="28">
        <f t="shared" si="9"/>
        <v>1.2998111227453262</v>
      </c>
      <c r="G46" s="9">
        <v>100</v>
      </c>
      <c r="H46" s="28">
        <f t="shared" si="9"/>
        <v>1.2268805708573849</v>
      </c>
      <c r="I46" s="9">
        <v>100</v>
      </c>
      <c r="J46" s="28">
        <f t="shared" si="1"/>
        <v>1.180261325518344</v>
      </c>
      <c r="K46" s="23">
        <f t="shared" si="15"/>
        <v>100</v>
      </c>
      <c r="L46" s="26">
        <f t="shared" si="10"/>
        <v>1.2356510063736852</v>
      </c>
      <c r="M46" s="23">
        <v>100</v>
      </c>
      <c r="N46" s="28">
        <f t="shared" si="2"/>
        <v>16.764086853146797</v>
      </c>
      <c r="O46" s="23">
        <v>100</v>
      </c>
      <c r="P46" s="28">
        <f t="shared" si="3"/>
        <v>16.62757921358826</v>
      </c>
      <c r="Q46" s="23">
        <v>100</v>
      </c>
      <c r="R46" s="28">
        <f t="shared" si="4"/>
        <v>16.647261102855587</v>
      </c>
      <c r="S46" s="23">
        <v>100</v>
      </c>
      <c r="T46" s="26">
        <f t="shared" si="5"/>
        <v>16.679642389863545</v>
      </c>
      <c r="U46" s="23">
        <v>100</v>
      </c>
      <c r="V46" s="28">
        <f t="shared" si="11"/>
        <v>13.293905173634522</v>
      </c>
      <c r="W46" s="23">
        <v>100</v>
      </c>
      <c r="X46" s="28">
        <f t="shared" si="12"/>
        <v>13.115354622969777</v>
      </c>
      <c r="Y46" s="23">
        <v>100</v>
      </c>
      <c r="Z46" s="28">
        <f t="shared" si="13"/>
        <v>12.056285767495485</v>
      </c>
      <c r="AA46" s="23">
        <v>100</v>
      </c>
      <c r="AB46" s="26">
        <f t="shared" si="6"/>
        <v>12.821848521366595</v>
      </c>
      <c r="AC46" s="47">
        <f>SUM((F46*E46/100),(N46*M46/100),(V46*U46/100))/AD46*100</f>
        <v>100</v>
      </c>
      <c r="AD46" s="26">
        <f t="shared" si="7"/>
        <v>31.357803149526646</v>
      </c>
      <c r="AE46" s="47">
        <f>SUM((H46*G46/100),(P46*O46/100),(X46*W46/100))/AF46*100</f>
        <v>100</v>
      </c>
      <c r="AF46" s="26">
        <f t="shared" si="7"/>
        <v>30.969814407415424</v>
      </c>
      <c r="AG46" s="47">
        <f>SUM((J46*I46/100),(R46*Q46/100),(Z46*Y46/100))/AH46*100</f>
        <v>100</v>
      </c>
      <c r="AH46" s="26">
        <f t="shared" si="7"/>
        <v>29.883808195869417</v>
      </c>
      <c r="AI46" s="47">
        <f t="shared" si="14"/>
        <v>99.99999999999999</v>
      </c>
      <c r="AJ46" s="26">
        <f t="shared" si="7"/>
        <v>30.73714191760383</v>
      </c>
      <c r="AK46" s="47">
        <f>AC46</f>
        <v>100</v>
      </c>
      <c r="AL46" s="26">
        <f t="shared" si="8"/>
        <v>31.357803149526646</v>
      </c>
      <c r="AM46" s="47">
        <f>AE46</f>
        <v>100</v>
      </c>
      <c r="AN46" s="26">
        <f>SUM(X46,P46,H46)/2</f>
        <v>15.484907203707712</v>
      </c>
      <c r="AO46" s="47">
        <f>AG46</f>
        <v>100</v>
      </c>
      <c r="AP46" s="26">
        <f>SUM(Z46,R46,J46)/2</f>
        <v>14.941904097934708</v>
      </c>
      <c r="AQ46" s="47">
        <f>AI46</f>
        <v>99.99999999999999</v>
      </c>
      <c r="AR46" s="26">
        <f t="shared" si="0"/>
        <v>30.73714191760383</v>
      </c>
    </row>
    <row r="47" spans="2:44" ht="12.75">
      <c r="B47" s="6" t="s">
        <v>31</v>
      </c>
      <c r="D47" s="6" t="s">
        <v>30</v>
      </c>
      <c r="E47" s="23">
        <v>100</v>
      </c>
      <c r="F47" s="27">
        <f>F43+F41</f>
        <v>0.6877597098596323</v>
      </c>
      <c r="G47" s="25">
        <v>100</v>
      </c>
      <c r="H47" s="27">
        <f>H43+H41</f>
        <v>0.6491704915273462</v>
      </c>
      <c r="I47" s="23">
        <v>100</v>
      </c>
      <c r="J47" s="27">
        <f>J43+J41</f>
        <v>0.6245031855725133</v>
      </c>
      <c r="K47" s="23">
        <f t="shared" si="15"/>
        <v>100</v>
      </c>
      <c r="L47" s="26">
        <f t="shared" si="10"/>
        <v>0.6538111289864972</v>
      </c>
      <c r="M47" s="13">
        <v>100</v>
      </c>
      <c r="N47" s="27">
        <f>N43+N41</f>
        <v>11.001431997377589</v>
      </c>
      <c r="O47" s="13">
        <v>100</v>
      </c>
      <c r="P47" s="27">
        <f>P43+P41</f>
        <v>10.911848858917299</v>
      </c>
      <c r="Q47" s="13">
        <v>100</v>
      </c>
      <c r="R47" s="27">
        <f>R43+R41</f>
        <v>10.92476509874898</v>
      </c>
      <c r="S47" s="13">
        <v>100</v>
      </c>
      <c r="T47" s="26">
        <f>AVERAGE(R47,P47,N47)</f>
        <v>10.946015318347955</v>
      </c>
      <c r="U47" s="13">
        <v>100</v>
      </c>
      <c r="V47" s="27">
        <f>V43+V41</f>
        <v>8.735994828388403</v>
      </c>
      <c r="W47" s="13">
        <v>100</v>
      </c>
      <c r="X47" s="27">
        <f>X43+X41</f>
        <v>8.872151656714848</v>
      </c>
      <c r="Y47" s="13">
        <v>100</v>
      </c>
      <c r="Z47" s="27">
        <f>Z43+Z41</f>
        <v>7.778248882255152</v>
      </c>
      <c r="AA47" s="13">
        <v>100</v>
      </c>
      <c r="AB47" s="26">
        <f t="shared" si="6"/>
        <v>8.462131789119468</v>
      </c>
      <c r="AC47" s="47">
        <f>SUM((F47*E47/100),(N47*M47/100),(V47*U47/100))/AD47*100</f>
        <v>99.99999999999997</v>
      </c>
      <c r="AD47" s="26">
        <f t="shared" si="7"/>
        <v>20.425186535625627</v>
      </c>
      <c r="AE47" s="47">
        <f>SUM((H47*G47/100),(P47*O47/100),(X47*W47/100))/AF47*100</f>
        <v>100</v>
      </c>
      <c r="AF47" s="26">
        <f t="shared" si="7"/>
        <v>20.433171007159494</v>
      </c>
      <c r="AG47" s="47">
        <f>SUM((J47*I47/100),(R47*Q47/100),(Z47*Y47/100))/AH47*100</f>
        <v>100</v>
      </c>
      <c r="AH47" s="26">
        <f t="shared" si="7"/>
        <v>19.327517166576648</v>
      </c>
      <c r="AI47" s="47">
        <f t="shared" si="14"/>
        <v>100.00000000000001</v>
      </c>
      <c r="AJ47" s="26">
        <f t="shared" si="7"/>
        <v>20.06195823645392</v>
      </c>
      <c r="AK47" s="47">
        <f>AC47</f>
        <v>99.99999999999997</v>
      </c>
      <c r="AL47" s="26">
        <f t="shared" si="8"/>
        <v>20.425186535625627</v>
      </c>
      <c r="AM47" s="47">
        <f>AE47</f>
        <v>100</v>
      </c>
      <c r="AN47" s="26">
        <f>SUM(X47,P47,H47)</f>
        <v>20.433171007159494</v>
      </c>
      <c r="AO47" s="47">
        <f>AG47</f>
        <v>100</v>
      </c>
      <c r="AP47" s="26">
        <f>SUM(Z47,R47,J47)</f>
        <v>19.327517166576648</v>
      </c>
      <c r="AQ47" s="47">
        <f>AI47</f>
        <v>100.00000000000001</v>
      </c>
      <c r="AR47" s="26">
        <f t="shared" si="0"/>
        <v>20.06195823645392</v>
      </c>
    </row>
    <row r="48" spans="2:44" ht="12.75">
      <c r="B48" s="6" t="s">
        <v>32</v>
      </c>
      <c r="D48" s="6" t="s">
        <v>30</v>
      </c>
      <c r="F48" s="7">
        <f>F42+F40+F38</f>
        <v>81.72163369442853</v>
      </c>
      <c r="G48" s="25">
        <f>SUM(H38,H40)/H48*100</f>
        <v>0.7701102314645037</v>
      </c>
      <c r="H48" s="7">
        <f>H42+H40+H38</f>
        <v>99.77982916357158</v>
      </c>
      <c r="J48" s="7">
        <f>J42+J40+J38</f>
        <v>74.88861642109114</v>
      </c>
      <c r="L48" s="26">
        <f>AVERAGE(J48,H48,F48)</f>
        <v>85.46335975969708</v>
      </c>
      <c r="N48" s="7">
        <f>N42+N40+N38</f>
        <v>115.25309711538426</v>
      </c>
      <c r="O48" s="26"/>
      <c r="P48" s="7">
        <f>P42+P40+P38</f>
        <v>88.33401457218766</v>
      </c>
      <c r="Q48" s="26"/>
      <c r="R48" s="7">
        <f>R42+R40+R38</f>
        <v>114.44992008213215</v>
      </c>
      <c r="S48" s="26"/>
      <c r="T48" s="26">
        <f>AVERAGE(R48,P48,N48)</f>
        <v>106.0123439232347</v>
      </c>
      <c r="V48" s="7">
        <f>V42+V40+V38</f>
        <v>183.07606553405265</v>
      </c>
      <c r="W48" s="26"/>
      <c r="X48" s="7">
        <f>X42+X40+X38</f>
        <v>174.357067340657</v>
      </c>
      <c r="Y48" s="26"/>
      <c r="Z48" s="7">
        <f>Z42+Z40+Z38</f>
        <v>205.73468293564875</v>
      </c>
      <c r="AA48" s="26"/>
      <c r="AB48" s="26">
        <f>AVERAGE(Z48,X48,V48)</f>
        <v>187.7226052701195</v>
      </c>
      <c r="AC48" s="26"/>
      <c r="AD48" s="26">
        <f t="shared" si="7"/>
        <v>380.05079634386544</v>
      </c>
      <c r="AE48" s="26"/>
      <c r="AF48" s="26">
        <f t="shared" si="7"/>
        <v>362.4709110764162</v>
      </c>
      <c r="AG48" s="26"/>
      <c r="AH48" s="26">
        <f t="shared" si="7"/>
        <v>395.073219438872</v>
      </c>
      <c r="AI48" s="26"/>
      <c r="AJ48" s="26">
        <f t="shared" si="7"/>
        <v>379.19830895305125</v>
      </c>
      <c r="AL48" s="26">
        <f>SUM(V48,N48,F48)</f>
        <v>380.05079634386544</v>
      </c>
      <c r="AN48" s="26">
        <f>SUM(X48,P48,H48)</f>
        <v>362.4709110764162</v>
      </c>
      <c r="AP48" s="26">
        <f>SUM(Z48,R48,J48)</f>
        <v>395.073219438872</v>
      </c>
      <c r="AR48" s="26">
        <f t="shared" si="0"/>
        <v>379.19830895305125</v>
      </c>
    </row>
    <row r="50" spans="1:44" ht="12.75">
      <c r="A50" s="23" t="s">
        <v>70</v>
      </c>
      <c r="B50" s="22" t="s">
        <v>134</v>
      </c>
      <c r="C50" s="22" t="s">
        <v>69</v>
      </c>
      <c r="F50" s="25" t="s">
        <v>82</v>
      </c>
      <c r="H50" s="25" t="s">
        <v>83</v>
      </c>
      <c r="I50" s="25"/>
      <c r="J50" s="25" t="s">
        <v>84</v>
      </c>
      <c r="K50" s="25"/>
      <c r="L50" s="25" t="s">
        <v>158</v>
      </c>
      <c r="M50" s="25"/>
      <c r="N50" s="25" t="s">
        <v>82</v>
      </c>
      <c r="O50" s="25"/>
      <c r="P50" s="25" t="s">
        <v>83</v>
      </c>
      <c r="Q50" s="25"/>
      <c r="R50" s="25" t="s">
        <v>84</v>
      </c>
      <c r="S50" s="25"/>
      <c r="T50" s="25" t="s">
        <v>158</v>
      </c>
      <c r="U50" s="25"/>
      <c r="V50" s="25" t="s">
        <v>82</v>
      </c>
      <c r="W50" s="25"/>
      <c r="X50" s="25" t="s">
        <v>83</v>
      </c>
      <c r="Y50" s="25"/>
      <c r="Z50" s="25" t="s">
        <v>84</v>
      </c>
      <c r="AA50" s="25"/>
      <c r="AB50" s="25" t="s">
        <v>158</v>
      </c>
      <c r="AC50" s="25"/>
      <c r="AD50" s="25" t="s">
        <v>82</v>
      </c>
      <c r="AE50" s="25"/>
      <c r="AF50" s="25" t="s">
        <v>83</v>
      </c>
      <c r="AG50" s="25"/>
      <c r="AH50" s="25" t="s">
        <v>84</v>
      </c>
      <c r="AI50" s="25"/>
      <c r="AJ50" s="25" t="s">
        <v>158</v>
      </c>
      <c r="AK50" s="25"/>
      <c r="AL50" s="25" t="s">
        <v>82</v>
      </c>
      <c r="AM50" s="25"/>
      <c r="AN50" s="25" t="s">
        <v>83</v>
      </c>
      <c r="AO50" s="25"/>
      <c r="AP50" s="25" t="s">
        <v>84</v>
      </c>
      <c r="AQ50" s="25"/>
      <c r="AR50" s="25" t="s">
        <v>158</v>
      </c>
    </row>
    <row r="51" spans="2:44" ht="12.75">
      <c r="B51" s="22"/>
      <c r="C51" s="22"/>
      <c r="F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</row>
    <row r="52" spans="2:44" ht="12.75">
      <c r="B52" s="6" t="s">
        <v>177</v>
      </c>
      <c r="C52" s="22"/>
      <c r="F52" s="25" t="s">
        <v>180</v>
      </c>
      <c r="H52" s="25" t="s">
        <v>180</v>
      </c>
      <c r="I52" s="25"/>
      <c r="J52" s="25" t="s">
        <v>180</v>
      </c>
      <c r="K52" s="25"/>
      <c r="L52" s="25" t="s">
        <v>180</v>
      </c>
      <c r="M52" s="25"/>
      <c r="N52" s="25" t="s">
        <v>181</v>
      </c>
      <c r="O52" s="25"/>
      <c r="P52" s="25" t="s">
        <v>181</v>
      </c>
      <c r="Q52" s="25"/>
      <c r="R52" s="25" t="s">
        <v>181</v>
      </c>
      <c r="S52" s="25"/>
      <c r="T52" s="25" t="s">
        <v>181</v>
      </c>
      <c r="U52" s="25"/>
      <c r="V52" s="25" t="s">
        <v>182</v>
      </c>
      <c r="W52" s="25"/>
      <c r="X52" s="25" t="s">
        <v>182</v>
      </c>
      <c r="Y52" s="25"/>
      <c r="Z52" s="25" t="s">
        <v>182</v>
      </c>
      <c r="AA52" s="25"/>
      <c r="AB52" s="25" t="s">
        <v>182</v>
      </c>
      <c r="AC52" s="25"/>
      <c r="AD52" s="25"/>
      <c r="AE52" s="25"/>
      <c r="AF52" s="25"/>
      <c r="AG52" s="25"/>
      <c r="AH52" s="25"/>
      <c r="AI52" s="25"/>
      <c r="AJ52" s="25"/>
      <c r="AK52" s="25"/>
      <c r="AL52" s="25" t="s">
        <v>183</v>
      </c>
      <c r="AM52" s="25"/>
      <c r="AN52" s="25" t="s">
        <v>183</v>
      </c>
      <c r="AO52" s="25"/>
      <c r="AP52" s="25" t="s">
        <v>183</v>
      </c>
      <c r="AQ52" s="25"/>
      <c r="AR52" s="25" t="s">
        <v>183</v>
      </c>
    </row>
    <row r="53" spans="2:44" ht="12.75">
      <c r="B53" s="6" t="s">
        <v>178</v>
      </c>
      <c r="F53" s="24" t="s">
        <v>179</v>
      </c>
      <c r="H53" s="24" t="s">
        <v>179</v>
      </c>
      <c r="J53" s="24" t="s">
        <v>179</v>
      </c>
      <c r="L53" s="24" t="s">
        <v>179</v>
      </c>
      <c r="N53" s="24" t="s">
        <v>179</v>
      </c>
      <c r="O53" s="25"/>
      <c r="P53" s="24" t="s">
        <v>179</v>
      </c>
      <c r="R53" s="24" t="s">
        <v>179</v>
      </c>
      <c r="T53" s="24" t="s">
        <v>179</v>
      </c>
      <c r="V53" s="24" t="s">
        <v>179</v>
      </c>
      <c r="W53" s="25"/>
      <c r="X53" s="24" t="s">
        <v>179</v>
      </c>
      <c r="Z53" s="24" t="s">
        <v>179</v>
      </c>
      <c r="AB53" s="24" t="s">
        <v>179</v>
      </c>
      <c r="AC53" s="24"/>
      <c r="AD53" s="24"/>
      <c r="AE53" s="24"/>
      <c r="AF53" s="24"/>
      <c r="AG53" s="24"/>
      <c r="AH53" s="24"/>
      <c r="AI53" s="24"/>
      <c r="AJ53" s="24"/>
      <c r="AL53" s="23" t="s">
        <v>20</v>
      </c>
      <c r="AN53" s="23" t="s">
        <v>20</v>
      </c>
      <c r="AP53" s="23" t="s">
        <v>20</v>
      </c>
      <c r="AR53" s="23" t="s">
        <v>20</v>
      </c>
    </row>
    <row r="54" spans="2:44" ht="12.75">
      <c r="B54" s="6" t="s">
        <v>184</v>
      </c>
      <c r="H54" s="24"/>
      <c r="J54" s="24"/>
      <c r="L54" s="24"/>
      <c r="N54" s="24"/>
      <c r="O54" s="25"/>
      <c r="P54" s="24"/>
      <c r="R54" s="24"/>
      <c r="T54" s="24"/>
      <c r="V54" s="24"/>
      <c r="W54" s="25"/>
      <c r="X54" s="24"/>
      <c r="Z54" s="24"/>
      <c r="AB54" s="24"/>
      <c r="AC54" s="24"/>
      <c r="AD54" s="24" t="s">
        <v>37</v>
      </c>
      <c r="AE54" s="24"/>
      <c r="AF54" s="24" t="s">
        <v>37</v>
      </c>
      <c r="AG54" s="24"/>
      <c r="AH54" s="24" t="s">
        <v>37</v>
      </c>
      <c r="AI54" s="24"/>
      <c r="AJ54" s="24" t="s">
        <v>37</v>
      </c>
      <c r="AL54" s="23" t="s">
        <v>20</v>
      </c>
      <c r="AN54" s="23" t="s">
        <v>20</v>
      </c>
      <c r="AP54" s="23" t="s">
        <v>20</v>
      </c>
      <c r="AR54" s="23" t="s">
        <v>20</v>
      </c>
    </row>
    <row r="55" spans="2:44" ht="12.75">
      <c r="B55" s="6" t="s">
        <v>22</v>
      </c>
      <c r="F55" s="24" t="s">
        <v>81</v>
      </c>
      <c r="G55" s="24"/>
      <c r="H55" s="24" t="s">
        <v>81</v>
      </c>
      <c r="I55" s="24"/>
      <c r="J55" s="24" t="s">
        <v>81</v>
      </c>
      <c r="K55" s="24"/>
      <c r="L55" s="24" t="s">
        <v>81</v>
      </c>
      <c r="M55" s="24"/>
      <c r="N55" s="24" t="s">
        <v>128</v>
      </c>
      <c r="O55" s="24"/>
      <c r="P55" s="24" t="s">
        <v>128</v>
      </c>
      <c r="R55" s="24" t="s">
        <v>128</v>
      </c>
      <c r="T55" s="24" t="s">
        <v>128</v>
      </c>
      <c r="V55" s="24" t="s">
        <v>129</v>
      </c>
      <c r="X55" s="24" t="s">
        <v>129</v>
      </c>
      <c r="Z55" s="24" t="s">
        <v>129</v>
      </c>
      <c r="AB55" s="24" t="s">
        <v>129</v>
      </c>
      <c r="AC55" s="24"/>
      <c r="AD55" s="24"/>
      <c r="AE55" s="24"/>
      <c r="AF55" s="24"/>
      <c r="AG55" s="24"/>
      <c r="AH55" s="24"/>
      <c r="AI55" s="24"/>
      <c r="AJ55" s="24"/>
      <c r="AL55" s="23" t="s">
        <v>20</v>
      </c>
      <c r="AN55" s="23" t="s">
        <v>20</v>
      </c>
      <c r="AP55" s="23" t="s">
        <v>20</v>
      </c>
      <c r="AR55" s="23" t="s">
        <v>20</v>
      </c>
    </row>
    <row r="56" spans="2:38" ht="12.75">
      <c r="B56" s="6" t="s">
        <v>72</v>
      </c>
      <c r="D56" s="6" t="s">
        <v>27</v>
      </c>
      <c r="E56" s="9"/>
      <c r="F56" s="28">
        <f>19.91*F60*3785*60/454</f>
        <v>10158.573171806167</v>
      </c>
      <c r="H56" s="28">
        <f>17.37*H60*3785*60/454</f>
        <v>8862.602511013218</v>
      </c>
      <c r="J56" s="28">
        <f>18.25*J60*3785*60/454</f>
        <v>9311.60022026432</v>
      </c>
      <c r="L56" s="26"/>
      <c r="M56" s="26"/>
      <c r="N56" s="28">
        <f>7.31*N60*3785*60/454</f>
        <v>4058.8372466960354</v>
      </c>
      <c r="P56" s="28">
        <f>7.38*P60*3785*60/454</f>
        <v>4097.704361233481</v>
      </c>
      <c r="R56" s="28">
        <f>7.5*R60*3785*60/454</f>
        <v>4164.333700440529</v>
      </c>
      <c r="T56" s="26"/>
      <c r="V56" s="28">
        <f>6.08*V60*3785*60/454</f>
        <v>3284.6463436123354</v>
      </c>
      <c r="X56" s="28">
        <f>5.76*X60*3785*60/454</f>
        <v>3111.7702202643177</v>
      </c>
      <c r="Z56" s="28">
        <f>5.62*Z60*3785*60/454</f>
        <v>3036.1369162995597</v>
      </c>
      <c r="AL56" s="26"/>
    </row>
    <row r="57" spans="2:38" ht="12.75">
      <c r="B57" s="6" t="s">
        <v>85</v>
      </c>
      <c r="D57" s="6" t="s">
        <v>86</v>
      </c>
      <c r="E57" s="9"/>
      <c r="F57" s="9"/>
      <c r="L57" s="26"/>
      <c r="M57" s="26"/>
      <c r="N57" s="23">
        <v>7150</v>
      </c>
      <c r="P57" s="23">
        <v>6730</v>
      </c>
      <c r="R57" s="23">
        <v>6800</v>
      </c>
      <c r="T57" s="26"/>
      <c r="V57" s="23">
        <v>9280</v>
      </c>
      <c r="X57" s="23">
        <v>9730</v>
      </c>
      <c r="Z57" s="23">
        <v>9210</v>
      </c>
      <c r="AL57" s="26"/>
    </row>
    <row r="58" spans="2:38" ht="12.75">
      <c r="B58" s="6" t="s">
        <v>71</v>
      </c>
      <c r="D58" s="6" t="s">
        <v>28</v>
      </c>
      <c r="E58" s="9"/>
      <c r="F58" s="9"/>
      <c r="H58" s="26"/>
      <c r="I58" s="26"/>
      <c r="L58" s="26"/>
      <c r="M58" s="26"/>
      <c r="T58" s="26"/>
      <c r="AL58" s="26"/>
    </row>
    <row r="59" spans="2:26" ht="12.75">
      <c r="B59" s="6" t="s">
        <v>101</v>
      </c>
      <c r="E59" s="9"/>
      <c r="F59" s="9">
        <v>1.02</v>
      </c>
      <c r="H59" s="26">
        <v>1.02</v>
      </c>
      <c r="I59" s="26"/>
      <c r="J59" s="13">
        <v>1.02</v>
      </c>
      <c r="L59" s="30"/>
      <c r="M59" s="26"/>
      <c r="N59" s="23">
        <v>1.11</v>
      </c>
      <c r="P59" s="23">
        <v>1.11</v>
      </c>
      <c r="R59" s="23">
        <v>1.11</v>
      </c>
      <c r="T59" s="30"/>
      <c r="V59" s="23">
        <v>1.08</v>
      </c>
      <c r="X59" s="23">
        <v>1.08</v>
      </c>
      <c r="Z59" s="23">
        <v>1.08</v>
      </c>
    </row>
    <row r="60" spans="2:26" ht="12.75">
      <c r="B60" s="6" t="s">
        <v>87</v>
      </c>
      <c r="D60" s="6" t="s">
        <v>105</v>
      </c>
      <c r="E60" s="9"/>
      <c r="F60" s="9">
        <v>1.02</v>
      </c>
      <c r="H60" s="26">
        <v>1.02</v>
      </c>
      <c r="I60" s="26"/>
      <c r="J60" s="13">
        <v>1.02</v>
      </c>
      <c r="L60" s="30"/>
      <c r="M60" s="26"/>
      <c r="N60" s="23">
        <v>1.11</v>
      </c>
      <c r="P60" s="23">
        <v>1.11</v>
      </c>
      <c r="R60" s="23">
        <v>1.11</v>
      </c>
      <c r="T60" s="30"/>
      <c r="V60" s="23">
        <v>1.08</v>
      </c>
      <c r="X60" s="23">
        <v>1.08</v>
      </c>
      <c r="Z60" s="23">
        <v>1.08</v>
      </c>
    </row>
    <row r="61" spans="2:26" ht="12.75">
      <c r="B61" s="6" t="s">
        <v>88</v>
      </c>
      <c r="D61" s="6" t="s">
        <v>89</v>
      </c>
      <c r="E61" s="9"/>
      <c r="F61" s="9"/>
      <c r="H61" s="26"/>
      <c r="I61" s="26"/>
      <c r="J61" s="13"/>
      <c r="L61" s="30"/>
      <c r="M61" s="26"/>
      <c r="N61" s="13">
        <v>3.71</v>
      </c>
      <c r="P61" s="13">
        <v>3.75</v>
      </c>
      <c r="R61" s="23">
        <v>3.75</v>
      </c>
      <c r="T61" s="30"/>
      <c r="V61" s="23">
        <v>3.56</v>
      </c>
      <c r="X61" s="23">
        <v>3.63</v>
      </c>
      <c r="Z61" s="23">
        <v>3.64</v>
      </c>
    </row>
    <row r="62" spans="2:38" ht="12.75">
      <c r="B62" s="6" t="s">
        <v>23</v>
      </c>
      <c r="D62" s="6" t="s">
        <v>18</v>
      </c>
      <c r="E62" s="9" t="s">
        <v>21</v>
      </c>
      <c r="F62" s="9">
        <v>0.04</v>
      </c>
      <c r="G62" s="9" t="s">
        <v>21</v>
      </c>
      <c r="H62" s="44">
        <v>0.03</v>
      </c>
      <c r="I62" s="9" t="s">
        <v>21</v>
      </c>
      <c r="J62" s="23">
        <v>0.03</v>
      </c>
      <c r="L62" s="26"/>
      <c r="M62" s="26"/>
      <c r="N62" s="23">
        <v>0.33</v>
      </c>
      <c r="P62" s="23">
        <v>0.27</v>
      </c>
      <c r="R62" s="23">
        <v>0.26</v>
      </c>
      <c r="T62" s="26"/>
      <c r="V62" s="23">
        <v>0.56</v>
      </c>
      <c r="X62" s="23">
        <v>0.53</v>
      </c>
      <c r="Z62" s="23">
        <v>5.01</v>
      </c>
      <c r="AL62" s="26"/>
    </row>
    <row r="63" spans="2:38" ht="12.75">
      <c r="B63" s="6" t="s">
        <v>90</v>
      </c>
      <c r="D63" s="6" t="s">
        <v>131</v>
      </c>
      <c r="E63" s="9"/>
      <c r="F63" s="9">
        <v>18.25</v>
      </c>
      <c r="G63" s="9"/>
      <c r="H63" s="26">
        <v>25.65</v>
      </c>
      <c r="I63" s="9"/>
      <c r="J63" s="23">
        <v>17.7</v>
      </c>
      <c r="L63" s="26"/>
      <c r="M63" s="26"/>
      <c r="N63" s="13">
        <v>78.43</v>
      </c>
      <c r="P63" s="13">
        <v>50.14</v>
      </c>
      <c r="R63" s="23">
        <v>16.57</v>
      </c>
      <c r="T63" s="26"/>
      <c r="V63" s="23">
        <v>56.65</v>
      </c>
      <c r="X63" s="23">
        <v>27.85</v>
      </c>
      <c r="Z63" s="23">
        <v>28.05</v>
      </c>
      <c r="AB63" s="26"/>
      <c r="AC63" s="26"/>
      <c r="AD63" s="26"/>
      <c r="AE63" s="26"/>
      <c r="AF63" s="26"/>
      <c r="AG63" s="26"/>
      <c r="AH63" s="26"/>
      <c r="AI63" s="26"/>
      <c r="AJ63" s="26"/>
      <c r="AL63" s="26"/>
    </row>
    <row r="64" spans="2:36" ht="12.75">
      <c r="B64" s="4" t="s">
        <v>54</v>
      </c>
      <c r="D64" s="6" t="s">
        <v>131</v>
      </c>
      <c r="E64" s="9" t="s">
        <v>21</v>
      </c>
      <c r="F64" s="37">
        <f>3.3/F$60/1000</f>
        <v>0.0032352941176470584</v>
      </c>
      <c r="G64" s="9" t="s">
        <v>21</v>
      </c>
      <c r="H64" s="37">
        <f>3.5/H$60/1000</f>
        <v>0.003431372549019608</v>
      </c>
      <c r="I64" s="9" t="s">
        <v>21</v>
      </c>
      <c r="J64" s="37">
        <f>3.1/J$60/1000</f>
        <v>0.0030392156862745095</v>
      </c>
      <c r="L64" s="40"/>
      <c r="M64" s="23" t="s">
        <v>21</v>
      </c>
      <c r="N64" s="13">
        <v>0.19</v>
      </c>
      <c r="O64" s="23" t="s">
        <v>21</v>
      </c>
      <c r="P64" s="13">
        <v>0.19</v>
      </c>
      <c r="Q64" s="23" t="s">
        <v>21</v>
      </c>
      <c r="R64" s="23">
        <v>0.19</v>
      </c>
      <c r="T64" s="40"/>
      <c r="U64" s="23" t="s">
        <v>21</v>
      </c>
      <c r="V64" s="23">
        <v>0.2</v>
      </c>
      <c r="W64" s="23" t="s">
        <v>21</v>
      </c>
      <c r="X64" s="23">
        <v>0.19</v>
      </c>
      <c r="Y64" s="23" t="s">
        <v>21</v>
      </c>
      <c r="Z64" s="23">
        <v>0.2</v>
      </c>
      <c r="AB64" s="26"/>
      <c r="AC64" s="26"/>
      <c r="AD64" s="26"/>
      <c r="AE64" s="26"/>
      <c r="AF64" s="26"/>
      <c r="AG64" s="26"/>
      <c r="AH64" s="26"/>
      <c r="AI64" s="26"/>
      <c r="AJ64" s="26"/>
    </row>
    <row r="65" spans="2:36" ht="12.75">
      <c r="B65" s="4" t="s">
        <v>55</v>
      </c>
      <c r="D65" s="6" t="s">
        <v>131</v>
      </c>
      <c r="E65" s="9" t="s">
        <v>21</v>
      </c>
      <c r="F65" s="37">
        <f>3.3/F$60/1000</f>
        <v>0.0032352941176470584</v>
      </c>
      <c r="G65" s="9"/>
      <c r="H65" s="37">
        <f>3.5/H$60/1000</f>
        <v>0.003431372549019608</v>
      </c>
      <c r="I65" s="9" t="s">
        <v>21</v>
      </c>
      <c r="J65" s="37">
        <f>3.1/J$60/1000</f>
        <v>0.0030392156862745095</v>
      </c>
      <c r="K65" s="24"/>
      <c r="L65" s="40"/>
      <c r="M65" s="23" t="s">
        <v>21</v>
      </c>
      <c r="N65" s="13">
        <v>0.19</v>
      </c>
      <c r="O65" s="23" t="s">
        <v>21</v>
      </c>
      <c r="P65" s="13">
        <v>0.19</v>
      </c>
      <c r="Q65" s="23" t="s">
        <v>21</v>
      </c>
      <c r="R65" s="23">
        <v>0.19</v>
      </c>
      <c r="T65" s="40"/>
      <c r="U65" s="23" t="s">
        <v>21</v>
      </c>
      <c r="V65" s="23">
        <v>0.2</v>
      </c>
      <c r="W65" s="23" t="s">
        <v>21</v>
      </c>
      <c r="X65" s="23">
        <v>0.19</v>
      </c>
      <c r="Z65" s="23">
        <v>0.21</v>
      </c>
      <c r="AB65" s="26"/>
      <c r="AC65" s="26"/>
      <c r="AD65" s="26"/>
      <c r="AE65" s="26"/>
      <c r="AF65" s="26"/>
      <c r="AG65" s="26"/>
      <c r="AH65" s="26"/>
      <c r="AI65" s="26"/>
      <c r="AJ65" s="26"/>
    </row>
    <row r="66" spans="2:36" ht="12.75">
      <c r="B66" s="4" t="s">
        <v>56</v>
      </c>
      <c r="D66" s="6" t="s">
        <v>131</v>
      </c>
      <c r="E66" s="9"/>
      <c r="F66" s="37">
        <f>14/F$60/1000</f>
        <v>0.013725490196078431</v>
      </c>
      <c r="G66" s="9"/>
      <c r="H66" s="37">
        <f>12/H$60/1000</f>
        <v>0.011764705882352941</v>
      </c>
      <c r="I66" s="9"/>
      <c r="J66" s="37">
        <f>11/J$60/1000</f>
        <v>0.010784313725490196</v>
      </c>
      <c r="K66" s="24"/>
      <c r="L66" s="40"/>
      <c r="M66" s="23" t="s">
        <v>21</v>
      </c>
      <c r="N66" s="13">
        <v>0.64</v>
      </c>
      <c r="O66" s="23" t="s">
        <v>21</v>
      </c>
      <c r="P66" s="13">
        <v>0.63</v>
      </c>
      <c r="Q66" s="23" t="s">
        <v>21</v>
      </c>
      <c r="R66" s="23">
        <v>0.63</v>
      </c>
      <c r="T66" s="40"/>
      <c r="U66" s="23" t="s">
        <v>21</v>
      </c>
      <c r="V66" s="23">
        <v>0.67</v>
      </c>
      <c r="W66" s="23" t="s">
        <v>21</v>
      </c>
      <c r="X66" s="23">
        <v>0.62</v>
      </c>
      <c r="Y66" s="23" t="s">
        <v>21</v>
      </c>
      <c r="Z66" s="23">
        <v>0.67</v>
      </c>
      <c r="AB66" s="26"/>
      <c r="AC66" s="26"/>
      <c r="AD66" s="26"/>
      <c r="AE66" s="26"/>
      <c r="AF66" s="26"/>
      <c r="AG66" s="26"/>
      <c r="AH66" s="26"/>
      <c r="AI66" s="26"/>
      <c r="AJ66" s="26"/>
    </row>
    <row r="67" spans="2:36" ht="12.75">
      <c r="B67" s="4" t="s">
        <v>57</v>
      </c>
      <c r="D67" s="6" t="s">
        <v>131</v>
      </c>
      <c r="E67" s="9" t="s">
        <v>21</v>
      </c>
      <c r="F67" s="37">
        <f>0.16/F$60/1000</f>
        <v>0.00015686274509803922</v>
      </c>
      <c r="G67" s="9" t="s">
        <v>21</v>
      </c>
      <c r="H67" s="37">
        <f>0.18/H$60/1000</f>
        <v>0.0001764705882352941</v>
      </c>
      <c r="I67" s="9" t="s">
        <v>21</v>
      </c>
      <c r="J67" s="37">
        <f>0.16/J$60/1000</f>
        <v>0.00015686274509803922</v>
      </c>
      <c r="K67" s="24"/>
      <c r="L67" s="40"/>
      <c r="M67" s="23" t="s">
        <v>21</v>
      </c>
      <c r="N67" s="13">
        <v>0.01</v>
      </c>
      <c r="O67" s="23" t="s">
        <v>21</v>
      </c>
      <c r="P67" s="13">
        <v>0.01</v>
      </c>
      <c r="Q67" s="23" t="s">
        <v>21</v>
      </c>
      <c r="R67" s="23">
        <v>0.01</v>
      </c>
      <c r="T67" s="40"/>
      <c r="U67" s="23" t="s">
        <v>21</v>
      </c>
      <c r="V67" s="23">
        <v>0.01</v>
      </c>
      <c r="W67" s="23" t="s">
        <v>21</v>
      </c>
      <c r="X67" s="23">
        <v>0.01</v>
      </c>
      <c r="Y67" s="23" t="s">
        <v>21</v>
      </c>
      <c r="Z67" s="23">
        <v>0.01</v>
      </c>
      <c r="AB67" s="26"/>
      <c r="AC67" s="26"/>
      <c r="AD67" s="26"/>
      <c r="AE67" s="26"/>
      <c r="AF67" s="26"/>
      <c r="AG67" s="26"/>
      <c r="AH67" s="26"/>
      <c r="AI67" s="26"/>
      <c r="AJ67" s="26"/>
    </row>
    <row r="68" spans="2:36" ht="12.75">
      <c r="B68" s="4" t="s">
        <v>58</v>
      </c>
      <c r="D68" s="6" t="s">
        <v>131</v>
      </c>
      <c r="E68" s="9"/>
      <c r="F68" s="37">
        <f>0.024/F$60/1000</f>
        <v>2.3529411764705884E-05</v>
      </c>
      <c r="G68" s="9"/>
      <c r="H68" s="37">
        <f>0.024/H$60/1000</f>
        <v>2.3529411764705884E-05</v>
      </c>
      <c r="I68" s="9" t="s">
        <v>21</v>
      </c>
      <c r="J68" s="37">
        <f>0.016/J$60/1000</f>
        <v>1.568627450980392E-05</v>
      </c>
      <c r="K68" s="24"/>
      <c r="L68" s="40"/>
      <c r="M68" s="23" t="s">
        <v>21</v>
      </c>
      <c r="N68" s="13">
        <v>0.02</v>
      </c>
      <c r="O68" s="23" t="s">
        <v>21</v>
      </c>
      <c r="P68" s="13">
        <v>0.02</v>
      </c>
      <c r="Q68" s="23" t="s">
        <v>21</v>
      </c>
      <c r="R68" s="23">
        <v>0.02</v>
      </c>
      <c r="T68" s="40"/>
      <c r="U68" s="23" t="s">
        <v>21</v>
      </c>
      <c r="V68" s="23">
        <v>0.02</v>
      </c>
      <c r="W68" s="23" t="s">
        <v>21</v>
      </c>
      <c r="X68" s="23">
        <v>0.02</v>
      </c>
      <c r="Y68" s="23" t="s">
        <v>21</v>
      </c>
      <c r="Z68" s="23">
        <v>0.02</v>
      </c>
      <c r="AB68" s="26"/>
      <c r="AC68" s="26"/>
      <c r="AD68" s="26"/>
      <c r="AE68" s="26"/>
      <c r="AF68" s="26"/>
      <c r="AG68" s="26"/>
      <c r="AH68" s="26"/>
      <c r="AI68" s="26"/>
      <c r="AJ68" s="26"/>
    </row>
    <row r="69" spans="2:36" ht="12.75">
      <c r="B69" s="4" t="s">
        <v>66</v>
      </c>
      <c r="D69" s="6" t="s">
        <v>131</v>
      </c>
      <c r="E69" s="9"/>
      <c r="F69" s="37">
        <f>349/F$60/1000</f>
        <v>0.342156862745098</v>
      </c>
      <c r="G69" s="9"/>
      <c r="H69" s="37">
        <f>350/H$60/1000</f>
        <v>0.3431372549019608</v>
      </c>
      <c r="I69" s="9"/>
      <c r="J69" s="37">
        <f>360/J$60/1000</f>
        <v>0.35294117647058826</v>
      </c>
      <c r="K69" s="24"/>
      <c r="L69" s="40"/>
      <c r="N69" s="26">
        <v>1.9</v>
      </c>
      <c r="P69" s="13">
        <v>1.9</v>
      </c>
      <c r="R69" s="23">
        <v>1.7</v>
      </c>
      <c r="T69" s="40"/>
      <c r="V69" s="23">
        <v>4.3</v>
      </c>
      <c r="X69" s="23">
        <v>5.2</v>
      </c>
      <c r="Z69" s="23">
        <v>4.1</v>
      </c>
      <c r="AB69" s="26"/>
      <c r="AC69" s="26"/>
      <c r="AD69" s="26"/>
      <c r="AE69" s="26"/>
      <c r="AF69" s="26"/>
      <c r="AG69" s="26"/>
      <c r="AH69" s="26"/>
      <c r="AI69" s="26"/>
      <c r="AJ69" s="26"/>
    </row>
    <row r="70" spans="2:36" ht="12.75">
      <c r="B70" s="4" t="s">
        <v>53</v>
      </c>
      <c r="D70" s="6" t="s">
        <v>131</v>
      </c>
      <c r="E70" s="9" t="s">
        <v>21</v>
      </c>
      <c r="F70" s="37">
        <f>3/F$60/1000</f>
        <v>0.0029411764705882353</v>
      </c>
      <c r="G70" s="9" t="s">
        <v>21</v>
      </c>
      <c r="H70" s="37">
        <f>3/H$60/1000</f>
        <v>0.0029411764705882353</v>
      </c>
      <c r="I70" s="9" t="s">
        <v>21</v>
      </c>
      <c r="J70" s="37">
        <f>3/J$60/1000</f>
        <v>0.0029411764705882353</v>
      </c>
      <c r="K70" s="25"/>
      <c r="L70" s="40"/>
      <c r="M70" s="23" t="s">
        <v>21</v>
      </c>
      <c r="N70" s="13">
        <v>0.19</v>
      </c>
      <c r="O70" s="23" t="s">
        <v>21</v>
      </c>
      <c r="P70" s="13">
        <v>0.19</v>
      </c>
      <c r="Q70" s="23" t="s">
        <v>21</v>
      </c>
      <c r="R70" s="23">
        <v>0.19</v>
      </c>
      <c r="T70" s="40"/>
      <c r="U70" s="23" t="s">
        <v>21</v>
      </c>
      <c r="V70" s="23">
        <v>0.2</v>
      </c>
      <c r="W70" s="23" t="s">
        <v>21</v>
      </c>
      <c r="X70" s="23">
        <v>0.19</v>
      </c>
      <c r="Y70" s="23" t="s">
        <v>21</v>
      </c>
      <c r="Z70" s="23">
        <v>0.2</v>
      </c>
      <c r="AB70" s="26"/>
      <c r="AC70" s="26"/>
      <c r="AD70" s="26"/>
      <c r="AE70" s="26"/>
      <c r="AF70" s="26"/>
      <c r="AG70" s="26"/>
      <c r="AH70" s="26"/>
      <c r="AI70" s="26"/>
      <c r="AJ70" s="26"/>
    </row>
    <row r="71" spans="2:36" ht="12.75">
      <c r="B71" s="4" t="s">
        <v>79</v>
      </c>
      <c r="D71" s="6" t="s">
        <v>131</v>
      </c>
      <c r="E71" s="9" t="s">
        <v>21</v>
      </c>
      <c r="F71" s="37">
        <f>0.11/F$60/1000</f>
        <v>0.00010784313725490196</v>
      </c>
      <c r="G71" s="9" t="s">
        <v>21</v>
      </c>
      <c r="H71" s="37">
        <f>0.11/H$60/1000</f>
        <v>0.00010784313725490196</v>
      </c>
      <c r="I71" s="9" t="s">
        <v>21</v>
      </c>
      <c r="J71" s="37">
        <f>0.1/J$60/1000</f>
        <v>9.80392156862745E-05</v>
      </c>
      <c r="K71" s="25"/>
      <c r="L71" s="40"/>
      <c r="M71" s="23" t="s">
        <v>21</v>
      </c>
      <c r="N71" s="13">
        <v>0.03</v>
      </c>
      <c r="O71" s="23" t="s">
        <v>21</v>
      </c>
      <c r="P71" s="13">
        <v>0.03</v>
      </c>
      <c r="Q71" s="23" t="s">
        <v>21</v>
      </c>
      <c r="R71" s="23">
        <v>0.03</v>
      </c>
      <c r="T71" s="40"/>
      <c r="U71" s="23" t="s">
        <v>21</v>
      </c>
      <c r="V71" s="23">
        <v>0.03</v>
      </c>
      <c r="W71" s="23" t="s">
        <v>21</v>
      </c>
      <c r="X71" s="23">
        <v>0.03</v>
      </c>
      <c r="Y71" s="23" t="s">
        <v>21</v>
      </c>
      <c r="Z71" s="23">
        <v>0.03</v>
      </c>
      <c r="AB71" s="26"/>
      <c r="AC71" s="26"/>
      <c r="AD71" s="26"/>
      <c r="AE71" s="26"/>
      <c r="AF71" s="26"/>
      <c r="AG71" s="26"/>
      <c r="AH71" s="26"/>
      <c r="AI71" s="26"/>
      <c r="AJ71" s="26"/>
    </row>
    <row r="72" spans="2:36" ht="12.75">
      <c r="B72" s="4" t="s">
        <v>60</v>
      </c>
      <c r="D72" s="6" t="s">
        <v>131</v>
      </c>
      <c r="E72" s="9" t="s">
        <v>21</v>
      </c>
      <c r="F72" s="37">
        <f>0.55/F$60/1000</f>
        <v>0.0005392156862745099</v>
      </c>
      <c r="G72" s="9"/>
      <c r="H72" s="37">
        <f>1.16/H$60/1000</f>
        <v>0.0011372549019607844</v>
      </c>
      <c r="I72" s="9" t="s">
        <v>21</v>
      </c>
      <c r="J72" s="37">
        <f>0.52/J$60/1000</f>
        <v>0.0005098039215686274</v>
      </c>
      <c r="K72" s="25"/>
      <c r="L72" s="40"/>
      <c r="M72" s="23" t="s">
        <v>21</v>
      </c>
      <c r="N72" s="13">
        <v>0.03</v>
      </c>
      <c r="O72" s="23" t="s">
        <v>21</v>
      </c>
      <c r="P72" s="13">
        <v>0.03</v>
      </c>
      <c r="Q72" s="23" t="s">
        <v>21</v>
      </c>
      <c r="R72" s="23">
        <v>0.03</v>
      </c>
      <c r="T72" s="40"/>
      <c r="U72" s="23" t="s">
        <v>21</v>
      </c>
      <c r="V72" s="23">
        <v>0.03</v>
      </c>
      <c r="W72" s="23" t="s">
        <v>21</v>
      </c>
      <c r="X72" s="23">
        <v>0.03</v>
      </c>
      <c r="Y72" s="23" t="s">
        <v>21</v>
      </c>
      <c r="Z72" s="23">
        <v>0.03</v>
      </c>
      <c r="AB72" s="26"/>
      <c r="AC72" s="26"/>
      <c r="AD72" s="26"/>
      <c r="AE72" s="26"/>
      <c r="AF72" s="26"/>
      <c r="AG72" s="26"/>
      <c r="AH72" s="26"/>
      <c r="AI72" s="26"/>
      <c r="AJ72" s="26"/>
    </row>
    <row r="73" spans="2:36" ht="12.75">
      <c r="B73" s="4" t="s">
        <v>123</v>
      </c>
      <c r="D73" s="6" t="s">
        <v>131</v>
      </c>
      <c r="E73" s="9" t="s">
        <v>21</v>
      </c>
      <c r="F73" s="37">
        <f>5.5/F$60/1000</f>
        <v>0.005392156862745098</v>
      </c>
      <c r="G73" s="9" t="s">
        <v>21</v>
      </c>
      <c r="H73" s="37">
        <f>5.9/H$60/1000</f>
        <v>0.005784313725490196</v>
      </c>
      <c r="I73" s="9" t="s">
        <v>21</v>
      </c>
      <c r="J73" s="37">
        <f>5.2/J$60/1000</f>
        <v>0.005098039215686274</v>
      </c>
      <c r="K73" s="25"/>
      <c r="L73" s="40"/>
      <c r="M73" s="23" t="s">
        <v>21</v>
      </c>
      <c r="N73" s="13">
        <v>0.32</v>
      </c>
      <c r="O73" s="23" t="s">
        <v>21</v>
      </c>
      <c r="P73" s="13">
        <v>0.32</v>
      </c>
      <c r="Q73" s="23" t="s">
        <v>21</v>
      </c>
      <c r="R73" s="23">
        <v>0.32</v>
      </c>
      <c r="T73" s="40"/>
      <c r="U73" s="23" t="s">
        <v>21</v>
      </c>
      <c r="V73" s="23">
        <v>0.33</v>
      </c>
      <c r="W73" s="23" t="s">
        <v>21</v>
      </c>
      <c r="X73" s="23">
        <v>0.31</v>
      </c>
      <c r="Y73" s="23" t="s">
        <v>21</v>
      </c>
      <c r="Z73" s="23">
        <v>0.34</v>
      </c>
      <c r="AB73" s="26"/>
      <c r="AC73" s="26"/>
      <c r="AD73" s="26"/>
      <c r="AE73" s="26"/>
      <c r="AF73" s="26"/>
      <c r="AG73" s="26"/>
      <c r="AH73" s="26"/>
      <c r="AI73" s="26"/>
      <c r="AJ73" s="26"/>
    </row>
    <row r="74" spans="5:11" ht="12.75">
      <c r="E74" s="25"/>
      <c r="H74" s="24"/>
      <c r="I74" s="24"/>
      <c r="J74" s="25"/>
      <c r="K74" s="25"/>
    </row>
    <row r="75" spans="2:36" ht="12.75">
      <c r="B75" s="6" t="s">
        <v>33</v>
      </c>
      <c r="D75" s="6" t="s">
        <v>17</v>
      </c>
      <c r="E75" s="25"/>
      <c r="F75" s="7">
        <f>emiss!$G$88</f>
        <v>16466</v>
      </c>
      <c r="H75" s="7">
        <f>emiss!$I$88</f>
        <v>17545</v>
      </c>
      <c r="I75" s="24"/>
      <c r="J75" s="7">
        <f>emiss!$K$88</f>
        <v>17116</v>
      </c>
      <c r="K75" s="25"/>
      <c r="L75" s="7">
        <f>emiss!$M$88</f>
        <v>17042.333333333332</v>
      </c>
      <c r="N75" s="7">
        <f>emiss!$G$88</f>
        <v>16466</v>
      </c>
      <c r="O75" s="25"/>
      <c r="P75" s="7">
        <f>emiss!$I$88</f>
        <v>17545</v>
      </c>
      <c r="Q75" s="24"/>
      <c r="R75" s="7">
        <f>emiss!$K$88</f>
        <v>17116</v>
      </c>
      <c r="S75" s="25"/>
      <c r="T75" s="7">
        <f>emiss!$M$88</f>
        <v>17042.333333333332</v>
      </c>
      <c r="V75" s="7">
        <f>emiss!$G$88</f>
        <v>16466</v>
      </c>
      <c r="W75" s="25"/>
      <c r="X75" s="7">
        <f>emiss!$I$88</f>
        <v>17545</v>
      </c>
      <c r="Y75" s="24"/>
      <c r="Z75" s="7">
        <f>emiss!$K$88</f>
        <v>17116</v>
      </c>
      <c r="AA75" s="25"/>
      <c r="AB75" s="7">
        <f>emiss!$M$88</f>
        <v>17042.333333333332</v>
      </c>
      <c r="AC75" s="7"/>
      <c r="AD75" s="7"/>
      <c r="AE75" s="7"/>
      <c r="AF75" s="7"/>
      <c r="AG75" s="7"/>
      <c r="AH75" s="7"/>
      <c r="AI75" s="7"/>
      <c r="AJ75" s="7"/>
    </row>
    <row r="76" spans="2:36" ht="12.75">
      <c r="B76" s="6" t="s">
        <v>34</v>
      </c>
      <c r="D76" s="6" t="s">
        <v>18</v>
      </c>
      <c r="E76" s="25"/>
      <c r="F76" s="7">
        <f>emiss!$G$89</f>
        <v>5.1</v>
      </c>
      <c r="H76" s="7">
        <f>emiss!$I$89</f>
        <v>5.06</v>
      </c>
      <c r="I76" s="24"/>
      <c r="J76" s="7">
        <f>emiss!$K$89</f>
        <v>4.93</v>
      </c>
      <c r="K76" s="25"/>
      <c r="L76" s="7">
        <f>emiss!$M$89</f>
        <v>5.029999999999999</v>
      </c>
      <c r="N76" s="7">
        <f>emiss!$G$89</f>
        <v>5.1</v>
      </c>
      <c r="O76" s="25"/>
      <c r="P76" s="7">
        <f>emiss!$I$89</f>
        <v>5.06</v>
      </c>
      <c r="Q76" s="24"/>
      <c r="R76" s="7">
        <f>emiss!$K$89</f>
        <v>4.93</v>
      </c>
      <c r="S76" s="25"/>
      <c r="T76" s="7">
        <f>emiss!$M$89</f>
        <v>5.029999999999999</v>
      </c>
      <c r="V76" s="7">
        <f>emiss!$G$89</f>
        <v>5.1</v>
      </c>
      <c r="W76" s="25"/>
      <c r="X76" s="7">
        <f>emiss!$I$89</f>
        <v>5.06</v>
      </c>
      <c r="Y76" s="24"/>
      <c r="Z76" s="7">
        <f>emiss!$K$89</f>
        <v>4.93</v>
      </c>
      <c r="AA76" s="25"/>
      <c r="AB76" s="7">
        <f>emiss!$M$89</f>
        <v>5.029999999999999</v>
      </c>
      <c r="AC76" s="7"/>
      <c r="AD76" s="7"/>
      <c r="AE76" s="7"/>
      <c r="AF76" s="7"/>
      <c r="AG76" s="7"/>
      <c r="AH76" s="7"/>
      <c r="AI76" s="7"/>
      <c r="AJ76" s="7"/>
    </row>
    <row r="77" spans="5:11" ht="12.75">
      <c r="E77" s="25"/>
      <c r="H77" s="24"/>
      <c r="I77" s="24"/>
      <c r="J77" s="25"/>
      <c r="K77" s="25"/>
    </row>
    <row r="78" spans="2:44" ht="12.75">
      <c r="B78" s="6" t="s">
        <v>71</v>
      </c>
      <c r="D78" s="6" t="s">
        <v>29</v>
      </c>
      <c r="E78" s="25"/>
      <c r="F78" s="7"/>
      <c r="G78" s="8"/>
      <c r="H78" s="7"/>
      <c r="I78" s="7"/>
      <c r="J78" s="25"/>
      <c r="K78" s="25"/>
      <c r="N78" s="26">
        <f>N56*N57/1000000</f>
        <v>29.020686313876656</v>
      </c>
      <c r="P78" s="26">
        <f>P56*P57/1000000</f>
        <v>27.577550351101326</v>
      </c>
      <c r="R78" s="26">
        <f>R56*R57/1000000</f>
        <v>28.3174691629956</v>
      </c>
      <c r="T78" s="26">
        <f>AVERAGE(R78,P78,N78)</f>
        <v>28.305235275991194</v>
      </c>
      <c r="V78" s="26">
        <f>V56*V57/1000000</f>
        <v>30.481518068722472</v>
      </c>
      <c r="X78" s="26">
        <f>X56*X57/1000000</f>
        <v>30.27752424317181</v>
      </c>
      <c r="Z78" s="26">
        <f>Z56*Z57/1000000</f>
        <v>27.962820999118946</v>
      </c>
      <c r="AB78" s="26">
        <f>AVERAGE(Z78,X78,V78)</f>
        <v>29.573954437004414</v>
      </c>
      <c r="AC78" s="26"/>
      <c r="AD78" s="26"/>
      <c r="AE78" s="26"/>
      <c r="AF78" s="26"/>
      <c r="AG78" s="26"/>
      <c r="AH78" s="26"/>
      <c r="AI78" s="26"/>
      <c r="AJ78" s="26"/>
      <c r="AL78" s="26">
        <f>SUM(V78,N78,F78)</f>
        <v>59.50220438259913</v>
      </c>
      <c r="AN78" s="26">
        <f>SUM(X78,P78,H78)</f>
        <v>57.855074594273134</v>
      </c>
      <c r="AP78" s="26">
        <f>SUM(Z78,R78,J78)</f>
        <v>56.28029016211455</v>
      </c>
      <c r="AR78" s="26">
        <f>SUM(AB78,T78,L78)</f>
        <v>57.87918971299561</v>
      </c>
    </row>
    <row r="79" spans="2:16" ht="12.75">
      <c r="B79" s="6" t="s">
        <v>185</v>
      </c>
      <c r="D79" s="6" t="s">
        <v>29</v>
      </c>
      <c r="E79" s="25"/>
      <c r="F79" s="23"/>
      <c r="G79" s="8"/>
      <c r="H79" s="7"/>
      <c r="I79" s="7"/>
      <c r="J79" s="25"/>
      <c r="K79" s="25"/>
      <c r="P79" s="7"/>
    </row>
    <row r="80" spans="5:16" ht="12.75">
      <c r="E80" s="25"/>
      <c r="F80" s="23"/>
      <c r="G80" s="8"/>
      <c r="H80" s="7"/>
      <c r="I80" s="7"/>
      <c r="J80" s="25"/>
      <c r="K80" s="25"/>
      <c r="P80" s="7"/>
    </row>
    <row r="81" spans="2:16" ht="12.75">
      <c r="B81" s="34" t="s">
        <v>47</v>
      </c>
      <c r="C81" s="34"/>
      <c r="E81" s="25"/>
      <c r="F81" s="23"/>
      <c r="G81" s="8"/>
      <c r="H81" s="7"/>
      <c r="I81" s="7"/>
      <c r="J81" s="25"/>
      <c r="K81" s="25"/>
      <c r="P81" s="7"/>
    </row>
    <row r="82" spans="2:44" ht="12.75">
      <c r="B82" s="6" t="s">
        <v>23</v>
      </c>
      <c r="D82" s="6" t="s">
        <v>35</v>
      </c>
      <c r="E82" s="9">
        <v>100</v>
      </c>
      <c r="F82" s="28">
        <f>F62/100*F$56*454/60/0.0283/F$75*(21-7)/(21-F$76)*1000</f>
        <v>58.09699528371327</v>
      </c>
      <c r="G82" s="9">
        <v>100</v>
      </c>
      <c r="H82" s="28">
        <f>H62/100*H$56*454/60/0.0283/H$75*(21-7)/(21-H$76)*1000</f>
        <v>35.586644453313</v>
      </c>
      <c r="I82" s="9">
        <v>100</v>
      </c>
      <c r="J82" s="28">
        <f>J62/100*J$56*454/60/0.0283/J$75*(21-7)/(21-J$76)*1000</f>
        <v>38.016630758804546</v>
      </c>
      <c r="K82" s="9">
        <v>100</v>
      </c>
      <c r="L82" s="26">
        <f>AVERAGE(J82,H82,F82)</f>
        <v>43.900090165276936</v>
      </c>
      <c r="M82" s="26"/>
      <c r="N82" s="28">
        <f>N62/100*N$56*454/60/0.0283/N$75*(21-7)/(21-N$76)*1000</f>
        <v>191.50342437096924</v>
      </c>
      <c r="O82" s="26"/>
      <c r="P82" s="28">
        <f>P62/100*P$56*454/60/0.0283/P$75*(21-7)/(21-P$76)*1000</f>
        <v>148.08425989670292</v>
      </c>
      <c r="Q82" s="26"/>
      <c r="R82" s="28">
        <f>R62/100*R$56*454/60/0.0283/R$75*(21-7)/(21-R$76)*1000</f>
        <v>147.34890729238506</v>
      </c>
      <c r="S82" s="26"/>
      <c r="T82" s="26">
        <f>AVERAGE(R82,P82,N82)</f>
        <v>162.31219718668572</v>
      </c>
      <c r="V82" s="28">
        <f>V62/100*V$56*454/60/0.0283/V$75*(21-7)/(21-V$76)*1000</f>
        <v>262.98901614292004</v>
      </c>
      <c r="W82" s="26"/>
      <c r="X82" s="28">
        <f>X62/100*X$56*454/60/0.0283/X$75*(21-7)/(21-X$76)*1000</f>
        <v>220.74348915386346</v>
      </c>
      <c r="Y82" s="26"/>
      <c r="Z82" s="28">
        <f>Z62/100*Z$56*454/60/0.0283/Z$75*(21-7)/(21-Z$76)*1000</f>
        <v>2070.079985117265</v>
      </c>
      <c r="AA82" s="26"/>
      <c r="AB82" s="26">
        <f>AVERAGE(Z82,X82,V82)</f>
        <v>851.2708301380162</v>
      </c>
      <c r="AC82" s="47">
        <f>SUM((F82*E82/100),(N82*M82/100),(V82*U82/100))/AD82*100</f>
        <v>11.33402119247987</v>
      </c>
      <c r="AD82" s="26">
        <f>SUM(V82,N82,F82)</f>
        <v>512.5894357976025</v>
      </c>
      <c r="AE82" s="47">
        <f>SUM((H82*G82/100),(P82*O82/100),(X82*W82/100))/AF82*100</f>
        <v>8.799549428740013</v>
      </c>
      <c r="AF82" s="26">
        <f>SUM(X82,P82,H82)</f>
        <v>404.41439350387935</v>
      </c>
      <c r="AG82" s="47">
        <f>SUM((J82*I82/100),(R82*Q82/100),(Z82*Y82/100))/AH82*100</f>
        <v>1.6855486141557834</v>
      </c>
      <c r="AH82" s="26">
        <f>SUM(Z82,R82,J82)</f>
        <v>2255.4455231684547</v>
      </c>
      <c r="AI82" s="47">
        <f>SUM((L82*K82/100),(T82*S82/100),(AB82*AA82/100))/AJ82*100</f>
        <v>4.151375037502</v>
      </c>
      <c r="AJ82" s="26">
        <f>SUM(AB82,T82,L82)</f>
        <v>1057.483117489979</v>
      </c>
      <c r="AK82" s="47">
        <f>AC82</f>
        <v>11.33402119247987</v>
      </c>
      <c r="AL82" s="26">
        <f>SUM(V82,N82,F82/2)</f>
        <v>483.5409381557459</v>
      </c>
      <c r="AM82" s="47">
        <f>AE82</f>
        <v>8.799549428740013</v>
      </c>
      <c r="AN82" s="26">
        <f>SUM(X82,P82,H82/2)</f>
        <v>386.6210712772229</v>
      </c>
      <c r="AO82" s="47">
        <f>AG82</f>
        <v>1.6855486141557834</v>
      </c>
      <c r="AP82" s="26">
        <f>SUM(Z82,R82,J82/2)</f>
        <v>2236.437207789052</v>
      </c>
      <c r="AQ82" s="47">
        <f>AI82</f>
        <v>4.151375037502</v>
      </c>
      <c r="AR82" s="26">
        <f aca="true" t="shared" si="16" ref="AR82:AR95">SUM(AB82,T82,L82)</f>
        <v>1057.483117489979</v>
      </c>
    </row>
    <row r="83" spans="2:44" ht="12.75">
      <c r="B83" s="6" t="s">
        <v>90</v>
      </c>
      <c r="D83" s="6" t="s">
        <v>30</v>
      </c>
      <c r="E83" s="9"/>
      <c r="F83" s="28">
        <f aca="true" t="shared" si="17" ref="F83:F93">F63/1000000*F$9*454/60/0.0283/F$75*(21-7)/(21-F$76)*1000000</f>
        <v>4547.818784501824</v>
      </c>
      <c r="G83" s="9"/>
      <c r="H83" s="28">
        <f aca="true" t="shared" si="18" ref="H83:H93">H63/1000000*H$9*454/60/0.0283/H$75*(21-7)/(21-H$76)*1000000</f>
        <v>5710.45792082437</v>
      </c>
      <c r="I83" s="9"/>
      <c r="J83" s="28">
        <f aca="true" t="shared" si="19" ref="J83:J93">J63/1000000*J$9*454/60/0.0283/J$75*(21-7)/(21-J$76)*1000000</f>
        <v>3844.408350574737</v>
      </c>
      <c r="K83" s="9"/>
      <c r="L83" s="26">
        <f aca="true" t="shared" si="20" ref="L83:L94">AVERAGE(J83,H83,F83)</f>
        <v>4700.895018633643</v>
      </c>
      <c r="M83" s="26"/>
      <c r="N83" s="28">
        <f aca="true" t="shared" si="21" ref="N83:N93">N63/1000000*N$9*454/60/0.0283/N$75*(21-7)/(21-N$76)*1000000</f>
        <v>4401.967747131158</v>
      </c>
      <c r="O83" s="26"/>
      <c r="P83" s="28">
        <f aca="true" t="shared" si="22" ref="P83:P93">P63/1000000*P$9*454/60/0.0283/P$75*(21-7)/(21-P$76)*1000000</f>
        <v>2641.9180251809016</v>
      </c>
      <c r="Q83" s="26"/>
      <c r="R83" s="28">
        <f aca="true" t="shared" si="23" ref="R83:R93">R63/1000000*R$9*454/60/0.0283/R$75*(21-7)/(21-R$76)*1000000</f>
        <v>886.478229146181</v>
      </c>
      <c r="S83" s="26"/>
      <c r="T83" s="26">
        <f aca="true" t="shared" si="24" ref="T83:T93">AVERAGE(R83,P83,N83)</f>
        <v>2643.454667152747</v>
      </c>
      <c r="V83" s="28">
        <f aca="true" t="shared" si="25" ref="V83:V93">V63/1000000*V$9*454/60/0.0283/V$75*(21-7)/(21-V$76)*1000000</f>
        <v>2305.2560142334933</v>
      </c>
      <c r="W83" s="26"/>
      <c r="X83" s="28">
        <f aca="true" t="shared" si="26" ref="X83:X93">X63/1000000*X$9*454/60/0.0283/X$75*(21-7)/(21-X$76)*1000000</f>
        <v>1089.3872336008478</v>
      </c>
      <c r="Y83" s="26"/>
      <c r="Z83" s="28">
        <f aca="true" t="shared" si="27" ref="Z83:Z93">Z63/1000000*Z$9*454/60/0.0283/Z$75*(21-7)/(21-Z$76)*1000000</f>
        <v>1121.8568863386206</v>
      </c>
      <c r="AA83" s="26"/>
      <c r="AB83" s="26">
        <f aca="true" t="shared" si="28" ref="AB83:AB93">AVERAGE(Z83,X83,V83)</f>
        <v>1505.5000447243208</v>
      </c>
      <c r="AC83" s="47"/>
      <c r="AD83" s="26">
        <f aca="true" t="shared" si="29" ref="AD83:AD95">SUM(V83,N83,F83)</f>
        <v>11255.042545866476</v>
      </c>
      <c r="AE83" s="47"/>
      <c r="AF83" s="26">
        <f aca="true" t="shared" si="30" ref="AF83:AF95">SUM(X83,P83,H83)</f>
        <v>9441.76317960612</v>
      </c>
      <c r="AG83" s="47"/>
      <c r="AH83" s="26">
        <f aca="true" t="shared" si="31" ref="AH83:AH95">SUM(Z83,R83,J83)</f>
        <v>5852.743466059539</v>
      </c>
      <c r="AI83" s="47"/>
      <c r="AJ83" s="26">
        <f aca="true" t="shared" si="32" ref="AJ83:AJ95">SUM(AB83,T83,L83)</f>
        <v>8849.849730510712</v>
      </c>
      <c r="AK83" s="47"/>
      <c r="AL83" s="26">
        <f>SUM(V83,N83,F83)</f>
        <v>11255.042545866476</v>
      </c>
      <c r="AM83" s="47"/>
      <c r="AN83" s="26">
        <f>SUM(X83,P83,H83)</f>
        <v>9441.76317960612</v>
      </c>
      <c r="AO83" s="47"/>
      <c r="AP83" s="26">
        <f>SUM(Z83,R83,J83)</f>
        <v>5852.743466059539</v>
      </c>
      <c r="AQ83" s="47"/>
      <c r="AR83" s="26">
        <f t="shared" si="16"/>
        <v>8849.849730510712</v>
      </c>
    </row>
    <row r="84" spans="2:44" ht="12.75">
      <c r="B84" s="4" t="s">
        <v>54</v>
      </c>
      <c r="D84" s="6" t="s">
        <v>30</v>
      </c>
      <c r="E84" s="9">
        <v>100</v>
      </c>
      <c r="F84" s="28">
        <f t="shared" si="17"/>
        <v>0.8062208965273175</v>
      </c>
      <c r="G84" s="9">
        <v>100</v>
      </c>
      <c r="H84" s="28">
        <f t="shared" si="18"/>
        <v>0.7639262593313189</v>
      </c>
      <c r="I84" s="9">
        <v>100</v>
      </c>
      <c r="J84" s="28">
        <f t="shared" si="19"/>
        <v>0.660112212627766</v>
      </c>
      <c r="K84" s="9">
        <v>100</v>
      </c>
      <c r="L84" s="26">
        <f t="shared" si="20"/>
        <v>0.7434197894954675</v>
      </c>
      <c r="M84" s="23">
        <v>100</v>
      </c>
      <c r="N84" s="28">
        <f t="shared" si="21"/>
        <v>10.663953486611243</v>
      </c>
      <c r="O84" s="23">
        <v>100</v>
      </c>
      <c r="P84" s="28">
        <f t="shared" si="22"/>
        <v>10.011256976154197</v>
      </c>
      <c r="Q84" s="23">
        <v>100</v>
      </c>
      <c r="R84" s="28">
        <f t="shared" si="23"/>
        <v>10.164807696908532</v>
      </c>
      <c r="S84" s="23">
        <v>100</v>
      </c>
      <c r="T84" s="26">
        <f t="shared" si="24"/>
        <v>10.280006053224659</v>
      </c>
      <c r="U84" s="23">
        <v>100</v>
      </c>
      <c r="V84" s="28">
        <f t="shared" si="25"/>
        <v>8.138591400647815</v>
      </c>
      <c r="W84" s="23">
        <v>100</v>
      </c>
      <c r="X84" s="28">
        <f t="shared" si="26"/>
        <v>7.432085256163772</v>
      </c>
      <c r="Y84" s="23">
        <v>100</v>
      </c>
      <c r="Z84" s="28">
        <f t="shared" si="27"/>
        <v>7.998979581737045</v>
      </c>
      <c r="AA84" s="23">
        <v>100</v>
      </c>
      <c r="AB84" s="26">
        <f t="shared" si="28"/>
        <v>7.85655207951621</v>
      </c>
      <c r="AC84" s="47">
        <f aca="true" t="shared" si="33" ref="AC84:AC95">SUM((F84*E84/100),(N84*M84/100),(V84*U84/100))/AD84*100</f>
        <v>99.99999999999997</v>
      </c>
      <c r="AD84" s="26">
        <f t="shared" si="29"/>
        <v>19.608765783786378</v>
      </c>
      <c r="AE84" s="47">
        <f aca="true" t="shared" si="34" ref="AE84:AE95">SUM((H84*G84/100),(P84*O84/100),(X84*W84/100))/AF84*100</f>
        <v>100</v>
      </c>
      <c r="AF84" s="26">
        <f t="shared" si="30"/>
        <v>18.207268491649288</v>
      </c>
      <c r="AG84" s="47">
        <f aca="true" t="shared" si="35" ref="AG84:AG95">SUM((J84*I84/100),(R84*Q84/100),(Z84*Y84/100))/AH84*100</f>
        <v>99.99999999999997</v>
      </c>
      <c r="AH84" s="26">
        <f t="shared" si="31"/>
        <v>18.823899491273345</v>
      </c>
      <c r="AI84" s="47">
        <f aca="true" t="shared" si="36" ref="AI84:AI95">SUM((L84*K84/100),(T84*S84/100),(AB84*AA84/100))/AJ84*100</f>
        <v>100</v>
      </c>
      <c r="AJ84" s="26">
        <f t="shared" si="32"/>
        <v>18.879977922236336</v>
      </c>
      <c r="AK84" s="47">
        <f>AC84</f>
        <v>99.99999999999997</v>
      </c>
      <c r="AL84" s="26">
        <f>SUM(V84,N84,F84)/2</f>
        <v>9.804382891893189</v>
      </c>
      <c r="AM84" s="47">
        <f>AE84</f>
        <v>100</v>
      </c>
      <c r="AN84" s="26">
        <f>SUM(X84,P84,H84)/2</f>
        <v>9.103634245824644</v>
      </c>
      <c r="AO84" s="47">
        <f>AG84</f>
        <v>99.99999999999997</v>
      </c>
      <c r="AP84" s="26">
        <f>SUM(Z84,R84,J84)/2</f>
        <v>9.411949745636672</v>
      </c>
      <c r="AQ84" s="47">
        <f>AI84</f>
        <v>100</v>
      </c>
      <c r="AR84" s="26">
        <f t="shared" si="16"/>
        <v>18.879977922236336</v>
      </c>
    </row>
    <row r="85" spans="2:44" ht="12.75">
      <c r="B85" s="4" t="s">
        <v>55</v>
      </c>
      <c r="D85" s="6" t="s">
        <v>30</v>
      </c>
      <c r="E85" s="9">
        <v>100</v>
      </c>
      <c r="F85" s="28">
        <f t="shared" si="17"/>
        <v>0.8062208965273175</v>
      </c>
      <c r="G85" s="9">
        <v>100</v>
      </c>
      <c r="H85" s="28">
        <f t="shared" si="18"/>
        <v>0.7639262593313189</v>
      </c>
      <c r="I85" s="9">
        <v>100</v>
      </c>
      <c r="J85" s="28">
        <f t="shared" si="19"/>
        <v>0.660112212627766</v>
      </c>
      <c r="K85" s="9">
        <v>100</v>
      </c>
      <c r="L85" s="26">
        <f t="shared" si="20"/>
        <v>0.7434197894954675</v>
      </c>
      <c r="M85" s="23">
        <v>100</v>
      </c>
      <c r="N85" s="28">
        <f t="shared" si="21"/>
        <v>10.663953486611243</v>
      </c>
      <c r="O85" s="23">
        <v>100</v>
      </c>
      <c r="P85" s="28">
        <f t="shared" si="22"/>
        <v>10.011256976154197</v>
      </c>
      <c r="Q85" s="23">
        <v>100</v>
      </c>
      <c r="R85" s="28">
        <f t="shared" si="23"/>
        <v>10.164807696908532</v>
      </c>
      <c r="S85" s="23">
        <v>100</v>
      </c>
      <c r="T85" s="26">
        <f t="shared" si="24"/>
        <v>10.280006053224659</v>
      </c>
      <c r="U85" s="23">
        <v>100</v>
      </c>
      <c r="V85" s="28">
        <f t="shared" si="25"/>
        <v>8.138591400647815</v>
      </c>
      <c r="W85" s="23">
        <v>100</v>
      </c>
      <c r="X85" s="28">
        <f t="shared" si="26"/>
        <v>7.432085256163772</v>
      </c>
      <c r="Y85" s="23">
        <v>100</v>
      </c>
      <c r="Z85" s="28">
        <f t="shared" si="27"/>
        <v>8.398928560823895</v>
      </c>
      <c r="AA85" s="23">
        <v>100</v>
      </c>
      <c r="AB85" s="26">
        <f t="shared" si="28"/>
        <v>7.989868405878494</v>
      </c>
      <c r="AC85" s="47">
        <f t="shared" si="33"/>
        <v>99.99999999999997</v>
      </c>
      <c r="AD85" s="26">
        <f t="shared" si="29"/>
        <v>19.608765783786378</v>
      </c>
      <c r="AE85" s="47">
        <f t="shared" si="34"/>
        <v>100</v>
      </c>
      <c r="AF85" s="26">
        <f t="shared" si="30"/>
        <v>18.207268491649288</v>
      </c>
      <c r="AG85" s="47">
        <f t="shared" si="35"/>
        <v>100</v>
      </c>
      <c r="AH85" s="26">
        <f t="shared" si="31"/>
        <v>19.223848470360196</v>
      </c>
      <c r="AI85" s="47">
        <f t="shared" si="36"/>
        <v>100</v>
      </c>
      <c r="AJ85" s="26">
        <f t="shared" si="32"/>
        <v>19.01329424859862</v>
      </c>
      <c r="AK85" s="47">
        <f>AC85</f>
        <v>99.99999999999997</v>
      </c>
      <c r="AL85" s="26">
        <f>SUM(V85,N85,F85)/2</f>
        <v>9.804382891893189</v>
      </c>
      <c r="AM85" s="47">
        <f>AE85</f>
        <v>100</v>
      </c>
      <c r="AN85" s="26">
        <f>SUM(X85,P85,H85)/2</f>
        <v>9.103634245824644</v>
      </c>
      <c r="AO85" s="47">
        <f>AG85</f>
        <v>100</v>
      </c>
      <c r="AP85" s="26">
        <f>SUM(Z85,R85,J85)/2</f>
        <v>9.611924235180098</v>
      </c>
      <c r="AQ85" s="47">
        <f>AI85</f>
        <v>100</v>
      </c>
      <c r="AR85" s="26">
        <f t="shared" si="16"/>
        <v>19.01329424859862</v>
      </c>
    </row>
    <row r="86" spans="2:44" ht="12.75">
      <c r="B86" s="4" t="s">
        <v>56</v>
      </c>
      <c r="D86" s="6" t="s">
        <v>30</v>
      </c>
      <c r="E86" s="9"/>
      <c r="F86" s="28">
        <f t="shared" si="17"/>
        <v>3.4203310761764993</v>
      </c>
      <c r="G86" s="9"/>
      <c r="H86" s="28">
        <f t="shared" si="18"/>
        <v>2.619175746278807</v>
      </c>
      <c r="I86" s="9"/>
      <c r="J86" s="28">
        <f t="shared" si="19"/>
        <v>2.3423336577114275</v>
      </c>
      <c r="K86" s="9"/>
      <c r="L86" s="26">
        <f t="shared" si="20"/>
        <v>2.7939468267222445</v>
      </c>
      <c r="M86" s="23">
        <v>100</v>
      </c>
      <c r="N86" s="28">
        <f t="shared" si="21"/>
        <v>35.92068542858524</v>
      </c>
      <c r="O86" s="23">
        <v>100</v>
      </c>
      <c r="P86" s="28">
        <f t="shared" si="22"/>
        <v>33.1952204998797</v>
      </c>
      <c r="Q86" s="23">
        <v>100</v>
      </c>
      <c r="R86" s="28">
        <f t="shared" si="23"/>
        <v>33.70436236343355</v>
      </c>
      <c r="S86" s="23">
        <v>100</v>
      </c>
      <c r="T86" s="26">
        <f t="shared" si="24"/>
        <v>34.27342276396616</v>
      </c>
      <c r="U86" s="23">
        <v>100</v>
      </c>
      <c r="V86" s="28">
        <f t="shared" si="25"/>
        <v>27.264281192170174</v>
      </c>
      <c r="W86" s="23">
        <v>100</v>
      </c>
      <c r="X86" s="28">
        <f t="shared" si="26"/>
        <v>24.252067678008103</v>
      </c>
      <c r="Y86" s="23">
        <v>100</v>
      </c>
      <c r="Z86" s="28">
        <f t="shared" si="27"/>
        <v>26.796581598819092</v>
      </c>
      <c r="AA86" s="23">
        <v>100</v>
      </c>
      <c r="AB86" s="26">
        <f t="shared" si="28"/>
        <v>26.104310156332456</v>
      </c>
      <c r="AC86" s="47">
        <f t="shared" si="33"/>
        <v>94.86477623485789</v>
      </c>
      <c r="AD86" s="26">
        <f t="shared" si="29"/>
        <v>66.60529769693191</v>
      </c>
      <c r="AE86" s="47">
        <f t="shared" si="34"/>
        <v>95.63953731389034</v>
      </c>
      <c r="AF86" s="26">
        <f t="shared" si="30"/>
        <v>60.06646392416661</v>
      </c>
      <c r="AG86" s="47">
        <f t="shared" si="35"/>
        <v>96.27273791816468</v>
      </c>
      <c r="AH86" s="26">
        <f t="shared" si="31"/>
        <v>62.84327761996408</v>
      </c>
      <c r="AI86" s="47">
        <f t="shared" si="36"/>
        <v>95.57721618625472</v>
      </c>
      <c r="AJ86" s="26">
        <f t="shared" si="32"/>
        <v>63.17167974702086</v>
      </c>
      <c r="AK86" s="47">
        <f>AC86</f>
        <v>94.86477623485789</v>
      </c>
      <c r="AL86" s="26">
        <f>SUM(V86,N86,F86)/2</f>
        <v>33.30264884846596</v>
      </c>
      <c r="AM86" s="47">
        <f>AE86</f>
        <v>95.63953731389034</v>
      </c>
      <c r="AN86" s="26">
        <f>SUM(X86,P86,H86)/2</f>
        <v>30.033231962083306</v>
      </c>
      <c r="AO86" s="47">
        <f>AG86</f>
        <v>96.27273791816468</v>
      </c>
      <c r="AP86" s="26">
        <f>SUM(Z86,R86,J86)/2</f>
        <v>31.42163880998204</v>
      </c>
      <c r="AQ86" s="47">
        <f>AI86</f>
        <v>95.57721618625472</v>
      </c>
      <c r="AR86" s="26">
        <f t="shared" si="16"/>
        <v>63.17167974702086</v>
      </c>
    </row>
    <row r="87" spans="2:44" ht="12.75">
      <c r="B87" s="4" t="s">
        <v>57</v>
      </c>
      <c r="D87" s="6" t="s">
        <v>30</v>
      </c>
      <c r="E87" s="9">
        <v>100</v>
      </c>
      <c r="F87" s="28">
        <f t="shared" si="17"/>
        <v>0.0390894980134457</v>
      </c>
      <c r="G87" s="9">
        <v>100</v>
      </c>
      <c r="H87" s="28">
        <f t="shared" si="18"/>
        <v>0.03928763619418211</v>
      </c>
      <c r="I87" s="9">
        <v>100</v>
      </c>
      <c r="J87" s="28">
        <f t="shared" si="19"/>
        <v>0.03407030774852985</v>
      </c>
      <c r="K87" s="9">
        <v>100</v>
      </c>
      <c r="L87" s="26">
        <f t="shared" si="20"/>
        <v>0.037482480652052556</v>
      </c>
      <c r="M87" s="23">
        <v>100</v>
      </c>
      <c r="N87" s="28">
        <f t="shared" si="21"/>
        <v>0.5612607098216443</v>
      </c>
      <c r="O87" s="23">
        <v>100</v>
      </c>
      <c r="P87" s="28">
        <f t="shared" si="22"/>
        <v>0.5269082619028524</v>
      </c>
      <c r="Q87" s="23">
        <v>100</v>
      </c>
      <c r="R87" s="28">
        <f t="shared" si="23"/>
        <v>0.5349898787846595</v>
      </c>
      <c r="S87" s="23">
        <v>100</v>
      </c>
      <c r="T87" s="26">
        <f t="shared" si="24"/>
        <v>0.5410529501697189</v>
      </c>
      <c r="U87" s="23">
        <v>100</v>
      </c>
      <c r="V87" s="28">
        <f t="shared" si="25"/>
        <v>0.4069295700323906</v>
      </c>
      <c r="W87" s="23">
        <v>100</v>
      </c>
      <c r="X87" s="28">
        <f t="shared" si="26"/>
        <v>0.39116238190335656</v>
      </c>
      <c r="Y87" s="23">
        <v>100</v>
      </c>
      <c r="Z87" s="28">
        <f t="shared" si="27"/>
        <v>0.3999489790868521</v>
      </c>
      <c r="AA87" s="23">
        <v>100</v>
      </c>
      <c r="AB87" s="26">
        <f t="shared" si="28"/>
        <v>0.3993469770075331</v>
      </c>
      <c r="AC87" s="47">
        <f t="shared" si="33"/>
        <v>100</v>
      </c>
      <c r="AD87" s="26">
        <f t="shared" si="29"/>
        <v>1.0072797778674807</v>
      </c>
      <c r="AE87" s="47">
        <f t="shared" si="34"/>
        <v>100</v>
      </c>
      <c r="AF87" s="26">
        <f t="shared" si="30"/>
        <v>0.957358280000391</v>
      </c>
      <c r="AG87" s="47">
        <f t="shared" si="35"/>
        <v>100</v>
      </c>
      <c r="AH87" s="26">
        <f t="shared" si="31"/>
        <v>0.9690091656200415</v>
      </c>
      <c r="AI87" s="47">
        <f t="shared" si="36"/>
        <v>100</v>
      </c>
      <c r="AJ87" s="26">
        <f t="shared" si="32"/>
        <v>0.9778824078293045</v>
      </c>
      <c r="AK87" s="47">
        <f>AC87</f>
        <v>100</v>
      </c>
      <c r="AL87" s="26">
        <f>SUM(V87,N87,F87)/2</f>
        <v>0.5036398889337403</v>
      </c>
      <c r="AM87" s="47">
        <f>AE87</f>
        <v>100</v>
      </c>
      <c r="AN87" s="26">
        <f>SUM(X87,P87,H87)/2</f>
        <v>0.4786791400001955</v>
      </c>
      <c r="AO87" s="47">
        <f>AG87</f>
        <v>100</v>
      </c>
      <c r="AP87" s="26">
        <f>SUM(Z87,R87,J87)/2</f>
        <v>0.48450458281002073</v>
      </c>
      <c r="AQ87" s="47">
        <f>AI87</f>
        <v>100</v>
      </c>
      <c r="AR87" s="26">
        <f t="shared" si="16"/>
        <v>0.9778824078293045</v>
      </c>
    </row>
    <row r="88" spans="2:44" ht="12.75">
      <c r="B88" s="4" t="s">
        <v>58</v>
      </c>
      <c r="D88" s="6" t="s">
        <v>30</v>
      </c>
      <c r="E88" s="9"/>
      <c r="F88" s="28">
        <f t="shared" si="17"/>
        <v>0.005863424702016857</v>
      </c>
      <c r="G88" s="9"/>
      <c r="H88" s="28">
        <f t="shared" si="18"/>
        <v>0.005238351492557615</v>
      </c>
      <c r="I88" s="9"/>
      <c r="J88" s="28">
        <f t="shared" si="19"/>
        <v>0.0034070307748529853</v>
      </c>
      <c r="K88" s="9"/>
      <c r="L88" s="26">
        <f t="shared" si="20"/>
        <v>0.0048362689898091525</v>
      </c>
      <c r="M88" s="23">
        <v>100</v>
      </c>
      <c r="N88" s="28">
        <f t="shared" si="21"/>
        <v>1.1225214196432887</v>
      </c>
      <c r="O88" s="23">
        <v>100</v>
      </c>
      <c r="P88" s="28">
        <f t="shared" si="22"/>
        <v>1.053816523805705</v>
      </c>
      <c r="Q88" s="23">
        <v>100</v>
      </c>
      <c r="R88" s="28">
        <f t="shared" si="23"/>
        <v>1.069979757569319</v>
      </c>
      <c r="S88" s="23">
        <v>100</v>
      </c>
      <c r="T88" s="26">
        <f t="shared" si="24"/>
        <v>1.0821059003394378</v>
      </c>
      <c r="U88" s="23">
        <v>100</v>
      </c>
      <c r="V88" s="28">
        <f t="shared" si="25"/>
        <v>0.8138591400647812</v>
      </c>
      <c r="W88" s="23">
        <v>100</v>
      </c>
      <c r="X88" s="28">
        <f t="shared" si="26"/>
        <v>0.7823247638067131</v>
      </c>
      <c r="Y88" s="23">
        <v>100</v>
      </c>
      <c r="Z88" s="28">
        <f t="shared" si="27"/>
        <v>0.7998979581737042</v>
      </c>
      <c r="AA88" s="23">
        <v>100</v>
      </c>
      <c r="AB88" s="26">
        <f t="shared" si="28"/>
        <v>0.7986939540150662</v>
      </c>
      <c r="AC88" s="47">
        <f t="shared" si="33"/>
        <v>99.69811080641355</v>
      </c>
      <c r="AD88" s="26">
        <f t="shared" si="29"/>
        <v>1.9422439844100867</v>
      </c>
      <c r="AE88" s="47">
        <f t="shared" si="34"/>
        <v>99.71552028808661</v>
      </c>
      <c r="AF88" s="26">
        <f t="shared" si="30"/>
        <v>1.8413796391049755</v>
      </c>
      <c r="AG88" s="47">
        <f t="shared" si="35"/>
        <v>99.81812531270614</v>
      </c>
      <c r="AH88" s="26">
        <f t="shared" si="31"/>
        <v>1.8732847465178764</v>
      </c>
      <c r="AI88" s="47">
        <f t="shared" si="36"/>
        <v>99.74352055892778</v>
      </c>
      <c r="AJ88" s="26">
        <f t="shared" si="32"/>
        <v>1.885636123344313</v>
      </c>
      <c r="AK88" s="47">
        <f>AC88</f>
        <v>99.69811080641355</v>
      </c>
      <c r="AL88" s="26">
        <f>SUM(V88,N88,F88)/2</f>
        <v>0.9711219922050434</v>
      </c>
      <c r="AM88" s="47">
        <f>AE88</f>
        <v>99.71552028808661</v>
      </c>
      <c r="AN88" s="26">
        <f>SUM(X88,P88,H88)/2</f>
        <v>0.9206898195524877</v>
      </c>
      <c r="AO88" s="47">
        <f>AG88</f>
        <v>99.81812531270614</v>
      </c>
      <c r="AP88" s="26">
        <f>SUM(Z88,R88,J88)/2</f>
        <v>0.9366423732589382</v>
      </c>
      <c r="AQ88" s="47">
        <f>AI88</f>
        <v>99.74352055892778</v>
      </c>
      <c r="AR88" s="26">
        <f t="shared" si="16"/>
        <v>1.885636123344313</v>
      </c>
    </row>
    <row r="89" spans="2:44" ht="12.75">
      <c r="B89" s="4" t="s">
        <v>66</v>
      </c>
      <c r="D89" s="6" t="s">
        <v>30</v>
      </c>
      <c r="E89" s="9"/>
      <c r="F89" s="28">
        <f t="shared" si="17"/>
        <v>85.26396754182845</v>
      </c>
      <c r="G89" s="9"/>
      <c r="H89" s="28">
        <f t="shared" si="18"/>
        <v>76.39262593313187</v>
      </c>
      <c r="I89" s="9"/>
      <c r="J89" s="28">
        <f t="shared" si="19"/>
        <v>76.65819243419217</v>
      </c>
      <c r="K89" s="9"/>
      <c r="L89" s="26">
        <f t="shared" si="20"/>
        <v>79.43826196971749</v>
      </c>
      <c r="N89" s="28">
        <f t="shared" si="21"/>
        <v>106.63953486611241</v>
      </c>
      <c r="P89" s="28">
        <f t="shared" si="22"/>
        <v>100.11256976154195</v>
      </c>
      <c r="R89" s="28">
        <f t="shared" si="23"/>
        <v>90.94827939339211</v>
      </c>
      <c r="T89" s="26">
        <f t="shared" si="24"/>
        <v>99.23346134034882</v>
      </c>
      <c r="V89" s="28">
        <f t="shared" si="25"/>
        <v>174.97971511392797</v>
      </c>
      <c r="X89" s="28">
        <f t="shared" si="26"/>
        <v>203.4044385897454</v>
      </c>
      <c r="Z89" s="28">
        <f t="shared" si="27"/>
        <v>163.97908142560934</v>
      </c>
      <c r="AB89" s="26">
        <f t="shared" si="28"/>
        <v>180.78774504309422</v>
      </c>
      <c r="AC89" s="47">
        <f t="shared" si="33"/>
        <v>0</v>
      </c>
      <c r="AD89" s="26">
        <f t="shared" si="29"/>
        <v>366.8832175218688</v>
      </c>
      <c r="AE89" s="47">
        <f t="shared" si="34"/>
        <v>0</v>
      </c>
      <c r="AF89" s="26">
        <f t="shared" si="30"/>
        <v>379.9096342844192</v>
      </c>
      <c r="AG89" s="47">
        <f t="shared" si="35"/>
        <v>0</v>
      </c>
      <c r="AH89" s="26">
        <f t="shared" si="31"/>
        <v>331.5855532531936</v>
      </c>
      <c r="AI89" s="47">
        <f t="shared" si="36"/>
        <v>0</v>
      </c>
      <c r="AJ89" s="26">
        <f t="shared" si="32"/>
        <v>359.4594683531605</v>
      </c>
      <c r="AK89" s="47"/>
      <c r="AL89" s="26">
        <f>SUM(V89,N89,F89)</f>
        <v>366.8832175218688</v>
      </c>
      <c r="AM89" s="47"/>
      <c r="AN89" s="26">
        <f>SUM(X89,P89,H89)</f>
        <v>379.9096342844192</v>
      </c>
      <c r="AO89" s="47"/>
      <c r="AP89" s="26">
        <f>SUM(Z89,R89,J89)</f>
        <v>331.5855532531936</v>
      </c>
      <c r="AQ89" s="47"/>
      <c r="AR89" s="26">
        <f t="shared" si="16"/>
        <v>359.4594683531605</v>
      </c>
    </row>
    <row r="90" spans="2:44" ht="12.75">
      <c r="B90" s="4" t="s">
        <v>53</v>
      </c>
      <c r="D90" s="6" t="s">
        <v>30</v>
      </c>
      <c r="E90" s="9">
        <v>100</v>
      </c>
      <c r="F90" s="28">
        <f t="shared" si="17"/>
        <v>0.7329280877521069</v>
      </c>
      <c r="G90" s="9">
        <v>100</v>
      </c>
      <c r="H90" s="28">
        <f t="shared" si="18"/>
        <v>0.6547939365697018</v>
      </c>
      <c r="I90" s="9">
        <v>100</v>
      </c>
      <c r="J90" s="28">
        <f t="shared" si="19"/>
        <v>0.6388182702849347</v>
      </c>
      <c r="K90" s="9">
        <v>100</v>
      </c>
      <c r="L90" s="26">
        <f t="shared" si="20"/>
        <v>0.6755134315355811</v>
      </c>
      <c r="M90" s="23">
        <v>100</v>
      </c>
      <c r="N90" s="28">
        <f t="shared" si="21"/>
        <v>10.663953486611243</v>
      </c>
      <c r="O90" s="23">
        <v>100</v>
      </c>
      <c r="P90" s="28">
        <f t="shared" si="22"/>
        <v>10.011256976154197</v>
      </c>
      <c r="Q90" s="23">
        <v>100</v>
      </c>
      <c r="R90" s="28">
        <f t="shared" si="23"/>
        <v>10.164807696908532</v>
      </c>
      <c r="S90" s="23">
        <v>100</v>
      </c>
      <c r="T90" s="26">
        <f t="shared" si="24"/>
        <v>10.280006053224659</v>
      </c>
      <c r="U90" s="23">
        <v>100</v>
      </c>
      <c r="V90" s="28">
        <f t="shared" si="25"/>
        <v>8.138591400647815</v>
      </c>
      <c r="W90" s="23">
        <v>100</v>
      </c>
      <c r="X90" s="28">
        <f t="shared" si="26"/>
        <v>7.432085256163772</v>
      </c>
      <c r="Y90" s="23">
        <v>100</v>
      </c>
      <c r="Z90" s="28">
        <f t="shared" si="27"/>
        <v>7.998979581737045</v>
      </c>
      <c r="AA90" s="23">
        <v>100</v>
      </c>
      <c r="AB90" s="26">
        <f t="shared" si="28"/>
        <v>7.85655207951621</v>
      </c>
      <c r="AC90" s="47">
        <f t="shared" si="33"/>
        <v>99.99999999999997</v>
      </c>
      <c r="AD90" s="26">
        <f t="shared" si="29"/>
        <v>19.535472975011167</v>
      </c>
      <c r="AE90" s="47">
        <f t="shared" si="34"/>
        <v>100</v>
      </c>
      <c r="AF90" s="26">
        <f t="shared" si="30"/>
        <v>18.09813616888767</v>
      </c>
      <c r="AG90" s="47">
        <f t="shared" si="35"/>
        <v>99.99999999999997</v>
      </c>
      <c r="AH90" s="26">
        <f t="shared" si="31"/>
        <v>18.802605548930515</v>
      </c>
      <c r="AI90" s="47">
        <f t="shared" si="36"/>
        <v>100</v>
      </c>
      <c r="AJ90" s="26">
        <f t="shared" si="32"/>
        <v>18.81207156427645</v>
      </c>
      <c r="AK90" s="47">
        <f aca="true" t="shared" si="37" ref="AK90:AK95">AC90</f>
        <v>99.99999999999997</v>
      </c>
      <c r="AL90" s="26">
        <f>SUM(V90,N90,F90)/2</f>
        <v>9.767736487505584</v>
      </c>
      <c r="AM90" s="47">
        <f aca="true" t="shared" si="38" ref="AM90:AM95">AE90</f>
        <v>100</v>
      </c>
      <c r="AN90" s="26">
        <f>SUM(X90,P90,H90)/2</f>
        <v>9.049068084443835</v>
      </c>
      <c r="AO90" s="47">
        <f aca="true" t="shared" si="39" ref="AO90:AO95">AG90</f>
        <v>99.99999999999997</v>
      </c>
      <c r="AP90" s="26">
        <f>SUM(Z90,R90,J90)/2</f>
        <v>9.401302774465258</v>
      </c>
      <c r="AQ90" s="47">
        <f aca="true" t="shared" si="40" ref="AQ90:AQ95">AI90</f>
        <v>100</v>
      </c>
      <c r="AR90" s="26">
        <f t="shared" si="16"/>
        <v>18.81207156427645</v>
      </c>
    </row>
    <row r="91" spans="2:44" ht="12.75">
      <c r="B91" s="4" t="s">
        <v>79</v>
      </c>
      <c r="D91" s="6" t="s">
        <v>30</v>
      </c>
      <c r="E91" s="9">
        <v>100</v>
      </c>
      <c r="F91" s="28">
        <f t="shared" si="17"/>
        <v>0.026874029884243922</v>
      </c>
      <c r="G91" s="9">
        <v>100</v>
      </c>
      <c r="H91" s="28">
        <f t="shared" si="18"/>
        <v>0.024009111007555733</v>
      </c>
      <c r="I91" s="9">
        <v>100</v>
      </c>
      <c r="J91" s="28">
        <f t="shared" si="19"/>
        <v>0.02129394234283116</v>
      </c>
      <c r="K91" s="9">
        <v>100</v>
      </c>
      <c r="L91" s="26">
        <f t="shared" si="20"/>
        <v>0.024059027744876938</v>
      </c>
      <c r="M91" s="23">
        <v>100</v>
      </c>
      <c r="N91" s="28">
        <f t="shared" si="21"/>
        <v>1.6837821294649329</v>
      </c>
      <c r="O91" s="23">
        <v>100</v>
      </c>
      <c r="P91" s="28">
        <f t="shared" si="22"/>
        <v>1.580724785708557</v>
      </c>
      <c r="Q91" s="23">
        <v>100</v>
      </c>
      <c r="R91" s="28">
        <f t="shared" si="23"/>
        <v>1.6049696363539783</v>
      </c>
      <c r="S91" s="23">
        <v>100</v>
      </c>
      <c r="T91" s="26">
        <f t="shared" si="24"/>
        <v>1.6231588505091559</v>
      </c>
      <c r="U91" s="23">
        <v>100</v>
      </c>
      <c r="V91" s="28">
        <f t="shared" si="25"/>
        <v>1.2207887100971717</v>
      </c>
      <c r="W91" s="23">
        <v>100</v>
      </c>
      <c r="X91" s="28">
        <f t="shared" si="26"/>
        <v>1.1734871457100693</v>
      </c>
      <c r="Y91" s="23">
        <v>100</v>
      </c>
      <c r="Z91" s="28">
        <f t="shared" si="27"/>
        <v>1.1998469372605562</v>
      </c>
      <c r="AA91" s="23">
        <v>100</v>
      </c>
      <c r="AB91" s="26">
        <f t="shared" si="28"/>
        <v>1.1980409310225992</v>
      </c>
      <c r="AC91" s="47">
        <f t="shared" si="33"/>
        <v>100</v>
      </c>
      <c r="AD91" s="26">
        <f t="shared" si="29"/>
        <v>2.9314448694463486</v>
      </c>
      <c r="AE91" s="47">
        <f t="shared" si="34"/>
        <v>100</v>
      </c>
      <c r="AF91" s="26">
        <f t="shared" si="30"/>
        <v>2.778221042426182</v>
      </c>
      <c r="AG91" s="47">
        <f t="shared" si="35"/>
        <v>100</v>
      </c>
      <c r="AH91" s="26">
        <f t="shared" si="31"/>
        <v>2.8261105159573656</v>
      </c>
      <c r="AI91" s="47">
        <f t="shared" si="36"/>
        <v>100</v>
      </c>
      <c r="AJ91" s="26">
        <f t="shared" si="32"/>
        <v>2.8452588092766318</v>
      </c>
      <c r="AK91" s="47">
        <f t="shared" si="37"/>
        <v>100</v>
      </c>
      <c r="AL91" s="26">
        <f>SUM(V91,N91,F91)/2</f>
        <v>1.4657224347231743</v>
      </c>
      <c r="AM91" s="47">
        <f t="shared" si="38"/>
        <v>100</v>
      </c>
      <c r="AN91" s="26">
        <f>SUM(X91,P91,H91)/2</f>
        <v>1.389110521213091</v>
      </c>
      <c r="AO91" s="47">
        <f t="shared" si="39"/>
        <v>100</v>
      </c>
      <c r="AP91" s="26">
        <f>SUM(Z91,R91,J91)/2</f>
        <v>1.4130552579786828</v>
      </c>
      <c r="AQ91" s="47">
        <f t="shared" si="40"/>
        <v>100</v>
      </c>
      <c r="AR91" s="26">
        <f t="shared" si="16"/>
        <v>2.8452588092766318</v>
      </c>
    </row>
    <row r="92" spans="2:44" ht="12.75">
      <c r="B92" s="4" t="s">
        <v>60</v>
      </c>
      <c r="D92" s="6" t="s">
        <v>30</v>
      </c>
      <c r="E92" s="9">
        <v>100</v>
      </c>
      <c r="F92" s="28">
        <f t="shared" si="17"/>
        <v>0.13437014942121966</v>
      </c>
      <c r="G92" s="9">
        <v>100</v>
      </c>
      <c r="H92" s="28">
        <f t="shared" si="18"/>
        <v>0.2531869888069514</v>
      </c>
      <c r="I92" s="9">
        <v>100</v>
      </c>
      <c r="J92" s="28">
        <f t="shared" si="19"/>
        <v>0.11072850018272203</v>
      </c>
      <c r="K92" s="9">
        <v>100</v>
      </c>
      <c r="L92" s="26">
        <f t="shared" si="20"/>
        <v>0.16609521280363101</v>
      </c>
      <c r="M92" s="23">
        <v>100</v>
      </c>
      <c r="N92" s="28">
        <f t="shared" si="21"/>
        <v>1.6837821294649329</v>
      </c>
      <c r="O92" s="23">
        <v>100</v>
      </c>
      <c r="P92" s="28">
        <f t="shared" si="22"/>
        <v>1.580724785708557</v>
      </c>
      <c r="Q92" s="23">
        <v>100</v>
      </c>
      <c r="R92" s="28">
        <f t="shared" si="23"/>
        <v>1.6049696363539783</v>
      </c>
      <c r="S92" s="23">
        <v>100</v>
      </c>
      <c r="T92" s="26">
        <f t="shared" si="24"/>
        <v>1.6231588505091559</v>
      </c>
      <c r="U92" s="23">
        <v>100</v>
      </c>
      <c r="V92" s="28">
        <f t="shared" si="25"/>
        <v>1.2207887100971717</v>
      </c>
      <c r="W92" s="23">
        <v>100</v>
      </c>
      <c r="X92" s="28">
        <f t="shared" si="26"/>
        <v>1.1734871457100693</v>
      </c>
      <c r="Y92" s="23">
        <v>100</v>
      </c>
      <c r="Z92" s="28">
        <f t="shared" si="27"/>
        <v>1.1998469372605562</v>
      </c>
      <c r="AA92" s="23">
        <v>100</v>
      </c>
      <c r="AB92" s="26">
        <f t="shared" si="28"/>
        <v>1.1980409310225992</v>
      </c>
      <c r="AC92" s="47">
        <f t="shared" si="33"/>
        <v>100</v>
      </c>
      <c r="AD92" s="26">
        <f t="shared" si="29"/>
        <v>3.0389409889833243</v>
      </c>
      <c r="AE92" s="47">
        <f t="shared" si="34"/>
        <v>100</v>
      </c>
      <c r="AF92" s="26">
        <f t="shared" si="30"/>
        <v>3.0073989202255778</v>
      </c>
      <c r="AG92" s="47">
        <f t="shared" si="35"/>
        <v>100.00000000000003</v>
      </c>
      <c r="AH92" s="26">
        <f t="shared" si="31"/>
        <v>2.915545073797256</v>
      </c>
      <c r="AI92" s="47">
        <f t="shared" si="36"/>
        <v>100</v>
      </c>
      <c r="AJ92" s="26">
        <f t="shared" si="32"/>
        <v>2.987294994335386</v>
      </c>
      <c r="AK92" s="47">
        <f t="shared" si="37"/>
        <v>100</v>
      </c>
      <c r="AL92" s="26">
        <f>SUM(V92,N92,F92)/2</f>
        <v>1.5194704944916622</v>
      </c>
      <c r="AM92" s="47">
        <f t="shared" si="38"/>
        <v>100</v>
      </c>
      <c r="AN92" s="26">
        <f>SUM(X92,P92,H92)/2</f>
        <v>1.5036994601127889</v>
      </c>
      <c r="AO92" s="47">
        <f t="shared" si="39"/>
        <v>100.00000000000003</v>
      </c>
      <c r="AP92" s="26">
        <f>SUM(Z92,R92,J92)/2</f>
        <v>1.457772536898628</v>
      </c>
      <c r="AQ92" s="47">
        <f t="shared" si="40"/>
        <v>100</v>
      </c>
      <c r="AR92" s="26">
        <f t="shared" si="16"/>
        <v>2.987294994335386</v>
      </c>
    </row>
    <row r="93" spans="2:44" ht="12.75">
      <c r="B93" s="4" t="s">
        <v>123</v>
      </c>
      <c r="D93" s="6" t="s">
        <v>30</v>
      </c>
      <c r="E93" s="9">
        <v>100</v>
      </c>
      <c r="F93" s="28">
        <f t="shared" si="17"/>
        <v>1.343701494212196</v>
      </c>
      <c r="G93" s="9">
        <v>100</v>
      </c>
      <c r="H93" s="28">
        <f t="shared" si="18"/>
        <v>1.2877614085870803</v>
      </c>
      <c r="I93" s="9">
        <v>100</v>
      </c>
      <c r="J93" s="28">
        <f t="shared" si="19"/>
        <v>1.1072850018272204</v>
      </c>
      <c r="K93" s="9">
        <v>100</v>
      </c>
      <c r="L93" s="26">
        <f t="shared" si="20"/>
        <v>1.2462493015421654</v>
      </c>
      <c r="M93" s="23">
        <v>100</v>
      </c>
      <c r="N93" s="28">
        <f t="shared" si="21"/>
        <v>17.96034271429262</v>
      </c>
      <c r="O93" s="23">
        <v>100</v>
      </c>
      <c r="P93" s="28">
        <f t="shared" si="22"/>
        <v>16.86106438089128</v>
      </c>
      <c r="Q93" s="23">
        <v>100</v>
      </c>
      <c r="R93" s="28">
        <f t="shared" si="23"/>
        <v>17.119676121109105</v>
      </c>
      <c r="S93" s="23">
        <v>100</v>
      </c>
      <c r="T93" s="26">
        <f t="shared" si="24"/>
        <v>17.313694405431004</v>
      </c>
      <c r="U93" s="23">
        <v>100</v>
      </c>
      <c r="V93" s="28">
        <f t="shared" si="25"/>
        <v>13.428675811068892</v>
      </c>
      <c r="W93" s="23">
        <v>100</v>
      </c>
      <c r="X93" s="28">
        <f t="shared" si="26"/>
        <v>12.126033839004052</v>
      </c>
      <c r="Y93" s="23">
        <v>100</v>
      </c>
      <c r="Z93" s="28">
        <f t="shared" si="27"/>
        <v>13.598265288952975</v>
      </c>
      <c r="AA93" s="23">
        <v>100</v>
      </c>
      <c r="AB93" s="26">
        <f t="shared" si="28"/>
        <v>13.050991646341972</v>
      </c>
      <c r="AC93" s="47">
        <f t="shared" si="33"/>
        <v>100</v>
      </c>
      <c r="AD93" s="26">
        <f t="shared" si="29"/>
        <v>32.732720019573705</v>
      </c>
      <c r="AE93" s="47">
        <f t="shared" si="34"/>
        <v>100</v>
      </c>
      <c r="AF93" s="26">
        <f t="shared" si="30"/>
        <v>30.27485962848241</v>
      </c>
      <c r="AG93" s="47">
        <f t="shared" si="35"/>
        <v>100</v>
      </c>
      <c r="AH93" s="26">
        <f t="shared" si="31"/>
        <v>31.825226411889304</v>
      </c>
      <c r="AI93" s="47">
        <f t="shared" si="36"/>
        <v>100</v>
      </c>
      <c r="AJ93" s="26">
        <f t="shared" si="32"/>
        <v>31.610935353315142</v>
      </c>
      <c r="AK93" s="47">
        <f t="shared" si="37"/>
        <v>100</v>
      </c>
      <c r="AL93" s="26">
        <f>SUM(V93,N93,F93)/2</f>
        <v>16.366360009786852</v>
      </c>
      <c r="AM93" s="47">
        <f t="shared" si="38"/>
        <v>100</v>
      </c>
      <c r="AN93" s="26">
        <f>SUM(X93,P93,H93)/2</f>
        <v>15.137429814241205</v>
      </c>
      <c r="AO93" s="47">
        <f t="shared" si="39"/>
        <v>100</v>
      </c>
      <c r="AP93" s="26">
        <f>SUM(Z93,R93,J93)/2</f>
        <v>15.912613205944652</v>
      </c>
      <c r="AQ93" s="47">
        <f t="shared" si="40"/>
        <v>100</v>
      </c>
      <c r="AR93" s="26">
        <f t="shared" si="16"/>
        <v>31.610935353315142</v>
      </c>
    </row>
    <row r="94" spans="2:44" ht="12.75">
      <c r="B94" s="6" t="s">
        <v>31</v>
      </c>
      <c r="D94" s="6" t="s">
        <v>30</v>
      </c>
      <c r="E94" s="23">
        <f>F90/F94*100</f>
        <v>99.20634920634922</v>
      </c>
      <c r="F94" s="27">
        <f>F90+F88</f>
        <v>0.7387915124541238</v>
      </c>
      <c r="G94" s="23">
        <f>H90/H94*100</f>
        <v>99.20634920634922</v>
      </c>
      <c r="H94" s="27">
        <f>H90+H88</f>
        <v>0.6600322880622593</v>
      </c>
      <c r="I94" s="23">
        <f>J90/J94*100</f>
        <v>99.46949602122017</v>
      </c>
      <c r="J94" s="27">
        <f>J90+J88</f>
        <v>0.6422253010597876</v>
      </c>
      <c r="K94" s="23">
        <f>L90/L94*100</f>
        <v>99.28914953793992</v>
      </c>
      <c r="L94" s="26">
        <f t="shared" si="20"/>
        <v>0.6803497005253902</v>
      </c>
      <c r="M94" s="13">
        <v>100</v>
      </c>
      <c r="N94" s="26">
        <f>N90+N88</f>
        <v>11.786474906254531</v>
      </c>
      <c r="O94" s="13">
        <v>100</v>
      </c>
      <c r="P94" s="26">
        <f>P90+P88</f>
        <v>11.065073499959901</v>
      </c>
      <c r="Q94" s="13">
        <v>100</v>
      </c>
      <c r="R94" s="26">
        <f>R90+R88</f>
        <v>11.234787454477852</v>
      </c>
      <c r="S94" s="13">
        <v>100</v>
      </c>
      <c r="T94" s="26">
        <f>AVERAGE(R94,P94,N94)</f>
        <v>11.362111953564096</v>
      </c>
      <c r="U94" s="13">
        <v>100</v>
      </c>
      <c r="V94" s="26">
        <f>V90+V88</f>
        <v>8.952450540712597</v>
      </c>
      <c r="W94" s="13">
        <v>100</v>
      </c>
      <c r="X94" s="26">
        <f>X90+X88</f>
        <v>8.214410019970485</v>
      </c>
      <c r="Y94" s="13">
        <v>100</v>
      </c>
      <c r="Z94" s="26">
        <f>Z90+Z88</f>
        <v>8.798877539910748</v>
      </c>
      <c r="AA94" s="13">
        <v>100</v>
      </c>
      <c r="AB94" s="26">
        <f>AVERAGE(Z94,X94,V94)</f>
        <v>8.655246033531277</v>
      </c>
      <c r="AC94" s="47">
        <f t="shared" si="33"/>
        <v>99.97269996288202</v>
      </c>
      <c r="AD94" s="26">
        <f t="shared" si="29"/>
        <v>21.477716959421254</v>
      </c>
      <c r="AE94" s="47">
        <f t="shared" si="34"/>
        <v>99.97372879290049</v>
      </c>
      <c r="AF94" s="26">
        <f t="shared" si="30"/>
        <v>19.939515807992645</v>
      </c>
      <c r="AG94" s="47">
        <f t="shared" si="35"/>
        <v>99.98352172155019</v>
      </c>
      <c r="AH94" s="26">
        <f t="shared" si="31"/>
        <v>20.67589029544839</v>
      </c>
      <c r="AI94" s="47">
        <f t="shared" si="36"/>
        <v>99.97663379412444</v>
      </c>
      <c r="AJ94" s="26">
        <f t="shared" si="32"/>
        <v>20.697707687620763</v>
      </c>
      <c r="AK94" s="47">
        <f t="shared" si="37"/>
        <v>99.97269996288202</v>
      </c>
      <c r="AL94" s="26">
        <f>SUM(V94,N94,F94)</f>
        <v>21.477716959421254</v>
      </c>
      <c r="AM94" s="47">
        <f t="shared" si="38"/>
        <v>99.97372879290049</v>
      </c>
      <c r="AN94" s="26">
        <f>SUM(X94,P94,H94)</f>
        <v>19.939515807992645</v>
      </c>
      <c r="AO94" s="47">
        <f t="shared" si="39"/>
        <v>99.98352172155019</v>
      </c>
      <c r="AP94" s="26">
        <f>SUM(Z94,R94,J94)</f>
        <v>20.67589029544839</v>
      </c>
      <c r="AQ94" s="47">
        <f t="shared" si="40"/>
        <v>99.97663379412444</v>
      </c>
      <c r="AR94" s="26">
        <f t="shared" si="16"/>
        <v>20.697707687620763</v>
      </c>
    </row>
    <row r="95" spans="2:44" ht="12.75">
      <c r="B95" s="6" t="s">
        <v>32</v>
      </c>
      <c r="D95" s="6" t="s">
        <v>30</v>
      </c>
      <c r="E95" s="23">
        <f>SUM(F85,F87)/F95</f>
        <v>0.009816716790557792</v>
      </c>
      <c r="F95" s="7">
        <f>F89+F87+F85</f>
        <v>86.10927793636921</v>
      </c>
      <c r="G95" s="23">
        <f>SUM(H85,H87)/H95</f>
        <v>0.010404885772449675</v>
      </c>
      <c r="H95" s="7">
        <f>H89+H87+H85</f>
        <v>77.19583982865737</v>
      </c>
      <c r="I95" s="23">
        <f>SUM(J85,J87)/J95</f>
        <v>0.008974288388482079</v>
      </c>
      <c r="J95" s="7">
        <f>J89+J87+J85</f>
        <v>77.35237495456848</v>
      </c>
      <c r="K95" s="23">
        <f>SUM(L85,L87)/L95</f>
        <v>0.00973460989711296</v>
      </c>
      <c r="L95" s="26">
        <f>AVERAGE(J95,H95,F95)</f>
        <v>80.21916423986501</v>
      </c>
      <c r="M95" s="23">
        <f>SUM(N85,N87)/N95*100</f>
        <v>9.523809523809526</v>
      </c>
      <c r="N95" s="26">
        <f>N89+N87+N85</f>
        <v>117.8647490625453</v>
      </c>
      <c r="O95" s="23">
        <f>SUM(P85,P87)/P95*100</f>
        <v>9.523809523809526</v>
      </c>
      <c r="P95" s="26">
        <f>P89+P87+P85</f>
        <v>110.650734999599</v>
      </c>
      <c r="Q95" s="23">
        <f>SUM(R85,R87)/R95*100</f>
        <v>10.526315789473685</v>
      </c>
      <c r="R95" s="26">
        <f>R89+R87+R85</f>
        <v>101.64807696908531</v>
      </c>
      <c r="S95" s="23">
        <f>SUM(T85,T87)/T95*100</f>
        <v>9.832453014738503</v>
      </c>
      <c r="T95" s="26">
        <f>AVERAGE(R95,P95,N95)</f>
        <v>110.0545203437432</v>
      </c>
      <c r="U95" s="23">
        <f>SUM(V85,V87)/V95*100</f>
        <v>4.656319290465634</v>
      </c>
      <c r="V95" s="26">
        <f>V89+V87+V85</f>
        <v>183.52523608460817</v>
      </c>
      <c r="W95" s="23">
        <f>SUM(X85,X87)/X95*100</f>
        <v>3.703703703703702</v>
      </c>
      <c r="X95" s="26">
        <f>X89+X87+X85</f>
        <v>211.22768622781254</v>
      </c>
      <c r="Y95" s="23">
        <f>SUM(Z85,Z87)/Z95*100</f>
        <v>5.092592592592595</v>
      </c>
      <c r="Z95" s="26">
        <f>Z89+Z87+Z85</f>
        <v>172.77795896552007</v>
      </c>
      <c r="AA95" s="23">
        <f>SUM(AB85,AB87)/AB95*100</f>
        <v>4.434586201192558</v>
      </c>
      <c r="AB95" s="26">
        <f>AVERAGE(Z95,X95,V95)</f>
        <v>189.17696042598027</v>
      </c>
      <c r="AC95" s="47">
        <f t="shared" si="33"/>
        <v>5.104316357575947</v>
      </c>
      <c r="AD95" s="26">
        <f t="shared" si="29"/>
        <v>387.4992630835227</v>
      </c>
      <c r="AE95" s="47">
        <f t="shared" si="34"/>
        <v>4.603014227594741</v>
      </c>
      <c r="AF95" s="26">
        <f t="shared" si="30"/>
        <v>399.0742610560689</v>
      </c>
      <c r="AG95" s="47">
        <f t="shared" si="35"/>
        <v>5.544859018353136</v>
      </c>
      <c r="AH95" s="26">
        <f t="shared" si="31"/>
        <v>351.7784108891738</v>
      </c>
      <c r="AI95" s="47">
        <f t="shared" si="36"/>
        <v>5.064712278587971</v>
      </c>
      <c r="AJ95" s="26">
        <f t="shared" si="32"/>
        <v>379.45064500958847</v>
      </c>
      <c r="AK95" s="47">
        <f t="shared" si="37"/>
        <v>5.104316357575947</v>
      </c>
      <c r="AL95" s="26">
        <f>SUM(V95,N95,F95)</f>
        <v>387.4992630835227</v>
      </c>
      <c r="AM95" s="47">
        <f t="shared" si="38"/>
        <v>4.603014227594741</v>
      </c>
      <c r="AN95" s="26">
        <f>SUM(X95,P95,H95)</f>
        <v>399.0742610560689</v>
      </c>
      <c r="AO95" s="47">
        <f t="shared" si="39"/>
        <v>5.544859018353136</v>
      </c>
      <c r="AP95" s="26">
        <f>SUM(Z95,R95,J95)</f>
        <v>351.7784108891738</v>
      </c>
      <c r="AQ95" s="47">
        <f t="shared" si="40"/>
        <v>5.064712278587971</v>
      </c>
      <c r="AR95" s="26">
        <f t="shared" si="16"/>
        <v>379.45064500958847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B1">
      <selection activeCell="F21" sqref="F21"/>
    </sheetView>
  </sheetViews>
  <sheetFormatPr defaultColWidth="9.140625" defaultRowHeight="12.75"/>
  <cols>
    <col min="1" max="1" width="3.8515625" style="0" hidden="1" customWidth="1"/>
    <col min="2" max="2" width="29.851562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3" t="s">
        <v>40</v>
      </c>
      <c r="C1" s="9"/>
      <c r="D1" s="9"/>
      <c r="E1" s="9"/>
      <c r="F1" s="9"/>
    </row>
    <row r="2" spans="2:6" ht="12.75">
      <c r="B2" s="9"/>
      <c r="C2" s="9"/>
      <c r="D2" s="9"/>
      <c r="E2" s="9"/>
      <c r="F2" s="9"/>
    </row>
    <row r="3" spans="1:7" ht="12.75">
      <c r="A3" t="s">
        <v>70</v>
      </c>
      <c r="B3" s="3" t="s">
        <v>135</v>
      </c>
      <c r="C3" s="9"/>
      <c r="D3" s="9"/>
      <c r="E3" s="35" t="s">
        <v>82</v>
      </c>
      <c r="F3" s="35" t="s">
        <v>83</v>
      </c>
      <c r="G3" s="35" t="s">
        <v>84</v>
      </c>
    </row>
    <row r="4" spans="2:6" ht="12.75">
      <c r="B4" s="9"/>
      <c r="C4" s="9"/>
      <c r="D4" s="9"/>
      <c r="F4" s="9"/>
    </row>
    <row r="5" spans="2:7" ht="14.25">
      <c r="B5" s="9" t="s">
        <v>136</v>
      </c>
      <c r="C5" s="41" t="s">
        <v>91</v>
      </c>
      <c r="D5" s="41"/>
      <c r="E5">
        <v>1638</v>
      </c>
      <c r="F5" s="9">
        <v>1633</v>
      </c>
      <c r="G5">
        <v>1629</v>
      </c>
    </row>
    <row r="6" spans="2:7" ht="14.25">
      <c r="B6" s="9" t="s">
        <v>137</v>
      </c>
      <c r="C6" s="41" t="s">
        <v>91</v>
      </c>
      <c r="E6">
        <v>1744</v>
      </c>
      <c r="F6">
        <v>1745</v>
      </c>
      <c r="G6">
        <v>1744</v>
      </c>
    </row>
    <row r="7" spans="2:7" ht="14.25">
      <c r="B7" s="9" t="s">
        <v>138</v>
      </c>
      <c r="C7" s="41" t="s">
        <v>91</v>
      </c>
      <c r="E7">
        <v>1752</v>
      </c>
      <c r="F7">
        <v>1753</v>
      </c>
      <c r="G7">
        <v>1756</v>
      </c>
    </row>
    <row r="8" spans="2:7" ht="12.75">
      <c r="B8" s="9" t="s">
        <v>139</v>
      </c>
      <c r="C8" s="9" t="s">
        <v>140</v>
      </c>
      <c r="E8">
        <v>66.11</v>
      </c>
      <c r="F8">
        <v>64.51</v>
      </c>
      <c r="G8">
        <v>67.85</v>
      </c>
    </row>
    <row r="10" spans="2:7" ht="12.75">
      <c r="B10" s="3" t="s">
        <v>141</v>
      </c>
      <c r="C10" s="9"/>
      <c r="D10" s="9"/>
      <c r="E10" s="35" t="s">
        <v>82</v>
      </c>
      <c r="F10" s="35" t="s">
        <v>83</v>
      </c>
      <c r="G10" s="35" t="s">
        <v>84</v>
      </c>
    </row>
    <row r="11" spans="2:6" ht="12.75">
      <c r="B11" s="9"/>
      <c r="C11" s="9"/>
      <c r="D11" s="9"/>
      <c r="F11" s="9"/>
    </row>
    <row r="12" spans="2:7" ht="14.25">
      <c r="B12" s="9" t="s">
        <v>136</v>
      </c>
      <c r="C12" s="41" t="s">
        <v>91</v>
      </c>
      <c r="D12" s="41"/>
      <c r="E12">
        <v>1987</v>
      </c>
      <c r="F12" s="9">
        <v>1988</v>
      </c>
      <c r="G12">
        <v>2010</v>
      </c>
    </row>
    <row r="13" spans="2:7" ht="14.25">
      <c r="B13" s="9" t="s">
        <v>137</v>
      </c>
      <c r="C13" s="41" t="s">
        <v>91</v>
      </c>
      <c r="E13">
        <v>2100</v>
      </c>
      <c r="F13">
        <v>2101</v>
      </c>
      <c r="G13">
        <v>2125</v>
      </c>
    </row>
    <row r="14" spans="2:7" ht="14.25">
      <c r="B14" s="9" t="s">
        <v>138</v>
      </c>
      <c r="C14" s="41" t="s">
        <v>91</v>
      </c>
      <c r="E14">
        <v>2115</v>
      </c>
      <c r="F14">
        <v>2116</v>
      </c>
      <c r="G14">
        <v>2140</v>
      </c>
    </row>
    <row r="15" spans="2:7" ht="12.75">
      <c r="B15" s="9" t="s">
        <v>139</v>
      </c>
      <c r="C15" s="9" t="s">
        <v>140</v>
      </c>
      <c r="E15">
        <v>58.66</v>
      </c>
      <c r="F15">
        <v>56.22</v>
      </c>
      <c r="G15">
        <v>55.13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2004-02-24T02:05:59Z</cp:lastPrinted>
  <dcterms:created xsi:type="dcterms:W3CDTF">2000-01-10T00:44:42Z</dcterms:created>
  <dcterms:modified xsi:type="dcterms:W3CDTF">2004-02-24T16:27:12Z</dcterms:modified>
  <cp:category/>
  <cp:version/>
  <cp:contentType/>
  <cp:contentStatus/>
</cp:coreProperties>
</file>