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01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<sst xmlns="http://schemas.openxmlformats.org/spreadsheetml/2006/main" count="354" uniqueCount="155">
  <si>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</si>
  <si>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</si>
  <si>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</si>
  <si>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</si>
  <si>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</si>
  <si>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</si>
  <si>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</si>
  <si>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</si>
  <si>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</si>
  <si>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</si>
  <si>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</si>
  <si>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</si>
  <si>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</si>
  <si>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</si>
  <si>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</si>
  <si>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</si>
  <si>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</si>
  <si>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</si>
  <si>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</si>
  <si>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</si>
  <si>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</si>
  <si>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nd</t>
  </si>
  <si>
    <t>Feedstream Description</t>
  </si>
  <si>
    <t>Ash</t>
  </si>
  <si>
    <t>DRE</t>
  </si>
  <si>
    <t>lb/hr</t>
  </si>
  <si>
    <t>MMBtu/hr</t>
  </si>
  <si>
    <t>ug/dscm</t>
  </si>
  <si>
    <t>SVM</t>
  </si>
  <si>
    <t>LVM</t>
  </si>
  <si>
    <t>Stack Gas Flowrate</t>
  </si>
  <si>
    <t>Oxygen</t>
  </si>
  <si>
    <t>mg/dscm</t>
  </si>
  <si>
    <t>Stack Gas Emissions</t>
  </si>
  <si>
    <t>HW</t>
  </si>
  <si>
    <t>Combustor Characteristics</t>
  </si>
  <si>
    <t>7% O2</t>
  </si>
  <si>
    <t>Process Information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</si>
  <si>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</si>
  <si>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</si>
  <si>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</si>
  <si>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</si>
  <si>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</si>
  <si>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</si>
  <si>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</si>
  <si>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</si>
  <si>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</si>
  <si>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</si>
  <si>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</si>
  <si>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</si>
  <si>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</si>
  <si>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</si>
  <si>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</si>
  <si>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</si>
  <si>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</si>
  <si>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</si>
  <si>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Nickel</t>
  </si>
  <si>
    <t>Silver</t>
  </si>
  <si>
    <t>Comments</t>
  </si>
  <si>
    <t>POHC Feedrate</t>
  </si>
  <si>
    <t>Emission Rate</t>
  </si>
  <si>
    <t xml:space="preserve">   O2</t>
  </si>
  <si>
    <t xml:space="preserve">   Moisture</t>
  </si>
  <si>
    <t>Chromium</t>
  </si>
  <si>
    <t>Sampling Train</t>
  </si>
  <si>
    <t>Zinc</t>
  </si>
  <si>
    <t>Trial burn</t>
  </si>
  <si>
    <t>*</t>
  </si>
  <si>
    <t>Thermal Feedrate</t>
  </si>
  <si>
    <t>Feed Rate</t>
  </si>
  <si>
    <t>HWC Burn Status (Date if Terminated)</t>
  </si>
  <si>
    <t>CO (RA)</t>
  </si>
  <si>
    <t>NOx</t>
  </si>
  <si>
    <t>HC (RA)</t>
  </si>
  <si>
    <t>SO2</t>
  </si>
  <si>
    <t>n</t>
  </si>
  <si>
    <t>Mercury</t>
  </si>
  <si>
    <t>Selenium</t>
  </si>
  <si>
    <t>Aqueous Waste</t>
  </si>
  <si>
    <t>Organic Waste</t>
  </si>
  <si>
    <t>R1</t>
  </si>
  <si>
    <t>R2</t>
  </si>
  <si>
    <t>R3</t>
  </si>
  <si>
    <t>Heating Value</t>
  </si>
  <si>
    <t>Btu/lb</t>
  </si>
  <si>
    <t>Density</t>
  </si>
  <si>
    <t>Viscosity</t>
  </si>
  <si>
    <t>cSt</t>
  </si>
  <si>
    <t>Chlorine</t>
  </si>
  <si>
    <r>
      <t>o</t>
    </r>
    <r>
      <rPr>
        <sz val="10"/>
        <rFont val="Arial"/>
        <family val="2"/>
      </rPr>
      <t>F</t>
    </r>
  </si>
  <si>
    <t>Pasadena</t>
  </si>
  <si>
    <t>TX</t>
  </si>
  <si>
    <t>Acrylate Liquid Incinerator MN-108</t>
  </si>
  <si>
    <t>Yes (run 105)</t>
  </si>
  <si>
    <t>AirSource Technologies, Inc.</t>
  </si>
  <si>
    <t>Liq</t>
  </si>
  <si>
    <t>PM (total)</t>
  </si>
  <si>
    <t>Formaldehyde</t>
  </si>
  <si>
    <t>RCRA Trial Burn Test Report, January 1999</t>
  </si>
  <si>
    <t>3026C1</t>
  </si>
  <si>
    <t>mg/L</t>
  </si>
  <si>
    <t>Specific Gravity</t>
  </si>
  <si>
    <t>PM, CO, DRE</t>
  </si>
  <si>
    <t>Tier I for all metals</t>
  </si>
  <si>
    <t>Natural gas</t>
  </si>
  <si>
    <t>Waste water, formaldehyde</t>
  </si>
  <si>
    <t>WHB</t>
  </si>
  <si>
    <t>Waste heat boiler</t>
  </si>
  <si>
    <t>Trial burn, DRE, PM test</t>
  </si>
  <si>
    <t>g/mL</t>
  </si>
  <si>
    <t>mscfh</t>
  </si>
  <si>
    <t>Fuel Gas</t>
  </si>
  <si>
    <t>April 8-10, 1998</t>
  </si>
  <si>
    <t>Firebox Temp</t>
  </si>
  <si>
    <t>3026C1 Trial burn</t>
  </si>
  <si>
    <t>Acrylate Liquid Incinerator MN-109</t>
  </si>
  <si>
    <t>Liquid incinerator</t>
  </si>
  <si>
    <t>Combustor Type</t>
  </si>
  <si>
    <t>Combustor Class</t>
  </si>
  <si>
    <t>Celanese LTD</t>
  </si>
  <si>
    <t>TXD078432457</t>
  </si>
  <si>
    <t>Report Name/Date</t>
  </si>
  <si>
    <t>Report Prepare</t>
  </si>
  <si>
    <t>Testing Firm</t>
  </si>
  <si>
    <t>Testing Dates</t>
  </si>
  <si>
    <t>Condition Descr</t>
  </si>
  <si>
    <t>Content</t>
  </si>
  <si>
    <t>Phase I ID No.</t>
  </si>
  <si>
    <t>Cond Avg</t>
  </si>
  <si>
    <t>Feedstream</t>
  </si>
  <si>
    <t>E1</t>
  </si>
  <si>
    <t>E2</t>
  </si>
  <si>
    <t>Cond Dates</t>
  </si>
  <si>
    <t>Number of Sister Facilities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</si>
  <si>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</si>
  <si>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</si>
  <si>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</si>
  <si>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</si>
  <si>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</si>
  <si>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</si>
  <si>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</si>
  <si>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Onsite incinerator</t>
  </si>
  <si>
    <t>Condition Description</t>
  </si>
  <si>
    <t>Feedstream Number</t>
  </si>
  <si>
    <t>Feed Class</t>
  </si>
  <si>
    <t>Liq HW</t>
  </si>
  <si>
    <t>Misc. Fuel</t>
  </si>
  <si>
    <t>F1</t>
  </si>
  <si>
    <t>F2</t>
  </si>
  <si>
    <t>F3</t>
  </si>
  <si>
    <t>F4</t>
  </si>
  <si>
    <t>Feed Class 2</t>
  </si>
  <si>
    <t>MF</t>
  </si>
  <si>
    <t>Thallium</t>
  </si>
  <si>
    <t>Estimated Firing Rate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</si>
</sst>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000E+00"/>
    <numFmt numFmtId="179" formatCode="0.E+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7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Font="1" applyFill="1" applyBorder="1" applyAlignment="1">
      <alignment/>
    </xf>
    <xf numFmtId="17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136</v>
      </c>
    </row>
    <row r="2" ht="12.75">
      <c r="A2" t="s">
        <v>137</v>
      </c>
    </row>
    <row r="3" ht="12.75">
      <c r="A3" t="s">
        <v>138</v>
      </c>
    </row>
    <row r="4" ht="12.75">
      <c r="A4" t="s">
        <v>139</v>
      </c>
    </row>
    <row r="5" ht="12.75">
      <c r="A5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8"/>
  <sheetViews>
    <sheetView workbookViewId="0" topLeftCell="B1">
      <selection activeCell="C26" sqref="C26"/>
    </sheetView>
  </sheetViews>
  <sheetFormatPr defaultColWidth="9.140625" defaultRowHeight="12.75"/>
  <cols>
    <col min="1" max="1" width="2.00390625" style="1" hidden="1" customWidth="1"/>
    <col min="2" max="2" width="25.8515625" style="1" customWidth="1"/>
    <col min="3" max="3" width="58.421875" style="1" customWidth="1"/>
    <col min="4" max="16384" width="8.8515625" style="1" customWidth="1"/>
  </cols>
  <sheetData>
    <row r="1" spans="2:12" ht="12.75">
      <c r="B1" s="2" t="s">
        <v>45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.75">
      <c r="B3" s="8" t="s">
        <v>127</v>
      </c>
      <c r="C3" s="9">
        <v>3026</v>
      </c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8" t="s">
        <v>0</v>
      </c>
      <c r="C4" s="8" t="s">
        <v>120</v>
      </c>
      <c r="D4" s="8"/>
      <c r="E4" s="8"/>
      <c r="F4" s="8"/>
      <c r="G4" s="8"/>
      <c r="H4" s="8"/>
      <c r="I4" s="8"/>
      <c r="J4" s="8"/>
      <c r="K4" s="8"/>
      <c r="L4" s="8"/>
    </row>
    <row r="5" spans="2:12" ht="12.75">
      <c r="B5" s="8" t="s">
        <v>1</v>
      </c>
      <c r="C5" s="8" t="s">
        <v>119</v>
      </c>
      <c r="D5" s="8"/>
      <c r="E5" s="8"/>
      <c r="F5" s="8"/>
      <c r="G5" s="8"/>
      <c r="H5" s="8"/>
      <c r="I5" s="8"/>
      <c r="J5" s="8"/>
      <c r="K5" s="8"/>
      <c r="L5" s="8"/>
    </row>
    <row r="6" spans="2:12" ht="12.75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2.75">
      <c r="B7" s="8" t="s">
        <v>3</v>
      </c>
      <c r="C7" s="8" t="s">
        <v>90</v>
      </c>
      <c r="D7" s="8"/>
      <c r="E7" s="8"/>
      <c r="F7" s="8"/>
      <c r="G7" s="8"/>
      <c r="H7" s="8"/>
      <c r="I7" s="8"/>
      <c r="J7" s="8"/>
      <c r="K7" s="8"/>
      <c r="L7" s="8"/>
    </row>
    <row r="8" spans="2:12" ht="12.75">
      <c r="B8" s="8" t="s">
        <v>4</v>
      </c>
      <c r="C8" s="8" t="s">
        <v>91</v>
      </c>
      <c r="D8" s="8"/>
      <c r="E8" s="8"/>
      <c r="F8" s="8"/>
      <c r="G8" s="8"/>
      <c r="H8" s="8"/>
      <c r="I8" s="8"/>
      <c r="J8" s="8"/>
      <c r="K8" s="8"/>
      <c r="L8" s="8"/>
    </row>
    <row r="9" spans="2:12" ht="12.75">
      <c r="B9" s="8" t="s">
        <v>5</v>
      </c>
      <c r="C9" s="8" t="s">
        <v>92</v>
      </c>
      <c r="D9" s="8"/>
      <c r="E9" s="8"/>
      <c r="F9" s="8"/>
      <c r="G9" s="8"/>
      <c r="H9" s="8"/>
      <c r="I9" s="8"/>
      <c r="J9" s="8"/>
      <c r="K9" s="8"/>
      <c r="L9" s="8"/>
    </row>
    <row r="10" spans="2:12" ht="12.75">
      <c r="B10" s="8" t="s">
        <v>6</v>
      </c>
      <c r="C10" s="8" t="s">
        <v>115</v>
      </c>
      <c r="D10" s="8"/>
      <c r="E10" s="8"/>
      <c r="F10" s="8"/>
      <c r="G10" s="8"/>
      <c r="H10" s="8"/>
      <c r="I10" s="8"/>
      <c r="J10" s="8"/>
      <c r="K10" s="8"/>
      <c r="L10" s="8"/>
    </row>
    <row r="11" spans="2:12" ht="12.75">
      <c r="B11" s="8" t="s">
        <v>133</v>
      </c>
      <c r="C11" s="9">
        <v>1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2.75">
      <c r="B12" s="8" t="s">
        <v>118</v>
      </c>
      <c r="C12" s="1" t="s">
        <v>141</v>
      </c>
      <c r="D12" s="8"/>
      <c r="E12" s="8"/>
      <c r="F12" s="8"/>
      <c r="G12" s="8"/>
      <c r="H12" s="8"/>
      <c r="I12" s="8"/>
      <c r="J12" s="8"/>
      <c r="K12" s="8"/>
      <c r="L12" s="8"/>
    </row>
    <row r="13" spans="2:12" ht="12.75">
      <c r="B13" s="8" t="s">
        <v>117</v>
      </c>
      <c r="C13" s="8" t="s">
        <v>116</v>
      </c>
      <c r="D13" s="8"/>
      <c r="E13" s="8"/>
      <c r="F13" s="8"/>
      <c r="G13" s="8"/>
      <c r="H13" s="8"/>
      <c r="I13" s="8"/>
      <c r="J13" s="8"/>
      <c r="K13" s="8"/>
      <c r="L13" s="8"/>
    </row>
    <row r="14" spans="2:12" s="32" customFormat="1" ht="12.75">
      <c r="B14" s="31" t="s">
        <v>35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s="32" customFormat="1" ht="12.75">
      <c r="B15" s="31" t="s">
        <v>41</v>
      </c>
      <c r="C15" s="33"/>
      <c r="D15" s="31"/>
      <c r="E15" s="31"/>
      <c r="F15" s="31"/>
      <c r="G15" s="31"/>
      <c r="H15" s="31"/>
      <c r="I15" s="31"/>
      <c r="J15" s="31"/>
      <c r="K15" s="31"/>
      <c r="L15" s="31"/>
    </row>
    <row r="16" spans="2:12" s="32" customFormat="1" ht="12.75">
      <c r="B16" s="8" t="s">
        <v>46</v>
      </c>
      <c r="C16" s="8" t="s">
        <v>93</v>
      </c>
      <c r="F16" s="31"/>
      <c r="G16" s="31"/>
      <c r="H16" s="31"/>
      <c r="I16" s="31"/>
      <c r="J16" s="31"/>
      <c r="K16" s="31"/>
      <c r="L16" s="31"/>
    </row>
    <row r="17" spans="2:12" s="32" customFormat="1" ht="12.75">
      <c r="B17" s="8" t="s">
        <v>134</v>
      </c>
      <c r="C17" s="31" t="s">
        <v>106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2:12" s="32" customFormat="1" ht="12.75">
      <c r="B18" s="8" t="s">
        <v>135</v>
      </c>
      <c r="C18" s="31" t="s">
        <v>106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2:12" ht="12.75">
      <c r="B19" s="31" t="s">
        <v>7</v>
      </c>
      <c r="C19" s="31" t="s">
        <v>107</v>
      </c>
      <c r="D19" s="8"/>
      <c r="E19" s="8"/>
      <c r="F19" s="8"/>
      <c r="G19" s="8"/>
      <c r="H19" s="8"/>
      <c r="I19" s="8"/>
      <c r="J19" s="8"/>
      <c r="K19" s="8"/>
      <c r="L19" s="8"/>
    </row>
    <row r="20" spans="2:12" ht="12.75">
      <c r="B20" s="8" t="s">
        <v>38</v>
      </c>
      <c r="C20" s="31" t="s">
        <v>95</v>
      </c>
      <c r="D20" s="8"/>
      <c r="E20" s="8"/>
      <c r="F20" s="8"/>
      <c r="G20" s="8"/>
      <c r="H20" s="8"/>
      <c r="I20" s="8"/>
      <c r="J20" s="8"/>
      <c r="K20" s="8"/>
      <c r="L20" s="8"/>
    </row>
    <row r="21" spans="2:12" ht="12.75">
      <c r="B21" s="8" t="s">
        <v>47</v>
      </c>
      <c r="C21" s="31" t="s">
        <v>105</v>
      </c>
      <c r="D21" s="8"/>
      <c r="E21" s="8"/>
      <c r="F21" s="8"/>
      <c r="G21" s="8"/>
      <c r="H21" s="8"/>
      <c r="I21" s="8"/>
      <c r="J21" s="8"/>
      <c r="K21" s="8"/>
      <c r="L21" s="8"/>
    </row>
    <row r="22" spans="2:12" ht="12.75">
      <c r="B22" s="8" t="s">
        <v>39</v>
      </c>
      <c r="C22" s="31" t="s">
        <v>104</v>
      </c>
      <c r="D22" s="8"/>
      <c r="E22" s="8"/>
      <c r="F22" s="8"/>
      <c r="G22" s="8"/>
      <c r="H22" s="8"/>
      <c r="I22" s="8"/>
      <c r="J22" s="8"/>
      <c r="K22" s="8"/>
      <c r="L22" s="8"/>
    </row>
    <row r="23" spans="2:12" ht="12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ht="12.75">
      <c r="B24" s="8" t="s">
        <v>8</v>
      </c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2:12" ht="12.75">
      <c r="B25" s="8" t="s">
        <v>9</v>
      </c>
      <c r="C25" s="9">
        <f>118.5/12</f>
        <v>9.875</v>
      </c>
      <c r="D25" s="8"/>
      <c r="E25" s="8"/>
      <c r="F25" s="8"/>
      <c r="G25" s="8"/>
      <c r="H25" s="8"/>
      <c r="I25" s="8"/>
      <c r="J25" s="8"/>
      <c r="K25" s="8"/>
      <c r="L25" s="8"/>
    </row>
    <row r="26" spans="2:12" ht="12.75">
      <c r="B26" s="8" t="s">
        <v>10</v>
      </c>
      <c r="C26" s="9">
        <v>100</v>
      </c>
      <c r="D26" s="8"/>
      <c r="E26" s="8"/>
      <c r="F26" s="8"/>
      <c r="G26" s="8"/>
      <c r="H26" s="8"/>
      <c r="I26" s="8"/>
      <c r="J26" s="8"/>
      <c r="K26" s="8"/>
      <c r="L26" s="8"/>
    </row>
    <row r="27" spans="2:12" ht="12.75">
      <c r="B27" s="8" t="s">
        <v>42</v>
      </c>
      <c r="C27" s="10">
        <f>3160/60</f>
        <v>52.666666666666664</v>
      </c>
      <c r="D27" s="8"/>
      <c r="E27" s="8"/>
      <c r="F27" s="8"/>
      <c r="G27" s="8"/>
      <c r="H27" s="8"/>
      <c r="I27" s="8"/>
      <c r="J27" s="8"/>
      <c r="K27" s="8"/>
      <c r="L27" s="8"/>
    </row>
    <row r="28" spans="2:12" ht="14.25" customHeight="1">
      <c r="B28" s="8" t="s">
        <v>43</v>
      </c>
      <c r="C28" s="9">
        <v>447</v>
      </c>
      <c r="D28" s="8"/>
      <c r="E28" s="8"/>
      <c r="F28" s="8"/>
      <c r="G28" s="8"/>
      <c r="H28" s="8"/>
      <c r="I28" s="8"/>
      <c r="J28" s="8"/>
      <c r="K28" s="8"/>
      <c r="L28" s="8"/>
    </row>
    <row r="29" spans="2:12" ht="12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2.75">
      <c r="B30" s="8" t="s">
        <v>11</v>
      </c>
      <c r="C30" s="8" t="s">
        <v>103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 ht="12.75">
      <c r="B31" s="8" t="s">
        <v>70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40" spans="2:12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B1">
      <selection activeCell="B15" sqref="B15"/>
    </sheetView>
  </sheetViews>
  <sheetFormatPr defaultColWidth="9.140625" defaultRowHeight="12.75"/>
  <cols>
    <col min="1" max="1" width="4.28125" style="0" hidden="1" customWidth="1"/>
    <col min="2" max="2" width="22.57421875" style="0" customWidth="1"/>
    <col min="3" max="3" width="59.8515625" style="0" customWidth="1"/>
  </cols>
  <sheetData>
    <row r="1" ht="12.75">
      <c r="B1" s="2" t="s">
        <v>142</v>
      </c>
    </row>
    <row r="3" spans="2:12" s="1" customFormat="1" ht="12.75">
      <c r="B3" s="2" t="s">
        <v>99</v>
      </c>
      <c r="C3"/>
      <c r="D3" s="8"/>
      <c r="E3" s="8"/>
      <c r="F3" s="8"/>
      <c r="G3" s="8"/>
      <c r="H3" s="8"/>
      <c r="I3" s="8"/>
      <c r="J3" s="8"/>
      <c r="K3" s="8"/>
      <c r="L3" s="8"/>
    </row>
    <row r="4" spans="2:12" s="1" customFormat="1" ht="12.75">
      <c r="B4" s="8"/>
      <c r="C4"/>
      <c r="D4" s="8"/>
      <c r="E4" s="8"/>
      <c r="F4" s="8"/>
      <c r="G4" s="8"/>
      <c r="H4" s="8"/>
      <c r="I4" s="8"/>
      <c r="J4" s="8"/>
      <c r="K4" s="8"/>
      <c r="L4" s="8"/>
    </row>
    <row r="5" spans="2:12" s="38" customFormat="1" ht="12.75">
      <c r="B5" s="37" t="s">
        <v>121</v>
      </c>
      <c r="C5" s="31" t="s">
        <v>98</v>
      </c>
      <c r="D5" s="37"/>
      <c r="E5" s="37"/>
      <c r="F5" s="37"/>
      <c r="G5" s="37"/>
      <c r="H5" s="37"/>
      <c r="I5" s="37"/>
      <c r="J5" s="37"/>
      <c r="K5" s="37"/>
      <c r="L5" s="37"/>
    </row>
    <row r="6" spans="2:12" s="1" customFormat="1" ht="12.75">
      <c r="B6" s="8" t="s">
        <v>122</v>
      </c>
      <c r="C6" t="s">
        <v>94</v>
      </c>
      <c r="D6" s="8"/>
      <c r="E6" s="8"/>
      <c r="F6" s="8"/>
      <c r="G6" s="8"/>
      <c r="H6" s="8"/>
      <c r="I6" s="8"/>
      <c r="J6" s="8"/>
      <c r="K6" s="8"/>
      <c r="L6" s="8"/>
    </row>
    <row r="7" spans="2:12" s="1" customFormat="1" ht="12.75">
      <c r="B7" s="8" t="s">
        <v>123</v>
      </c>
      <c r="C7" t="s">
        <v>94</v>
      </c>
      <c r="D7" s="8"/>
      <c r="E7" s="8"/>
      <c r="F7" s="8"/>
      <c r="G7" s="8"/>
      <c r="H7" s="8"/>
      <c r="I7" s="8"/>
      <c r="J7" s="8"/>
      <c r="K7" s="8"/>
      <c r="L7" s="8"/>
    </row>
    <row r="8" spans="2:12" s="1" customFormat="1" ht="12.75">
      <c r="B8" s="8" t="s">
        <v>124</v>
      </c>
      <c r="C8" t="s">
        <v>112</v>
      </c>
      <c r="D8" s="8"/>
      <c r="E8" s="8"/>
      <c r="F8" s="8"/>
      <c r="G8" s="8"/>
      <c r="H8" s="8"/>
      <c r="I8" s="8"/>
      <c r="J8" s="8"/>
      <c r="K8" s="8"/>
      <c r="L8" s="8"/>
    </row>
    <row r="9" spans="2:12" s="1" customFormat="1" ht="12.75">
      <c r="B9" s="8" t="s">
        <v>132</v>
      </c>
      <c r="C9" s="42">
        <v>35886</v>
      </c>
      <c r="D9" s="8"/>
      <c r="E9" s="8"/>
      <c r="F9" s="8"/>
      <c r="G9" s="8"/>
      <c r="H9" s="8"/>
      <c r="I9" s="8"/>
      <c r="J9" s="8"/>
      <c r="K9" s="8"/>
      <c r="L9" s="8"/>
    </row>
    <row r="10" spans="2:12" s="1" customFormat="1" ht="12.75">
      <c r="B10" s="8" t="s">
        <v>125</v>
      </c>
      <c r="C10" t="s">
        <v>108</v>
      </c>
      <c r="D10" s="8"/>
      <c r="E10" s="8"/>
      <c r="F10" s="8"/>
      <c r="G10" s="8"/>
      <c r="H10" s="8"/>
      <c r="I10" s="8"/>
      <c r="J10" s="8"/>
      <c r="K10" s="8"/>
      <c r="L10" s="8"/>
    </row>
    <row r="11" spans="2:12" s="1" customFormat="1" ht="12.75">
      <c r="B11" s="8" t="s">
        <v>126</v>
      </c>
      <c r="C11" t="s">
        <v>102</v>
      </c>
      <c r="D11" s="8"/>
      <c r="E11" s="8"/>
      <c r="F11" s="8"/>
      <c r="G11" s="8"/>
      <c r="H11" s="8"/>
      <c r="I11" s="8"/>
      <c r="J11" s="8"/>
      <c r="K11" s="8"/>
      <c r="L11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">
      <selection activeCell="K15" sqref="K15"/>
    </sheetView>
  </sheetViews>
  <sheetFormatPr defaultColWidth="9.140625" defaultRowHeight="12.75"/>
  <cols>
    <col min="1" max="1" width="1.7109375" style="12" hidden="1" customWidth="1"/>
    <col min="2" max="2" width="19.8515625" style="12" customWidth="1"/>
    <col min="3" max="3" width="12.8515625" style="12" customWidth="1"/>
    <col min="4" max="4" width="8.8515625" style="3" customWidth="1"/>
    <col min="5" max="5" width="6.140625" style="3" customWidth="1"/>
    <col min="6" max="6" width="3.140625" style="3" customWidth="1"/>
    <col min="7" max="7" width="10.00390625" style="12" customWidth="1"/>
    <col min="8" max="8" width="2.7109375" style="12" customWidth="1"/>
    <col min="9" max="9" width="9.7109375" style="13" customWidth="1"/>
    <col min="10" max="10" width="2.8515625" style="12" customWidth="1"/>
    <col min="11" max="11" width="12.28125" style="12" customWidth="1"/>
    <col min="12" max="12" width="2.57421875" style="12" customWidth="1"/>
    <col min="13" max="13" width="10.57421875" style="12" customWidth="1"/>
    <col min="14" max="14" width="2.140625" style="12" customWidth="1"/>
    <col min="15" max="15" width="8.8515625" style="12" customWidth="1"/>
    <col min="16" max="16" width="2.28125" style="12" customWidth="1"/>
    <col min="17" max="17" width="8.8515625" style="12" customWidth="1"/>
    <col min="18" max="18" width="2.28125" style="12" customWidth="1"/>
    <col min="19" max="19" width="8.8515625" style="12" customWidth="1"/>
    <col min="20" max="20" width="2.28125" style="12" customWidth="1"/>
    <col min="21" max="21" width="8.8515625" style="12" customWidth="1"/>
    <col min="22" max="22" width="2.140625" style="12" customWidth="1"/>
    <col min="23" max="23" width="8.8515625" style="12" customWidth="1"/>
    <col min="24" max="24" width="2.140625" style="12" customWidth="1"/>
    <col min="25" max="25" width="10.57421875" style="12" bestFit="1" customWidth="1"/>
    <col min="26" max="26" width="2.57421875" style="12" customWidth="1"/>
    <col min="27" max="27" width="8.8515625" style="12" customWidth="1"/>
    <col min="28" max="28" width="2.140625" style="12" customWidth="1"/>
    <col min="29" max="16384" width="8.8515625" style="12" customWidth="1"/>
  </cols>
  <sheetData>
    <row r="1" spans="2:3" ht="12.75">
      <c r="B1" s="11" t="s">
        <v>33</v>
      </c>
      <c r="C1" s="11"/>
    </row>
    <row r="2" spans="2:12" ht="12.75">
      <c r="B2" s="14"/>
      <c r="C2" s="14"/>
      <c r="G2" s="14"/>
      <c r="H2" s="14"/>
      <c r="I2" s="15"/>
      <c r="J2" s="14"/>
      <c r="K2" s="14"/>
      <c r="L2" s="14"/>
    </row>
    <row r="3" spans="2:5" ht="12.75">
      <c r="B3" s="8"/>
      <c r="C3" s="8" t="s">
        <v>58</v>
      </c>
      <c r="D3" s="3" t="s">
        <v>12</v>
      </c>
      <c r="E3" s="3" t="s">
        <v>36</v>
      </c>
    </row>
    <row r="4" spans="2:13" ht="12.75">
      <c r="B4" s="3"/>
      <c r="C4" s="3"/>
      <c r="G4" s="4"/>
      <c r="H4" s="4"/>
      <c r="I4" s="4"/>
      <c r="J4" s="4"/>
      <c r="K4" s="4"/>
      <c r="L4" s="4"/>
      <c r="M4" s="4"/>
    </row>
    <row r="5" spans="2:13" ht="12.75">
      <c r="B5" s="3"/>
      <c r="C5" s="3"/>
      <c r="G5" s="4"/>
      <c r="H5" s="4"/>
      <c r="I5" s="4"/>
      <c r="J5" s="4"/>
      <c r="K5" s="4"/>
      <c r="L5" s="4"/>
      <c r="M5" s="4"/>
    </row>
    <row r="6" spans="1:13" ht="12.75">
      <c r="A6" s="12">
        <v>1</v>
      </c>
      <c r="B6" s="16" t="s">
        <v>99</v>
      </c>
      <c r="C6" s="16"/>
      <c r="G6" s="14" t="s">
        <v>80</v>
      </c>
      <c r="H6" s="14"/>
      <c r="I6" s="15" t="s">
        <v>81</v>
      </c>
      <c r="J6" s="14"/>
      <c r="K6" s="14" t="s">
        <v>82</v>
      </c>
      <c r="L6" s="14"/>
      <c r="M6" s="12" t="s">
        <v>128</v>
      </c>
    </row>
    <row r="7" spans="2:12" ht="12.75">
      <c r="B7" s="3"/>
      <c r="C7" s="3"/>
      <c r="D7" s="8"/>
      <c r="E7" s="8"/>
      <c r="F7" s="8"/>
      <c r="G7" s="8"/>
      <c r="H7" s="8"/>
      <c r="I7" s="17"/>
      <c r="J7" s="8"/>
      <c r="K7" s="8"/>
      <c r="L7" s="14"/>
    </row>
    <row r="8" spans="2:13" ht="12.75">
      <c r="B8" s="3" t="s">
        <v>13</v>
      </c>
      <c r="C8" s="3" t="s">
        <v>130</v>
      </c>
      <c r="D8" s="8" t="s">
        <v>14</v>
      </c>
      <c r="E8" s="8" t="s">
        <v>15</v>
      </c>
      <c r="F8" s="8"/>
      <c r="G8" s="8">
        <v>0.0118</v>
      </c>
      <c r="H8" s="8"/>
      <c r="I8" s="17">
        <v>0.0135</v>
      </c>
      <c r="J8" s="8"/>
      <c r="K8" s="8">
        <v>0.0198</v>
      </c>
      <c r="L8" s="14"/>
      <c r="M8" s="18">
        <f>AVERAGE(K8,I8,G8)</f>
        <v>0.015033333333333334</v>
      </c>
    </row>
    <row r="9" spans="2:13" ht="12.75">
      <c r="B9" s="3" t="s">
        <v>96</v>
      </c>
      <c r="C9" s="3" t="s">
        <v>130</v>
      </c>
      <c r="D9" s="8" t="s">
        <v>14</v>
      </c>
      <c r="E9" s="8" t="s">
        <v>15</v>
      </c>
      <c r="F9" s="8"/>
      <c r="G9" s="8">
        <v>0.0284</v>
      </c>
      <c r="H9" s="8"/>
      <c r="I9" s="17">
        <v>0.0257</v>
      </c>
      <c r="J9" s="8"/>
      <c r="K9" s="8">
        <v>0.0301</v>
      </c>
      <c r="L9" s="14"/>
      <c r="M9" s="18">
        <f>AVERAGE(K9,I9,G9)</f>
        <v>0.028066666666666667</v>
      </c>
    </row>
    <row r="10" spans="2:13" ht="12.75">
      <c r="B10" s="3" t="s">
        <v>71</v>
      </c>
      <c r="C10" s="3" t="s">
        <v>130</v>
      </c>
      <c r="D10" s="8" t="s">
        <v>16</v>
      </c>
      <c r="E10" s="8" t="s">
        <v>15</v>
      </c>
      <c r="F10" s="8"/>
      <c r="G10" s="8">
        <v>8.7</v>
      </c>
      <c r="H10" s="8"/>
      <c r="I10" s="17">
        <v>2.1</v>
      </c>
      <c r="J10" s="8"/>
      <c r="K10" s="8">
        <v>1.8</v>
      </c>
      <c r="L10" s="14"/>
      <c r="M10" s="19">
        <f>AVERAGE(K10,I10,G10)</f>
        <v>4.2</v>
      </c>
    </row>
    <row r="11" spans="2:13" ht="12.75">
      <c r="B11" s="3" t="s">
        <v>73</v>
      </c>
      <c r="C11" s="3"/>
      <c r="D11" s="8" t="s">
        <v>16</v>
      </c>
      <c r="E11" s="8" t="s">
        <v>75</v>
      </c>
      <c r="F11" s="8"/>
      <c r="G11" s="8">
        <v>1.8</v>
      </c>
      <c r="H11" s="8"/>
      <c r="I11" s="17">
        <v>0.4</v>
      </c>
      <c r="J11" s="8"/>
      <c r="K11" s="8">
        <v>1.3</v>
      </c>
      <c r="L11" s="14"/>
      <c r="M11" s="19">
        <f>AVERAGE(K11,I11,G11)</f>
        <v>1.1666666666666667</v>
      </c>
    </row>
    <row r="12" spans="2:13" ht="12.75">
      <c r="B12" s="3" t="s">
        <v>72</v>
      </c>
      <c r="C12" s="3"/>
      <c r="D12" s="8" t="s">
        <v>16</v>
      </c>
      <c r="E12" s="8" t="s">
        <v>75</v>
      </c>
      <c r="F12" s="8"/>
      <c r="G12" s="8">
        <v>7.6</v>
      </c>
      <c r="H12" s="8"/>
      <c r="I12" s="17">
        <v>8.3</v>
      </c>
      <c r="J12" s="8"/>
      <c r="K12" s="8">
        <v>8.5</v>
      </c>
      <c r="L12" s="14"/>
      <c r="M12" s="19">
        <f>AVERAGE(G12,I12,K12)</f>
        <v>8.133333333333333</v>
      </c>
    </row>
    <row r="13" spans="2:13" ht="12.75">
      <c r="B13" s="3" t="s">
        <v>74</v>
      </c>
      <c r="C13" s="3"/>
      <c r="D13" s="8" t="s">
        <v>16</v>
      </c>
      <c r="E13" s="8" t="s">
        <v>75</v>
      </c>
      <c r="F13" s="8"/>
      <c r="G13" s="8">
        <v>310.7</v>
      </c>
      <c r="H13" s="8"/>
      <c r="I13" s="17">
        <v>364.9</v>
      </c>
      <c r="J13" s="8"/>
      <c r="K13" s="8">
        <v>358.8</v>
      </c>
      <c r="L13" s="14"/>
      <c r="M13" s="19">
        <f>AVERAGE(G13,I13,K13)</f>
        <v>344.79999999999995</v>
      </c>
    </row>
    <row r="14" spans="2:13" ht="12.75">
      <c r="B14" s="3"/>
      <c r="C14" s="3"/>
      <c r="F14"/>
      <c r="G14"/>
      <c r="H14"/>
      <c r="I14"/>
      <c r="J14"/>
      <c r="K14"/>
      <c r="L14" s="14"/>
      <c r="M14" s="36"/>
    </row>
    <row r="15" spans="2:13" ht="12.75">
      <c r="B15" s="3" t="s">
        <v>40</v>
      </c>
      <c r="C15" s="3" t="s">
        <v>97</v>
      </c>
      <c r="F15"/>
      <c r="G15"/>
      <c r="H15"/>
      <c r="I15"/>
      <c r="J15"/>
      <c r="K15"/>
      <c r="L15"/>
      <c r="M15"/>
    </row>
    <row r="16" spans="2:13" ht="12.75">
      <c r="B16" s="3" t="s">
        <v>59</v>
      </c>
      <c r="C16" s="3"/>
      <c r="D16" s="3" t="s">
        <v>25</v>
      </c>
      <c r="F16"/>
      <c r="G16">
        <v>807</v>
      </c>
      <c r="H16"/>
      <c r="I16">
        <v>914</v>
      </c>
      <c r="J16"/>
      <c r="K16">
        <v>741</v>
      </c>
      <c r="L16"/>
      <c r="M16"/>
    </row>
    <row r="17" spans="2:13" ht="12.75">
      <c r="B17" s="3" t="s">
        <v>60</v>
      </c>
      <c r="C17" s="3" t="s">
        <v>131</v>
      </c>
      <c r="D17" s="3" t="s">
        <v>25</v>
      </c>
      <c r="F17"/>
      <c r="G17">
        <v>0.00021</v>
      </c>
      <c r="H17"/>
      <c r="I17">
        <v>0.00013</v>
      </c>
      <c r="J17"/>
      <c r="K17">
        <v>0.0001</v>
      </c>
      <c r="L17"/>
      <c r="M17"/>
    </row>
    <row r="18" spans="2:13" ht="12.75">
      <c r="B18" s="3" t="s">
        <v>24</v>
      </c>
      <c r="C18" s="3" t="s">
        <v>131</v>
      </c>
      <c r="D18" s="3" t="s">
        <v>18</v>
      </c>
      <c r="F18"/>
      <c r="G18">
        <v>99.99997</v>
      </c>
      <c r="H18"/>
      <c r="I18">
        <v>99.99999</v>
      </c>
      <c r="J18"/>
      <c r="K18">
        <v>99.99999</v>
      </c>
      <c r="L18"/>
      <c r="M18"/>
    </row>
    <row r="19" spans="2:13" ht="12.75">
      <c r="B19" s="3"/>
      <c r="C19" s="3"/>
      <c r="F19"/>
      <c r="G19"/>
      <c r="H19"/>
      <c r="I19"/>
      <c r="J19"/>
      <c r="K19"/>
      <c r="L19" s="14"/>
      <c r="M19" s="36"/>
    </row>
    <row r="20" spans="2:13" ht="12.75">
      <c r="B20" s="3" t="s">
        <v>64</v>
      </c>
      <c r="C20" s="3" t="s">
        <v>13</v>
      </c>
      <c r="D20" s="3" t="s">
        <v>130</v>
      </c>
      <c r="F20"/>
      <c r="G20"/>
      <c r="H20"/>
      <c r="I20"/>
      <c r="J20"/>
      <c r="K20"/>
      <c r="L20" s="14"/>
      <c r="M20" s="20"/>
    </row>
    <row r="21" spans="2:13" ht="12.75">
      <c r="B21" s="3" t="s">
        <v>49</v>
      </c>
      <c r="C21" s="3"/>
      <c r="D21" s="3" t="s">
        <v>17</v>
      </c>
      <c r="F21"/>
      <c r="G21">
        <v>112470</v>
      </c>
      <c r="H21"/>
      <c r="I21">
        <v>114689</v>
      </c>
      <c r="J21"/>
      <c r="K21">
        <v>105714</v>
      </c>
      <c r="L21" s="14"/>
      <c r="M21" s="19">
        <f>AVERAGE(K21,I21,G21)</f>
        <v>110957.66666666667</v>
      </c>
    </row>
    <row r="22" spans="2:13" ht="12.75">
      <c r="B22" s="3" t="s">
        <v>61</v>
      </c>
      <c r="C22" s="3"/>
      <c r="D22" s="3" t="s">
        <v>18</v>
      </c>
      <c r="F22"/>
      <c r="G22">
        <v>1.87</v>
      </c>
      <c r="H22"/>
      <c r="I22">
        <v>2.62</v>
      </c>
      <c r="J22"/>
      <c r="K22">
        <v>2.41</v>
      </c>
      <c r="M22" s="19">
        <f>AVERAGE(K22,I22,G22)</f>
        <v>2.3000000000000003</v>
      </c>
    </row>
    <row r="23" spans="2:13" ht="12.75">
      <c r="B23" s="3" t="s">
        <v>62</v>
      </c>
      <c r="C23" s="3"/>
      <c r="D23" s="3" t="s">
        <v>18</v>
      </c>
      <c r="F23"/>
      <c r="G23">
        <v>18.69</v>
      </c>
      <c r="H23"/>
      <c r="I23">
        <v>17.65</v>
      </c>
      <c r="J23"/>
      <c r="K23">
        <v>17.65</v>
      </c>
      <c r="M23" s="19">
        <f>AVERAGE(K23,I23,G23)</f>
        <v>17.996666666666666</v>
      </c>
    </row>
    <row r="24" spans="2:13" ht="12.75">
      <c r="B24" s="3" t="s">
        <v>48</v>
      </c>
      <c r="C24" s="3"/>
      <c r="D24" s="3" t="s">
        <v>19</v>
      </c>
      <c r="F24"/>
      <c r="G24">
        <v>452</v>
      </c>
      <c r="H24"/>
      <c r="I24">
        <v>458</v>
      </c>
      <c r="J24"/>
      <c r="K24">
        <v>459</v>
      </c>
      <c r="M24" s="19">
        <f>AVERAGE(K24,I24,G24)</f>
        <v>456.3333333333333</v>
      </c>
    </row>
    <row r="25" spans="2:13" ht="12.75">
      <c r="B25" s="3"/>
      <c r="C25" s="3"/>
      <c r="F25"/>
      <c r="G25"/>
      <c r="H25"/>
      <c r="I25"/>
      <c r="J25"/>
      <c r="K25"/>
      <c r="L25" s="14"/>
      <c r="M25" s="36"/>
    </row>
    <row r="26" spans="2:13" ht="12.75">
      <c r="B26" s="3" t="s">
        <v>64</v>
      </c>
      <c r="C26" s="3" t="s">
        <v>24</v>
      </c>
      <c r="D26" s="3" t="s">
        <v>131</v>
      </c>
      <c r="F26"/>
      <c r="G26"/>
      <c r="H26"/>
      <c r="I26"/>
      <c r="J26"/>
      <c r="K26"/>
      <c r="L26" s="14"/>
      <c r="M26" s="20"/>
    </row>
    <row r="27" spans="2:13" ht="12.75">
      <c r="B27" s="3" t="s">
        <v>49</v>
      </c>
      <c r="C27" s="3"/>
      <c r="D27" s="3" t="s">
        <v>17</v>
      </c>
      <c r="F27"/>
      <c r="G27">
        <v>109844</v>
      </c>
      <c r="H27"/>
      <c r="I27">
        <v>112585</v>
      </c>
      <c r="J27"/>
      <c r="K27">
        <v>108569</v>
      </c>
      <c r="L27" s="14"/>
      <c r="M27" s="19">
        <f>AVERAGE(K27,I27,G27)</f>
        <v>110332.66666666667</v>
      </c>
    </row>
    <row r="28" spans="2:13" ht="12.75">
      <c r="B28" s="3" t="s">
        <v>61</v>
      </c>
      <c r="C28" s="3"/>
      <c r="D28" s="3" t="s">
        <v>18</v>
      </c>
      <c r="F28"/>
      <c r="G28">
        <v>1.87</v>
      </c>
      <c r="H28"/>
      <c r="I28">
        <v>2.62</v>
      </c>
      <c r="J28"/>
      <c r="K28">
        <v>2.41</v>
      </c>
      <c r="M28" s="19">
        <f>AVERAGE(K28,I28,G28)</f>
        <v>2.3000000000000003</v>
      </c>
    </row>
    <row r="29" spans="2:13" ht="12.75">
      <c r="B29" s="3" t="s">
        <v>62</v>
      </c>
      <c r="C29" s="3"/>
      <c r="D29" s="3" t="s">
        <v>18</v>
      </c>
      <c r="F29"/>
      <c r="G29">
        <v>18.26</v>
      </c>
      <c r="H29"/>
      <c r="I29">
        <v>17.43</v>
      </c>
      <c r="J29"/>
      <c r="K29">
        <v>18.2</v>
      </c>
      <c r="M29" s="19">
        <f>AVERAGE(K29,I29,G29)</f>
        <v>17.963333333333335</v>
      </c>
    </row>
    <row r="30" spans="2:13" ht="12.75">
      <c r="B30" s="3" t="s">
        <v>48</v>
      </c>
      <c r="C30" s="3"/>
      <c r="D30" s="3" t="s">
        <v>19</v>
      </c>
      <c r="F30"/>
      <c r="G30">
        <v>461</v>
      </c>
      <c r="H30"/>
      <c r="I30">
        <v>462</v>
      </c>
      <c r="J30"/>
      <c r="K30">
        <v>462</v>
      </c>
      <c r="M30" s="19">
        <f>AVERAGE(K30,I30,G30)</f>
        <v>461.6666666666667</v>
      </c>
    </row>
    <row r="31" spans="2:13" ht="12.75">
      <c r="B31" s="3"/>
      <c r="C31" s="3"/>
      <c r="F31"/>
      <c r="G31"/>
      <c r="H31"/>
      <c r="I31"/>
      <c r="J31"/>
      <c r="K31"/>
      <c r="M31" s="19"/>
    </row>
    <row r="32" spans="2:13" ht="12.75">
      <c r="B32" s="3" t="s">
        <v>73</v>
      </c>
      <c r="C32" s="3" t="s">
        <v>130</v>
      </c>
      <c r="D32" s="8" t="s">
        <v>16</v>
      </c>
      <c r="E32" s="3" t="s">
        <v>15</v>
      </c>
      <c r="F32"/>
      <c r="G32" s="28">
        <f>G11*(21-7)/(21-G$22)</f>
        <v>1.3173026659696812</v>
      </c>
      <c r="H32" s="28"/>
      <c r="I32" s="28">
        <f>I11*(21-7)/(21-I$22)</f>
        <v>0.3046789989118608</v>
      </c>
      <c r="J32" s="28"/>
      <c r="K32" s="28">
        <f>K11*(21-7)/(21-K$22)</f>
        <v>0.979020979020979</v>
      </c>
      <c r="L32" s="14"/>
      <c r="M32" s="19">
        <f>AVERAGE(G32,I32,K32)</f>
        <v>0.8670008813008403</v>
      </c>
    </row>
    <row r="33" spans="2:13" ht="12.75">
      <c r="B33" s="3" t="s">
        <v>72</v>
      </c>
      <c r="C33" s="3" t="s">
        <v>130</v>
      </c>
      <c r="D33" s="8" t="s">
        <v>16</v>
      </c>
      <c r="E33" s="8" t="s">
        <v>15</v>
      </c>
      <c r="F33" s="8"/>
      <c r="G33" s="28">
        <f>G12*(21-7)/(21-G$22)</f>
        <v>5.561944589649765</v>
      </c>
      <c r="H33" s="28"/>
      <c r="I33" s="28">
        <f>I12*(21-7)/(21-I$22)</f>
        <v>6.322089227421111</v>
      </c>
      <c r="J33" s="28"/>
      <c r="K33" s="28">
        <f>K12*(21-7)/(21-K$22)</f>
        <v>6.401291016675632</v>
      </c>
      <c r="L33" s="14"/>
      <c r="M33" s="19">
        <f>AVERAGE(G33,I33,K33)</f>
        <v>6.095108277915503</v>
      </c>
    </row>
    <row r="34" spans="2:13" ht="12.75">
      <c r="B34" s="3" t="s">
        <v>74</v>
      </c>
      <c r="C34" s="3" t="s">
        <v>130</v>
      </c>
      <c r="D34" s="8" t="s">
        <v>16</v>
      </c>
      <c r="E34" s="8" t="s">
        <v>15</v>
      </c>
      <c r="F34" s="8"/>
      <c r="G34" s="28">
        <f>G13*(21-7)/(21-G$22)</f>
        <v>227.38107684265555</v>
      </c>
      <c r="H34" s="28"/>
      <c r="I34" s="28">
        <f>I13*(21-7)/(21-I$22)</f>
        <v>277.94341675734495</v>
      </c>
      <c r="J34" s="28"/>
      <c r="K34" s="28">
        <f>K13*(21-7)/(21-K$22)</f>
        <v>270.2097902097902</v>
      </c>
      <c r="L34" s="14"/>
      <c r="M34" s="19">
        <f>AVERAGE(G34,I34,K34)</f>
        <v>258.5114279365969</v>
      </c>
    </row>
    <row r="35" spans="2:13" ht="12.75">
      <c r="B35" s="3"/>
      <c r="C35" s="3"/>
      <c r="F35"/>
      <c r="G35"/>
      <c r="H35"/>
      <c r="I35"/>
      <c r="J35"/>
      <c r="K35"/>
      <c r="L35" s="14"/>
      <c r="M35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workbookViewId="0" topLeftCell="B1">
      <selection activeCell="H13" sqref="H13"/>
    </sheetView>
  </sheetViews>
  <sheetFormatPr defaultColWidth="9.140625" defaultRowHeight="12.75"/>
  <cols>
    <col min="1" max="1" width="2.57421875" style="22" hidden="1" customWidth="1"/>
    <col min="2" max="2" width="20.140625" style="5" customWidth="1"/>
    <col min="3" max="3" width="7.57421875" style="5" customWidth="1"/>
    <col min="4" max="4" width="9.28125" style="5" customWidth="1"/>
    <col min="5" max="5" width="4.28125" style="22" customWidth="1"/>
    <col min="6" max="6" width="13.28125" style="23" customWidth="1"/>
    <col min="7" max="7" width="4.140625" style="24" customWidth="1"/>
    <col min="8" max="8" width="16.28125" style="22" customWidth="1"/>
    <col min="9" max="9" width="4.28125" style="22" customWidth="1"/>
    <col min="10" max="10" width="12.421875" style="22" customWidth="1"/>
    <col min="11" max="11" width="4.00390625" style="22" customWidth="1"/>
    <col min="12" max="12" width="11.7109375" style="22" customWidth="1"/>
    <col min="13" max="13" width="3.7109375" style="22" customWidth="1"/>
    <col min="14" max="14" width="13.28125" style="22" customWidth="1"/>
    <col min="15" max="15" width="4.00390625" style="22" customWidth="1"/>
    <col min="16" max="16" width="11.140625" style="22" customWidth="1"/>
    <col min="17" max="17" width="3.8515625" style="22" customWidth="1"/>
    <col min="18" max="18" width="10.57421875" style="22" customWidth="1"/>
    <col min="19" max="19" width="3.8515625" style="22" customWidth="1"/>
    <col min="20" max="20" width="12.421875" style="22" customWidth="1"/>
    <col min="21" max="21" width="4.7109375" style="22" customWidth="1"/>
    <col min="22" max="22" width="12.421875" style="22" customWidth="1"/>
    <col min="23" max="23" width="4.28125" style="22" customWidth="1"/>
    <col min="24" max="24" width="12.421875" style="22" customWidth="1"/>
    <col min="25" max="25" width="4.8515625" style="22" customWidth="1"/>
    <col min="26" max="26" width="12.421875" style="22" customWidth="1"/>
    <col min="27" max="27" width="5.28125" style="22" customWidth="1"/>
    <col min="28" max="28" width="12.421875" style="22" customWidth="1"/>
    <col min="29" max="29" width="2.28125" style="22" customWidth="1"/>
    <col min="30" max="30" width="9.421875" style="22" customWidth="1"/>
    <col min="31" max="31" width="2.140625" style="22" customWidth="1"/>
    <col min="32" max="32" width="9.57421875" style="22" customWidth="1"/>
    <col min="33" max="33" width="2.00390625" style="22" customWidth="1"/>
    <col min="34" max="34" width="9.7109375" style="22" customWidth="1"/>
    <col min="35" max="35" width="2.7109375" style="22" customWidth="1"/>
    <col min="36" max="36" width="9.57421875" style="22" customWidth="1"/>
    <col min="37" max="37" width="4.8515625" style="22" customWidth="1"/>
    <col min="38" max="38" width="12.140625" style="22" customWidth="1"/>
    <col min="39" max="39" width="4.57421875" style="22" customWidth="1"/>
    <col min="40" max="40" width="13.28125" style="22" customWidth="1"/>
    <col min="41" max="41" width="4.421875" style="22" customWidth="1"/>
    <col min="42" max="42" width="14.7109375" style="22" customWidth="1"/>
    <col min="43" max="43" width="4.57421875" style="22" customWidth="1"/>
    <col min="44" max="44" width="12.7109375" style="22" customWidth="1"/>
    <col min="45" max="16384" width="8.8515625" style="22" customWidth="1"/>
  </cols>
  <sheetData>
    <row r="1" spans="2:3" ht="12.75">
      <c r="B1" s="21" t="s">
        <v>129</v>
      </c>
      <c r="C1" s="21"/>
    </row>
    <row r="2" ht="12.75">
      <c r="F2" s="22"/>
    </row>
    <row r="3" spans="1:44" ht="12.75">
      <c r="A3" s="22" t="s">
        <v>67</v>
      </c>
      <c r="B3" s="21" t="s">
        <v>99</v>
      </c>
      <c r="C3" s="21" t="s">
        <v>66</v>
      </c>
      <c r="F3" s="24" t="s">
        <v>80</v>
      </c>
      <c r="H3" s="24" t="s">
        <v>81</v>
      </c>
      <c r="I3" s="24"/>
      <c r="J3" s="24" t="s">
        <v>82</v>
      </c>
      <c r="K3" s="24"/>
      <c r="L3" s="24" t="s">
        <v>128</v>
      </c>
      <c r="M3" s="24"/>
      <c r="N3" s="24" t="s">
        <v>80</v>
      </c>
      <c r="O3" s="24"/>
      <c r="P3" s="24" t="s">
        <v>81</v>
      </c>
      <c r="Q3" s="24"/>
      <c r="R3" s="24" t="s">
        <v>82</v>
      </c>
      <c r="S3" s="24"/>
      <c r="T3" s="24" t="s">
        <v>128</v>
      </c>
      <c r="U3" s="24"/>
      <c r="V3" s="24" t="s">
        <v>80</v>
      </c>
      <c r="W3" s="24"/>
      <c r="X3" s="24" t="s">
        <v>81</v>
      </c>
      <c r="Y3" s="24"/>
      <c r="Z3" s="24" t="s">
        <v>82</v>
      </c>
      <c r="AA3" s="24"/>
      <c r="AB3" s="24" t="s">
        <v>128</v>
      </c>
      <c r="AC3" s="24"/>
      <c r="AD3" s="24" t="s">
        <v>80</v>
      </c>
      <c r="AE3" s="24"/>
      <c r="AF3" s="24" t="s">
        <v>81</v>
      </c>
      <c r="AG3" s="24"/>
      <c r="AH3" s="24" t="s">
        <v>82</v>
      </c>
      <c r="AI3" s="24"/>
      <c r="AJ3" s="24" t="s">
        <v>128</v>
      </c>
      <c r="AK3" s="24"/>
      <c r="AL3" s="24" t="s">
        <v>80</v>
      </c>
      <c r="AM3" s="24"/>
      <c r="AN3" s="24" t="s">
        <v>81</v>
      </c>
      <c r="AO3" s="24"/>
      <c r="AP3" s="24" t="s">
        <v>82</v>
      </c>
      <c r="AQ3" s="24"/>
      <c r="AR3" s="24" t="s">
        <v>128</v>
      </c>
    </row>
    <row r="4" spans="2:44" ht="12.75">
      <c r="B4" s="21"/>
      <c r="C4" s="21"/>
      <c r="F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2:44" ht="12.75">
      <c r="B5" s="5" t="s">
        <v>143</v>
      </c>
      <c r="C5" s="21"/>
      <c r="F5" s="24" t="s">
        <v>147</v>
      </c>
      <c r="H5" s="24" t="s">
        <v>147</v>
      </c>
      <c r="I5" s="24"/>
      <c r="J5" s="24" t="s">
        <v>147</v>
      </c>
      <c r="K5" s="24"/>
      <c r="L5" s="24" t="s">
        <v>147</v>
      </c>
      <c r="M5" s="24"/>
      <c r="N5" s="24" t="s">
        <v>148</v>
      </c>
      <c r="O5" s="24"/>
      <c r="P5" s="24" t="s">
        <v>148</v>
      </c>
      <c r="Q5" s="24"/>
      <c r="R5" s="24" t="s">
        <v>148</v>
      </c>
      <c r="S5" s="24"/>
      <c r="T5" s="24" t="s">
        <v>148</v>
      </c>
      <c r="U5" s="24"/>
      <c r="V5" s="24"/>
      <c r="W5" s="24"/>
      <c r="X5" s="24"/>
      <c r="Y5" s="24"/>
      <c r="Z5" s="24"/>
      <c r="AA5" s="24"/>
      <c r="AB5" s="24"/>
      <c r="AC5" s="24"/>
      <c r="AD5" s="24" t="s">
        <v>149</v>
      </c>
      <c r="AE5" s="24"/>
      <c r="AF5" s="24" t="s">
        <v>149</v>
      </c>
      <c r="AG5" s="24"/>
      <c r="AH5" s="24" t="s">
        <v>149</v>
      </c>
      <c r="AI5" s="24"/>
      <c r="AJ5" s="24" t="s">
        <v>149</v>
      </c>
      <c r="AK5" s="24"/>
      <c r="AL5" s="24" t="s">
        <v>150</v>
      </c>
      <c r="AM5" s="24"/>
      <c r="AN5" s="24" t="s">
        <v>150</v>
      </c>
      <c r="AO5" s="24"/>
      <c r="AP5" s="24" t="s">
        <v>150</v>
      </c>
      <c r="AQ5" s="24"/>
      <c r="AR5" s="24" t="s">
        <v>150</v>
      </c>
    </row>
    <row r="6" spans="2:44" ht="12.75">
      <c r="B6" s="5" t="s">
        <v>144</v>
      </c>
      <c r="F6" s="23" t="s">
        <v>145</v>
      </c>
      <c r="H6" s="23" t="s">
        <v>145</v>
      </c>
      <c r="J6" s="23" t="s">
        <v>145</v>
      </c>
      <c r="L6" s="23" t="s">
        <v>145</v>
      </c>
      <c r="N6" s="23" t="s">
        <v>145</v>
      </c>
      <c r="O6" s="24"/>
      <c r="P6" s="23" t="s">
        <v>145</v>
      </c>
      <c r="R6" s="23" t="s">
        <v>145</v>
      </c>
      <c r="T6" s="23" t="s">
        <v>145</v>
      </c>
      <c r="U6" s="23"/>
      <c r="V6" s="23"/>
      <c r="W6" s="23"/>
      <c r="X6" s="23"/>
      <c r="Y6" s="23"/>
      <c r="Z6" s="23"/>
      <c r="AA6" s="23"/>
      <c r="AB6" s="23"/>
      <c r="AD6" s="22" t="s">
        <v>146</v>
      </c>
      <c r="AF6" s="22" t="s">
        <v>146</v>
      </c>
      <c r="AH6" s="22" t="s">
        <v>146</v>
      </c>
      <c r="AJ6" s="22" t="s">
        <v>146</v>
      </c>
      <c r="AL6" s="22" t="s">
        <v>20</v>
      </c>
      <c r="AN6" s="22" t="s">
        <v>20</v>
      </c>
      <c r="AP6" s="22" t="s">
        <v>20</v>
      </c>
      <c r="AR6" s="22" t="s">
        <v>20</v>
      </c>
    </row>
    <row r="7" spans="2:44" ht="12.75">
      <c r="B7" s="5" t="s">
        <v>151</v>
      </c>
      <c r="H7" s="23"/>
      <c r="J7" s="23"/>
      <c r="L7" s="23"/>
      <c r="N7" s="23"/>
      <c r="O7" s="24"/>
      <c r="P7" s="23"/>
      <c r="R7" s="23"/>
      <c r="T7" s="23"/>
      <c r="U7" s="23"/>
      <c r="V7" s="23" t="s">
        <v>34</v>
      </c>
      <c r="W7" s="23"/>
      <c r="X7" s="23" t="s">
        <v>34</v>
      </c>
      <c r="Y7" s="23"/>
      <c r="Z7" s="23" t="s">
        <v>34</v>
      </c>
      <c r="AA7" s="23"/>
      <c r="AB7" s="23" t="s">
        <v>34</v>
      </c>
      <c r="AD7" s="22" t="s">
        <v>152</v>
      </c>
      <c r="AF7" s="22" t="s">
        <v>152</v>
      </c>
      <c r="AH7" s="22" t="s">
        <v>152</v>
      </c>
      <c r="AJ7" s="22" t="s">
        <v>152</v>
      </c>
      <c r="AL7" s="22" t="s">
        <v>20</v>
      </c>
      <c r="AN7" s="22" t="s">
        <v>20</v>
      </c>
      <c r="AP7" s="22" t="s">
        <v>20</v>
      </c>
      <c r="AR7" s="22" t="s">
        <v>20</v>
      </c>
    </row>
    <row r="8" spans="2:44" ht="12.75">
      <c r="B8" s="5" t="s">
        <v>22</v>
      </c>
      <c r="F8" s="23" t="s">
        <v>78</v>
      </c>
      <c r="G8" s="23"/>
      <c r="H8" s="23" t="s">
        <v>78</v>
      </c>
      <c r="I8" s="23"/>
      <c r="J8" s="23" t="s">
        <v>78</v>
      </c>
      <c r="K8" s="23"/>
      <c r="L8" s="23" t="s">
        <v>78</v>
      </c>
      <c r="M8" s="23"/>
      <c r="N8" s="23" t="s">
        <v>79</v>
      </c>
      <c r="O8" s="23"/>
      <c r="P8" s="23" t="s">
        <v>79</v>
      </c>
      <c r="R8" s="23" t="s">
        <v>79</v>
      </c>
      <c r="T8" s="23" t="s">
        <v>79</v>
      </c>
      <c r="U8" s="23"/>
      <c r="V8" s="23"/>
      <c r="W8" s="23"/>
      <c r="X8" s="23"/>
      <c r="Y8" s="23"/>
      <c r="Z8" s="23"/>
      <c r="AA8" s="23"/>
      <c r="AB8" s="23"/>
      <c r="AD8" s="22" t="s">
        <v>111</v>
      </c>
      <c r="AF8" s="22" t="s">
        <v>111</v>
      </c>
      <c r="AH8" s="22" t="s">
        <v>111</v>
      </c>
      <c r="AJ8" s="22" t="s">
        <v>111</v>
      </c>
      <c r="AL8" s="22" t="s">
        <v>20</v>
      </c>
      <c r="AN8" s="22" t="s">
        <v>20</v>
      </c>
      <c r="AP8" s="22" t="s">
        <v>20</v>
      </c>
      <c r="AR8" s="22" t="s">
        <v>20</v>
      </c>
    </row>
    <row r="9" spans="2:38" ht="12.75">
      <c r="B9" s="5" t="s">
        <v>69</v>
      </c>
      <c r="D9" s="5" t="s">
        <v>25</v>
      </c>
      <c r="E9" s="8"/>
      <c r="F9" s="27">
        <f>69.02*F13*3785*60/454</f>
        <v>34870.454669603525</v>
      </c>
      <c r="H9" s="27">
        <f>68.99*H13*3785*60/454</f>
        <v>34855.2979955947</v>
      </c>
      <c r="J9" s="27">
        <f>68.93*J13*3785*60/454</f>
        <v>34824.9846475771</v>
      </c>
      <c r="L9" s="25"/>
      <c r="M9" s="25"/>
      <c r="N9" s="27">
        <f>11.99*N13*3785*60/454</f>
        <v>6057.617378854626</v>
      </c>
      <c r="P9" s="27">
        <f>12.03*P13*3785*60/454</f>
        <v>6198.179273127754</v>
      </c>
      <c r="R9" s="27">
        <f>12*R13*3785*60/454</f>
        <v>6182.722466960352</v>
      </c>
      <c r="T9" s="25"/>
      <c r="U9" s="25"/>
      <c r="V9" s="25"/>
      <c r="W9" s="25"/>
      <c r="X9" s="25"/>
      <c r="Y9" s="25"/>
      <c r="Z9" s="25"/>
      <c r="AA9" s="25"/>
      <c r="AB9" s="25"/>
      <c r="AL9" s="25"/>
    </row>
    <row r="10" spans="2:38" ht="12.75">
      <c r="B10" s="5" t="s">
        <v>69</v>
      </c>
      <c r="D10" s="5" t="s">
        <v>110</v>
      </c>
      <c r="E10" s="8"/>
      <c r="F10" s="8"/>
      <c r="L10" s="25"/>
      <c r="M10" s="25"/>
      <c r="T10" s="25"/>
      <c r="U10" s="25"/>
      <c r="V10" s="25"/>
      <c r="W10" s="25"/>
      <c r="X10" s="25"/>
      <c r="Y10" s="25"/>
      <c r="Z10" s="25"/>
      <c r="AA10" s="25"/>
      <c r="AB10" s="25"/>
      <c r="AD10" s="22">
        <v>55.5</v>
      </c>
      <c r="AF10" s="22">
        <v>68.49</v>
      </c>
      <c r="AH10" s="22">
        <v>70.69</v>
      </c>
      <c r="AL10" s="25"/>
    </row>
    <row r="11" spans="2:38" ht="12.75">
      <c r="B11" s="5" t="s">
        <v>83</v>
      </c>
      <c r="D11" s="5" t="s">
        <v>84</v>
      </c>
      <c r="E11" s="8"/>
      <c r="F11" s="8"/>
      <c r="L11" s="25"/>
      <c r="M11" s="25"/>
      <c r="N11" s="22">
        <v>8700</v>
      </c>
      <c r="P11" s="22">
        <v>7730</v>
      </c>
      <c r="R11" s="22">
        <v>7840</v>
      </c>
      <c r="T11" s="25"/>
      <c r="U11" s="25"/>
      <c r="V11" s="25"/>
      <c r="W11" s="25"/>
      <c r="X11" s="25"/>
      <c r="Y11" s="25"/>
      <c r="Z11" s="25"/>
      <c r="AA11" s="25"/>
      <c r="AB11" s="25"/>
      <c r="AL11" s="25"/>
    </row>
    <row r="12" spans="2:28" ht="12.75">
      <c r="B12" s="5" t="s">
        <v>101</v>
      </c>
      <c r="E12" s="8"/>
      <c r="F12" s="8">
        <v>1.01</v>
      </c>
      <c r="H12" s="25">
        <v>1.01</v>
      </c>
      <c r="I12" s="25"/>
      <c r="J12" s="12">
        <v>1.01</v>
      </c>
      <c r="L12" s="29"/>
      <c r="M12" s="25"/>
      <c r="N12" s="22">
        <v>1.01</v>
      </c>
      <c r="P12" s="22">
        <v>1.03</v>
      </c>
      <c r="R12" s="22">
        <v>1.03</v>
      </c>
      <c r="T12" s="29"/>
      <c r="U12" s="29"/>
      <c r="V12" s="29"/>
      <c r="W12" s="29"/>
      <c r="X12" s="29"/>
      <c r="Y12" s="29"/>
      <c r="Z12" s="29"/>
      <c r="AA12" s="29"/>
      <c r="AB12" s="29"/>
    </row>
    <row r="13" spans="2:28" ht="12.75">
      <c r="B13" s="5" t="s">
        <v>85</v>
      </c>
      <c r="D13" s="5" t="s">
        <v>109</v>
      </c>
      <c r="E13" s="8"/>
      <c r="F13" s="8">
        <v>1.01</v>
      </c>
      <c r="H13" s="25">
        <v>1.01</v>
      </c>
      <c r="I13" s="25"/>
      <c r="J13" s="12">
        <v>1.01</v>
      </c>
      <c r="L13" s="29"/>
      <c r="M13" s="25"/>
      <c r="N13" s="22">
        <v>1.01</v>
      </c>
      <c r="P13" s="22">
        <v>1.03</v>
      </c>
      <c r="R13" s="22">
        <v>1.03</v>
      </c>
      <c r="T13" s="29"/>
      <c r="U13" s="29"/>
      <c r="V13" s="29"/>
      <c r="W13" s="29"/>
      <c r="X13" s="29"/>
      <c r="Y13" s="29"/>
      <c r="Z13" s="29"/>
      <c r="AA13" s="29"/>
      <c r="AB13" s="29"/>
    </row>
    <row r="14" spans="2:28" ht="12.75">
      <c r="B14" s="5" t="s">
        <v>86</v>
      </c>
      <c r="D14" s="5" t="s">
        <v>87</v>
      </c>
      <c r="E14" s="8"/>
      <c r="F14" s="8"/>
      <c r="H14" s="25"/>
      <c r="I14" s="25"/>
      <c r="J14" s="12"/>
      <c r="L14" s="29"/>
      <c r="M14" s="25"/>
      <c r="N14" s="12">
        <v>3.25</v>
      </c>
      <c r="P14" s="12">
        <v>3.34</v>
      </c>
      <c r="R14" s="22">
        <v>3.17</v>
      </c>
      <c r="T14" s="29"/>
      <c r="U14" s="29"/>
      <c r="V14" s="29"/>
      <c r="W14" s="29"/>
      <c r="X14" s="29"/>
      <c r="Y14" s="29"/>
      <c r="Z14" s="29"/>
      <c r="AA14" s="29"/>
      <c r="AB14" s="29"/>
    </row>
    <row r="15" spans="2:38" ht="12.75">
      <c r="B15" s="5" t="s">
        <v>23</v>
      </c>
      <c r="D15" s="5" t="s">
        <v>18</v>
      </c>
      <c r="E15" s="8"/>
      <c r="F15" s="8">
        <v>0.02</v>
      </c>
      <c r="H15" s="25">
        <v>0.03</v>
      </c>
      <c r="I15" s="25"/>
      <c r="J15" s="22">
        <v>0.03</v>
      </c>
      <c r="L15" s="25"/>
      <c r="M15" s="25"/>
      <c r="N15" s="22">
        <v>0.02</v>
      </c>
      <c r="P15" s="22">
        <v>0.02</v>
      </c>
      <c r="R15" s="22">
        <v>0.02</v>
      </c>
      <c r="T15" s="25"/>
      <c r="U15" s="25"/>
      <c r="V15" s="25"/>
      <c r="W15" s="25"/>
      <c r="X15" s="25"/>
      <c r="Y15" s="25"/>
      <c r="Z15" s="25"/>
      <c r="AA15" s="25"/>
      <c r="AB15" s="25"/>
      <c r="AL15" s="25"/>
    </row>
    <row r="16" spans="2:38" ht="12.75">
      <c r="B16" s="5" t="s">
        <v>88</v>
      </c>
      <c r="D16" s="5" t="s">
        <v>100</v>
      </c>
      <c r="E16" s="8"/>
      <c r="F16" s="8">
        <v>3</v>
      </c>
      <c r="H16" s="25">
        <v>6</v>
      </c>
      <c r="I16" s="25"/>
      <c r="J16" s="22">
        <v>6</v>
      </c>
      <c r="L16" s="25"/>
      <c r="M16" s="25"/>
      <c r="N16" s="12">
        <v>5</v>
      </c>
      <c r="P16" s="12">
        <v>4</v>
      </c>
      <c r="R16" s="22">
        <v>3</v>
      </c>
      <c r="T16" s="25"/>
      <c r="U16" s="25"/>
      <c r="V16" s="25"/>
      <c r="W16" s="25"/>
      <c r="X16" s="25"/>
      <c r="Y16" s="25"/>
      <c r="Z16" s="25"/>
      <c r="AA16" s="25"/>
      <c r="AB16" s="25"/>
      <c r="AJ16" s="25"/>
      <c r="AL16" s="25"/>
    </row>
    <row r="17" spans="2:36" ht="12.75">
      <c r="B17" s="3" t="s">
        <v>51</v>
      </c>
      <c r="D17" s="5" t="s">
        <v>100</v>
      </c>
      <c r="E17" s="8" t="s">
        <v>21</v>
      </c>
      <c r="F17" s="8">
        <v>0.06</v>
      </c>
      <c r="G17" s="8" t="s">
        <v>21</v>
      </c>
      <c r="H17" s="26">
        <v>0.06</v>
      </c>
      <c r="I17" s="8" t="s">
        <v>21</v>
      </c>
      <c r="J17" s="12">
        <v>0.06</v>
      </c>
      <c r="L17" s="39"/>
      <c r="N17" s="12">
        <v>0.06</v>
      </c>
      <c r="P17" s="12">
        <v>0.062</v>
      </c>
      <c r="R17" s="22">
        <v>0.3</v>
      </c>
      <c r="T17" s="39"/>
      <c r="U17" s="39"/>
      <c r="V17" s="39"/>
      <c r="W17" s="39"/>
      <c r="X17" s="39"/>
      <c r="Y17" s="39"/>
      <c r="Z17" s="39"/>
      <c r="AA17" s="39"/>
      <c r="AB17" s="39"/>
      <c r="AJ17" s="25"/>
    </row>
    <row r="18" spans="2:36" ht="12.75">
      <c r="B18" s="3" t="s">
        <v>52</v>
      </c>
      <c r="D18" s="5" t="s">
        <v>100</v>
      </c>
      <c r="E18" s="8"/>
      <c r="F18" s="8">
        <v>0.09</v>
      </c>
      <c r="G18" s="8"/>
      <c r="H18" s="23">
        <v>0.09</v>
      </c>
      <c r="I18" s="8"/>
      <c r="J18" s="12">
        <v>0.09</v>
      </c>
      <c r="K18" s="23"/>
      <c r="L18" s="39"/>
      <c r="N18" s="12">
        <v>0.24</v>
      </c>
      <c r="P18" s="12">
        <v>3.02</v>
      </c>
      <c r="R18" s="22">
        <v>0.86</v>
      </c>
      <c r="T18" s="39"/>
      <c r="U18" s="39"/>
      <c r="V18" s="39"/>
      <c r="W18" s="39"/>
      <c r="X18" s="39"/>
      <c r="Y18" s="39"/>
      <c r="Z18" s="39"/>
      <c r="AA18" s="39"/>
      <c r="AB18" s="39"/>
      <c r="AJ18" s="25"/>
    </row>
    <row r="19" spans="2:36" ht="12.75">
      <c r="B19" s="3" t="s">
        <v>53</v>
      </c>
      <c r="D19" s="5" t="s">
        <v>100</v>
      </c>
      <c r="E19" s="8"/>
      <c r="F19" s="8">
        <v>0.029</v>
      </c>
      <c r="G19" s="8"/>
      <c r="H19" s="19">
        <v>0.028</v>
      </c>
      <c r="I19" s="8"/>
      <c r="J19" s="12">
        <v>0.025</v>
      </c>
      <c r="K19" s="23"/>
      <c r="L19" s="39"/>
      <c r="M19" s="19" t="s">
        <v>21</v>
      </c>
      <c r="N19" s="12">
        <v>0.005</v>
      </c>
      <c r="O19" s="19" t="s">
        <v>21</v>
      </c>
      <c r="P19" s="12">
        <v>0.02</v>
      </c>
      <c r="Q19" s="19" t="s">
        <v>21</v>
      </c>
      <c r="R19" s="22">
        <v>0.02</v>
      </c>
      <c r="T19" s="39"/>
      <c r="U19" s="39"/>
      <c r="V19" s="39"/>
      <c r="W19" s="39"/>
      <c r="X19" s="39"/>
      <c r="Y19" s="39"/>
      <c r="Z19" s="39"/>
      <c r="AA19" s="39"/>
      <c r="AB19" s="39"/>
      <c r="AJ19" s="25"/>
    </row>
    <row r="20" spans="2:36" ht="12.75">
      <c r="B20" s="3" t="s">
        <v>54</v>
      </c>
      <c r="D20" s="5" t="s">
        <v>100</v>
      </c>
      <c r="E20" s="8" t="s">
        <v>21</v>
      </c>
      <c r="F20" s="8">
        <v>0.005</v>
      </c>
      <c r="G20" s="8" t="s">
        <v>21</v>
      </c>
      <c r="H20" s="23">
        <v>0.005</v>
      </c>
      <c r="I20" s="8" t="s">
        <v>21</v>
      </c>
      <c r="J20" s="23">
        <v>0.005</v>
      </c>
      <c r="K20" s="23"/>
      <c r="L20" s="39"/>
      <c r="M20" s="19" t="s">
        <v>21</v>
      </c>
      <c r="N20" s="12">
        <v>0.005</v>
      </c>
      <c r="O20" s="19" t="s">
        <v>21</v>
      </c>
      <c r="P20" s="12">
        <v>0.02</v>
      </c>
      <c r="Q20" s="19" t="s">
        <v>21</v>
      </c>
      <c r="R20" s="22">
        <v>0.02</v>
      </c>
      <c r="T20" s="39"/>
      <c r="U20" s="39"/>
      <c r="V20" s="39"/>
      <c r="W20" s="39"/>
      <c r="X20" s="39"/>
      <c r="Y20" s="39"/>
      <c r="Z20" s="39"/>
      <c r="AA20" s="39"/>
      <c r="AB20" s="39"/>
      <c r="AJ20" s="25"/>
    </row>
    <row r="21" spans="2:36" ht="12.75">
      <c r="B21" s="3" t="s">
        <v>55</v>
      </c>
      <c r="D21" s="5" t="s">
        <v>100</v>
      </c>
      <c r="E21" s="8" t="s">
        <v>21</v>
      </c>
      <c r="F21" s="8">
        <v>0.005</v>
      </c>
      <c r="G21" s="8" t="s">
        <v>21</v>
      </c>
      <c r="H21" s="23">
        <v>0.005</v>
      </c>
      <c r="I21" s="8" t="s">
        <v>21</v>
      </c>
      <c r="J21" s="23">
        <v>0.005</v>
      </c>
      <c r="K21" s="23"/>
      <c r="L21" s="39"/>
      <c r="M21" s="19" t="s">
        <v>21</v>
      </c>
      <c r="N21" s="12">
        <v>0.005</v>
      </c>
      <c r="O21" s="19" t="s">
        <v>21</v>
      </c>
      <c r="P21" s="12">
        <v>0.02</v>
      </c>
      <c r="Q21" s="19" t="s">
        <v>21</v>
      </c>
      <c r="R21" s="22">
        <v>0.02</v>
      </c>
      <c r="T21" s="39"/>
      <c r="U21" s="39"/>
      <c r="V21" s="39"/>
      <c r="W21" s="39"/>
      <c r="X21" s="39"/>
      <c r="Y21" s="39"/>
      <c r="Z21" s="39"/>
      <c r="AA21" s="39"/>
      <c r="AB21" s="39"/>
      <c r="AJ21" s="25"/>
    </row>
    <row r="22" spans="2:36" ht="12.75">
      <c r="B22" s="3" t="s">
        <v>63</v>
      </c>
      <c r="D22" s="5" t="s">
        <v>100</v>
      </c>
      <c r="E22" s="8"/>
      <c r="F22" s="8">
        <v>0.13</v>
      </c>
      <c r="G22" s="8"/>
      <c r="H22" s="23">
        <v>0.17</v>
      </c>
      <c r="I22" s="8"/>
      <c r="J22" s="23">
        <v>0.19</v>
      </c>
      <c r="K22" s="23"/>
      <c r="L22" s="39"/>
      <c r="M22" s="19" t="s">
        <v>21</v>
      </c>
      <c r="N22" s="25">
        <v>0.01</v>
      </c>
      <c r="O22" s="19" t="s">
        <v>21</v>
      </c>
      <c r="P22" s="12">
        <v>0.05</v>
      </c>
      <c r="Q22" s="19" t="s">
        <v>21</v>
      </c>
      <c r="R22" s="22">
        <v>0.05</v>
      </c>
      <c r="T22" s="39"/>
      <c r="U22" s="39"/>
      <c r="V22" s="39"/>
      <c r="W22" s="39"/>
      <c r="X22" s="39"/>
      <c r="Y22" s="39"/>
      <c r="Z22" s="39"/>
      <c r="AA22" s="39"/>
      <c r="AB22" s="39"/>
      <c r="AJ22" s="25"/>
    </row>
    <row r="23" spans="2:36" ht="12.75">
      <c r="B23" s="3" t="s">
        <v>50</v>
      </c>
      <c r="D23" s="5" t="s">
        <v>100</v>
      </c>
      <c r="E23" s="8"/>
      <c r="F23" s="8">
        <v>0.02</v>
      </c>
      <c r="G23" s="8"/>
      <c r="H23" s="23">
        <v>0.01</v>
      </c>
      <c r="I23" s="8"/>
      <c r="J23" s="23">
        <v>0.02</v>
      </c>
      <c r="K23" s="24"/>
      <c r="L23" s="39"/>
      <c r="M23" s="19" t="s">
        <v>21</v>
      </c>
      <c r="N23" s="12">
        <v>0.01</v>
      </c>
      <c r="O23" s="19" t="s">
        <v>21</v>
      </c>
      <c r="P23" s="12">
        <v>0.05</v>
      </c>
      <c r="Q23" s="19" t="s">
        <v>21</v>
      </c>
      <c r="R23" s="22">
        <v>0.05</v>
      </c>
      <c r="T23" s="39"/>
      <c r="U23" s="39"/>
      <c r="V23" s="39"/>
      <c r="W23" s="39"/>
      <c r="X23" s="39"/>
      <c r="Y23" s="39"/>
      <c r="Z23" s="39"/>
      <c r="AA23" s="39"/>
      <c r="AB23" s="39"/>
      <c r="AJ23" s="25"/>
    </row>
    <row r="24" spans="2:36" ht="12.75">
      <c r="B24" s="3" t="s">
        <v>56</v>
      </c>
      <c r="D24" s="5" t="s">
        <v>100</v>
      </c>
      <c r="E24" s="8"/>
      <c r="F24" s="8">
        <v>0.29</v>
      </c>
      <c r="G24" s="8"/>
      <c r="H24" s="23">
        <v>0.23</v>
      </c>
      <c r="I24" s="8"/>
      <c r="J24" s="23">
        <v>0.23</v>
      </c>
      <c r="K24" s="24"/>
      <c r="L24" s="39"/>
      <c r="M24" s="19"/>
      <c r="N24" s="12">
        <v>0.02</v>
      </c>
      <c r="O24" s="19"/>
      <c r="P24" s="12">
        <v>0.1</v>
      </c>
      <c r="Q24" s="19"/>
      <c r="R24" s="22">
        <v>0.1</v>
      </c>
      <c r="T24" s="39"/>
      <c r="U24" s="39"/>
      <c r="V24" s="39"/>
      <c r="W24" s="39"/>
      <c r="X24" s="39"/>
      <c r="Y24" s="39"/>
      <c r="Z24" s="39"/>
      <c r="AA24" s="39"/>
      <c r="AB24" s="39"/>
      <c r="AJ24" s="25"/>
    </row>
    <row r="25" spans="2:36" ht="12.75">
      <c r="B25" s="3" t="s">
        <v>77</v>
      </c>
      <c r="D25" s="5" t="s">
        <v>100</v>
      </c>
      <c r="E25" s="8"/>
      <c r="F25" s="8">
        <v>0.105</v>
      </c>
      <c r="G25" s="8"/>
      <c r="H25" s="23">
        <v>0.106</v>
      </c>
      <c r="I25" s="8"/>
      <c r="J25" s="23">
        <v>0.094</v>
      </c>
      <c r="K25" s="24"/>
      <c r="L25" s="39"/>
      <c r="M25" s="19"/>
      <c r="N25" s="12">
        <v>0.43</v>
      </c>
      <c r="O25" s="19"/>
      <c r="P25" s="12">
        <v>5.48</v>
      </c>
      <c r="Q25" s="19"/>
      <c r="R25" s="22">
        <v>1.54</v>
      </c>
      <c r="T25" s="39"/>
      <c r="U25" s="39"/>
      <c r="V25" s="39"/>
      <c r="W25" s="39"/>
      <c r="X25" s="39"/>
      <c r="Y25" s="39"/>
      <c r="Z25" s="39"/>
      <c r="AA25" s="39"/>
      <c r="AB25" s="39"/>
      <c r="AJ25" s="25"/>
    </row>
    <row r="26" spans="2:36" ht="12.75">
      <c r="B26" s="3" t="s">
        <v>57</v>
      </c>
      <c r="D26" s="5" t="s">
        <v>100</v>
      </c>
      <c r="E26" s="8"/>
      <c r="F26" s="8">
        <v>0.008</v>
      </c>
      <c r="G26" s="8"/>
      <c r="H26" s="23">
        <v>0.006</v>
      </c>
      <c r="I26" s="8"/>
      <c r="J26" s="23">
        <v>0.006</v>
      </c>
      <c r="K26" s="24"/>
      <c r="L26" s="39"/>
      <c r="M26" s="19" t="s">
        <v>21</v>
      </c>
      <c r="N26" s="12">
        <v>0.005</v>
      </c>
      <c r="O26" s="19" t="s">
        <v>21</v>
      </c>
      <c r="P26" s="12">
        <v>0.02</v>
      </c>
      <c r="Q26" s="19" t="s">
        <v>21</v>
      </c>
      <c r="R26" s="22">
        <v>0.02</v>
      </c>
      <c r="T26" s="39"/>
      <c r="U26" s="39"/>
      <c r="V26" s="39"/>
      <c r="W26" s="39"/>
      <c r="X26" s="39"/>
      <c r="Y26" s="39"/>
      <c r="Z26" s="39"/>
      <c r="AA26" s="39"/>
      <c r="AB26" s="39"/>
      <c r="AJ26" s="25"/>
    </row>
    <row r="27" spans="2:36" ht="12.75">
      <c r="B27" s="3" t="s">
        <v>153</v>
      </c>
      <c r="D27" s="5" t="s">
        <v>100</v>
      </c>
      <c r="E27" s="8" t="s">
        <v>21</v>
      </c>
      <c r="F27" s="8">
        <v>0.01</v>
      </c>
      <c r="G27" s="8" t="s">
        <v>21</v>
      </c>
      <c r="H27" s="23">
        <v>0.01</v>
      </c>
      <c r="I27" s="8" t="s">
        <v>21</v>
      </c>
      <c r="J27" s="23">
        <v>0.01</v>
      </c>
      <c r="K27" s="24"/>
      <c r="L27" s="39"/>
      <c r="M27" s="19" t="s">
        <v>21</v>
      </c>
      <c r="N27" s="12">
        <v>0.01</v>
      </c>
      <c r="O27" s="19" t="s">
        <v>21</v>
      </c>
      <c r="P27" s="12">
        <v>0.05</v>
      </c>
      <c r="Q27" s="19" t="s">
        <v>21</v>
      </c>
      <c r="R27" s="22">
        <v>0.05</v>
      </c>
      <c r="T27" s="39"/>
      <c r="U27" s="39"/>
      <c r="V27" s="39"/>
      <c r="W27" s="39"/>
      <c r="X27" s="39"/>
      <c r="Y27" s="39"/>
      <c r="Z27" s="39"/>
      <c r="AA27" s="39"/>
      <c r="AB27" s="39"/>
      <c r="AJ27" s="25"/>
    </row>
    <row r="28" spans="2:28" ht="12.75">
      <c r="B28" s="3" t="s">
        <v>65</v>
      </c>
      <c r="D28" s="5" t="s">
        <v>100</v>
      </c>
      <c r="E28" s="8"/>
      <c r="F28" s="8">
        <v>0.73</v>
      </c>
      <c r="H28" s="23">
        <v>1.83</v>
      </c>
      <c r="I28" s="23"/>
      <c r="J28" s="23">
        <v>2.44</v>
      </c>
      <c r="K28" s="24"/>
      <c r="L28" s="39"/>
      <c r="M28" s="19" t="s">
        <v>21</v>
      </c>
      <c r="N28" s="12">
        <v>0.02</v>
      </c>
      <c r="O28" s="19" t="s">
        <v>21</v>
      </c>
      <c r="P28" s="12">
        <v>0.1</v>
      </c>
      <c r="Q28" s="19" t="s">
        <v>21</v>
      </c>
      <c r="R28" s="22">
        <v>0.1</v>
      </c>
      <c r="T28" s="39"/>
      <c r="U28" s="39"/>
      <c r="V28" s="39"/>
      <c r="W28" s="39"/>
      <c r="X28" s="39"/>
      <c r="Y28" s="39"/>
      <c r="Z28" s="39"/>
      <c r="AA28" s="39"/>
      <c r="AB28" s="39"/>
    </row>
    <row r="29" spans="2:38" ht="12.75">
      <c r="B29" s="3" t="s">
        <v>76</v>
      </c>
      <c r="D29" s="5" t="s">
        <v>100</v>
      </c>
      <c r="E29" s="8"/>
      <c r="F29" s="8">
        <v>0.0005</v>
      </c>
      <c r="H29" s="23">
        <v>0.0005</v>
      </c>
      <c r="I29" s="23"/>
      <c r="J29" s="23">
        <v>0.0005</v>
      </c>
      <c r="K29" s="24"/>
      <c r="L29" s="39"/>
      <c r="M29" s="19"/>
      <c r="N29" s="41">
        <f>250*0.000000001*N13</f>
        <v>2.5250000000000007E-07</v>
      </c>
      <c r="P29" s="41">
        <f>250*0.000000001*P13</f>
        <v>2.575000000000001E-07</v>
      </c>
      <c r="R29" s="41">
        <f>250*0.000000001*R13</f>
        <v>2.575000000000001E-07</v>
      </c>
      <c r="T29" s="39"/>
      <c r="U29" s="39"/>
      <c r="V29" s="39"/>
      <c r="W29" s="39"/>
      <c r="X29" s="39"/>
      <c r="Y29" s="39"/>
      <c r="Z29" s="39"/>
      <c r="AA29" s="39"/>
      <c r="AB29" s="39"/>
      <c r="AJ29" s="25"/>
      <c r="AL29" s="25"/>
    </row>
    <row r="30" spans="5:11" ht="12.75">
      <c r="E30" s="24"/>
      <c r="H30" s="23"/>
      <c r="I30" s="23"/>
      <c r="J30" s="24"/>
      <c r="K30" s="24"/>
    </row>
    <row r="31" spans="2:28" ht="12.75">
      <c r="B31" s="5" t="s">
        <v>30</v>
      </c>
      <c r="D31" s="5" t="s">
        <v>17</v>
      </c>
      <c r="E31" s="24"/>
      <c r="F31" s="6">
        <f>emiss!$G$21</f>
        <v>112470</v>
      </c>
      <c r="H31" s="6">
        <f>emiss!$I$21</f>
        <v>114689</v>
      </c>
      <c r="I31" s="23"/>
      <c r="J31" s="6">
        <f>emiss!$K$21</f>
        <v>105714</v>
      </c>
      <c r="K31" s="24"/>
      <c r="L31" s="6">
        <f>emiss!$M$21</f>
        <v>110957.66666666667</v>
      </c>
      <c r="N31" s="6">
        <f>emiss!$G$21</f>
        <v>112470</v>
      </c>
      <c r="O31" s="24"/>
      <c r="P31" s="6">
        <f>emiss!$I$21</f>
        <v>114689</v>
      </c>
      <c r="Q31" s="23"/>
      <c r="R31" s="6">
        <f>emiss!$K$21</f>
        <v>105714</v>
      </c>
      <c r="S31" s="24"/>
      <c r="T31" s="6">
        <f>emiss!$M$21</f>
        <v>110957.66666666667</v>
      </c>
      <c r="U31" s="6"/>
      <c r="V31" s="6"/>
      <c r="W31" s="6"/>
      <c r="X31" s="6"/>
      <c r="Y31" s="6"/>
      <c r="Z31" s="6"/>
      <c r="AA31" s="6"/>
      <c r="AB31" s="6"/>
    </row>
    <row r="32" spans="2:28" ht="12.75">
      <c r="B32" s="5" t="s">
        <v>31</v>
      </c>
      <c r="D32" s="5" t="s">
        <v>18</v>
      </c>
      <c r="E32" s="24"/>
      <c r="F32" s="6">
        <f>emiss!$G$28</f>
        <v>1.87</v>
      </c>
      <c r="H32" s="6">
        <f>emiss!$I$28</f>
        <v>2.62</v>
      </c>
      <c r="I32" s="23"/>
      <c r="J32" s="6">
        <f>emiss!$K$28</f>
        <v>2.41</v>
      </c>
      <c r="K32" s="24"/>
      <c r="L32" s="6">
        <f>emiss!$M$28</f>
        <v>2.3000000000000003</v>
      </c>
      <c r="N32" s="6">
        <f>emiss!$G$28</f>
        <v>1.87</v>
      </c>
      <c r="O32" s="24"/>
      <c r="P32" s="6">
        <f>emiss!$I$28</f>
        <v>2.62</v>
      </c>
      <c r="Q32" s="23"/>
      <c r="R32" s="6">
        <f>emiss!$K$28</f>
        <v>2.41</v>
      </c>
      <c r="S32" s="24"/>
      <c r="T32" s="6">
        <f>emiss!$M$28</f>
        <v>2.3000000000000003</v>
      </c>
      <c r="U32" s="6"/>
      <c r="V32" s="6"/>
      <c r="W32" s="6"/>
      <c r="X32" s="6"/>
      <c r="Y32" s="6"/>
      <c r="Z32" s="6"/>
      <c r="AA32" s="6"/>
      <c r="AB32" s="6"/>
    </row>
    <row r="33" spans="5:11" ht="12.75">
      <c r="E33" s="24"/>
      <c r="H33" s="23"/>
      <c r="I33" s="23"/>
      <c r="J33" s="24"/>
      <c r="K33" s="24"/>
    </row>
    <row r="34" spans="2:16" ht="12.75">
      <c r="B34" s="5" t="s">
        <v>68</v>
      </c>
      <c r="D34" s="5" t="s">
        <v>26</v>
      </c>
      <c r="E34" s="24"/>
      <c r="F34" s="6"/>
      <c r="G34" s="7"/>
      <c r="H34" s="6"/>
      <c r="I34" s="6"/>
      <c r="J34" s="24"/>
      <c r="K34" s="24"/>
      <c r="P34" s="25"/>
    </row>
    <row r="35" spans="2:16" ht="12.75">
      <c r="B35" s="5" t="s">
        <v>154</v>
      </c>
      <c r="D35" s="5" t="s">
        <v>26</v>
      </c>
      <c r="E35" s="24"/>
      <c r="F35" s="22"/>
      <c r="G35" s="7"/>
      <c r="H35" s="6"/>
      <c r="I35" s="6"/>
      <c r="J35" s="24"/>
      <c r="K35" s="24"/>
      <c r="P35" s="6"/>
    </row>
    <row r="36" spans="5:16" ht="12.75">
      <c r="E36" s="24"/>
      <c r="F36" s="22"/>
      <c r="G36" s="7"/>
      <c r="H36" s="6"/>
      <c r="I36" s="6"/>
      <c r="J36" s="24"/>
      <c r="K36" s="24"/>
      <c r="P36" s="6"/>
    </row>
    <row r="37" spans="2:16" ht="12.75">
      <c r="B37" s="34" t="s">
        <v>44</v>
      </c>
      <c r="C37" s="34"/>
      <c r="E37" s="24"/>
      <c r="F37" s="22"/>
      <c r="G37" s="7"/>
      <c r="H37" s="6"/>
      <c r="I37" s="6"/>
      <c r="J37" s="24"/>
      <c r="K37" s="24"/>
      <c r="P37" s="6"/>
    </row>
    <row r="38" spans="2:44" ht="12.75">
      <c r="B38" s="5" t="s">
        <v>23</v>
      </c>
      <c r="D38" s="5" t="s">
        <v>32</v>
      </c>
      <c r="E38" s="8"/>
      <c r="F38" s="27">
        <f>F15/100*F$9*454/60/0.0283/F$31*(21-7)/(21-F$32)*1000</f>
        <v>12.133389608881386</v>
      </c>
      <c r="H38" s="27">
        <f>H15/100*H$9*454/60/0.0283/H$31*(21-7)/(21-H$32)*1000</f>
        <v>18.568164900183355</v>
      </c>
      <c r="I38" s="25"/>
      <c r="J38" s="27">
        <f>J15/100*J$9*454/60/0.0283/J$31*(21-7)/(21-J$32)*1000</f>
        <v>19.899698444889868</v>
      </c>
      <c r="L38" s="25">
        <f aca="true" t="shared" si="0" ref="L38:L52">AVERAGE(J38,H38,F38)</f>
        <v>16.867084317984872</v>
      </c>
      <c r="M38" s="25"/>
      <c r="N38" s="27">
        <f>N15/100*N$9*454/60/0.0283/N$31*(21-7)/(21-N$32)*1000</f>
        <v>2.1077853000650224</v>
      </c>
      <c r="O38" s="25"/>
      <c r="P38" s="27">
        <f>P15/100*P$9*454/60/0.0283/P$31*(21-7)/(21-P$32)*1000</f>
        <v>2.2012687012245244</v>
      </c>
      <c r="Q38" s="25"/>
      <c r="R38" s="27">
        <f>R15/100*R$9*454/60/0.0283/R$31*(21-7)/(21-R$32)*1000</f>
        <v>2.3552881914338766</v>
      </c>
      <c r="S38" s="25"/>
      <c r="T38" s="25">
        <f>AVERAGE(R38,P38,N38)</f>
        <v>2.2214473975744746</v>
      </c>
      <c r="U38" s="25"/>
      <c r="V38" s="25">
        <f>SUM(F38,N38)</f>
        <v>14.241174908946409</v>
      </c>
      <c r="W38" s="25"/>
      <c r="X38" s="25">
        <f>SUM(H38,P38)</f>
        <v>20.76943360140788</v>
      </c>
      <c r="Y38" s="25"/>
      <c r="Z38" s="25">
        <f>SUM(J38,R38)</f>
        <v>22.254986636323743</v>
      </c>
      <c r="AA38" s="25"/>
      <c r="AB38" s="25">
        <f>AVERAGE(Z38,X38,V38)</f>
        <v>19.08853171555934</v>
      </c>
      <c r="AL38" s="25">
        <f>V38</f>
        <v>14.241174908946409</v>
      </c>
      <c r="AN38" s="25">
        <f>X38</f>
        <v>20.76943360140788</v>
      </c>
      <c r="AP38" s="25">
        <f>Z38</f>
        <v>22.254986636323743</v>
      </c>
      <c r="AR38" s="25">
        <f>AB38</f>
        <v>19.08853171555934</v>
      </c>
    </row>
    <row r="39" spans="2:44" ht="12.75">
      <c r="B39" s="5" t="s">
        <v>88</v>
      </c>
      <c r="D39" s="5" t="s">
        <v>27</v>
      </c>
      <c r="E39" s="8"/>
      <c r="F39" s="30">
        <f aca="true" t="shared" si="1" ref="F39:F52">F16/F$13*F$9*454/60/0.0283/F$31*(21-7)/(21-F$32)*1000000</f>
        <v>180198855.5774463</v>
      </c>
      <c r="G39" s="45"/>
      <c r="H39" s="30">
        <f aca="true" t="shared" si="2" ref="H39:H52">H16/H$13*H$9*454/60/0.0283/H$31*(21-7)/(21-H$32)*1000000</f>
        <v>367686433.66699725</v>
      </c>
      <c r="I39" s="43"/>
      <c r="J39" s="30">
        <f aca="true" t="shared" si="3" ref="J39:J52">J16/J$13*J$9*454/60/0.0283/J$31*(21-7)/(21-J$32)*1000000</f>
        <v>394053434.5522746</v>
      </c>
      <c r="K39" s="43"/>
      <c r="L39" s="43">
        <f t="shared" si="0"/>
        <v>313979574.5989061</v>
      </c>
      <c r="M39" s="43"/>
      <c r="N39" s="30">
        <f aca="true" t="shared" si="4" ref="N39:N52">N16/N$13*N$9*454/60/0.0283/N$31*(21-7)/(21-N$32)*1000000</f>
        <v>52172903.466956005</v>
      </c>
      <c r="O39" s="43"/>
      <c r="P39" s="30">
        <f aca="true" t="shared" si="5" ref="P39:P52">P16/P$13*P$9*454/60/0.0283/P$31*(21-7)/(21-P$32)*1000000</f>
        <v>42743081.57717523</v>
      </c>
      <c r="Q39" s="43"/>
      <c r="R39" s="30">
        <f aca="true" t="shared" si="6" ref="R39:R52">R16/R$13*R$9*454/60/0.0283/R$31*(21-7)/(21-R$32)*1000000</f>
        <v>34300313.46748364</v>
      </c>
      <c r="S39" s="43"/>
      <c r="T39" s="43">
        <f aca="true" t="shared" si="7" ref="T39:T52">AVERAGE(R39,P39,N39)</f>
        <v>43072099.50387163</v>
      </c>
      <c r="U39" s="43"/>
      <c r="V39" s="43">
        <f aca="true" t="shared" si="8" ref="V39:V52">SUM(F39,N39)</f>
        <v>232371759.0444023</v>
      </c>
      <c r="W39" s="43"/>
      <c r="X39" s="43">
        <f aca="true" t="shared" si="9" ref="X39:X52">SUM(H39,P39)</f>
        <v>410429515.24417245</v>
      </c>
      <c r="Y39" s="43"/>
      <c r="Z39" s="43">
        <f aca="true" t="shared" si="10" ref="Z39:Z52">SUM(J39,R39)</f>
        <v>428353748.0197582</v>
      </c>
      <c r="AA39" s="43"/>
      <c r="AB39" s="43">
        <f aca="true" t="shared" si="11" ref="AB39:AB54">AVERAGE(Z39,X39,V39)</f>
        <v>357051674.10277766</v>
      </c>
      <c r="AC39" s="43"/>
      <c r="AD39" s="30"/>
      <c r="AE39" s="43"/>
      <c r="AF39" s="30"/>
      <c r="AG39" s="43"/>
      <c r="AH39" s="30"/>
      <c r="AI39" s="43"/>
      <c r="AJ39" s="30"/>
      <c r="AK39" s="43"/>
      <c r="AL39" s="43">
        <f aca="true" t="shared" si="12" ref="AL39:AR54">V39</f>
        <v>232371759.0444023</v>
      </c>
      <c r="AM39" s="43"/>
      <c r="AN39" s="43">
        <f t="shared" si="12"/>
        <v>410429515.24417245</v>
      </c>
      <c r="AO39" s="43"/>
      <c r="AP39" s="43">
        <f t="shared" si="12"/>
        <v>428353748.0197582</v>
      </c>
      <c r="AQ39" s="43"/>
      <c r="AR39" s="43">
        <f t="shared" si="12"/>
        <v>357051674.10277766</v>
      </c>
    </row>
    <row r="40" spans="2:44" ht="12.75">
      <c r="B40" s="3" t="s">
        <v>51</v>
      </c>
      <c r="D40" s="5" t="s">
        <v>27</v>
      </c>
      <c r="E40" s="8">
        <v>100</v>
      </c>
      <c r="F40" s="30">
        <f t="shared" si="1"/>
        <v>3603977.111548927</v>
      </c>
      <c r="G40" s="30">
        <v>100</v>
      </c>
      <c r="H40" s="30">
        <f t="shared" si="2"/>
        <v>3676864.3366699717</v>
      </c>
      <c r="I40" s="30">
        <v>100</v>
      </c>
      <c r="J40" s="30">
        <f t="shared" si="3"/>
        <v>3940534.345522747</v>
      </c>
      <c r="K40" s="30">
        <v>100</v>
      </c>
      <c r="L40" s="43">
        <f t="shared" si="0"/>
        <v>3740458.5979138818</v>
      </c>
      <c r="M40" s="43"/>
      <c r="N40" s="30">
        <f t="shared" si="4"/>
        <v>626074.8416034718</v>
      </c>
      <c r="O40" s="43"/>
      <c r="P40" s="30">
        <f t="shared" si="5"/>
        <v>662517.7644462159</v>
      </c>
      <c r="Q40" s="43"/>
      <c r="R40" s="30">
        <f t="shared" si="6"/>
        <v>3430031.3467483637</v>
      </c>
      <c r="S40" s="43"/>
      <c r="T40" s="43">
        <f t="shared" si="7"/>
        <v>1572874.6509326838</v>
      </c>
      <c r="U40" s="43">
        <f>SUM((N40*M40/100),(F40*E40/100))/V40*100</f>
        <v>85.19935810393781</v>
      </c>
      <c r="V40" s="43">
        <f t="shared" si="8"/>
        <v>4230051.953152399</v>
      </c>
      <c r="W40" s="43">
        <f>SUM((P40*O40/100),(H40*G40/100))/X40*100</f>
        <v>84.73244003389789</v>
      </c>
      <c r="X40" s="43">
        <f t="shared" si="9"/>
        <v>4339382.101116188</v>
      </c>
      <c r="Y40" s="43">
        <f>SUM((R40*Q40/100),(J40*I40/100))/Z40*100</f>
        <v>53.46311952222137</v>
      </c>
      <c r="Z40" s="43">
        <f t="shared" si="10"/>
        <v>7370565.692271111</v>
      </c>
      <c r="AA40" s="43">
        <f>SUM((Z40*Y40/100),(X40*W40/100),(V40*U40/100))/AB40*100/3</f>
        <v>70.39759079154074</v>
      </c>
      <c r="AB40" s="43">
        <f t="shared" si="11"/>
        <v>5313333.248846565</v>
      </c>
      <c r="AC40" s="43"/>
      <c r="AD40" s="30"/>
      <c r="AE40" s="43"/>
      <c r="AF40" s="30"/>
      <c r="AG40" s="43"/>
      <c r="AH40" s="30"/>
      <c r="AI40" s="43"/>
      <c r="AJ40" s="30"/>
      <c r="AK40" s="43">
        <f aca="true" t="shared" si="13" ref="AK40:AQ40">SUM((AD40*AC40/100),(V40*U40/100))/AL40*100</f>
        <v>85.19935810393781</v>
      </c>
      <c r="AL40" s="43">
        <f t="shared" si="12"/>
        <v>4230051.953152399</v>
      </c>
      <c r="AM40" s="43">
        <f t="shared" si="13"/>
        <v>84.73244003389789</v>
      </c>
      <c r="AN40" s="43">
        <f t="shared" si="12"/>
        <v>4339382.101116188</v>
      </c>
      <c r="AO40" s="43">
        <f t="shared" si="13"/>
        <v>53.46311952222137</v>
      </c>
      <c r="AP40" s="43">
        <f t="shared" si="12"/>
        <v>7370565.692271111</v>
      </c>
      <c r="AQ40" s="43">
        <f t="shared" si="13"/>
        <v>70.39759079154074</v>
      </c>
      <c r="AR40" s="43">
        <f t="shared" si="12"/>
        <v>5313333.248846565</v>
      </c>
    </row>
    <row r="41" spans="2:44" ht="12.75">
      <c r="B41" s="3" t="s">
        <v>52</v>
      </c>
      <c r="D41" s="5" t="s">
        <v>27</v>
      </c>
      <c r="E41" s="8"/>
      <c r="F41" s="30">
        <f t="shared" si="1"/>
        <v>5405965.66732339</v>
      </c>
      <c r="G41" s="30"/>
      <c r="H41" s="30">
        <f t="shared" si="2"/>
        <v>5515296.505004958</v>
      </c>
      <c r="I41" s="30"/>
      <c r="J41" s="30">
        <f t="shared" si="3"/>
        <v>5910801.51828412</v>
      </c>
      <c r="K41" s="30"/>
      <c r="L41" s="43">
        <f t="shared" si="0"/>
        <v>5610687.896870822</v>
      </c>
      <c r="M41" s="43"/>
      <c r="N41" s="30">
        <f t="shared" si="4"/>
        <v>2504299.366413887</v>
      </c>
      <c r="O41" s="43"/>
      <c r="P41" s="30">
        <f t="shared" si="5"/>
        <v>32271026.590767298</v>
      </c>
      <c r="Q41" s="43"/>
      <c r="R41" s="30">
        <f t="shared" si="6"/>
        <v>9832756.527345309</v>
      </c>
      <c r="S41" s="43"/>
      <c r="T41" s="43">
        <f t="shared" si="7"/>
        <v>14869360.828175498</v>
      </c>
      <c r="U41" s="43"/>
      <c r="V41" s="43">
        <f t="shared" si="8"/>
        <v>7910265.033737278</v>
      </c>
      <c r="W41" s="43"/>
      <c r="X41" s="43">
        <f t="shared" si="9"/>
        <v>37786323.09577226</v>
      </c>
      <c r="Y41" s="43"/>
      <c r="Z41" s="43">
        <f t="shared" si="10"/>
        <v>15743558.045629429</v>
      </c>
      <c r="AA41" s="43"/>
      <c r="AB41" s="43">
        <f t="shared" si="11"/>
        <v>20480048.72504632</v>
      </c>
      <c r="AC41" s="43"/>
      <c r="AD41" s="30"/>
      <c r="AE41" s="43"/>
      <c r="AF41" s="30"/>
      <c r="AG41" s="43"/>
      <c r="AH41" s="30"/>
      <c r="AI41" s="43"/>
      <c r="AJ41" s="30"/>
      <c r="AK41" s="43"/>
      <c r="AL41" s="43">
        <f t="shared" si="12"/>
        <v>7910265.033737278</v>
      </c>
      <c r="AM41" s="43"/>
      <c r="AN41" s="43">
        <f t="shared" si="12"/>
        <v>37786323.09577226</v>
      </c>
      <c r="AO41" s="43"/>
      <c r="AP41" s="43">
        <f t="shared" si="12"/>
        <v>15743558.045629429</v>
      </c>
      <c r="AQ41" s="43"/>
      <c r="AR41" s="43">
        <f t="shared" si="12"/>
        <v>20480048.72504632</v>
      </c>
    </row>
    <row r="42" spans="2:44" ht="12.75">
      <c r="B42" s="3" t="s">
        <v>53</v>
      </c>
      <c r="D42" s="5" t="s">
        <v>27</v>
      </c>
      <c r="E42" s="8"/>
      <c r="F42" s="30">
        <f t="shared" si="1"/>
        <v>1741922.270581981</v>
      </c>
      <c r="G42" s="30"/>
      <c r="H42" s="30">
        <f t="shared" si="2"/>
        <v>1715870.0237793203</v>
      </c>
      <c r="I42" s="30"/>
      <c r="J42" s="30">
        <f t="shared" si="3"/>
        <v>1641889.3106344778</v>
      </c>
      <c r="K42" s="30"/>
      <c r="L42" s="43">
        <f t="shared" si="0"/>
        <v>1699893.8683319262</v>
      </c>
      <c r="M42" s="44">
        <v>100</v>
      </c>
      <c r="N42" s="30">
        <f t="shared" si="4"/>
        <v>52172.90346695599</v>
      </c>
      <c r="O42" s="44">
        <v>100</v>
      </c>
      <c r="P42" s="30">
        <f t="shared" si="5"/>
        <v>213715.4078858761</v>
      </c>
      <c r="Q42" s="44">
        <v>100</v>
      </c>
      <c r="R42" s="30">
        <f t="shared" si="6"/>
        <v>228668.75644989093</v>
      </c>
      <c r="S42" s="44">
        <v>100</v>
      </c>
      <c r="T42" s="43">
        <f t="shared" si="7"/>
        <v>164852.355934241</v>
      </c>
      <c r="U42" s="43">
        <f>SUM((N42*M42/100),(F42*E42/100))/V42*100</f>
        <v>2.9080343240214797</v>
      </c>
      <c r="V42" s="43">
        <f t="shared" si="8"/>
        <v>1794095.174048937</v>
      </c>
      <c r="W42" s="43">
        <f>SUM((P42*O42/100),(H42*G42/100))/X42*100</f>
        <v>11.075716284893574</v>
      </c>
      <c r="X42" s="43">
        <f t="shared" si="9"/>
        <v>1929585.4316651963</v>
      </c>
      <c r="Y42" s="43">
        <f>SUM((R42*Q42/100),(J42*I42/100))/Z42*100</f>
        <v>12.224627530879914</v>
      </c>
      <c r="Z42" s="43">
        <f t="shared" si="10"/>
        <v>1870558.0670843688</v>
      </c>
      <c r="AA42" s="43">
        <f aca="true" t="shared" si="14" ref="AA42:AA54">SUM((Z42*Y42/100),(X42*W42/100),(V42*U42/100))/AB42*100/3</f>
        <v>8.840471362215267</v>
      </c>
      <c r="AB42" s="43">
        <f t="shared" si="11"/>
        <v>1864746.2242661675</v>
      </c>
      <c r="AC42" s="43"/>
      <c r="AD42" s="30"/>
      <c r="AE42" s="43"/>
      <c r="AF42" s="30"/>
      <c r="AG42" s="43"/>
      <c r="AH42" s="30"/>
      <c r="AI42" s="43"/>
      <c r="AJ42" s="30"/>
      <c r="AK42" s="43">
        <f>SUM((AD42*AC42/100),(V42*U42/100))/AL42*100</f>
        <v>2.9080343240214797</v>
      </c>
      <c r="AL42" s="43">
        <f t="shared" si="12"/>
        <v>1794095.174048937</v>
      </c>
      <c r="AM42" s="43">
        <f>SUM((AF42*AE42/100),(X42*W42/100))/AN42*100</f>
        <v>11.075716284893574</v>
      </c>
      <c r="AN42" s="43">
        <f t="shared" si="12"/>
        <v>1929585.4316651963</v>
      </c>
      <c r="AO42" s="43">
        <f>SUM((AH42*AG42/100),(Z42*Y42/100))/AP42*100</f>
        <v>12.224627530879914</v>
      </c>
      <c r="AP42" s="43">
        <f t="shared" si="12"/>
        <v>1870558.0670843688</v>
      </c>
      <c r="AQ42" s="43">
        <f>SUM((AJ42*AI42/100),(AB42*AA42/100))/AR42*100</f>
        <v>8.840471362215267</v>
      </c>
      <c r="AR42" s="43">
        <f t="shared" si="12"/>
        <v>1864746.2242661675</v>
      </c>
    </row>
    <row r="43" spans="2:44" ht="12.75">
      <c r="B43" s="3" t="s">
        <v>54</v>
      </c>
      <c r="D43" s="5" t="s">
        <v>27</v>
      </c>
      <c r="E43" s="8">
        <v>100</v>
      </c>
      <c r="F43" s="30">
        <f t="shared" si="1"/>
        <v>300331.4259624106</v>
      </c>
      <c r="G43" s="30">
        <v>100</v>
      </c>
      <c r="H43" s="30">
        <f t="shared" si="2"/>
        <v>306405.36138916435</v>
      </c>
      <c r="I43" s="30">
        <v>100</v>
      </c>
      <c r="J43" s="30">
        <f t="shared" si="3"/>
        <v>328377.8621268956</v>
      </c>
      <c r="K43" s="30">
        <v>100</v>
      </c>
      <c r="L43" s="43">
        <f t="shared" si="0"/>
        <v>311704.8831594901</v>
      </c>
      <c r="M43" s="44">
        <v>100</v>
      </c>
      <c r="N43" s="30">
        <f t="shared" si="4"/>
        <v>52172.90346695599</v>
      </c>
      <c r="O43" s="44">
        <v>100</v>
      </c>
      <c r="P43" s="30">
        <f t="shared" si="5"/>
        <v>213715.4078858761</v>
      </c>
      <c r="Q43" s="44">
        <v>100</v>
      </c>
      <c r="R43" s="30">
        <f t="shared" si="6"/>
        <v>228668.75644989093</v>
      </c>
      <c r="S43" s="44">
        <v>100</v>
      </c>
      <c r="T43" s="43">
        <f t="shared" si="7"/>
        <v>164852.355934241</v>
      </c>
      <c r="U43" s="43">
        <f aca="true" t="shared" si="15" ref="U43:U54">SUM((N43*M43/100),(F43*E43/100))/V43*100</f>
        <v>100</v>
      </c>
      <c r="V43" s="43">
        <f t="shared" si="8"/>
        <v>352504.32942936657</v>
      </c>
      <c r="W43" s="43">
        <f aca="true" t="shared" si="16" ref="W43:W54">SUM((P43*O43/100),(H43*G43/100))/X43*100</f>
        <v>100</v>
      </c>
      <c r="X43" s="43">
        <f t="shared" si="9"/>
        <v>520120.7692750405</v>
      </c>
      <c r="Y43" s="43">
        <f aca="true" t="shared" si="17" ref="Y43:Y54">SUM((R43*Q43/100),(J43*I43/100))/Z43*100</f>
        <v>100</v>
      </c>
      <c r="Z43" s="43">
        <f t="shared" si="10"/>
        <v>557046.6185767865</v>
      </c>
      <c r="AA43" s="43">
        <f t="shared" si="14"/>
        <v>100</v>
      </c>
      <c r="AB43" s="43">
        <f t="shared" si="11"/>
        <v>476557.23909373116</v>
      </c>
      <c r="AC43" s="43"/>
      <c r="AD43" s="30"/>
      <c r="AE43" s="43"/>
      <c r="AF43" s="30"/>
      <c r="AG43" s="43"/>
      <c r="AH43" s="30"/>
      <c r="AI43" s="43"/>
      <c r="AJ43" s="30"/>
      <c r="AK43" s="43">
        <f>SUM((AD43*AC43/100),(V43*U43/100))/AL43*100</f>
        <v>100</v>
      </c>
      <c r="AL43" s="43">
        <f t="shared" si="12"/>
        <v>352504.32942936657</v>
      </c>
      <c r="AM43" s="43">
        <f>SUM((AF43*AE43/100),(X43*W43/100))/AN43*100</f>
        <v>100</v>
      </c>
      <c r="AN43" s="43">
        <f t="shared" si="12"/>
        <v>520120.7692750405</v>
      </c>
      <c r="AO43" s="43">
        <f>SUM((AH43*AG43/100),(Z43*Y43/100))/AP43*100</f>
        <v>100</v>
      </c>
      <c r="AP43" s="43">
        <f t="shared" si="12"/>
        <v>557046.6185767865</v>
      </c>
      <c r="AQ43" s="43">
        <f>SUM((AJ43*AI43/100),(AB43*AA43/100))/AR43*100</f>
        <v>100.00000000000003</v>
      </c>
      <c r="AR43" s="43">
        <f t="shared" si="12"/>
        <v>476557.23909373116</v>
      </c>
    </row>
    <row r="44" spans="2:44" ht="12.75">
      <c r="B44" s="3" t="s">
        <v>55</v>
      </c>
      <c r="D44" s="5" t="s">
        <v>27</v>
      </c>
      <c r="E44" s="8">
        <v>100</v>
      </c>
      <c r="F44" s="30">
        <f t="shared" si="1"/>
        <v>300331.4259624106</v>
      </c>
      <c r="G44" s="30">
        <v>100</v>
      </c>
      <c r="H44" s="30">
        <f t="shared" si="2"/>
        <v>306405.36138916435</v>
      </c>
      <c r="I44" s="30">
        <v>100</v>
      </c>
      <c r="J44" s="30">
        <f t="shared" si="3"/>
        <v>328377.8621268956</v>
      </c>
      <c r="K44" s="30">
        <v>100</v>
      </c>
      <c r="L44" s="43">
        <f t="shared" si="0"/>
        <v>311704.8831594901</v>
      </c>
      <c r="M44" s="44">
        <v>100</v>
      </c>
      <c r="N44" s="30">
        <f t="shared" si="4"/>
        <v>52172.90346695599</v>
      </c>
      <c r="O44" s="44">
        <v>100</v>
      </c>
      <c r="P44" s="30">
        <f t="shared" si="5"/>
        <v>213715.4078858761</v>
      </c>
      <c r="Q44" s="44">
        <v>100</v>
      </c>
      <c r="R44" s="30">
        <f t="shared" si="6"/>
        <v>228668.75644989093</v>
      </c>
      <c r="S44" s="44">
        <v>100</v>
      </c>
      <c r="T44" s="43">
        <f t="shared" si="7"/>
        <v>164852.355934241</v>
      </c>
      <c r="U44" s="43">
        <f t="shared" si="15"/>
        <v>100</v>
      </c>
      <c r="V44" s="43">
        <f t="shared" si="8"/>
        <v>352504.32942936657</v>
      </c>
      <c r="W44" s="43">
        <f t="shared" si="16"/>
        <v>100</v>
      </c>
      <c r="X44" s="43">
        <f t="shared" si="9"/>
        <v>520120.7692750405</v>
      </c>
      <c r="Y44" s="43">
        <f t="shared" si="17"/>
        <v>100</v>
      </c>
      <c r="Z44" s="43">
        <f t="shared" si="10"/>
        <v>557046.6185767865</v>
      </c>
      <c r="AA44" s="43">
        <f t="shared" si="14"/>
        <v>100</v>
      </c>
      <c r="AB44" s="43">
        <f t="shared" si="11"/>
        <v>476557.23909373116</v>
      </c>
      <c r="AC44" s="43"/>
      <c r="AD44" s="30"/>
      <c r="AE44" s="43"/>
      <c r="AF44" s="30"/>
      <c r="AG44" s="43"/>
      <c r="AH44" s="30"/>
      <c r="AI44" s="43"/>
      <c r="AJ44" s="30"/>
      <c r="AK44" s="43">
        <f>SUM((AD44*AC44/100),(V44*U44/100))/AL44*100</f>
        <v>100</v>
      </c>
      <c r="AL44" s="43">
        <f t="shared" si="12"/>
        <v>352504.32942936657</v>
      </c>
      <c r="AM44" s="43">
        <f>SUM((AF44*AE44/100),(X44*W44/100))/AN44*100</f>
        <v>100</v>
      </c>
      <c r="AN44" s="43">
        <f t="shared" si="12"/>
        <v>520120.7692750405</v>
      </c>
      <c r="AO44" s="43">
        <f>SUM((AH44*AG44/100),(Z44*Y44/100))/AP44*100</f>
        <v>100</v>
      </c>
      <c r="AP44" s="43">
        <f t="shared" si="12"/>
        <v>557046.6185767865</v>
      </c>
      <c r="AQ44" s="43">
        <f>SUM((AJ44*AI44/100),(AB44*AA44/100))/AR44*100</f>
        <v>100.00000000000003</v>
      </c>
      <c r="AR44" s="43">
        <f t="shared" si="12"/>
        <v>476557.23909373116</v>
      </c>
    </row>
    <row r="45" spans="2:44" ht="12.75">
      <c r="B45" s="3" t="s">
        <v>63</v>
      </c>
      <c r="D45" s="5" t="s">
        <v>27</v>
      </c>
      <c r="E45" s="8"/>
      <c r="F45" s="30">
        <f t="shared" si="1"/>
        <v>7808617.075022676</v>
      </c>
      <c r="G45" s="30"/>
      <c r="H45" s="30">
        <f t="shared" si="2"/>
        <v>10417782.287231589</v>
      </c>
      <c r="I45" s="30"/>
      <c r="J45" s="30">
        <f t="shared" si="3"/>
        <v>12478358.76082203</v>
      </c>
      <c r="K45" s="30"/>
      <c r="L45" s="43">
        <f t="shared" si="0"/>
        <v>10234919.374358764</v>
      </c>
      <c r="M45" s="44">
        <v>100</v>
      </c>
      <c r="N45" s="30">
        <f t="shared" si="4"/>
        <v>104345.80693391198</v>
      </c>
      <c r="O45" s="44">
        <v>100</v>
      </c>
      <c r="P45" s="30">
        <f t="shared" si="5"/>
        <v>534288.5197146903</v>
      </c>
      <c r="Q45" s="44">
        <v>100</v>
      </c>
      <c r="R45" s="30">
        <f t="shared" si="6"/>
        <v>571671.8911247272</v>
      </c>
      <c r="S45" s="44">
        <v>100</v>
      </c>
      <c r="T45" s="43">
        <f t="shared" si="7"/>
        <v>403435.40592444316</v>
      </c>
      <c r="U45" s="43">
        <f t="shared" si="15"/>
        <v>1.3186692328842449</v>
      </c>
      <c r="V45" s="43">
        <f t="shared" si="8"/>
        <v>7912962.8819565885</v>
      </c>
      <c r="W45" s="43">
        <f t="shared" si="16"/>
        <v>4.878424629758796</v>
      </c>
      <c r="X45" s="43">
        <f t="shared" si="9"/>
        <v>10952070.80694628</v>
      </c>
      <c r="Y45" s="43">
        <f t="shared" si="17"/>
        <v>4.3806172289675605</v>
      </c>
      <c r="Z45" s="43">
        <f t="shared" si="10"/>
        <v>13050030.651946757</v>
      </c>
      <c r="AA45" s="43">
        <f t="shared" si="14"/>
        <v>3.7922725295095217</v>
      </c>
      <c r="AB45" s="43">
        <f t="shared" si="11"/>
        <v>10638354.780283209</v>
      </c>
      <c r="AC45" s="43"/>
      <c r="AD45" s="30"/>
      <c r="AE45" s="43"/>
      <c r="AF45" s="30"/>
      <c r="AG45" s="43"/>
      <c r="AH45" s="30"/>
      <c r="AI45" s="43"/>
      <c r="AJ45" s="30"/>
      <c r="AK45" s="43">
        <f>SUM((AD45*AC45/100),(V45*U45/100))/AL45*100</f>
        <v>1.3186692328842449</v>
      </c>
      <c r="AL45" s="43">
        <f t="shared" si="12"/>
        <v>7912962.8819565885</v>
      </c>
      <c r="AM45" s="43">
        <f>SUM((AF45*AE45/100),(X45*W45/100))/AN45*100</f>
        <v>4.878424629758796</v>
      </c>
      <c r="AN45" s="43">
        <f t="shared" si="12"/>
        <v>10952070.80694628</v>
      </c>
      <c r="AO45" s="43">
        <f>SUM((AH45*AG45/100),(Z45*Y45/100))/AP45*100</f>
        <v>4.3806172289675605</v>
      </c>
      <c r="AP45" s="43">
        <f t="shared" si="12"/>
        <v>13050030.651946757</v>
      </c>
      <c r="AQ45" s="43">
        <f>SUM((AJ45*AI45/100),(AB45*AA45/100))/AR45*100</f>
        <v>3.7922725295095217</v>
      </c>
      <c r="AR45" s="43">
        <f t="shared" si="12"/>
        <v>10638354.780283209</v>
      </c>
    </row>
    <row r="46" spans="2:44" ht="12.75">
      <c r="B46" s="3" t="s">
        <v>50</v>
      </c>
      <c r="D46" s="5" t="s">
        <v>27</v>
      </c>
      <c r="E46" s="8"/>
      <c r="F46" s="30">
        <f t="shared" si="1"/>
        <v>1201325.7038496423</v>
      </c>
      <c r="G46" s="30"/>
      <c r="H46" s="30">
        <f t="shared" si="2"/>
        <v>612810.7227783287</v>
      </c>
      <c r="I46" s="30"/>
      <c r="J46" s="30">
        <f t="shared" si="3"/>
        <v>1313511.4485075823</v>
      </c>
      <c r="K46" s="30"/>
      <c r="L46" s="43">
        <f t="shared" si="0"/>
        <v>1042549.291711851</v>
      </c>
      <c r="M46" s="44">
        <v>100</v>
      </c>
      <c r="N46" s="30">
        <f t="shared" si="4"/>
        <v>104345.80693391198</v>
      </c>
      <c r="O46" s="44">
        <v>100</v>
      </c>
      <c r="P46" s="30">
        <f t="shared" si="5"/>
        <v>534288.5197146903</v>
      </c>
      <c r="Q46" s="44">
        <v>100</v>
      </c>
      <c r="R46" s="30">
        <f t="shared" si="6"/>
        <v>571671.8911247272</v>
      </c>
      <c r="S46" s="44">
        <v>100</v>
      </c>
      <c r="T46" s="43">
        <f t="shared" si="7"/>
        <v>403435.40592444316</v>
      </c>
      <c r="U46" s="43">
        <f t="shared" si="15"/>
        <v>7.991734986336066</v>
      </c>
      <c r="V46" s="43">
        <f t="shared" si="8"/>
        <v>1305671.5107835543</v>
      </c>
      <c r="W46" s="43">
        <f t="shared" si="16"/>
        <v>46.57735790614838</v>
      </c>
      <c r="X46" s="43">
        <f t="shared" si="9"/>
        <v>1147099.242493019</v>
      </c>
      <c r="Y46" s="43">
        <f t="shared" si="17"/>
        <v>30.324471848781954</v>
      </c>
      <c r="Z46" s="43">
        <f t="shared" si="10"/>
        <v>1885183.3396323095</v>
      </c>
      <c r="AA46" s="43">
        <f t="shared" si="14"/>
        <v>27.900392485752192</v>
      </c>
      <c r="AB46" s="43">
        <f t="shared" si="11"/>
        <v>1445984.6976362942</v>
      </c>
      <c r="AC46" s="43"/>
      <c r="AD46" s="30"/>
      <c r="AE46" s="43"/>
      <c r="AF46" s="30"/>
      <c r="AG46" s="43"/>
      <c r="AH46" s="30"/>
      <c r="AI46" s="43"/>
      <c r="AJ46" s="30"/>
      <c r="AK46" s="43">
        <f>SUM((AD46*AC46/100),(V46*U46/100))/AL46*100</f>
        <v>7.991734986336067</v>
      </c>
      <c r="AL46" s="43">
        <f t="shared" si="12"/>
        <v>1305671.5107835543</v>
      </c>
      <c r="AM46" s="43">
        <f>SUM((AF46*AE46/100),(X46*W46/100))/AN46*100</f>
        <v>46.57735790614838</v>
      </c>
      <c r="AN46" s="43">
        <f t="shared" si="12"/>
        <v>1147099.242493019</v>
      </c>
      <c r="AO46" s="43">
        <f>SUM((AH46*AG46/100),(Z46*Y46/100))/AP46*100</f>
        <v>30.324471848781954</v>
      </c>
      <c r="AP46" s="43">
        <f t="shared" si="12"/>
        <v>1885183.3396323095</v>
      </c>
      <c r="AQ46" s="43">
        <f>SUM((AJ46*AI46/100),(AB46*AA46/100))/AR46*100</f>
        <v>27.90039248575219</v>
      </c>
      <c r="AR46" s="43">
        <f t="shared" si="12"/>
        <v>1445984.6976362942</v>
      </c>
    </row>
    <row r="47" spans="2:44" ht="12.75">
      <c r="B47" s="3" t="s">
        <v>56</v>
      </c>
      <c r="D47" s="5" t="s">
        <v>27</v>
      </c>
      <c r="E47" s="8"/>
      <c r="F47" s="30">
        <f t="shared" si="1"/>
        <v>17419222.70581981</v>
      </c>
      <c r="G47" s="30"/>
      <c r="H47" s="30">
        <f t="shared" si="2"/>
        <v>14094646.623901565</v>
      </c>
      <c r="I47" s="30"/>
      <c r="J47" s="30">
        <f t="shared" si="3"/>
        <v>15105381.657837197</v>
      </c>
      <c r="K47" s="30"/>
      <c r="L47" s="43">
        <f t="shared" si="0"/>
        <v>15539750.329186192</v>
      </c>
      <c r="M47" s="44"/>
      <c r="N47" s="30">
        <f t="shared" si="4"/>
        <v>208691.61386782397</v>
      </c>
      <c r="O47" s="44"/>
      <c r="P47" s="30">
        <f t="shared" si="5"/>
        <v>1068577.0394293806</v>
      </c>
      <c r="Q47" s="44"/>
      <c r="R47" s="30">
        <f t="shared" si="6"/>
        <v>1143343.7822494544</v>
      </c>
      <c r="S47" s="44"/>
      <c r="T47" s="43">
        <f t="shared" si="7"/>
        <v>806870.8118488863</v>
      </c>
      <c r="U47" s="43"/>
      <c r="V47" s="43">
        <f t="shared" si="8"/>
        <v>17627914.319687635</v>
      </c>
      <c r="W47" s="43"/>
      <c r="X47" s="43">
        <f t="shared" si="9"/>
        <v>15163223.663330946</v>
      </c>
      <c r="Y47" s="43"/>
      <c r="Z47" s="43">
        <f t="shared" si="10"/>
        <v>16248725.440086652</v>
      </c>
      <c r="AA47" s="43"/>
      <c r="AB47" s="43">
        <f t="shared" si="11"/>
        <v>16346621.141035078</v>
      </c>
      <c r="AC47" s="43"/>
      <c r="AD47" s="30"/>
      <c r="AE47" s="43"/>
      <c r="AF47" s="30"/>
      <c r="AG47" s="43"/>
      <c r="AH47" s="30"/>
      <c r="AI47" s="43"/>
      <c r="AJ47" s="30"/>
      <c r="AK47" s="43"/>
      <c r="AL47" s="43">
        <f t="shared" si="12"/>
        <v>17627914.319687635</v>
      </c>
      <c r="AM47" s="43"/>
      <c r="AN47" s="43">
        <f t="shared" si="12"/>
        <v>15163223.663330946</v>
      </c>
      <c r="AO47" s="43"/>
      <c r="AP47" s="43">
        <f t="shared" si="12"/>
        <v>16248725.440086652</v>
      </c>
      <c r="AQ47" s="43"/>
      <c r="AR47" s="43">
        <f t="shared" si="12"/>
        <v>16346621.141035078</v>
      </c>
    </row>
    <row r="48" spans="2:44" ht="12.75">
      <c r="B48" s="3" t="s">
        <v>77</v>
      </c>
      <c r="D48" s="5" t="s">
        <v>27</v>
      </c>
      <c r="E48" s="8"/>
      <c r="F48" s="30">
        <f t="shared" si="1"/>
        <v>6306959.945210622</v>
      </c>
      <c r="G48" s="30"/>
      <c r="H48" s="30">
        <f t="shared" si="2"/>
        <v>6495793.6614502845</v>
      </c>
      <c r="I48" s="30"/>
      <c r="J48" s="30">
        <f t="shared" si="3"/>
        <v>6173503.8079856355</v>
      </c>
      <c r="K48" s="30"/>
      <c r="L48" s="43">
        <f t="shared" si="0"/>
        <v>6325419.138215513</v>
      </c>
      <c r="M48" s="44"/>
      <c r="N48" s="30">
        <f t="shared" si="4"/>
        <v>4486869.698158215</v>
      </c>
      <c r="O48" s="44"/>
      <c r="P48" s="30">
        <f t="shared" si="5"/>
        <v>58558021.76073005</v>
      </c>
      <c r="Q48" s="44"/>
      <c r="R48" s="30">
        <f t="shared" si="6"/>
        <v>17607494.246641602</v>
      </c>
      <c r="S48" s="44"/>
      <c r="T48" s="43">
        <f t="shared" si="7"/>
        <v>26884128.568509955</v>
      </c>
      <c r="U48" s="43"/>
      <c r="V48" s="43">
        <f t="shared" si="8"/>
        <v>10793829.643368836</v>
      </c>
      <c r="W48" s="43"/>
      <c r="X48" s="43">
        <f t="shared" si="9"/>
        <v>65053815.42218033</v>
      </c>
      <c r="Y48" s="43"/>
      <c r="Z48" s="43">
        <f t="shared" si="10"/>
        <v>23780998.05462724</v>
      </c>
      <c r="AA48" s="43"/>
      <c r="AB48" s="43">
        <f t="shared" si="11"/>
        <v>33209547.706725467</v>
      </c>
      <c r="AC48" s="43"/>
      <c r="AD48" s="30"/>
      <c r="AE48" s="43"/>
      <c r="AF48" s="30"/>
      <c r="AG48" s="43"/>
      <c r="AH48" s="30"/>
      <c r="AI48" s="43"/>
      <c r="AJ48" s="30"/>
      <c r="AK48" s="43"/>
      <c r="AL48" s="43">
        <f t="shared" si="12"/>
        <v>10793829.643368836</v>
      </c>
      <c r="AM48" s="43"/>
      <c r="AN48" s="43">
        <f t="shared" si="12"/>
        <v>65053815.42218033</v>
      </c>
      <c r="AO48" s="43"/>
      <c r="AP48" s="43">
        <f t="shared" si="12"/>
        <v>23780998.05462724</v>
      </c>
      <c r="AQ48" s="43"/>
      <c r="AR48" s="43">
        <f t="shared" si="12"/>
        <v>33209547.706725467</v>
      </c>
    </row>
    <row r="49" spans="2:44" ht="12.75">
      <c r="B49" s="3" t="s">
        <v>57</v>
      </c>
      <c r="D49" s="5" t="s">
        <v>27</v>
      </c>
      <c r="E49" s="8"/>
      <c r="F49" s="30">
        <f t="shared" si="1"/>
        <v>480530.28153985686</v>
      </c>
      <c r="G49" s="30"/>
      <c r="H49" s="30">
        <f t="shared" si="2"/>
        <v>367686.4336669972</v>
      </c>
      <c r="I49" s="30"/>
      <c r="J49" s="30">
        <f t="shared" si="3"/>
        <v>394053.43455227464</v>
      </c>
      <c r="K49" s="30"/>
      <c r="L49" s="43">
        <f t="shared" si="0"/>
        <v>414090.04991970956</v>
      </c>
      <c r="M49" s="44">
        <v>100</v>
      </c>
      <c r="N49" s="30">
        <f t="shared" si="4"/>
        <v>52172.90346695599</v>
      </c>
      <c r="O49" s="44">
        <v>100</v>
      </c>
      <c r="P49" s="30">
        <f t="shared" si="5"/>
        <v>213715.4078858761</v>
      </c>
      <c r="Q49" s="44">
        <v>100</v>
      </c>
      <c r="R49" s="30">
        <f t="shared" si="6"/>
        <v>228668.75644989093</v>
      </c>
      <c r="S49" s="44">
        <v>100</v>
      </c>
      <c r="T49" s="43">
        <f t="shared" si="7"/>
        <v>164852.355934241</v>
      </c>
      <c r="U49" s="43">
        <f t="shared" si="15"/>
        <v>9.79399127607783</v>
      </c>
      <c r="V49" s="43">
        <f t="shared" si="8"/>
        <v>532703.1850068129</v>
      </c>
      <c r="W49" s="43">
        <f t="shared" si="16"/>
        <v>36.75863965533047</v>
      </c>
      <c r="X49" s="43">
        <f t="shared" si="9"/>
        <v>581401.8415528733</v>
      </c>
      <c r="Y49" s="43">
        <f t="shared" si="17"/>
        <v>36.720829890755525</v>
      </c>
      <c r="Z49" s="43">
        <f t="shared" si="10"/>
        <v>622722.1910021655</v>
      </c>
      <c r="AA49" s="43">
        <f t="shared" si="14"/>
        <v>28.474741920326395</v>
      </c>
      <c r="AB49" s="43">
        <f t="shared" si="11"/>
        <v>578942.4058539505</v>
      </c>
      <c r="AC49" s="43"/>
      <c r="AD49" s="30"/>
      <c r="AE49" s="43"/>
      <c r="AF49" s="30"/>
      <c r="AG49" s="43"/>
      <c r="AH49" s="30"/>
      <c r="AI49" s="43"/>
      <c r="AJ49" s="30"/>
      <c r="AK49" s="43">
        <f>SUM((AD49*AC49/100),(V49*U49/100))/AL49*100</f>
        <v>9.79399127607783</v>
      </c>
      <c r="AL49" s="43">
        <f t="shared" si="12"/>
        <v>532703.1850068129</v>
      </c>
      <c r="AM49" s="43">
        <f>SUM((AF49*AE49/100),(X49*W49/100))/AN49*100</f>
        <v>36.75863965533047</v>
      </c>
      <c r="AN49" s="43">
        <f t="shared" si="12"/>
        <v>581401.8415528733</v>
      </c>
      <c r="AO49" s="43">
        <f>SUM((AH49*AG49/100),(Z49*Y49/100))/AP49*100</f>
        <v>36.720829890755525</v>
      </c>
      <c r="AP49" s="43">
        <f t="shared" si="12"/>
        <v>622722.1910021655</v>
      </c>
      <c r="AQ49" s="43">
        <f>SUM((AJ49*AI49/100),(AB49*AA49/100))/AR49*100</f>
        <v>28.474741920326395</v>
      </c>
      <c r="AR49" s="43">
        <f t="shared" si="12"/>
        <v>578942.4058539505</v>
      </c>
    </row>
    <row r="50" spans="2:44" ht="12.75">
      <c r="B50" s="3" t="s">
        <v>153</v>
      </c>
      <c r="D50" s="5" t="s">
        <v>27</v>
      </c>
      <c r="E50" s="8">
        <v>100</v>
      </c>
      <c r="F50" s="30">
        <f t="shared" si="1"/>
        <v>600662.8519248212</v>
      </c>
      <c r="G50" s="30">
        <v>100</v>
      </c>
      <c r="H50" s="30">
        <f t="shared" si="2"/>
        <v>612810.7227783287</v>
      </c>
      <c r="I50" s="30">
        <v>100</v>
      </c>
      <c r="J50" s="30">
        <f t="shared" si="3"/>
        <v>656755.7242537912</v>
      </c>
      <c r="K50" s="30">
        <v>100</v>
      </c>
      <c r="L50" s="43">
        <f t="shared" si="0"/>
        <v>623409.7663189803</v>
      </c>
      <c r="M50" s="44">
        <v>100</v>
      </c>
      <c r="N50" s="30">
        <f t="shared" si="4"/>
        <v>104345.80693391198</v>
      </c>
      <c r="O50" s="44">
        <v>100</v>
      </c>
      <c r="P50" s="30">
        <f t="shared" si="5"/>
        <v>534288.5197146903</v>
      </c>
      <c r="Q50" s="44">
        <v>100</v>
      </c>
      <c r="R50" s="30">
        <f t="shared" si="6"/>
        <v>571671.8911247272</v>
      </c>
      <c r="S50" s="44">
        <v>100</v>
      </c>
      <c r="T50" s="43">
        <f t="shared" si="7"/>
        <v>403435.40592444316</v>
      </c>
      <c r="U50" s="43">
        <f t="shared" si="15"/>
        <v>100</v>
      </c>
      <c r="V50" s="43">
        <f t="shared" si="8"/>
        <v>705008.6588587331</v>
      </c>
      <c r="W50" s="43">
        <f t="shared" si="16"/>
        <v>100</v>
      </c>
      <c r="X50" s="43">
        <f t="shared" si="9"/>
        <v>1147099.242493019</v>
      </c>
      <c r="Y50" s="43">
        <f t="shared" si="17"/>
        <v>100</v>
      </c>
      <c r="Z50" s="43">
        <f t="shared" si="10"/>
        <v>1228427.6153785184</v>
      </c>
      <c r="AA50" s="43">
        <f t="shared" si="14"/>
        <v>100</v>
      </c>
      <c r="AB50" s="43">
        <f t="shared" si="11"/>
        <v>1026845.1722434234</v>
      </c>
      <c r="AC50" s="43"/>
      <c r="AD50" s="30"/>
      <c r="AE50" s="43"/>
      <c r="AF50" s="30"/>
      <c r="AG50" s="43"/>
      <c r="AH50" s="30"/>
      <c r="AI50" s="43"/>
      <c r="AJ50" s="30"/>
      <c r="AK50" s="43">
        <f>SUM((AD50*AC50/100),(V50*U50/100))/AL50*100</f>
        <v>100</v>
      </c>
      <c r="AL50" s="43">
        <f t="shared" si="12"/>
        <v>705008.6588587331</v>
      </c>
      <c r="AM50" s="43">
        <f>SUM((AF50*AE50/100),(X50*W50/100))/AN50*100</f>
        <v>100</v>
      </c>
      <c r="AN50" s="43">
        <f t="shared" si="12"/>
        <v>1147099.242493019</v>
      </c>
      <c r="AO50" s="43">
        <f>SUM((AH50*AG50/100),(Z50*Y50/100))/AP50*100</f>
        <v>100</v>
      </c>
      <c r="AP50" s="43">
        <f t="shared" si="12"/>
        <v>1228427.6153785184</v>
      </c>
      <c r="AQ50" s="43">
        <f>SUM((AJ50*AI50/100),(AB50*AA50/100))/AR50*100</f>
        <v>100</v>
      </c>
      <c r="AR50" s="43">
        <f t="shared" si="12"/>
        <v>1026845.1722434234</v>
      </c>
    </row>
    <row r="51" spans="2:44" ht="12.75">
      <c r="B51" s="3" t="s">
        <v>65</v>
      </c>
      <c r="D51" s="5" t="s">
        <v>27</v>
      </c>
      <c r="E51" s="8"/>
      <c r="F51" s="30">
        <f t="shared" si="1"/>
        <v>43848388.190511934</v>
      </c>
      <c r="G51" s="30"/>
      <c r="H51" s="30">
        <f t="shared" si="2"/>
        <v>112144362.26843412</v>
      </c>
      <c r="I51" s="30"/>
      <c r="J51" s="30">
        <f t="shared" si="3"/>
        <v>160248396.717925</v>
      </c>
      <c r="K51" s="30"/>
      <c r="L51" s="43">
        <f t="shared" si="0"/>
        <v>105413715.72562368</v>
      </c>
      <c r="M51" s="44">
        <v>100</v>
      </c>
      <c r="N51" s="30">
        <f t="shared" si="4"/>
        <v>208691.61386782397</v>
      </c>
      <c r="O51" s="44">
        <v>100</v>
      </c>
      <c r="P51" s="30">
        <f t="shared" si="5"/>
        <v>1068577.0394293806</v>
      </c>
      <c r="Q51" s="44">
        <v>100</v>
      </c>
      <c r="R51" s="30">
        <f t="shared" si="6"/>
        <v>1143343.7822494544</v>
      </c>
      <c r="S51" s="44">
        <v>100</v>
      </c>
      <c r="T51" s="43">
        <f t="shared" si="7"/>
        <v>806870.8118488863</v>
      </c>
      <c r="U51" s="43">
        <f t="shared" si="15"/>
        <v>0.4736846263856955</v>
      </c>
      <c r="V51" s="43">
        <f t="shared" si="8"/>
        <v>44057079.80437976</v>
      </c>
      <c r="W51" s="43">
        <f t="shared" si="16"/>
        <v>0.9438647613622727</v>
      </c>
      <c r="X51" s="43">
        <f t="shared" si="9"/>
        <v>113212939.3078635</v>
      </c>
      <c r="Y51" s="43">
        <f t="shared" si="17"/>
        <v>0.7084276919661936</v>
      </c>
      <c r="Z51" s="43">
        <f t="shared" si="10"/>
        <v>161391740.50017446</v>
      </c>
      <c r="AA51" s="43">
        <f t="shared" si="14"/>
        <v>0.7596181099642466</v>
      </c>
      <c r="AB51" s="43">
        <f t="shared" si="11"/>
        <v>106220586.53747259</v>
      </c>
      <c r="AC51" s="43"/>
      <c r="AD51" s="30"/>
      <c r="AE51" s="43"/>
      <c r="AF51" s="30"/>
      <c r="AG51" s="43"/>
      <c r="AH51" s="30"/>
      <c r="AI51" s="43"/>
      <c r="AJ51" s="30"/>
      <c r="AK51" s="43">
        <f>SUM((AD51*AC51/100),(V51*U51/100))/AL51*100</f>
        <v>0.4736846263856955</v>
      </c>
      <c r="AL51" s="43">
        <f t="shared" si="12"/>
        <v>44057079.80437976</v>
      </c>
      <c r="AM51" s="43">
        <f>SUM((AF51*AE51/100),(X51*W51/100))/AN51*100</f>
        <v>0.9438647613622727</v>
      </c>
      <c r="AN51" s="43">
        <f t="shared" si="12"/>
        <v>113212939.3078635</v>
      </c>
      <c r="AO51" s="43">
        <f>SUM((AH51*AG51/100),(Z51*Y51/100))/AP51*100</f>
        <v>0.7084276919661936</v>
      </c>
      <c r="AP51" s="43">
        <f t="shared" si="12"/>
        <v>161391740.50017446</v>
      </c>
      <c r="AQ51" s="43">
        <f>SUM((AJ51*AI51/100),(AB51*AA51/100))/AR51*100</f>
        <v>0.7596181099642466</v>
      </c>
      <c r="AR51" s="43">
        <f t="shared" si="12"/>
        <v>106220586.53747259</v>
      </c>
    </row>
    <row r="52" spans="2:44" ht="12.75">
      <c r="B52" s="3" t="s">
        <v>76</v>
      </c>
      <c r="D52" s="5" t="s">
        <v>27</v>
      </c>
      <c r="E52" s="8"/>
      <c r="F52" s="30">
        <f t="shared" si="1"/>
        <v>30033.142596241054</v>
      </c>
      <c r="G52" s="30"/>
      <c r="H52" s="30">
        <f t="shared" si="2"/>
        <v>30640.53613891643</v>
      </c>
      <c r="I52" s="30"/>
      <c r="J52" s="30">
        <f t="shared" si="3"/>
        <v>32837.786212689556</v>
      </c>
      <c r="K52" s="30"/>
      <c r="L52" s="43">
        <f t="shared" si="0"/>
        <v>31170.488315949013</v>
      </c>
      <c r="M52" s="44"/>
      <c r="N52" s="30">
        <f t="shared" si="4"/>
        <v>2.6347316250812782</v>
      </c>
      <c r="O52" s="44"/>
      <c r="P52" s="30">
        <f t="shared" si="5"/>
        <v>2.7515858765306556</v>
      </c>
      <c r="Q52" s="44"/>
      <c r="R52" s="30">
        <f t="shared" si="6"/>
        <v>2.9441102392923466</v>
      </c>
      <c r="S52" s="44"/>
      <c r="T52" s="43">
        <f t="shared" si="7"/>
        <v>2.7768092469680936</v>
      </c>
      <c r="U52" s="43"/>
      <c r="V52" s="43">
        <f t="shared" si="8"/>
        <v>30035.777327866137</v>
      </c>
      <c r="W52" s="43"/>
      <c r="X52" s="43">
        <f t="shared" si="9"/>
        <v>30643.28772479296</v>
      </c>
      <c r="Y52" s="43"/>
      <c r="Z52" s="43">
        <f t="shared" si="10"/>
        <v>32840.73032292885</v>
      </c>
      <c r="AA52" s="43"/>
      <c r="AB52" s="43">
        <f t="shared" si="11"/>
        <v>31173.26512519598</v>
      </c>
      <c r="AC52" s="43"/>
      <c r="AD52" s="30"/>
      <c r="AE52" s="43"/>
      <c r="AF52" s="30"/>
      <c r="AG52" s="43"/>
      <c r="AH52" s="30"/>
      <c r="AI52" s="43"/>
      <c r="AJ52" s="30"/>
      <c r="AK52" s="43"/>
      <c r="AL52" s="43">
        <f t="shared" si="12"/>
        <v>30035.777327866137</v>
      </c>
      <c r="AM52" s="43"/>
      <c r="AN52" s="43">
        <f t="shared" si="12"/>
        <v>30643.28772479296</v>
      </c>
      <c r="AO52" s="43"/>
      <c r="AP52" s="43">
        <f t="shared" si="12"/>
        <v>32840.73032292885</v>
      </c>
      <c r="AQ52" s="43"/>
      <c r="AR52" s="43">
        <f t="shared" si="12"/>
        <v>31173.26512519598</v>
      </c>
    </row>
    <row r="53" spans="2:44" ht="12.75">
      <c r="B53" s="5" t="s">
        <v>28</v>
      </c>
      <c r="D53" s="5" t="s">
        <v>27</v>
      </c>
      <c r="E53" s="22">
        <f>F44/F53*100</f>
        <v>20</v>
      </c>
      <c r="F53" s="46">
        <f>F46+F44</f>
        <v>1501657.129812053</v>
      </c>
      <c r="G53" s="43">
        <f>H44/H53*100</f>
        <v>33.33333333333333</v>
      </c>
      <c r="H53" s="46">
        <f>H46+H44</f>
        <v>919216.084167493</v>
      </c>
      <c r="I53" s="43">
        <f>J44/J53*100</f>
        <v>20</v>
      </c>
      <c r="J53" s="46">
        <f>J46+J44</f>
        <v>1641889.310634478</v>
      </c>
      <c r="K53" s="43">
        <f>L44/L53*100</f>
        <v>23.016719382763075</v>
      </c>
      <c r="L53" s="43">
        <f>AVERAGE(J53,H53,F53)</f>
        <v>1354254.1748713413</v>
      </c>
      <c r="M53" s="44">
        <v>100</v>
      </c>
      <c r="N53" s="46">
        <f>N46+N44</f>
        <v>156518.71040086797</v>
      </c>
      <c r="O53" s="44">
        <v>100</v>
      </c>
      <c r="P53" s="46">
        <f>P46+P44</f>
        <v>748003.9276005664</v>
      </c>
      <c r="Q53" s="44">
        <v>100</v>
      </c>
      <c r="R53" s="46">
        <f>R46+R44</f>
        <v>800340.6475746181</v>
      </c>
      <c r="S53" s="44">
        <v>100</v>
      </c>
      <c r="T53" s="43">
        <f>AVERAGE(R53,P53,N53)</f>
        <v>568287.7618586841</v>
      </c>
      <c r="U53" s="43">
        <f t="shared" si="15"/>
        <v>27.551368514971003</v>
      </c>
      <c r="V53" s="43">
        <f>SUM(F53,N53)</f>
        <v>1658175.840212921</v>
      </c>
      <c r="W53" s="43">
        <f t="shared" si="16"/>
        <v>63.2435600309012</v>
      </c>
      <c r="X53" s="43">
        <f>SUM(H53,P53)</f>
        <v>1667220.0117680593</v>
      </c>
      <c r="Y53" s="43">
        <f t="shared" si="17"/>
        <v>46.216717058421914</v>
      </c>
      <c r="Z53" s="43">
        <f>SUM(J53,R53)</f>
        <v>2442229.958209096</v>
      </c>
      <c r="AA53" s="43">
        <f t="shared" si="14"/>
        <v>45.772351084050655</v>
      </c>
      <c r="AB53" s="43">
        <f t="shared" si="11"/>
        <v>1922541.9367300253</v>
      </c>
      <c r="AC53" s="43"/>
      <c r="AD53" s="43"/>
      <c r="AE53" s="43"/>
      <c r="AF53" s="43"/>
      <c r="AG53" s="43"/>
      <c r="AH53" s="43"/>
      <c r="AI53" s="43"/>
      <c r="AJ53" s="43"/>
      <c r="AK53" s="43">
        <f>SUM((AD53*AC53/100),(V53*U53/100))/AL53*100</f>
        <v>27.551368514971003</v>
      </c>
      <c r="AL53" s="43">
        <f t="shared" si="12"/>
        <v>1658175.840212921</v>
      </c>
      <c r="AM53" s="43">
        <f>SUM((AF53*AE53/100),(X53*W53/100))/AN53*100</f>
        <v>63.2435600309012</v>
      </c>
      <c r="AN53" s="43">
        <f t="shared" si="12"/>
        <v>1667220.0117680593</v>
      </c>
      <c r="AO53" s="43">
        <f>SUM((AH53*AG53/100),(Z53*Y53/100))/AP53*100</f>
        <v>46.216717058421914</v>
      </c>
      <c r="AP53" s="43">
        <f t="shared" si="12"/>
        <v>2442229.958209096</v>
      </c>
      <c r="AQ53" s="43">
        <f>SUM((AJ53*AI53/100),(AB53*AA53/100))/AR53*100</f>
        <v>45.772351084050655</v>
      </c>
      <c r="AR53" s="43">
        <f t="shared" si="12"/>
        <v>1922541.9367300253</v>
      </c>
    </row>
    <row r="54" spans="2:44" ht="12.75">
      <c r="B54" s="5" t="s">
        <v>29</v>
      </c>
      <c r="D54" s="5" t="s">
        <v>27</v>
      </c>
      <c r="E54" s="22">
        <f>F43/F45*100</f>
        <v>3.846153846153846</v>
      </c>
      <c r="F54" s="46">
        <f>F45+F43+F41</f>
        <v>13514914.168308478</v>
      </c>
      <c r="G54" s="43">
        <f>H43/H45*100</f>
        <v>2.941176470588235</v>
      </c>
      <c r="H54" s="46">
        <f>H45+H43+H41</f>
        <v>16239484.153625712</v>
      </c>
      <c r="I54" s="43">
        <f>J43/J45*100</f>
        <v>2.6315789473684217</v>
      </c>
      <c r="J54" s="46">
        <f>J45+J43+J41</f>
        <v>18717538.141233046</v>
      </c>
      <c r="K54" s="43">
        <f>L43/L45*100</f>
        <v>3.0455040411983605</v>
      </c>
      <c r="L54" s="43">
        <f>AVERAGE(J54,H54,F54)</f>
        <v>16157312.154389078</v>
      </c>
      <c r="M54" s="43">
        <f>SUM(N43,N45)/N54*100</f>
        <v>5.882352941176472</v>
      </c>
      <c r="N54" s="46">
        <f>N45+N43+N41</f>
        <v>2660818.076814755</v>
      </c>
      <c r="O54" s="43">
        <f>SUM(P43,P45)/P54*100</f>
        <v>2.2653721682847894</v>
      </c>
      <c r="P54" s="46">
        <f>P45+P43+P41</f>
        <v>33019030.518367864</v>
      </c>
      <c r="Q54" s="43">
        <f>SUM(R43,R45)/R54*100</f>
        <v>7.526881720430106</v>
      </c>
      <c r="R54" s="46">
        <f>R45+R43+R41</f>
        <v>10633097.174919927</v>
      </c>
      <c r="S54" s="43">
        <f>SUM(T43,T45)/T54*100</f>
        <v>3.681180838806915</v>
      </c>
      <c r="T54" s="43">
        <f>AVERAGE(R54,P54,N54)</f>
        <v>15437648.590034181</v>
      </c>
      <c r="U54" s="43">
        <f t="shared" si="15"/>
        <v>4.181097283515915</v>
      </c>
      <c r="V54" s="43">
        <f>SUM(F54,N54)</f>
        <v>16175732.245123234</v>
      </c>
      <c r="W54" s="43">
        <f t="shared" si="16"/>
        <v>2.4881704668386164</v>
      </c>
      <c r="X54" s="43">
        <f>SUM(H54,P54)</f>
        <v>49258514.671993576</v>
      </c>
      <c r="Y54" s="43">
        <f t="shared" si="17"/>
        <v>4.405040731957909</v>
      </c>
      <c r="Z54" s="43">
        <f>SUM(J54,R54)</f>
        <v>29350635.316152975</v>
      </c>
      <c r="AA54" s="43">
        <f t="shared" si="14"/>
        <v>3.3706497085303337</v>
      </c>
      <c r="AB54" s="43">
        <f t="shared" si="11"/>
        <v>31594960.74442326</v>
      </c>
      <c r="AC54" s="43"/>
      <c r="AD54" s="43"/>
      <c r="AE54" s="43"/>
      <c r="AF54" s="43"/>
      <c r="AG54" s="43"/>
      <c r="AH54" s="43"/>
      <c r="AI54" s="43"/>
      <c r="AJ54" s="43"/>
      <c r="AK54" s="43">
        <f>SUM((AD54*AC54/100),(V54*U54/100))/AL54*100</f>
        <v>4.181097283515916</v>
      </c>
      <c r="AL54" s="43">
        <f t="shared" si="12"/>
        <v>16175732.245123234</v>
      </c>
      <c r="AM54" s="43">
        <f>SUM((AF54*AE54/100),(X54*W54/100))/AN54*100</f>
        <v>2.4881704668386164</v>
      </c>
      <c r="AN54" s="43">
        <f t="shared" si="12"/>
        <v>49258514.671993576</v>
      </c>
      <c r="AO54" s="43">
        <f>SUM((AH54*AG54/100),(Z54*Y54/100))/AP54*100</f>
        <v>4.405040731957909</v>
      </c>
      <c r="AP54" s="43">
        <f t="shared" si="12"/>
        <v>29350635.316152975</v>
      </c>
      <c r="AQ54" s="43">
        <f>SUM((AJ54*AI54/100),(AB54*AA54/100))/AR54*100</f>
        <v>3.370649708530334</v>
      </c>
      <c r="AR54" s="43">
        <f t="shared" si="12"/>
        <v>31594960.74442326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B1">
      <selection activeCell="H21" sqref="H2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2" t="s">
        <v>37</v>
      </c>
      <c r="C1" s="8"/>
      <c r="D1" s="8"/>
      <c r="E1" s="8"/>
      <c r="F1" s="8"/>
    </row>
    <row r="2" spans="2:6" ht="12.75">
      <c r="B2" s="8"/>
      <c r="C2" s="8"/>
      <c r="D2" s="8"/>
      <c r="E2" s="8"/>
      <c r="F2" s="8"/>
    </row>
    <row r="3" spans="1:7" ht="12.75">
      <c r="A3" t="s">
        <v>67</v>
      </c>
      <c r="B3" s="2" t="s">
        <v>114</v>
      </c>
      <c r="C3" s="8"/>
      <c r="D3" s="8"/>
      <c r="E3" s="35" t="s">
        <v>80</v>
      </c>
      <c r="F3" s="35" t="s">
        <v>81</v>
      </c>
      <c r="G3" s="35" t="s">
        <v>82</v>
      </c>
    </row>
    <row r="4" spans="2:6" ht="12.75">
      <c r="B4" s="8"/>
      <c r="C4" s="8"/>
      <c r="D4" s="8"/>
      <c r="F4" s="8"/>
    </row>
    <row r="5" spans="2:7" ht="14.25">
      <c r="B5" s="8" t="s">
        <v>113</v>
      </c>
      <c r="C5" s="40" t="s">
        <v>89</v>
      </c>
      <c r="D5" s="40"/>
      <c r="E5">
        <v>1590</v>
      </c>
      <c r="F5" s="8">
        <v>1590</v>
      </c>
      <c r="G5">
        <v>1589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2004-02-24T16:39:23Z</cp:lastPrinted>
  <dcterms:created xsi:type="dcterms:W3CDTF">2000-01-10T00:44:42Z</dcterms:created>
  <dcterms:modified xsi:type="dcterms:W3CDTF">2004-02-24T16:39:25Z</dcterms:modified>
  <cp:category/>
  <cp:version/>
  <cp:contentType/>
  <cp:contentStatus/>
</cp:coreProperties>
</file>