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<sst xmlns="http://schemas.openxmlformats.org/spreadsheetml/2006/main" count="1111" uniqueCount="235">
  <si>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</si>
  <si>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</si>
  <si>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</si>
  <si>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</si>
  <si>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</si>
  <si>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</si>
  <si>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</si>
  <si>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</si>
  <si>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</si>
  <si>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</si>
  <si>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</si>
  <si>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</si>
  <si>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</si>
  <si>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</si>
  <si>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</si>
  <si>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</si>
  <si>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</si>
  <si>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</si>
  <si>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</si>
  <si>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</si>
  <si>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nd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</si>
  <si>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</si>
  <si>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</si>
  <si>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</si>
  <si>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</si>
  <si>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</si>
  <si>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</si>
  <si>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</si>
  <si>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</si>
  <si>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Chlorobenzene</t>
  </si>
  <si>
    <t>lb/hr</t>
  </si>
  <si>
    <t>Run 1</t>
  </si>
  <si>
    <t>Run 2</t>
  </si>
  <si>
    <t>Run 3</t>
  </si>
  <si>
    <t>gpm</t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</si>
  <si>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</si>
  <si>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</si>
  <si>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</si>
  <si>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</si>
  <si>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</si>
  <si>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</si>
  <si>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</si>
  <si>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</si>
  <si>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HW</t>
  </si>
  <si>
    <t>Combustor Characteristics</t>
  </si>
  <si>
    <t>7% O2</t>
  </si>
  <si>
    <t>Process Information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</si>
  <si>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</si>
  <si>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</si>
  <si>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</si>
  <si>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</si>
  <si>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</si>
  <si>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</si>
  <si>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</si>
  <si>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</si>
  <si>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</si>
  <si>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</si>
  <si>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</si>
  <si>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</si>
  <si>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</si>
  <si>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</si>
  <si>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Beryllium</t>
  </si>
  <si>
    <t>Cadmium</t>
  </si>
  <si>
    <t>Mercury</t>
  </si>
  <si>
    <t>Comments</t>
  </si>
  <si>
    <t>Trial Burn</t>
  </si>
  <si>
    <t>PM, HCl/Cl2</t>
  </si>
  <si>
    <t>POHC Feedrate</t>
  </si>
  <si>
    <t>Emission Rate</t>
  </si>
  <si>
    <t xml:space="preserve">   O2</t>
  </si>
  <si>
    <t xml:space="preserve">   Moisture</t>
  </si>
  <si>
    <t>Chromium</t>
  </si>
  <si>
    <t>Total Chlorine</t>
  </si>
  <si>
    <t>Sampling Train</t>
  </si>
  <si>
    <t>Trial burn</t>
  </si>
  <si>
    <t>*</t>
  </si>
  <si>
    <t>HWC Burn Status (Date if Terminated)</t>
  </si>
  <si>
    <t>Toluene</t>
  </si>
  <si>
    <t>Metals</t>
  </si>
  <si>
    <t>°C</t>
  </si>
  <si>
    <t>in. w.c.</t>
  </si>
  <si>
    <t>kV</t>
  </si>
  <si>
    <t>CO (RA)</t>
  </si>
  <si>
    <t>HC (RA)</t>
  </si>
  <si>
    <t>Waterford</t>
  </si>
  <si>
    <t>NY</t>
  </si>
  <si>
    <t>#2 Fixed Box Incinerator</t>
  </si>
  <si>
    <t>General Electric Company, Silicones Products Division</t>
  </si>
  <si>
    <t>40 MMBtu/hr</t>
  </si>
  <si>
    <t>Industrial and Environmental Analysts(IEA), Inc</t>
  </si>
  <si>
    <t>IEA</t>
  </si>
  <si>
    <t>Trial Burn Report for No.2 Fixed Box Incinerator, Vol-1, July 9, 1992</t>
  </si>
  <si>
    <t>Trial burn, maximum heat duty, maximum ash and chlorine feed</t>
  </si>
  <si>
    <r>
      <t>PM, HCl/Cl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CO, HC, Metals, Hexavalent Chromium, SVOC, VOC</t>
    </r>
  </si>
  <si>
    <t>Trial burn, maximum heat duty, reduced ash and chlorine feed</t>
  </si>
  <si>
    <t>Carbon tetrachloride</t>
  </si>
  <si>
    <t>lb/dscf</t>
  </si>
  <si>
    <t>Stack 1(North)</t>
  </si>
  <si>
    <t>Stack 2 (South)</t>
  </si>
  <si>
    <t>Composite (Stacks 1&amp; 2)</t>
  </si>
  <si>
    <t>Barium</t>
  </si>
  <si>
    <t>Copper</t>
  </si>
  <si>
    <t>Nickel</t>
  </si>
  <si>
    <t>Selenium</t>
  </si>
  <si>
    <t>Silver</t>
  </si>
  <si>
    <t>Thallium</t>
  </si>
  <si>
    <t>Zinc</t>
  </si>
  <si>
    <t>Feed Rate</t>
  </si>
  <si>
    <t>NPS Waste</t>
  </si>
  <si>
    <t>Specific Gravity</t>
  </si>
  <si>
    <t>Silicon</t>
  </si>
  <si>
    <t>APS Waste</t>
  </si>
  <si>
    <t>Carbon Tetrachloride</t>
  </si>
  <si>
    <t>mg/kg</t>
  </si>
  <si>
    <t>mg/L</t>
  </si>
  <si>
    <t>POHC Mix</t>
  </si>
  <si>
    <t>Slurry</t>
  </si>
  <si>
    <t>Total</t>
  </si>
  <si>
    <t>No. 2 Fixed Box Temperature</t>
  </si>
  <si>
    <t>No. 2 Fixed Box Pressure</t>
  </si>
  <si>
    <t>No.1 Packed Column Scrubber Water Flow</t>
  </si>
  <si>
    <t>No.1 IWS 1st Stage Voltage</t>
  </si>
  <si>
    <t>No.1 IWS 2nd Stage Voltage</t>
  </si>
  <si>
    <t>No.2 Packed Column Scrubber Water Flow</t>
  </si>
  <si>
    <t>No.1 Packed Column Scrubber Pressure Drop</t>
  </si>
  <si>
    <t>No.2 Packed Column Scrubber Pressure Drop</t>
  </si>
  <si>
    <t>No.2 IWS 1st Stage Voltage</t>
  </si>
  <si>
    <t>No.2 IWS 2nd Stage Voltage</t>
  </si>
  <si>
    <t>Quench Chamber Temperature</t>
  </si>
  <si>
    <t>No.2 Fuel Oil</t>
  </si>
  <si>
    <t>Liquid injection incinerator manufactured by Bigelow Liptak Co. The incinerator chamber is a refractory/insulation system encased by a steel outer shell and has a volume of 3640 cubic feet. The construction is suitable for chamber temperatures of 2300 °F</t>
  </si>
  <si>
    <t>QC/PCS/IWS</t>
  </si>
  <si>
    <t xml:space="preserve">Quench Chamber, Packed Column Scrubber, Two-stage Ionizing Wet Scrubber (A cross-tie duct enables some of the flue gas from Incinerator #2 to routed through the APCS of Incinerator #1). Incinerator  #1 was turned off during the trial burn. </t>
  </si>
  <si>
    <t>Hazardous Wastes</t>
  </si>
  <si>
    <t>3020C1</t>
  </si>
  <si>
    <t>3020C2</t>
  </si>
  <si>
    <t>3020C1 Trial Burn</t>
  </si>
  <si>
    <t>3020C2 Trial Burn</t>
  </si>
  <si>
    <t>Mini burn</t>
  </si>
  <si>
    <t>D/F</t>
  </si>
  <si>
    <t>*Need copy of report; have results provided by GE*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</si>
  <si>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</si>
  <si>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</si>
  <si>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</si>
  <si>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</si>
  <si>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</si>
  <si>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</si>
  <si>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</si>
  <si>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</si>
  <si>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</si>
  <si>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Detected in sample volume (ng)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</si>
  <si>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</si>
  <si>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</si>
  <si>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</si>
  <si>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</si>
  <si>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</si>
  <si>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</si>
  <si>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</si>
  <si>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</si>
  <si>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</si>
  <si>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</si>
  <si>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</si>
  <si>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</si>
  <si>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</si>
  <si>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</si>
  <si>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</si>
  <si>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</si>
  <si>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</si>
  <si>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</si>
  <si>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</si>
  <si>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</si>
  <si>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</si>
  <si>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</si>
  <si>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</si>
  <si>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</si>
  <si>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 xml:space="preserve"> </t>
  </si>
  <si>
    <t>Total HpCDF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</si>
  <si>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</si>
  <si>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</si>
  <si>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</si>
  <si>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</si>
  <si>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</si>
  <si>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</si>
  <si>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GE Silicones, Waterford NY, Fixed Box No. 2</t>
  </si>
  <si>
    <t>3020C3</t>
  </si>
  <si>
    <t>Combustor Type</t>
  </si>
  <si>
    <t>Combustor Class</t>
  </si>
  <si>
    <t>Liquid injection</t>
  </si>
  <si>
    <t>Condition Description</t>
  </si>
  <si>
    <t>Report Name/Date</t>
  </si>
  <si>
    <t>Report Preparation</t>
  </si>
  <si>
    <t>Testing Firm</t>
  </si>
  <si>
    <t>Testing Dates</t>
  </si>
  <si>
    <t>Condition Descr</t>
  </si>
  <si>
    <t>Content</t>
  </si>
  <si>
    <t>Phase I ID No.</t>
  </si>
  <si>
    <t>Stack Gas Emissions 1</t>
  </si>
  <si>
    <t>Feedstream 1</t>
  </si>
  <si>
    <t>R1</t>
  </si>
  <si>
    <t>R2</t>
  </si>
  <si>
    <t>R3</t>
  </si>
  <si>
    <t>Cond Avg</t>
  </si>
  <si>
    <t>Chromium (Hex)</t>
  </si>
  <si>
    <t>E1</t>
  </si>
  <si>
    <t>E2</t>
  </si>
  <si>
    <t>Cond Dates</t>
  </si>
  <si>
    <t>Number of Sister Facilities</t>
  </si>
  <si>
    <t>APCS Detailed Acronym</t>
  </si>
  <si>
    <t>APCS General Class</t>
  </si>
  <si>
    <t>Oil</t>
  </si>
  <si>
    <t>source</t>
  </si>
  <si>
    <t>cond</t>
  </si>
  <si>
    <t>emiss</t>
  </si>
  <si>
    <t>feed</t>
  </si>
  <si>
    <t>process</t>
  </si>
  <si>
    <t>df c3</t>
  </si>
  <si>
    <t>Onsite incinerator</t>
  </si>
  <si>
    <t>Liq</t>
  </si>
  <si>
    <t>WQ, LEWS, IWS</t>
  </si>
  <si>
    <t>Feedstream Number</t>
  </si>
  <si>
    <t>Feed Class</t>
  </si>
  <si>
    <t>Liq HW</t>
  </si>
  <si>
    <t>Slurry HW</t>
  </si>
  <si>
    <t>F1</t>
  </si>
  <si>
    <t>F2</t>
  </si>
  <si>
    <t>F3</t>
  </si>
  <si>
    <t>F4</t>
  </si>
  <si>
    <t>F5</t>
  </si>
  <si>
    <t>Feed Class 2</t>
  </si>
  <si>
    <t>F6</t>
  </si>
  <si>
    <t>Estimated Firing Rate</t>
  </si>
  <si>
    <t>Full ND</t>
  </si>
  <si>
    <t>Run 4</t>
  </si>
  <si>
    <t>Non Polar Solvents: Primarily toluene 45-65%, HV-14900 Btu/lb, Cl &lt; 0.3%, Si~5.4%.  POHC Mixture:Mixture of NPS Waste, carbon Tetrachloride, and chlorobenzene.  Acid Polor Solvents: Liquid mixture of water, HCl and polar solvents, HV &lt; 100 Btu/lb, Cl~5.8%, Si~1.4%, Spiked with As, Be, Cr.  Waste Slurry:Mixture of chlorinated silanes and silicon powder, HV &lt; 10,000 btu/lb, Cl~30%, Si~25%.  Vent Gases: Gases from process vents and wastewater stripper unit</t>
  </si>
  <si>
    <t>Thermal Feedrate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</si>
</sst>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dd\-mmm\-yy"/>
  </numFmts>
  <fonts count="1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center" wrapText="1"/>
    </xf>
    <xf numFmtId="171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1" fontId="8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0" fillId="0" borderId="0" xfId="15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E27" sqref="E27"/>
    </sheetView>
  </sheetViews>
  <sheetFormatPr defaultColWidth="9.140625" defaultRowHeight="12.75"/>
  <sheetData>
    <row r="1" ht="12.75">
      <c r="A1" t="s">
        <v>210</v>
      </c>
    </row>
    <row r="2" ht="12.75">
      <c r="A2" t="s">
        <v>211</v>
      </c>
    </row>
    <row r="3" ht="12.75">
      <c r="A3" t="s">
        <v>212</v>
      </c>
    </row>
    <row r="4" ht="12.75">
      <c r="A4" t="s">
        <v>213</v>
      </c>
    </row>
    <row r="5" ht="12.75">
      <c r="A5" t="s">
        <v>214</v>
      </c>
    </row>
    <row r="6" ht="12.75">
      <c r="A6" t="s">
        <v>215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5"/>
  <sheetViews>
    <sheetView workbookViewId="0" topLeftCell="B1">
      <selection activeCell="C10" sqref="C10"/>
    </sheetView>
  </sheetViews>
  <sheetFormatPr defaultColWidth="9.140625" defaultRowHeight="12.75"/>
  <cols>
    <col min="1" max="1" width="2.421875" style="1" hidden="1" customWidth="1"/>
    <col min="2" max="2" width="23.8515625" style="1" customWidth="1"/>
    <col min="3" max="3" width="74.0039062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53</v>
      </c>
      <c r="C1" s="47"/>
      <c r="D1" s="13"/>
      <c r="E1" s="13"/>
      <c r="F1" s="13"/>
      <c r="G1" s="13"/>
      <c r="H1" s="13"/>
      <c r="I1" s="13"/>
      <c r="J1" s="13"/>
      <c r="K1" s="13"/>
      <c r="L1" s="13"/>
    </row>
    <row r="2" spans="2:12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2.75">
      <c r="B3" s="13" t="s">
        <v>195</v>
      </c>
      <c r="C3" s="14">
        <v>3020</v>
      </c>
      <c r="D3" s="13"/>
      <c r="E3" s="13"/>
      <c r="F3" s="13"/>
      <c r="G3" s="13"/>
      <c r="H3" s="13"/>
      <c r="I3" s="13"/>
      <c r="J3" s="13"/>
      <c r="K3" s="13"/>
      <c r="L3" s="13"/>
    </row>
    <row r="4" spans="2:12" ht="12.75">
      <c r="B4" s="13" t="s">
        <v>0</v>
      </c>
      <c r="C4" s="47"/>
      <c r="D4" s="13"/>
      <c r="E4" s="13"/>
      <c r="F4" s="13"/>
      <c r="G4" s="13"/>
      <c r="H4" s="13"/>
      <c r="I4" s="13"/>
      <c r="J4" s="13"/>
      <c r="K4" s="13"/>
      <c r="L4" s="13"/>
    </row>
    <row r="5" spans="2:12" ht="12.75">
      <c r="B5" s="13" t="s">
        <v>1</v>
      </c>
      <c r="C5" s="13" t="s">
        <v>87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ht="12.75"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12.75">
      <c r="B7" s="13" t="s">
        <v>3</v>
      </c>
      <c r="C7" s="13" t="s">
        <v>84</v>
      </c>
      <c r="D7" s="13"/>
      <c r="E7" s="13"/>
      <c r="F7" s="13"/>
      <c r="G7" s="13"/>
      <c r="H7" s="13"/>
      <c r="I7" s="13"/>
      <c r="J7" s="13"/>
      <c r="K7" s="13"/>
      <c r="L7" s="13"/>
    </row>
    <row r="8" spans="2:12" ht="12.75">
      <c r="B8" s="13" t="s">
        <v>4</v>
      </c>
      <c r="C8" s="13" t="s">
        <v>85</v>
      </c>
      <c r="D8" s="13"/>
      <c r="E8" s="13"/>
      <c r="F8" s="13"/>
      <c r="G8" s="13"/>
      <c r="H8" s="13"/>
      <c r="I8" s="13"/>
      <c r="J8" s="13"/>
      <c r="K8" s="13"/>
      <c r="L8" s="13"/>
    </row>
    <row r="9" spans="2:12" ht="12.75">
      <c r="B9" s="13" t="s">
        <v>5</v>
      </c>
      <c r="C9" s="13" t="s">
        <v>86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ht="12.75">
      <c r="B10" s="13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2.75">
      <c r="B11" s="13" t="s">
        <v>206</v>
      </c>
      <c r="C11" s="14">
        <v>0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2.75">
      <c r="B12" s="13" t="s">
        <v>186</v>
      </c>
      <c r="C12" s="13" t="s">
        <v>216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 t="s">
        <v>185</v>
      </c>
      <c r="C13" s="13" t="s">
        <v>187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2:12" s="39" customFormat="1" ht="51">
      <c r="B14" s="38" t="s">
        <v>44</v>
      </c>
      <c r="C14" s="38" t="s">
        <v>130</v>
      </c>
      <c r="D14" s="46"/>
      <c r="E14" s="38"/>
      <c r="F14" s="38"/>
      <c r="G14" s="38"/>
      <c r="H14" s="38"/>
      <c r="I14" s="38"/>
      <c r="J14" s="38"/>
      <c r="K14" s="38"/>
      <c r="L14" s="38"/>
    </row>
    <row r="15" spans="2:12" s="39" customFormat="1" ht="12.75">
      <c r="B15" s="38" t="s">
        <v>49</v>
      </c>
      <c r="C15" s="50" t="s">
        <v>88</v>
      </c>
      <c r="D15" s="38"/>
      <c r="E15" s="38"/>
      <c r="F15" s="38"/>
      <c r="G15" s="38"/>
      <c r="H15" s="38"/>
      <c r="I15" s="38"/>
      <c r="J15" s="38"/>
      <c r="K15" s="38"/>
      <c r="L15" s="38"/>
    </row>
    <row r="16" spans="2:12" s="39" customFormat="1" ht="12.75">
      <c r="B16" s="13" t="s">
        <v>54</v>
      </c>
      <c r="C16" s="38"/>
      <c r="F16" s="38"/>
      <c r="G16" s="38"/>
      <c r="H16" s="38"/>
      <c r="I16" s="38"/>
      <c r="J16" s="38"/>
      <c r="K16" s="38"/>
      <c r="L16" s="38"/>
    </row>
    <row r="17" spans="2:12" s="39" customFormat="1" ht="12.75">
      <c r="B17" s="13" t="s">
        <v>207</v>
      </c>
      <c r="C17" s="38" t="s">
        <v>131</v>
      </c>
      <c r="D17" s="38"/>
      <c r="E17" s="38"/>
      <c r="F17" s="38"/>
      <c r="G17" s="38"/>
      <c r="H17" s="38"/>
      <c r="I17" s="38"/>
      <c r="J17" s="38"/>
      <c r="K17" s="38"/>
      <c r="L17" s="38"/>
    </row>
    <row r="18" spans="2:12" s="39" customFormat="1" ht="12.75">
      <c r="B18" s="13" t="s">
        <v>208</v>
      </c>
      <c r="C18" s="38" t="s">
        <v>218</v>
      </c>
      <c r="D18" s="38"/>
      <c r="E18" s="38"/>
      <c r="F18" s="38"/>
      <c r="G18" s="38"/>
      <c r="H18" s="38"/>
      <c r="I18" s="38"/>
      <c r="J18" s="38"/>
      <c r="K18" s="38"/>
      <c r="L18" s="38"/>
    </row>
    <row r="19" spans="2:12" ht="38.25">
      <c r="B19" s="38" t="s">
        <v>7</v>
      </c>
      <c r="C19" s="38" t="s">
        <v>132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2:12" ht="12.75">
      <c r="B20" s="13" t="s">
        <v>133</v>
      </c>
      <c r="C20" s="1" t="s">
        <v>217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2:12" ht="76.5">
      <c r="B21" s="48" t="s">
        <v>55</v>
      </c>
      <c r="C21" s="51" t="s">
        <v>233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2:12" ht="12.75">
      <c r="B22" s="13" t="s">
        <v>47</v>
      </c>
      <c r="C22" s="1" t="s">
        <v>209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2:12" ht="12.75" customHeight="1">
      <c r="B23" s="13"/>
      <c r="C23" s="38" t="s">
        <v>129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13" t="s">
        <v>8</v>
      </c>
      <c r="C25" s="14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12.75">
      <c r="B26" s="13" t="s">
        <v>9</v>
      </c>
      <c r="C26" s="15">
        <v>3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 t="s">
        <v>10</v>
      </c>
      <c r="C27" s="14">
        <v>100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 t="s">
        <v>50</v>
      </c>
      <c r="C28" s="15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4.25" customHeight="1">
      <c r="B29" s="13" t="s">
        <v>51</v>
      </c>
      <c r="C29" s="14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2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2.75">
      <c r="B31" s="48" t="s">
        <v>11</v>
      </c>
      <c r="C31" s="49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12.75">
      <c r="B32" s="13" t="s">
        <v>76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4.2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13"/>
      <c r="C56" s="16"/>
      <c r="D56" s="13"/>
      <c r="E56" s="13"/>
      <c r="F56" s="13"/>
      <c r="G56" s="13"/>
      <c r="H56" s="13"/>
      <c r="I56" s="13"/>
      <c r="J56" s="13"/>
      <c r="K56" s="13"/>
      <c r="L56" s="13"/>
    </row>
    <row r="57" spans="2:12" s="39" customFormat="1" ht="12.7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2.75">
      <c r="B58" s="13"/>
      <c r="C58" s="38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ht="12.75">
      <c r="B61" s="13"/>
      <c r="C61" s="16"/>
      <c r="D61" s="13"/>
      <c r="E61" s="13"/>
      <c r="F61" s="13"/>
      <c r="G61" s="13"/>
      <c r="H61" s="13"/>
      <c r="I61" s="13"/>
      <c r="J61" s="13"/>
      <c r="K61" s="13"/>
      <c r="L61" s="13"/>
    </row>
    <row r="62" spans="2:12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ht="12.75">
      <c r="B65" s="13"/>
      <c r="C65" s="16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.75">
      <c r="B68" s="13"/>
      <c r="C68" s="16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12.75">
      <c r="B69" s="13"/>
      <c r="C69" s="16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2:12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2:12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2:12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2:12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2:12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2:12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12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12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12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12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2:12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2:12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2:12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2:12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2:12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2:12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2:12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2:12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2:12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2:12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2:12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2:12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2:12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2:12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2:12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2:12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2:12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2:12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2:12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2:12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2:12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2:12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2:12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2:12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2:12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2:12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2:12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2:12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2:12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2:12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2:12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2:12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2:12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2:12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2:12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2:12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2:12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2:12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2:12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2:12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2:12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2:12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2:12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2:12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2:12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2:12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2:12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2:12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2:12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2:12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2:12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2:12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2:12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2:12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2:12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2:12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2:12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2:12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2:12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2:12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2:12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2:12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2:12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2:12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2:12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2:12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2:12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2:12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2:12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2:12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2:12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2:12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2:12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2:12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2:12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2:12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2:12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2:12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2:12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2:12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2:12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2:12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2:12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2:12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2:12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2:12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2:12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2:12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2:12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2:12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2:12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2:12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2:12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2:12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2:12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2:12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2:12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2:12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2:12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2:12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2:12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2:12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2:12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2:12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2:12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2:12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2:12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2:12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2:12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2:12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2:12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2:12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2:12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2:12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2:12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2:12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2:12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2:12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2:12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2:12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2:12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2:12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2:12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2:12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2:12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2:12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2:12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2:12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2:12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2:12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2:12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2:12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2:12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2:12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2:12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2:12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2:12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2:12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2:12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2:12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2:12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2:12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2:12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2:12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2:12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2:12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2:12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2:12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2:12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2:12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2:12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2:12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2:12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2:12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2:12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2:12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2:12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2:12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2:12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2:12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2:12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2:12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2:12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2:12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2:12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2:12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2:12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2:12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2:12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2:12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2:12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2:12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2:12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2:12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2:12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2:12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2:12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2:12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2:12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2:12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2:12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2:12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2:12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2:12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2:12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2:12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2:12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2:12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2:12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2:12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2:12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2:12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2:12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2:12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2:12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2:12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2:12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2:12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2:12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2:12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2:12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2:12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2:12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2:12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2:12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2:12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2:12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2:12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2:12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2:12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2:12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2:12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2:12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2:12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2:12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2:12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2:12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2:12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2:12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2:12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2:12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2:12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2:12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2:12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2:12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2:12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2:12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2:12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2:12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2:12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2:12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2:12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2:12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2:12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2:12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2:12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2:12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2:12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2:12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2:12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2:12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2:12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2:12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2:12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2:12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2:12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2:12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2:12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2:12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2:12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2:12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2:12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2:12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2:12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2:12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2:12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2:12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2:12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2:12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2:12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2:12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2:12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2:12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2:12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2:12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2:12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2:12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2:12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2:12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2:12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2:12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2:12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2:12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2:12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2:12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2:12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2:12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2:12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2:12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2:12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2:12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2:12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2:12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2:12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2:12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2:12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2:12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2:12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2:12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2:12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2:12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2:12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2:12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2:12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2:12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2:12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2:12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2:12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2:12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2:12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2:12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2:12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2:12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2:12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2:12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2:12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2:12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2:12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2:12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2:12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2:12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2:12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2:12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2:12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2:12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2:12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2:12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2:12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2:12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B5">
      <selection activeCell="C10" sqref="C10"/>
    </sheetView>
  </sheetViews>
  <sheetFormatPr defaultColWidth="9.140625" defaultRowHeight="12.75"/>
  <cols>
    <col min="1" max="1" width="4.421875" style="0" hidden="1" customWidth="1"/>
    <col min="2" max="2" width="19.8515625" style="0" customWidth="1"/>
    <col min="3" max="3" width="61.00390625" style="0" customWidth="1"/>
  </cols>
  <sheetData>
    <row r="1" ht="12.75">
      <c r="B1" s="2" t="s">
        <v>188</v>
      </c>
    </row>
    <row r="3" spans="2:12" s="1" customFormat="1" ht="12.75">
      <c r="B3" s="2" t="s">
        <v>134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s="1" customFormat="1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s="1" customFormat="1" ht="12.75">
      <c r="B5" s="13" t="s">
        <v>189</v>
      </c>
      <c r="C5" s="42" t="s">
        <v>91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s="1" customFormat="1" ht="12.75">
      <c r="B6" s="13" t="s">
        <v>190</v>
      </c>
      <c r="C6" s="13" t="s">
        <v>89</v>
      </c>
      <c r="D6" s="45"/>
      <c r="E6" s="13"/>
      <c r="F6" s="13"/>
      <c r="G6" s="13"/>
      <c r="H6" s="13"/>
      <c r="I6" s="13"/>
      <c r="J6" s="13"/>
      <c r="K6" s="13"/>
      <c r="L6" s="13"/>
    </row>
    <row r="7" spans="2:12" s="1" customFormat="1" ht="12.75">
      <c r="B7" s="13" t="s">
        <v>191</v>
      </c>
      <c r="C7" s="13" t="s">
        <v>90</v>
      </c>
      <c r="D7" s="13"/>
      <c r="E7" s="13"/>
      <c r="F7" s="13"/>
      <c r="G7" s="13"/>
      <c r="H7" s="13"/>
      <c r="I7" s="13"/>
      <c r="J7" s="13"/>
      <c r="K7" s="13"/>
      <c r="L7" s="13"/>
    </row>
    <row r="8" spans="2:12" s="1" customFormat="1" ht="12.75">
      <c r="B8" s="13" t="s">
        <v>192</v>
      </c>
      <c r="C8" s="16">
        <v>33660</v>
      </c>
      <c r="D8" s="13"/>
      <c r="E8" s="13"/>
      <c r="F8" s="13"/>
      <c r="G8" s="13"/>
      <c r="H8" s="13"/>
      <c r="I8" s="13"/>
      <c r="J8" s="13"/>
      <c r="K8" s="13"/>
      <c r="L8" s="13"/>
    </row>
    <row r="9" spans="2:12" s="1" customFormat="1" ht="12.75">
      <c r="B9" s="13" t="s">
        <v>205</v>
      </c>
      <c r="C9" s="79">
        <v>33635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s="1" customFormat="1" ht="12.75">
      <c r="B10" s="13" t="s">
        <v>193</v>
      </c>
      <c r="C10" s="13" t="s">
        <v>92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2:12" s="1" customFormat="1" ht="15.75">
      <c r="B11" s="13" t="s">
        <v>194</v>
      </c>
      <c r="C11" s="16" t="s">
        <v>93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2:12" s="1" customFormat="1" ht="12.75">
      <c r="B12" s="13"/>
      <c r="C12" s="16"/>
      <c r="D12" s="13"/>
      <c r="E12" s="13"/>
      <c r="F12" s="13"/>
      <c r="G12" s="13"/>
      <c r="H12" s="13"/>
      <c r="I12" s="13"/>
      <c r="J12" s="13"/>
      <c r="K12" s="13"/>
      <c r="L12" s="13"/>
    </row>
    <row r="13" spans="2:12" s="1" customFormat="1" ht="12.75">
      <c r="B13" s="2" t="s">
        <v>135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s="1" customFormat="1" ht="12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s="1" customFormat="1" ht="12.75">
      <c r="B15" s="13" t="s">
        <v>189</v>
      </c>
      <c r="C15" s="42" t="s">
        <v>91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2:12" s="1" customFormat="1" ht="12.75">
      <c r="B16" s="13" t="s">
        <v>190</v>
      </c>
      <c r="C16" s="13" t="s">
        <v>89</v>
      </c>
      <c r="D16" s="45"/>
      <c r="E16" s="13"/>
      <c r="F16" s="13"/>
      <c r="G16" s="13"/>
      <c r="H16" s="13"/>
      <c r="I16" s="13"/>
      <c r="J16" s="13"/>
      <c r="K16" s="13"/>
      <c r="L16" s="13"/>
    </row>
    <row r="17" spans="2:12" s="1" customFormat="1" ht="12.75">
      <c r="B17" s="13" t="s">
        <v>191</v>
      </c>
      <c r="C17" s="13" t="s">
        <v>90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2:12" s="1" customFormat="1" ht="12.75">
      <c r="B18" s="13" t="s">
        <v>192</v>
      </c>
      <c r="C18" s="16">
        <v>33661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2:12" s="1" customFormat="1" ht="12.75">
      <c r="B19" s="13" t="s">
        <v>205</v>
      </c>
      <c r="C19" s="79">
        <v>33635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2:12" s="1" customFormat="1" ht="12.75">
      <c r="B20" s="13" t="s">
        <v>193</v>
      </c>
      <c r="C20" s="13" t="s">
        <v>94</v>
      </c>
      <c r="D20" s="13"/>
      <c r="E20" s="45"/>
      <c r="F20" s="13"/>
      <c r="G20" s="13"/>
      <c r="H20" s="13"/>
      <c r="I20" s="13"/>
      <c r="J20" s="13"/>
      <c r="K20" s="13"/>
      <c r="L20" s="13"/>
    </row>
    <row r="21" spans="2:12" s="1" customFormat="1" ht="15.75">
      <c r="B21" s="13" t="s">
        <v>194</v>
      </c>
      <c r="C21" s="16" t="s">
        <v>93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2:12" s="1" customFormat="1" ht="12.75">
      <c r="B22" s="13"/>
      <c r="C22" s="13"/>
      <c r="D22" s="45"/>
      <c r="E22" s="13"/>
      <c r="F22" s="13"/>
      <c r="G22" s="13"/>
      <c r="H22" s="13"/>
      <c r="I22" s="13"/>
      <c r="J22" s="13"/>
      <c r="K22" s="13"/>
      <c r="L22" s="13"/>
    </row>
    <row r="23" spans="2:12" s="1" customFormat="1" ht="12.75">
      <c r="B23" s="2" t="s">
        <v>184</v>
      </c>
      <c r="C23" s="13" t="s">
        <v>140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2:12" s="1" customFormat="1" ht="12.75">
      <c r="B24" s="2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s="1" customFormat="1" ht="12.75">
      <c r="B25" s="13" t="s">
        <v>189</v>
      </c>
      <c r="C25" s="42"/>
      <c r="D25" s="13"/>
      <c r="E25" s="13"/>
      <c r="F25" s="13"/>
      <c r="G25" s="13"/>
      <c r="H25" s="13"/>
      <c r="I25" s="13"/>
      <c r="J25" s="13"/>
      <c r="K25" s="13"/>
      <c r="L25" s="13"/>
    </row>
    <row r="26" spans="2:12" s="1" customFormat="1" ht="12.75">
      <c r="B26" s="13" t="s">
        <v>190</v>
      </c>
      <c r="C26" s="13"/>
      <c r="D26" s="45"/>
      <c r="E26" s="13"/>
      <c r="F26" s="13"/>
      <c r="G26" s="13"/>
      <c r="H26" s="13"/>
      <c r="I26" s="13"/>
      <c r="J26" s="13"/>
      <c r="K26" s="13"/>
      <c r="L26" s="13"/>
    </row>
    <row r="27" spans="2:12" s="1" customFormat="1" ht="12.75">
      <c r="B27" s="13" t="s">
        <v>191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s="1" customFormat="1" ht="12.75">
      <c r="B28" s="13" t="s">
        <v>192</v>
      </c>
      <c r="C28" s="16">
        <v>37012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2:12" s="1" customFormat="1" ht="12.75">
      <c r="B29" s="13" t="s">
        <v>205</v>
      </c>
      <c r="C29" s="79">
        <v>37012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2:12" s="1" customFormat="1" ht="12.75">
      <c r="B30" s="13" t="s">
        <v>193</v>
      </c>
      <c r="C30" s="13" t="s">
        <v>138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2:12" s="1" customFormat="1" ht="12.75">
      <c r="B31" s="13" t="s">
        <v>194</v>
      </c>
      <c r="C31" s="16" t="s">
        <v>139</v>
      </c>
      <c r="D31" s="13"/>
      <c r="E31" s="13"/>
      <c r="F31" s="13"/>
      <c r="G31" s="13"/>
      <c r="H31" s="13"/>
      <c r="I31" s="13"/>
      <c r="J31" s="13"/>
      <c r="K31" s="13"/>
      <c r="L31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21"/>
  <sheetViews>
    <sheetView workbookViewId="0" topLeftCell="B1">
      <selection activeCell="C10" sqref="C10"/>
    </sheetView>
  </sheetViews>
  <sheetFormatPr defaultColWidth="9.140625" defaultRowHeight="12.75"/>
  <cols>
    <col min="1" max="1" width="1.7109375" style="18" hidden="1" customWidth="1"/>
    <col min="2" max="2" width="18.8515625" style="18" customWidth="1"/>
    <col min="3" max="3" width="10.8515625" style="18" customWidth="1"/>
    <col min="4" max="4" width="18.7109375" style="4" customWidth="1"/>
    <col min="5" max="5" width="11.00390625" style="4" customWidth="1"/>
    <col min="6" max="6" width="7.140625" style="4" customWidth="1"/>
    <col min="7" max="7" width="9.00390625" style="18" customWidth="1"/>
    <col min="8" max="8" width="2.7109375" style="18" customWidth="1"/>
    <col min="9" max="9" width="9.7109375" style="19" customWidth="1"/>
    <col min="10" max="10" width="2.8515625" style="18" customWidth="1"/>
    <col min="11" max="11" width="12.28125" style="18" customWidth="1"/>
    <col min="12" max="12" width="2.57421875" style="18" customWidth="1"/>
    <col min="13" max="13" width="8.8515625" style="18" customWidth="1"/>
    <col min="14" max="14" width="2.140625" style="18" customWidth="1"/>
    <col min="15" max="15" width="8.8515625" style="18" customWidth="1"/>
    <col min="16" max="16" width="2.140625" style="18" customWidth="1"/>
    <col min="17" max="16384" width="8.8515625" style="18" customWidth="1"/>
  </cols>
  <sheetData>
    <row r="1" spans="2:5" ht="12.75">
      <c r="B1" s="17" t="s">
        <v>196</v>
      </c>
      <c r="C1" s="17"/>
      <c r="E1" s="44"/>
    </row>
    <row r="2" spans="2:17" ht="12.75">
      <c r="B2" s="20"/>
      <c r="C2" s="20"/>
      <c r="G2" s="20"/>
      <c r="H2" s="20"/>
      <c r="I2" s="21"/>
      <c r="J2" s="20"/>
      <c r="K2" s="20"/>
      <c r="L2" s="20"/>
      <c r="M2" s="21"/>
      <c r="O2" s="20"/>
      <c r="P2" s="20"/>
      <c r="Q2" s="21"/>
    </row>
    <row r="3" spans="2:17" ht="12.75">
      <c r="B3" s="29"/>
      <c r="E3" s="29"/>
      <c r="G3" s="4"/>
      <c r="H3" s="20"/>
      <c r="I3" s="21"/>
      <c r="J3" s="20"/>
      <c r="K3" s="20"/>
      <c r="L3" s="20"/>
      <c r="M3" s="21"/>
      <c r="O3" s="20"/>
      <c r="P3" s="20"/>
      <c r="Q3" s="21"/>
    </row>
    <row r="4" spans="2:12" ht="12.75">
      <c r="B4" s="29"/>
      <c r="C4" s="29"/>
      <c r="G4" s="20"/>
      <c r="H4" s="20"/>
      <c r="I4" s="21"/>
      <c r="J4" s="20"/>
      <c r="K4" s="20"/>
      <c r="L4" s="20"/>
    </row>
    <row r="5" spans="2:12" ht="12.75">
      <c r="B5" s="29"/>
      <c r="C5" s="29"/>
      <c r="G5" s="20"/>
      <c r="H5" s="20"/>
      <c r="I5" s="21"/>
      <c r="J5" s="20"/>
      <c r="K5" s="20"/>
      <c r="L5" s="20"/>
    </row>
    <row r="6" spans="4:14" ht="12.75">
      <c r="D6" s="22" t="s">
        <v>134</v>
      </c>
      <c r="E6" s="22" t="s">
        <v>65</v>
      </c>
      <c r="F6" s="22" t="s">
        <v>97</v>
      </c>
      <c r="G6" s="4"/>
      <c r="H6" s="4"/>
      <c r="I6" s="20" t="s">
        <v>198</v>
      </c>
      <c r="J6" s="20"/>
      <c r="K6" s="21" t="s">
        <v>199</v>
      </c>
      <c r="L6" s="20"/>
      <c r="M6" s="20" t="s">
        <v>200</v>
      </c>
      <c r="N6" s="20"/>
    </row>
    <row r="7" spans="6:14" ht="12.75">
      <c r="F7" s="29"/>
      <c r="G7" s="29"/>
      <c r="H7" s="29"/>
      <c r="I7" s="29"/>
      <c r="J7" s="29"/>
      <c r="K7" s="74"/>
      <c r="L7" s="29"/>
      <c r="M7" s="29"/>
      <c r="N7" s="20"/>
    </row>
    <row r="8" spans="4:14" ht="12.75">
      <c r="D8" s="4" t="s">
        <v>13</v>
      </c>
      <c r="F8" s="4" t="s">
        <v>14</v>
      </c>
      <c r="G8" s="4" t="s">
        <v>15</v>
      </c>
      <c r="H8" s="4"/>
      <c r="I8" s="29">
        <v>0.0155</v>
      </c>
      <c r="J8" s="29"/>
      <c r="K8" s="74">
        <v>0.0156</v>
      </c>
      <c r="L8" s="29"/>
      <c r="M8" s="29">
        <v>0.0127</v>
      </c>
      <c r="N8" s="20"/>
    </row>
    <row r="9" spans="4:14" ht="12.75">
      <c r="D9" s="4" t="s">
        <v>82</v>
      </c>
      <c r="F9" s="4" t="s">
        <v>16</v>
      </c>
      <c r="G9" s="4"/>
      <c r="H9" s="4"/>
      <c r="I9" s="5">
        <v>8.8</v>
      </c>
      <c r="J9" s="5"/>
      <c r="K9" s="5">
        <v>9.7</v>
      </c>
      <c r="L9" s="5"/>
      <c r="M9" s="5">
        <v>9.8</v>
      </c>
      <c r="N9" s="20"/>
    </row>
    <row r="10" spans="4:14" ht="12.75">
      <c r="D10" s="4" t="s">
        <v>83</v>
      </c>
      <c r="F10" s="4" t="s">
        <v>16</v>
      </c>
      <c r="G10" s="4"/>
      <c r="H10" s="4"/>
      <c r="I10" s="5"/>
      <c r="J10" s="5"/>
      <c r="K10" s="5"/>
      <c r="L10" s="5"/>
      <c r="M10" s="5"/>
      <c r="N10" s="20"/>
    </row>
    <row r="11" spans="4:14" ht="12.75">
      <c r="D11" s="4" t="s">
        <v>26</v>
      </c>
      <c r="F11" s="4" t="s">
        <v>96</v>
      </c>
      <c r="G11" s="4"/>
      <c r="H11" s="4"/>
      <c r="I11" s="27">
        <v>2.46E-08</v>
      </c>
      <c r="J11" s="24"/>
      <c r="K11" s="27">
        <v>1.3E-07</v>
      </c>
      <c r="L11" s="24"/>
      <c r="M11" s="27">
        <v>7.54E-08</v>
      </c>
      <c r="N11" s="20"/>
    </row>
    <row r="12" spans="4:14" ht="12.75">
      <c r="D12" s="4" t="s">
        <v>27</v>
      </c>
      <c r="F12" s="4" t="s">
        <v>96</v>
      </c>
      <c r="G12" s="4"/>
      <c r="H12" s="4"/>
      <c r="I12" s="27">
        <v>8.79E-07</v>
      </c>
      <c r="J12" s="24"/>
      <c r="K12" s="27">
        <v>8.78E-07</v>
      </c>
      <c r="L12" s="24"/>
      <c r="M12" s="27">
        <v>1.7E-06</v>
      </c>
      <c r="N12" s="20"/>
    </row>
    <row r="13" spans="7:14" ht="12.75">
      <c r="G13" s="4"/>
      <c r="H13" s="4"/>
      <c r="I13" s="24"/>
      <c r="J13" s="24"/>
      <c r="K13" s="25"/>
      <c r="L13" s="24"/>
      <c r="M13" s="24"/>
      <c r="N13" s="20"/>
    </row>
    <row r="14" spans="4:14" ht="12.75">
      <c r="D14" s="4" t="s">
        <v>73</v>
      </c>
      <c r="E14" s="4" t="s">
        <v>66</v>
      </c>
      <c r="G14" s="4"/>
      <c r="H14" s="4"/>
      <c r="I14" s="18"/>
      <c r="K14" s="19"/>
      <c r="N14" s="20"/>
    </row>
    <row r="15" spans="4:14" ht="12.75">
      <c r="D15" s="4" t="s">
        <v>57</v>
      </c>
      <c r="F15" s="4" t="s">
        <v>17</v>
      </c>
      <c r="G15" s="4"/>
      <c r="H15" s="4"/>
      <c r="I15" s="24">
        <v>7200</v>
      </c>
      <c r="J15" s="24"/>
      <c r="K15" s="25">
        <v>7300</v>
      </c>
      <c r="L15" s="7"/>
      <c r="M15" s="24">
        <v>7300</v>
      </c>
      <c r="N15" s="20"/>
    </row>
    <row r="16" spans="4:13" ht="12.75">
      <c r="D16" s="4" t="s">
        <v>69</v>
      </c>
      <c r="F16" s="4" t="s">
        <v>18</v>
      </c>
      <c r="G16" s="4"/>
      <c r="H16" s="4"/>
      <c r="I16" s="24">
        <v>12.7</v>
      </c>
      <c r="J16" s="24"/>
      <c r="K16" s="25">
        <v>12.6</v>
      </c>
      <c r="L16" s="24"/>
      <c r="M16" s="5">
        <v>13</v>
      </c>
    </row>
    <row r="17" spans="4:13" ht="12.75">
      <c r="D17" s="4" t="s">
        <v>70</v>
      </c>
      <c r="F17" s="4" t="s">
        <v>18</v>
      </c>
      <c r="G17" s="4"/>
      <c r="H17" s="4"/>
      <c r="I17" s="24">
        <v>2.1</v>
      </c>
      <c r="J17" s="24"/>
      <c r="K17" s="25">
        <v>1.9</v>
      </c>
      <c r="L17" s="24"/>
      <c r="M17" s="24">
        <v>2.3</v>
      </c>
    </row>
    <row r="18" spans="4:13" ht="12.75">
      <c r="D18" s="4" t="s">
        <v>56</v>
      </c>
      <c r="F18" s="4" t="s">
        <v>19</v>
      </c>
      <c r="G18" s="4"/>
      <c r="H18" s="4"/>
      <c r="I18" s="24">
        <v>59.9</v>
      </c>
      <c r="J18" s="24"/>
      <c r="K18" s="25">
        <v>58.2</v>
      </c>
      <c r="L18" s="24"/>
      <c r="M18" s="24">
        <v>57.5</v>
      </c>
    </row>
    <row r="19" spans="4:11" ht="12.75">
      <c r="D19" s="18"/>
      <c r="E19" s="18"/>
      <c r="G19" s="4"/>
      <c r="H19" s="4"/>
      <c r="I19" s="18"/>
      <c r="K19" s="19"/>
    </row>
    <row r="20" spans="4:11" ht="12.75">
      <c r="D20" s="18"/>
      <c r="E20" s="18"/>
      <c r="G20" s="4"/>
      <c r="H20" s="4"/>
      <c r="I20" s="18"/>
      <c r="K20" s="19"/>
    </row>
    <row r="21" spans="4:13" ht="12.75">
      <c r="D21" s="18"/>
      <c r="E21" s="18"/>
      <c r="F21" s="22" t="s">
        <v>98</v>
      </c>
      <c r="G21" s="4"/>
      <c r="H21" s="4"/>
      <c r="I21" s="20" t="s">
        <v>198</v>
      </c>
      <c r="J21" s="20"/>
      <c r="K21" s="21" t="s">
        <v>199</v>
      </c>
      <c r="L21" s="20"/>
      <c r="M21" s="20" t="s">
        <v>200</v>
      </c>
    </row>
    <row r="22" spans="4:11" ht="12.75">
      <c r="D22" s="18"/>
      <c r="E22" s="18"/>
      <c r="G22" s="4"/>
      <c r="H22" s="4"/>
      <c r="I22" s="18"/>
      <c r="K22" s="19"/>
    </row>
    <row r="23" spans="4:13" ht="12.75">
      <c r="D23" s="4" t="s">
        <v>13</v>
      </c>
      <c r="F23" s="4" t="s">
        <v>14</v>
      </c>
      <c r="G23" s="4" t="s">
        <v>15</v>
      </c>
      <c r="H23" s="4"/>
      <c r="I23" s="29">
        <v>0.0072</v>
      </c>
      <c r="J23" s="29"/>
      <c r="K23" s="74">
        <v>0.0058</v>
      </c>
      <c r="L23" s="29"/>
      <c r="M23" s="29">
        <v>0.0056</v>
      </c>
    </row>
    <row r="24" spans="4:13" ht="12.75">
      <c r="D24" s="4" t="s">
        <v>82</v>
      </c>
      <c r="F24" s="4" t="s">
        <v>16</v>
      </c>
      <c r="G24" s="4"/>
      <c r="H24" s="4"/>
      <c r="I24" s="5">
        <v>7</v>
      </c>
      <c r="J24" s="5"/>
      <c r="K24" s="5">
        <v>10.9</v>
      </c>
      <c r="L24" s="5"/>
      <c r="M24" s="5">
        <v>7</v>
      </c>
    </row>
    <row r="25" spans="4:13" ht="12.75">
      <c r="D25" s="4" t="s">
        <v>83</v>
      </c>
      <c r="F25" s="4" t="s">
        <v>16</v>
      </c>
      <c r="G25" s="4"/>
      <c r="H25" s="4"/>
      <c r="I25" s="5">
        <v>7.6</v>
      </c>
      <c r="J25" s="5"/>
      <c r="K25" s="5">
        <v>2.7</v>
      </c>
      <c r="L25" s="5"/>
      <c r="M25" s="5">
        <v>2.7</v>
      </c>
    </row>
    <row r="26" spans="4:13" ht="12.75">
      <c r="D26" s="4" t="s">
        <v>26</v>
      </c>
      <c r="F26" s="4" t="s">
        <v>96</v>
      </c>
      <c r="G26" s="4"/>
      <c r="H26" s="4"/>
      <c r="I26" s="27">
        <v>1.27E-07</v>
      </c>
      <c r="J26" s="24"/>
      <c r="K26" s="27">
        <v>9.21E-08</v>
      </c>
      <c r="L26" s="24"/>
      <c r="M26" s="27">
        <v>9.87E-08</v>
      </c>
    </row>
    <row r="27" spans="4:13" ht="12.75">
      <c r="D27" s="4" t="s">
        <v>27</v>
      </c>
      <c r="F27" s="4" t="s">
        <v>96</v>
      </c>
      <c r="G27" s="4"/>
      <c r="H27" s="4"/>
      <c r="I27" s="27">
        <v>6.4E-07</v>
      </c>
      <c r="J27" s="24"/>
      <c r="K27" s="27">
        <v>7.26E-07</v>
      </c>
      <c r="L27" s="24"/>
      <c r="M27" s="27">
        <v>1.3E-06</v>
      </c>
    </row>
    <row r="28" spans="7:13" ht="12.75">
      <c r="G28" s="4"/>
      <c r="H28" s="4"/>
      <c r="I28" s="24"/>
      <c r="J28" s="24"/>
      <c r="K28" s="25"/>
      <c r="L28" s="24"/>
      <c r="M28" s="24"/>
    </row>
    <row r="29" spans="4:11" ht="12.75">
      <c r="D29" s="4" t="s">
        <v>73</v>
      </c>
      <c r="E29" s="4" t="s">
        <v>66</v>
      </c>
      <c r="G29" s="4"/>
      <c r="H29" s="4"/>
      <c r="I29" s="18"/>
      <c r="K29" s="19"/>
    </row>
    <row r="30" spans="4:13" ht="12.75">
      <c r="D30" s="4" t="s">
        <v>57</v>
      </c>
      <c r="F30" s="4" t="s">
        <v>17</v>
      </c>
      <c r="G30" s="4"/>
      <c r="H30" s="4"/>
      <c r="I30" s="24">
        <v>6700</v>
      </c>
      <c r="J30" s="24"/>
      <c r="K30" s="25">
        <v>6900</v>
      </c>
      <c r="L30" s="7"/>
      <c r="M30" s="24">
        <v>6800</v>
      </c>
    </row>
    <row r="31" spans="4:13" ht="12.75">
      <c r="D31" s="4" t="s">
        <v>69</v>
      </c>
      <c r="F31" s="4" t="s">
        <v>18</v>
      </c>
      <c r="G31" s="4"/>
      <c r="H31" s="4"/>
      <c r="I31" s="24">
        <v>11.3</v>
      </c>
      <c r="J31" s="24"/>
      <c r="K31" s="25">
        <v>11.1</v>
      </c>
      <c r="L31" s="24"/>
      <c r="M31" s="5">
        <v>11.1</v>
      </c>
    </row>
    <row r="32" spans="4:13" ht="12.75">
      <c r="D32" s="4" t="s">
        <v>70</v>
      </c>
      <c r="F32" s="4" t="s">
        <v>18</v>
      </c>
      <c r="G32" s="4"/>
      <c r="H32" s="4"/>
      <c r="I32" s="24">
        <v>2.1</v>
      </c>
      <c r="J32" s="24"/>
      <c r="K32" s="25">
        <v>1.8</v>
      </c>
      <c r="L32" s="24"/>
      <c r="M32" s="5">
        <v>1.4</v>
      </c>
    </row>
    <row r="33" spans="4:13" ht="12.75">
      <c r="D33" s="4" t="s">
        <v>56</v>
      </c>
      <c r="F33" s="4" t="s">
        <v>19</v>
      </c>
      <c r="G33" s="4"/>
      <c r="H33" s="4"/>
      <c r="I33" s="24">
        <v>58.3</v>
      </c>
      <c r="J33" s="24"/>
      <c r="K33" s="25">
        <v>56.9</v>
      </c>
      <c r="L33" s="24"/>
      <c r="M33" s="24">
        <v>58.1</v>
      </c>
    </row>
    <row r="34" spans="7:13" ht="12.75">
      <c r="G34" s="4"/>
      <c r="H34" s="4"/>
      <c r="I34" s="24"/>
      <c r="J34" s="24"/>
      <c r="K34" s="25"/>
      <c r="L34" s="24"/>
      <c r="M34" s="24"/>
    </row>
    <row r="35" spans="1:13" ht="12.75">
      <c r="A35" s="18">
        <v>1</v>
      </c>
      <c r="B35" s="17" t="s">
        <v>134</v>
      </c>
      <c r="C35" s="31" t="s">
        <v>64</v>
      </c>
      <c r="D35" s="20" t="s">
        <v>12</v>
      </c>
      <c r="E35" s="20" t="s">
        <v>45</v>
      </c>
      <c r="G35" s="20" t="s">
        <v>198</v>
      </c>
      <c r="H35" s="20"/>
      <c r="I35" s="20" t="s">
        <v>199</v>
      </c>
      <c r="J35" s="20"/>
      <c r="K35" s="20" t="s">
        <v>200</v>
      </c>
      <c r="M35" s="18" t="s">
        <v>201</v>
      </c>
    </row>
    <row r="36" spans="2:9" ht="12.75">
      <c r="B36" s="22" t="s">
        <v>99</v>
      </c>
      <c r="D36" s="18"/>
      <c r="E36" s="18"/>
      <c r="F36" s="18"/>
      <c r="I36" s="18"/>
    </row>
    <row r="37" ht="12.75">
      <c r="F37" s="18"/>
    </row>
    <row r="38" spans="4:9" ht="12.75">
      <c r="D38" s="22"/>
      <c r="E38" s="18"/>
      <c r="F38" s="18"/>
      <c r="I38" s="18"/>
    </row>
    <row r="39" spans="2:13" ht="12.75">
      <c r="B39" s="4" t="s">
        <v>13</v>
      </c>
      <c r="C39" s="4" t="s">
        <v>203</v>
      </c>
      <c r="D39" s="4" t="s">
        <v>14</v>
      </c>
      <c r="E39" s="4" t="s">
        <v>15</v>
      </c>
      <c r="G39" s="63">
        <f>(I8*I$15+I23*I$30)/(I$15+I$30)</f>
        <v>0.011499280575539568</v>
      </c>
      <c r="H39" s="29"/>
      <c r="I39" s="63">
        <f>(K8*K$15+K23*K$30)/(K$15+K$30)</f>
        <v>0.010838028169014084</v>
      </c>
      <c r="J39" s="63"/>
      <c r="K39" s="63">
        <f>(M8*M$15+M23*M$30)/(M$15+M$30)</f>
        <v>0.009275886524822695</v>
      </c>
      <c r="M39" s="59">
        <f>AVERAGE(G39,I39,K39)</f>
        <v>0.01053773175645878</v>
      </c>
    </row>
    <row r="40" spans="2:13" ht="12.75">
      <c r="B40" s="4" t="s">
        <v>82</v>
      </c>
      <c r="C40" s="4"/>
      <c r="D40" s="4" t="s">
        <v>16</v>
      </c>
      <c r="G40" s="32">
        <f>(I9*I$15+I24*I$30)/(I$15+I$30)</f>
        <v>7.932374100719424</v>
      </c>
      <c r="H40" s="32"/>
      <c r="I40" s="32">
        <f>(K9*K$15+K24*K$30)/(K$15+K$30)</f>
        <v>10.283098591549296</v>
      </c>
      <c r="J40" s="32"/>
      <c r="K40" s="32">
        <f>(M9*M$15+M24*M$30)/(M$15+M$30)</f>
        <v>8.449645390070922</v>
      </c>
      <c r="L40" s="23"/>
      <c r="M40" s="23">
        <f>AVERAGE(G40,I40,K40)</f>
        <v>8.888372694113214</v>
      </c>
    </row>
    <row r="41" spans="2:13" ht="12.75">
      <c r="B41" s="4" t="s">
        <v>83</v>
      </c>
      <c r="C41" s="4"/>
      <c r="D41" s="4" t="s">
        <v>16</v>
      </c>
      <c r="G41" s="5">
        <f>I25</f>
        <v>7.6</v>
      </c>
      <c r="H41" s="5"/>
      <c r="I41" s="5">
        <f>K25</f>
        <v>2.7</v>
      </c>
      <c r="J41" s="5"/>
      <c r="K41" s="5">
        <f>M25</f>
        <v>2.7</v>
      </c>
      <c r="M41" s="23">
        <f>AVERAGE(G41,I41,K41)</f>
        <v>4.333333333333333</v>
      </c>
    </row>
    <row r="42" spans="2:15" ht="12.75">
      <c r="B42" s="4" t="s">
        <v>26</v>
      </c>
      <c r="C42" s="4"/>
      <c r="D42" s="4" t="s">
        <v>96</v>
      </c>
      <c r="G42" s="62">
        <f>(I11*I$15+I26*I$30)/(I$15+I$30)</f>
        <v>7.395827338129496E-08</v>
      </c>
      <c r="H42" s="62"/>
      <c r="I42" s="62">
        <f>(K11*K$15+K26*K$30)/(K$15+K$30)</f>
        <v>1.1158380281690142E-07</v>
      </c>
      <c r="J42" s="62"/>
      <c r="K42" s="62">
        <f>(M11*M$15+M26*M$30)/(M$15+M$30)</f>
        <v>8.663687943262412E-08</v>
      </c>
      <c r="M42" s="75">
        <f>AVERAGE(G42,I42,K42)</f>
        <v>9.072631854360684E-08</v>
      </c>
      <c r="O42" s="56"/>
    </row>
    <row r="43" spans="2:15" ht="12.75">
      <c r="B43" s="4" t="s">
        <v>27</v>
      </c>
      <c r="C43" s="4"/>
      <c r="D43" s="4" t="s">
        <v>96</v>
      </c>
      <c r="G43" s="62">
        <f>(I12*I$15+I27*I$30)/(I$15+I$30)</f>
        <v>7.637985611510791E-07</v>
      </c>
      <c r="H43" s="62"/>
      <c r="I43" s="62">
        <f>(K12*K$15+K27*K$30)/(K$15+K$30)</f>
        <v>8.041408450704225E-07</v>
      </c>
      <c r="J43" s="62"/>
      <c r="K43" s="62">
        <f>(M12*M$15+M27*M$30)/(M$15+M$30)</f>
        <v>1.5070921985815603E-06</v>
      </c>
      <c r="M43" s="75">
        <f>AVERAGE(G43,I43,K43)</f>
        <v>1.025010534934354E-06</v>
      </c>
      <c r="O43" s="56"/>
    </row>
    <row r="44" spans="4:9" ht="12.75">
      <c r="D44" s="18"/>
      <c r="E44" s="18"/>
      <c r="F44" s="18"/>
      <c r="I44" s="18"/>
    </row>
    <row r="45" spans="4:9" ht="12.75">
      <c r="D45" s="18"/>
      <c r="E45" s="18"/>
      <c r="F45" s="18"/>
      <c r="I45" s="18"/>
    </row>
    <row r="46" spans="2:13" ht="12.75">
      <c r="B46" s="4" t="s">
        <v>48</v>
      </c>
      <c r="C46" s="4" t="s">
        <v>95</v>
      </c>
      <c r="G46" s="24"/>
      <c r="H46" s="24"/>
      <c r="I46" s="25"/>
      <c r="J46" s="24"/>
      <c r="K46" s="24"/>
      <c r="L46" s="20"/>
      <c r="M46" s="26"/>
    </row>
    <row r="47" spans="2:13" ht="12.75">
      <c r="B47" s="4" t="s">
        <v>67</v>
      </c>
      <c r="C47" s="4"/>
      <c r="D47" s="4" t="s">
        <v>30</v>
      </c>
      <c r="G47" s="24">
        <v>558</v>
      </c>
      <c r="H47" s="24"/>
      <c r="I47" s="25">
        <v>532</v>
      </c>
      <c r="J47" s="24"/>
      <c r="K47" s="24">
        <v>487</v>
      </c>
      <c r="L47" s="20"/>
      <c r="M47" s="26">
        <f>AVERAGE(G47,I47,K47)</f>
        <v>525.6666666666666</v>
      </c>
    </row>
    <row r="48" spans="2:15" ht="12.75">
      <c r="B48" s="4" t="s">
        <v>68</v>
      </c>
      <c r="C48" s="4" t="s">
        <v>203</v>
      </c>
      <c r="D48" s="4" t="s">
        <v>30</v>
      </c>
      <c r="G48" s="52">
        <v>0.00557</v>
      </c>
      <c r="H48" s="52"/>
      <c r="I48" s="52">
        <v>0.0051</v>
      </c>
      <c r="J48" s="52"/>
      <c r="K48" s="52">
        <v>0.00306</v>
      </c>
      <c r="L48" s="20"/>
      <c r="M48" s="76">
        <f>AVERAGE(G48,I48,K48)</f>
        <v>0.004576666666666667</v>
      </c>
      <c r="O48" s="43"/>
    </row>
    <row r="49" spans="2:13" ht="12.75">
      <c r="B49" s="4" t="s">
        <v>28</v>
      </c>
      <c r="C49" s="4" t="s">
        <v>203</v>
      </c>
      <c r="D49" s="4" t="s">
        <v>18</v>
      </c>
      <c r="G49" s="52">
        <v>99.999</v>
      </c>
      <c r="H49" s="24"/>
      <c r="I49" s="25">
        <v>99.99904</v>
      </c>
      <c r="J49" s="24"/>
      <c r="K49" s="24">
        <v>99.99937</v>
      </c>
      <c r="L49" s="20"/>
      <c r="M49" s="76">
        <f>AVERAGE(G49,I49,K49)</f>
        <v>99.99913666666667</v>
      </c>
    </row>
    <row r="50" spans="2:13" ht="12.75">
      <c r="B50" s="4"/>
      <c r="C50" s="4"/>
      <c r="G50" s="24"/>
      <c r="H50" s="24"/>
      <c r="I50" s="25"/>
      <c r="J50" s="24"/>
      <c r="K50" s="24"/>
      <c r="L50" s="20"/>
      <c r="M50" s="26"/>
    </row>
    <row r="51" spans="2:13" ht="12.75">
      <c r="B51" s="4" t="s">
        <v>48</v>
      </c>
      <c r="C51" s="4" t="s">
        <v>77</v>
      </c>
      <c r="G51" s="24"/>
      <c r="H51" s="24"/>
      <c r="I51" s="25"/>
      <c r="J51" s="24"/>
      <c r="K51" s="24"/>
      <c r="L51" s="20"/>
      <c r="M51" s="26"/>
    </row>
    <row r="52" spans="2:13" ht="12.75">
      <c r="B52" s="4" t="s">
        <v>67</v>
      </c>
      <c r="C52" s="4"/>
      <c r="D52" s="4" t="s">
        <v>30</v>
      </c>
      <c r="G52" s="24">
        <v>746</v>
      </c>
      <c r="H52" s="24"/>
      <c r="I52" s="25">
        <v>635</v>
      </c>
      <c r="J52" s="24"/>
      <c r="K52" s="24">
        <v>594</v>
      </c>
      <c r="L52" s="20"/>
      <c r="M52" s="26">
        <f>AVERAGE(G52,I52,K52)</f>
        <v>658.3333333333334</v>
      </c>
    </row>
    <row r="53" spans="2:13" ht="12.75">
      <c r="B53" s="4" t="s">
        <v>68</v>
      </c>
      <c r="C53" s="4" t="s">
        <v>203</v>
      </c>
      <c r="D53" s="4" t="s">
        <v>30</v>
      </c>
      <c r="G53" s="53">
        <v>0.0659</v>
      </c>
      <c r="H53" s="53"/>
      <c r="I53" s="53">
        <v>0.0448</v>
      </c>
      <c r="J53" s="53"/>
      <c r="K53" s="53">
        <v>0.0315</v>
      </c>
      <c r="L53" s="20"/>
      <c r="M53" s="76">
        <f>AVERAGE(G53,I53,K53)</f>
        <v>0.0474</v>
      </c>
    </row>
    <row r="54" spans="2:13" ht="12.75">
      <c r="B54" s="4" t="s">
        <v>28</v>
      </c>
      <c r="C54" s="4" t="s">
        <v>203</v>
      </c>
      <c r="D54" s="4" t="s">
        <v>18</v>
      </c>
      <c r="G54" s="24">
        <v>99.9912</v>
      </c>
      <c r="H54" s="24"/>
      <c r="I54" s="25">
        <v>99.9929</v>
      </c>
      <c r="J54" s="24"/>
      <c r="K54" s="25">
        <v>99.9947</v>
      </c>
      <c r="L54" s="24"/>
      <c r="M54" s="76">
        <f>AVERAGE(G54,I54,K54)</f>
        <v>99.99293333333333</v>
      </c>
    </row>
    <row r="55" spans="2:13" ht="12.75">
      <c r="B55" s="4"/>
      <c r="C55" s="4"/>
      <c r="G55" s="24"/>
      <c r="H55" s="24"/>
      <c r="I55" s="25"/>
      <c r="J55" s="24"/>
      <c r="K55" s="25"/>
      <c r="L55" s="24"/>
      <c r="M55" s="25"/>
    </row>
    <row r="56" spans="2:13" ht="12.75">
      <c r="B56" s="4" t="s">
        <v>48</v>
      </c>
      <c r="C56" s="4" t="s">
        <v>29</v>
      </c>
      <c r="G56" s="24"/>
      <c r="H56" s="24"/>
      <c r="I56" s="25"/>
      <c r="J56" s="24"/>
      <c r="K56" s="24"/>
      <c r="L56" s="20"/>
      <c r="M56" s="26"/>
    </row>
    <row r="57" spans="2:13" ht="12.75">
      <c r="B57" s="4" t="s">
        <v>67</v>
      </c>
      <c r="C57" s="4"/>
      <c r="D57" s="4" t="s">
        <v>30</v>
      </c>
      <c r="G57" s="24">
        <v>111</v>
      </c>
      <c r="H57" s="24"/>
      <c r="I57" s="25">
        <v>105</v>
      </c>
      <c r="J57" s="24"/>
      <c r="K57" s="24">
        <v>91</v>
      </c>
      <c r="L57" s="20"/>
      <c r="M57" s="26">
        <f>AVERAGE(G57,I57,K57)</f>
        <v>102.33333333333333</v>
      </c>
    </row>
    <row r="58" spans="2:13" ht="12.75">
      <c r="B58" s="4" t="s">
        <v>68</v>
      </c>
      <c r="C58" s="4" t="s">
        <v>203</v>
      </c>
      <c r="D58" s="4" t="s">
        <v>30</v>
      </c>
      <c r="G58" s="54">
        <v>0.00075</v>
      </c>
      <c r="H58" s="54"/>
      <c r="I58" s="54">
        <v>0.00069</v>
      </c>
      <c r="J58" s="54"/>
      <c r="K58" s="54">
        <v>0.000605</v>
      </c>
      <c r="L58" s="20"/>
      <c r="M58" s="76">
        <f>AVERAGE(G58,I58,K58)</f>
        <v>0.0006816666666666667</v>
      </c>
    </row>
    <row r="59" spans="2:13" ht="12.75">
      <c r="B59" s="4" t="s">
        <v>28</v>
      </c>
      <c r="C59" s="4" t="s">
        <v>203</v>
      </c>
      <c r="D59" s="4" t="s">
        <v>18</v>
      </c>
      <c r="G59" s="24">
        <v>99.99932</v>
      </c>
      <c r="H59" s="24"/>
      <c r="I59" s="24">
        <v>99.99934</v>
      </c>
      <c r="J59" s="24"/>
      <c r="K59" s="25">
        <v>99.99934</v>
      </c>
      <c r="L59" s="24"/>
      <c r="M59" s="76">
        <f>AVERAGE(G59,I59,K59)</f>
        <v>99.99933333333333</v>
      </c>
    </row>
    <row r="60" spans="2:13" ht="12.75">
      <c r="B60" s="4"/>
      <c r="C60" s="4"/>
      <c r="G60" s="24"/>
      <c r="H60" s="24"/>
      <c r="I60" s="25"/>
      <c r="J60" s="24"/>
      <c r="K60" s="24"/>
      <c r="L60" s="20"/>
      <c r="M60" s="26"/>
    </row>
    <row r="61" spans="2:13" ht="12.75">
      <c r="B61" s="4" t="s">
        <v>60</v>
      </c>
      <c r="C61" s="4"/>
      <c r="D61" s="4" t="s">
        <v>30</v>
      </c>
      <c r="G61" s="27">
        <v>8.15E-05</v>
      </c>
      <c r="H61" s="27"/>
      <c r="I61" s="27">
        <v>8.05E-05</v>
      </c>
      <c r="J61" s="24"/>
      <c r="K61" s="27">
        <v>6.84E-05</v>
      </c>
      <c r="L61" s="20"/>
      <c r="M61" s="75"/>
    </row>
    <row r="62" spans="2:13" ht="12.75">
      <c r="B62" s="4" t="s">
        <v>59</v>
      </c>
      <c r="C62" s="4"/>
      <c r="D62" s="4" t="s">
        <v>30</v>
      </c>
      <c r="F62" s="4" t="s">
        <v>20</v>
      </c>
      <c r="G62" s="27">
        <v>4.66E-05</v>
      </c>
      <c r="H62" s="24" t="s">
        <v>20</v>
      </c>
      <c r="I62" s="27">
        <v>4.89E-05</v>
      </c>
      <c r="J62" s="24"/>
      <c r="K62" s="27">
        <v>9.56E-05</v>
      </c>
      <c r="L62" s="20"/>
      <c r="M62" s="75"/>
    </row>
    <row r="63" spans="2:13" ht="12.75">
      <c r="B63" s="4" t="s">
        <v>100</v>
      </c>
      <c r="C63" s="4"/>
      <c r="D63" s="4" t="s">
        <v>30</v>
      </c>
      <c r="G63" s="27">
        <v>0.000696</v>
      </c>
      <c r="H63" s="24"/>
      <c r="I63" s="27">
        <v>0.000334</v>
      </c>
      <c r="J63" s="24"/>
      <c r="K63" s="27">
        <v>0.000311</v>
      </c>
      <c r="L63" s="20"/>
      <c r="M63" s="75"/>
    </row>
    <row r="64" spans="2:13" ht="12.75">
      <c r="B64" s="4" t="s">
        <v>61</v>
      </c>
      <c r="C64" s="4"/>
      <c r="D64" s="4" t="s">
        <v>30</v>
      </c>
      <c r="F64" s="4" t="s">
        <v>20</v>
      </c>
      <c r="G64" s="27">
        <v>4.67E-05</v>
      </c>
      <c r="H64" s="24" t="s">
        <v>20</v>
      </c>
      <c r="I64" s="27">
        <v>4.89E-05</v>
      </c>
      <c r="J64" s="24" t="s">
        <v>20</v>
      </c>
      <c r="K64" s="27">
        <v>4.8E-05</v>
      </c>
      <c r="L64" s="20"/>
      <c r="M64" s="75"/>
    </row>
    <row r="65" spans="2:13" ht="12.75">
      <c r="B65" s="4" t="s">
        <v>62</v>
      </c>
      <c r="C65" s="4"/>
      <c r="D65" s="4" t="s">
        <v>30</v>
      </c>
      <c r="G65" s="27">
        <v>6.72E-05</v>
      </c>
      <c r="H65" s="24"/>
      <c r="I65" s="27">
        <v>4.23E-05</v>
      </c>
      <c r="J65" s="24"/>
      <c r="K65" s="27">
        <v>0.000104</v>
      </c>
      <c r="L65" s="20"/>
      <c r="M65" s="75"/>
    </row>
    <row r="66" spans="2:13" ht="12.75">
      <c r="B66" s="4" t="s">
        <v>71</v>
      </c>
      <c r="C66" s="4"/>
      <c r="D66" s="4" t="s">
        <v>30</v>
      </c>
      <c r="G66" s="27">
        <v>0.000437</v>
      </c>
      <c r="H66" s="24"/>
      <c r="I66" s="27">
        <v>0.000344</v>
      </c>
      <c r="J66" s="24"/>
      <c r="K66" s="27">
        <v>0.00318</v>
      </c>
      <c r="L66" s="20"/>
      <c r="M66" s="75"/>
    </row>
    <row r="67" spans="2:13" ht="12.75">
      <c r="B67" s="78" t="s">
        <v>202</v>
      </c>
      <c r="C67" s="4"/>
      <c r="D67" s="4" t="s">
        <v>30</v>
      </c>
      <c r="F67" s="4" t="s">
        <v>20</v>
      </c>
      <c r="G67" s="27">
        <v>4.83E-05</v>
      </c>
      <c r="H67" s="24"/>
      <c r="I67" s="27">
        <v>6.21E-05</v>
      </c>
      <c r="J67" s="24"/>
      <c r="K67" s="27">
        <v>9.11E-05</v>
      </c>
      <c r="L67" s="20"/>
      <c r="M67" s="75"/>
    </row>
    <row r="68" spans="2:13" ht="12.75">
      <c r="B68" s="4" t="s">
        <v>101</v>
      </c>
      <c r="C68" s="4"/>
      <c r="D68" s="4" t="s">
        <v>30</v>
      </c>
      <c r="G68" s="27">
        <v>0.022</v>
      </c>
      <c r="H68" s="24"/>
      <c r="I68" s="27">
        <v>0.0147</v>
      </c>
      <c r="J68" s="24"/>
      <c r="K68" s="27">
        <v>0.0173</v>
      </c>
      <c r="L68" s="20"/>
      <c r="M68" s="75"/>
    </row>
    <row r="69" spans="2:13" ht="12.75">
      <c r="B69" s="4" t="s">
        <v>58</v>
      </c>
      <c r="C69" s="4"/>
      <c r="D69" s="4" t="s">
        <v>30</v>
      </c>
      <c r="G69" s="27">
        <v>0.000141</v>
      </c>
      <c r="H69" s="24"/>
      <c r="I69" s="27">
        <v>6.69E-05</v>
      </c>
      <c r="J69" s="24"/>
      <c r="K69" s="27">
        <v>6.79E-05</v>
      </c>
      <c r="L69" s="20"/>
      <c r="M69" s="75"/>
    </row>
    <row r="70" spans="2:13" ht="12.75">
      <c r="B70" s="4" t="s">
        <v>63</v>
      </c>
      <c r="C70" s="4"/>
      <c r="D70" s="4" t="s">
        <v>30</v>
      </c>
      <c r="G70" s="27">
        <v>0.000414</v>
      </c>
      <c r="H70" s="24"/>
      <c r="I70" s="27">
        <v>0.000418</v>
      </c>
      <c r="J70" s="24"/>
      <c r="K70" s="27">
        <v>0.000243</v>
      </c>
      <c r="L70" s="20"/>
      <c r="M70" s="75"/>
    </row>
    <row r="71" spans="2:13" ht="12.75">
      <c r="B71" s="4" t="s">
        <v>102</v>
      </c>
      <c r="C71" s="4"/>
      <c r="D71" s="4" t="s">
        <v>30</v>
      </c>
      <c r="G71" s="27">
        <v>0.000303</v>
      </c>
      <c r="H71" s="24" t="s">
        <v>20</v>
      </c>
      <c r="I71" s="27">
        <v>0.000196</v>
      </c>
      <c r="J71" s="24"/>
      <c r="K71" s="27">
        <v>0.00354</v>
      </c>
      <c r="L71" s="20"/>
      <c r="M71" s="75"/>
    </row>
    <row r="72" spans="2:13" ht="12.75">
      <c r="B72" s="4" t="s">
        <v>103</v>
      </c>
      <c r="C72" s="4"/>
      <c r="D72" s="4" t="s">
        <v>30</v>
      </c>
      <c r="F72" s="4" t="s">
        <v>20</v>
      </c>
      <c r="G72" s="27">
        <v>3.74E-05</v>
      </c>
      <c r="H72" s="24" t="s">
        <v>20</v>
      </c>
      <c r="I72" s="27">
        <v>3.91E-05</v>
      </c>
      <c r="J72" s="24" t="s">
        <v>20</v>
      </c>
      <c r="K72" s="27">
        <v>3.84E-05</v>
      </c>
      <c r="L72" s="20"/>
      <c r="M72" s="75"/>
    </row>
    <row r="73" spans="2:13" ht="12.75">
      <c r="B73" s="4" t="s">
        <v>104</v>
      </c>
      <c r="C73" s="4"/>
      <c r="D73" s="4" t="s">
        <v>30</v>
      </c>
      <c r="G73" s="27">
        <v>0.000391</v>
      </c>
      <c r="H73" s="24" t="s">
        <v>20</v>
      </c>
      <c r="I73" s="27">
        <v>0.000196</v>
      </c>
      <c r="J73" s="24"/>
      <c r="K73" s="27">
        <v>0.00471</v>
      </c>
      <c r="L73" s="20"/>
      <c r="M73" s="75"/>
    </row>
    <row r="74" spans="2:13" ht="12.75">
      <c r="B74" s="4" t="s">
        <v>105</v>
      </c>
      <c r="C74" s="4"/>
      <c r="D74" s="4" t="s">
        <v>30</v>
      </c>
      <c r="F74" s="4" t="s">
        <v>20</v>
      </c>
      <c r="G74" s="27">
        <v>1.87E-05</v>
      </c>
      <c r="H74" s="24" t="s">
        <v>20</v>
      </c>
      <c r="I74" s="27">
        <v>1.96E-05</v>
      </c>
      <c r="J74" s="24" t="s">
        <v>20</v>
      </c>
      <c r="K74" s="27">
        <v>1.83E-05</v>
      </c>
      <c r="L74" s="20"/>
      <c r="M74" s="75"/>
    </row>
    <row r="75" spans="2:13" ht="12.75">
      <c r="B75" s="4" t="s">
        <v>106</v>
      </c>
      <c r="C75" s="4"/>
      <c r="D75" s="4" t="s">
        <v>30</v>
      </c>
      <c r="G75" s="27">
        <v>0.00975</v>
      </c>
      <c r="H75" s="24"/>
      <c r="I75" s="27">
        <v>0.00697</v>
      </c>
      <c r="J75" s="24"/>
      <c r="K75" s="27">
        <v>0.00926</v>
      </c>
      <c r="L75" s="20"/>
      <c r="M75" s="75"/>
    </row>
    <row r="76" spans="2:13" ht="12.75">
      <c r="B76" s="4"/>
      <c r="C76" s="4"/>
      <c r="G76" s="24"/>
      <c r="H76" s="24"/>
      <c r="I76" s="25"/>
      <c r="J76" s="24"/>
      <c r="K76" s="24"/>
      <c r="L76" s="20"/>
      <c r="M76" s="26"/>
    </row>
    <row r="77" spans="2:13" ht="12.75">
      <c r="B77" s="4"/>
      <c r="C77" s="4"/>
      <c r="G77" s="24"/>
      <c r="H77" s="24"/>
      <c r="I77" s="25"/>
      <c r="J77" s="24"/>
      <c r="K77" s="24"/>
      <c r="L77" s="20"/>
      <c r="M77" s="26"/>
    </row>
    <row r="78" spans="2:13" ht="12.75">
      <c r="B78" s="4" t="s">
        <v>73</v>
      </c>
      <c r="C78" s="4" t="s">
        <v>66</v>
      </c>
      <c r="D78" s="4" t="s">
        <v>203</v>
      </c>
      <c r="L78" s="20"/>
      <c r="M78" s="60"/>
    </row>
    <row r="79" spans="2:13" ht="12.75">
      <c r="B79" s="4" t="s">
        <v>57</v>
      </c>
      <c r="C79" s="4"/>
      <c r="D79" s="4" t="s">
        <v>17</v>
      </c>
      <c r="G79" s="24">
        <f>I15+I30</f>
        <v>13900</v>
      </c>
      <c r="H79" s="24"/>
      <c r="I79" s="24">
        <f>K15+K30</f>
        <v>14200</v>
      </c>
      <c r="J79" s="7"/>
      <c r="K79" s="24">
        <f>M15+M30</f>
        <v>14100</v>
      </c>
      <c r="M79" s="26">
        <f>AVERAGE(G79,I79,K79)</f>
        <v>14066.666666666666</v>
      </c>
    </row>
    <row r="80" spans="2:13" ht="12.75">
      <c r="B80" s="4" t="s">
        <v>69</v>
      </c>
      <c r="C80" s="4"/>
      <c r="D80" s="4" t="s">
        <v>18</v>
      </c>
      <c r="G80" s="32">
        <f>(I16*I$15+I31*I$30)/G$79</f>
        <v>12.025179856115107</v>
      </c>
      <c r="H80" s="24"/>
      <c r="I80" s="32">
        <f>(K16*K$15+K31*K$30)/I$79</f>
        <v>11.87112676056338</v>
      </c>
      <c r="J80" s="24"/>
      <c r="K80" s="32">
        <f>(M16*M$15+M31*M$30)/K$79</f>
        <v>12.083687943262412</v>
      </c>
      <c r="M80" s="23">
        <f>AVERAGE(G80,I80,K80)</f>
        <v>11.9933315199803</v>
      </c>
    </row>
    <row r="81" spans="2:13" ht="12.75">
      <c r="B81" s="4" t="s">
        <v>70</v>
      </c>
      <c r="C81" s="4"/>
      <c r="D81" s="4" t="s">
        <v>18</v>
      </c>
      <c r="G81" s="32">
        <f>(I17*I$15+I32*I$30)/G$79</f>
        <v>2.1</v>
      </c>
      <c r="H81" s="24"/>
      <c r="I81" s="32">
        <f>(K17*K$15+K32*K$30)/I$79</f>
        <v>1.8514084507042254</v>
      </c>
      <c r="J81" s="24"/>
      <c r="K81" s="32">
        <f>(M17*M$15+M32*M$30)/K$79</f>
        <v>1.8659574468085107</v>
      </c>
      <c r="M81" s="23">
        <f>AVERAGE(G81,I81,K81)</f>
        <v>1.939121965837579</v>
      </c>
    </row>
    <row r="82" spans="2:13" ht="12.75">
      <c r="B82" s="4" t="s">
        <v>56</v>
      </c>
      <c r="C82" s="4"/>
      <c r="D82" s="4" t="s">
        <v>19</v>
      </c>
      <c r="G82" s="32">
        <f>(I18*I$15+I33*I$30)/G$79</f>
        <v>59.128776978417264</v>
      </c>
      <c r="H82" s="24"/>
      <c r="I82" s="32">
        <f>(K18*K$15+K33*K$30)/I$79</f>
        <v>57.56830985915493</v>
      </c>
      <c r="J82" s="24"/>
      <c r="K82" s="32">
        <f>(M18*M$15+M33*M$30)/K$79</f>
        <v>57.78936170212766</v>
      </c>
      <c r="M82" s="23">
        <f>AVERAGE(G82,I82,K82)</f>
        <v>58.16214951323328</v>
      </c>
    </row>
    <row r="83" spans="2:13" ht="12.75">
      <c r="B83" s="4"/>
      <c r="C83" s="4"/>
      <c r="G83" s="24"/>
      <c r="H83" s="24"/>
      <c r="I83" s="25"/>
      <c r="J83" s="24"/>
      <c r="K83" s="24"/>
      <c r="M83" s="60"/>
    </row>
    <row r="84" spans="2:13" ht="12.75">
      <c r="B84" s="4" t="s">
        <v>73</v>
      </c>
      <c r="C84" s="4" t="s">
        <v>78</v>
      </c>
      <c r="D84" s="4" t="s">
        <v>204</v>
      </c>
      <c r="G84" s="24"/>
      <c r="H84" s="24"/>
      <c r="I84" s="25"/>
      <c r="J84" s="24"/>
      <c r="K84" s="24"/>
      <c r="M84" s="60"/>
    </row>
    <row r="85" spans="2:13" ht="12.75">
      <c r="B85" s="4" t="s">
        <v>57</v>
      </c>
      <c r="C85" s="4"/>
      <c r="D85" s="4" t="s">
        <v>17</v>
      </c>
      <c r="G85" s="24">
        <f>G79</f>
        <v>13900</v>
      </c>
      <c r="H85" s="24"/>
      <c r="I85" s="24">
        <f>I79</f>
        <v>14200</v>
      </c>
      <c r="J85" s="24"/>
      <c r="K85" s="24">
        <f>K79</f>
        <v>14100</v>
      </c>
      <c r="M85" s="26">
        <f>AVERAGE(G85,I85,K85)</f>
        <v>14066.666666666666</v>
      </c>
    </row>
    <row r="86" spans="2:13" ht="12.75">
      <c r="B86" s="4" t="s">
        <v>69</v>
      </c>
      <c r="C86" s="4"/>
      <c r="D86" s="4" t="s">
        <v>18</v>
      </c>
      <c r="G86" s="5">
        <f>G80</f>
        <v>12.025179856115107</v>
      </c>
      <c r="H86" s="24"/>
      <c r="I86" s="5">
        <f>I80</f>
        <v>11.87112676056338</v>
      </c>
      <c r="J86" s="24"/>
      <c r="K86" s="5">
        <f>K80</f>
        <v>12.083687943262412</v>
      </c>
      <c r="M86" s="23">
        <f>AVERAGE(G86,I86,K86)</f>
        <v>11.9933315199803</v>
      </c>
    </row>
    <row r="87" spans="2:13" ht="12.75">
      <c r="B87" s="4" t="s">
        <v>70</v>
      </c>
      <c r="C87" s="4"/>
      <c r="D87" s="4" t="s">
        <v>18</v>
      </c>
      <c r="G87" s="24"/>
      <c r="H87" s="24"/>
      <c r="I87" s="25"/>
      <c r="J87" s="24"/>
      <c r="K87" s="24"/>
      <c r="M87" s="26"/>
    </row>
    <row r="88" spans="2:13" ht="12.75">
      <c r="B88" s="4" t="s">
        <v>56</v>
      </c>
      <c r="C88" s="4"/>
      <c r="D88" s="4" t="s">
        <v>19</v>
      </c>
      <c r="G88" s="24"/>
      <c r="H88" s="24"/>
      <c r="I88" s="25"/>
      <c r="J88" s="24"/>
      <c r="K88" s="24"/>
      <c r="M88" s="26"/>
    </row>
    <row r="89" spans="2:13" ht="13.5" customHeight="1">
      <c r="B89" s="4"/>
      <c r="C89" s="4"/>
      <c r="G89" s="24"/>
      <c r="H89" s="24"/>
      <c r="I89" s="25"/>
      <c r="J89" s="24"/>
      <c r="K89" s="24"/>
      <c r="L89" s="20"/>
      <c r="M89" s="26"/>
    </row>
    <row r="90" spans="2:13" ht="13.5" customHeight="1">
      <c r="B90" s="4" t="s">
        <v>26</v>
      </c>
      <c r="C90" s="4" t="s">
        <v>203</v>
      </c>
      <c r="D90" s="4" t="s">
        <v>16</v>
      </c>
      <c r="E90" s="4" t="s">
        <v>15</v>
      </c>
      <c r="G90" s="55">
        <f>G42*1/36.5*386.7*1000000*(21-7)/(21-G80)</f>
        <v>1.222279007549345</v>
      </c>
      <c r="H90" s="5"/>
      <c r="I90" s="55">
        <f>I42*1/36.5*386.7*1000000*(21-7)/(21-I80)</f>
        <v>1.8129813012589038</v>
      </c>
      <c r="J90" s="5"/>
      <c r="K90" s="55">
        <f>K42*1/36.5*386.7*1000000*(21-7)/(21-K80)</f>
        <v>1.4412087317326177</v>
      </c>
      <c r="L90" s="5"/>
      <c r="M90" s="77">
        <f>AVERAGE(K90,I90,G90)</f>
        <v>1.4921563468469554</v>
      </c>
    </row>
    <row r="91" spans="2:13" ht="13.5" customHeight="1">
      <c r="B91" s="4" t="s">
        <v>27</v>
      </c>
      <c r="C91" s="4" t="s">
        <v>203</v>
      </c>
      <c r="D91" s="4" t="s">
        <v>16</v>
      </c>
      <c r="E91" s="4" t="s">
        <v>15</v>
      </c>
      <c r="G91" s="55">
        <f>G43*1/71*386.7*1000000*(21-7)/(21-G80)</f>
        <v>6.489286385729203</v>
      </c>
      <c r="H91" s="5"/>
      <c r="I91" s="55">
        <f>I43*1/71*386.7*1000000*(21-7)/(21-I80)</f>
        <v>6.716744128739109</v>
      </c>
      <c r="J91" s="5"/>
      <c r="K91" s="55">
        <f>K43*1/71*386.7*1000000*(21-7)/(21-K80)</f>
        <v>12.888382634336084</v>
      </c>
      <c r="L91" s="5"/>
      <c r="M91" s="23">
        <f>AVERAGE(K91,I91,G91)</f>
        <v>8.698137716268134</v>
      </c>
    </row>
    <row r="92" spans="2:13" ht="12.75">
      <c r="B92" s="4" t="s">
        <v>72</v>
      </c>
      <c r="C92" s="4" t="s">
        <v>203</v>
      </c>
      <c r="D92" s="4" t="s">
        <v>16</v>
      </c>
      <c r="E92" s="4" t="s">
        <v>15</v>
      </c>
      <c r="G92" s="6">
        <f>G90+G91*2</f>
        <v>14.20085177900775</v>
      </c>
      <c r="H92" s="6"/>
      <c r="I92" s="6">
        <f>I90+I91*2</f>
        <v>15.246469558737122</v>
      </c>
      <c r="J92" s="6"/>
      <c r="K92" s="6">
        <f>K90+K91*2</f>
        <v>27.217974000404787</v>
      </c>
      <c r="L92" s="6"/>
      <c r="M92" s="23">
        <f>AVERAGE(K92,I92,G92)</f>
        <v>18.88843177938322</v>
      </c>
    </row>
    <row r="93" spans="2:13" ht="12.75">
      <c r="B93" s="4" t="s">
        <v>82</v>
      </c>
      <c r="C93" s="4" t="s">
        <v>203</v>
      </c>
      <c r="D93" s="4" t="s">
        <v>16</v>
      </c>
      <c r="E93" s="4" t="s">
        <v>15</v>
      </c>
      <c r="G93" s="5">
        <f>G40*(21-7)/(21-G80)</f>
        <v>12.373867735470942</v>
      </c>
      <c r="H93" s="6"/>
      <c r="I93" s="5">
        <f>I40*(21-7)/(21-I80)</f>
        <v>15.770114942528735</v>
      </c>
      <c r="J93" s="6"/>
      <c r="K93" s="5">
        <f>K40*(21-7)/(21-K80)</f>
        <v>13.267260579064589</v>
      </c>
      <c r="L93" s="6"/>
      <c r="M93" s="23">
        <f>AVERAGE(K93,I93,G93)</f>
        <v>13.803747752354758</v>
      </c>
    </row>
    <row r="94" spans="2:13" ht="12.75">
      <c r="B94" s="4" t="s">
        <v>83</v>
      </c>
      <c r="C94" s="4" t="s">
        <v>203</v>
      </c>
      <c r="D94" s="4" t="s">
        <v>16</v>
      </c>
      <c r="E94" s="4" t="s">
        <v>15</v>
      </c>
      <c r="G94" s="5">
        <f>G41*(21-7)/(21-G80)</f>
        <v>11.855390781563125</v>
      </c>
      <c r="H94" s="6"/>
      <c r="I94" s="5">
        <f>I41*(21-7)/(21-I80)</f>
        <v>4.14070816940523</v>
      </c>
      <c r="J94" s="6"/>
      <c r="K94" s="5">
        <f>K41*(21-7)/(21-K80)</f>
        <v>4.239420935412027</v>
      </c>
      <c r="L94" s="6"/>
      <c r="M94" s="23">
        <f>AVERAGE(K94,I94,G94)</f>
        <v>6.745173295460127</v>
      </c>
    </row>
    <row r="95" spans="2:13" ht="12.75">
      <c r="B95" s="4"/>
      <c r="C95" s="4"/>
      <c r="G95" s="6"/>
      <c r="H95" s="6"/>
      <c r="I95" s="6"/>
      <c r="J95" s="6"/>
      <c r="K95" s="6"/>
      <c r="L95" s="6"/>
      <c r="M95" s="23"/>
    </row>
    <row r="96" spans="2:13" ht="12.75">
      <c r="B96" s="4" t="s">
        <v>60</v>
      </c>
      <c r="C96" s="4" t="s">
        <v>204</v>
      </c>
      <c r="D96" s="4" t="s">
        <v>37</v>
      </c>
      <c r="E96" s="4" t="s">
        <v>15</v>
      </c>
      <c r="G96" s="6">
        <f aca="true" t="shared" si="0" ref="G96:G110">G61/60*454*1000000/(G$85*0.0283)*(21-7)/(21-G$86)</f>
        <v>2.4454751670596786</v>
      </c>
      <c r="H96" s="27"/>
      <c r="I96" s="6">
        <f aca="true" t="shared" si="1" ref="I96:I110">I61/60*454*1000000/(I$85*0.0283)*(21-7)/(21-I$86)</f>
        <v>2.324537528075513</v>
      </c>
      <c r="J96" s="24"/>
      <c r="K96" s="6">
        <f aca="true" t="shared" si="2" ref="K96:K110">K61/60*454*1000000/(K$85*0.0283)*(21-7)/(21-K$86)</f>
        <v>2.036563387819024</v>
      </c>
      <c r="L96" s="6"/>
      <c r="M96" s="60">
        <f aca="true" t="shared" si="3" ref="M96:M104">AVERAGE(G96,I96,K96)</f>
        <v>2.2688586943180717</v>
      </c>
    </row>
    <row r="97" spans="2:13" ht="12.75">
      <c r="B97" s="4" t="s">
        <v>59</v>
      </c>
      <c r="C97" s="4" t="s">
        <v>204</v>
      </c>
      <c r="D97" s="4" t="s">
        <v>37</v>
      </c>
      <c r="E97" s="4" t="s">
        <v>15</v>
      </c>
      <c r="F97" s="4" t="s">
        <v>20</v>
      </c>
      <c r="G97" s="6">
        <f t="shared" si="0"/>
        <v>1.3982716906132642</v>
      </c>
      <c r="H97" s="24" t="s">
        <v>20</v>
      </c>
      <c r="I97" s="6">
        <f t="shared" si="1"/>
        <v>1.4120482623961812</v>
      </c>
      <c r="J97" s="24"/>
      <c r="K97" s="6">
        <f t="shared" si="2"/>
        <v>2.8464248519809767</v>
      </c>
      <c r="L97" s="6"/>
      <c r="M97" s="60">
        <f t="shared" si="3"/>
        <v>1.885581601663474</v>
      </c>
    </row>
    <row r="98" spans="2:13" ht="12.75">
      <c r="B98" s="4" t="s">
        <v>100</v>
      </c>
      <c r="C98" s="4" t="s">
        <v>204</v>
      </c>
      <c r="D98" s="4" t="s">
        <v>37</v>
      </c>
      <c r="E98" s="4" t="s">
        <v>15</v>
      </c>
      <c r="G98" s="6">
        <f t="shared" si="0"/>
        <v>20.884057868386947</v>
      </c>
      <c r="H98" s="24"/>
      <c r="I98" s="6">
        <f t="shared" si="1"/>
        <v>9.644665023319519</v>
      </c>
      <c r="J98" s="24"/>
      <c r="K98" s="6">
        <f t="shared" si="2"/>
        <v>9.25981306449878</v>
      </c>
      <c r="L98" s="6"/>
      <c r="M98" s="60">
        <f t="shared" si="3"/>
        <v>13.262845318735081</v>
      </c>
    </row>
    <row r="99" spans="2:13" ht="12.75">
      <c r="B99" s="4" t="s">
        <v>61</v>
      </c>
      <c r="C99" s="4" t="s">
        <v>204</v>
      </c>
      <c r="D99" s="4" t="s">
        <v>37</v>
      </c>
      <c r="E99" s="4" t="s">
        <v>15</v>
      </c>
      <c r="F99" s="4" t="s">
        <v>20</v>
      </c>
      <c r="G99" s="6">
        <f t="shared" si="0"/>
        <v>1.4012722736403311</v>
      </c>
      <c r="H99" s="24" t="s">
        <v>20</v>
      </c>
      <c r="I99" s="6">
        <f t="shared" si="1"/>
        <v>1.4120482623961812</v>
      </c>
      <c r="J99" s="24" t="s">
        <v>20</v>
      </c>
      <c r="K99" s="6">
        <f t="shared" si="2"/>
        <v>1.4291672896975613</v>
      </c>
      <c r="L99" s="6"/>
      <c r="M99" s="60">
        <f t="shared" si="3"/>
        <v>1.4141626085780246</v>
      </c>
    </row>
    <row r="100" spans="2:13" ht="12.75">
      <c r="B100" s="4" t="s">
        <v>62</v>
      </c>
      <c r="C100" s="4" t="s">
        <v>204</v>
      </c>
      <c r="D100" s="4" t="s">
        <v>37</v>
      </c>
      <c r="E100" s="4" t="s">
        <v>15</v>
      </c>
      <c r="G100" s="6">
        <f t="shared" si="0"/>
        <v>2.0163917941890843</v>
      </c>
      <c r="H100" s="24"/>
      <c r="I100" s="6">
        <f t="shared" si="1"/>
        <v>1.2214650613365738</v>
      </c>
      <c r="J100" s="24"/>
      <c r="K100" s="6">
        <f t="shared" si="2"/>
        <v>3.0965291276780493</v>
      </c>
      <c r="L100" s="6"/>
      <c r="M100" s="60">
        <f t="shared" si="3"/>
        <v>2.111461994401236</v>
      </c>
    </row>
    <row r="101" spans="2:13" ht="12.75">
      <c r="B101" s="4" t="s">
        <v>71</v>
      </c>
      <c r="C101" s="4" t="s">
        <v>204</v>
      </c>
      <c r="D101" s="4" t="s">
        <v>37</v>
      </c>
      <c r="E101" s="4" t="s">
        <v>15</v>
      </c>
      <c r="G101" s="6">
        <f t="shared" si="0"/>
        <v>13.112547828283184</v>
      </c>
      <c r="H101" s="24"/>
      <c r="I101" s="6">
        <f t="shared" si="1"/>
        <v>9.933427449167409</v>
      </c>
      <c r="J101" s="24"/>
      <c r="K101" s="5">
        <f t="shared" si="2"/>
        <v>94.68233294246343</v>
      </c>
      <c r="L101" s="6"/>
      <c r="M101" s="60">
        <f t="shared" si="3"/>
        <v>39.24276940663801</v>
      </c>
    </row>
    <row r="102" spans="2:13" ht="12.75">
      <c r="B102" s="78" t="s">
        <v>202</v>
      </c>
      <c r="C102" s="4" t="s">
        <v>204</v>
      </c>
      <c r="D102" s="4" t="s">
        <v>37</v>
      </c>
      <c r="E102" s="4" t="s">
        <v>15</v>
      </c>
      <c r="F102" s="4" t="s">
        <v>20</v>
      </c>
      <c r="G102" s="6">
        <f t="shared" si="0"/>
        <v>1.4492816020734047</v>
      </c>
      <c r="H102" s="24"/>
      <c r="I102" s="6">
        <f t="shared" si="1"/>
        <v>1.7932146645153957</v>
      </c>
      <c r="J102" s="24"/>
      <c r="K102" s="5">
        <f t="shared" si="2"/>
        <v>2.7124404185718296</v>
      </c>
      <c r="L102" s="6"/>
      <c r="M102" s="60">
        <f t="shared" si="3"/>
        <v>1.9849788950535434</v>
      </c>
    </row>
    <row r="103" spans="2:13" ht="12.75">
      <c r="B103" s="4" t="s">
        <v>101</v>
      </c>
      <c r="C103" s="4" t="s">
        <v>204</v>
      </c>
      <c r="D103" s="4" t="s">
        <v>37</v>
      </c>
      <c r="E103" s="4" t="s">
        <v>15</v>
      </c>
      <c r="G103" s="5">
        <f t="shared" si="0"/>
        <v>660.1282659547599</v>
      </c>
      <c r="H103" s="5"/>
      <c r="I103" s="5">
        <f t="shared" si="1"/>
        <v>424.4807659963981</v>
      </c>
      <c r="J103" s="5"/>
      <c r="K103" s="5">
        <f t="shared" si="2"/>
        <v>515.0957106618293</v>
      </c>
      <c r="L103" s="6"/>
      <c r="M103" s="60">
        <f t="shared" si="3"/>
        <v>533.2349142043291</v>
      </c>
    </row>
    <row r="104" spans="2:13" ht="12.75">
      <c r="B104" s="4" t="s">
        <v>58</v>
      </c>
      <c r="C104" s="4" t="s">
        <v>204</v>
      </c>
      <c r="D104" s="4" t="s">
        <v>37</v>
      </c>
      <c r="E104" s="4" t="s">
        <v>15</v>
      </c>
      <c r="G104" s="6">
        <f t="shared" si="0"/>
        <v>4.230822068164597</v>
      </c>
      <c r="H104" s="24"/>
      <c r="I104" s="6">
        <f t="shared" si="1"/>
        <v>1.931820628922383</v>
      </c>
      <c r="J104" s="24"/>
      <c r="K104" s="6">
        <f t="shared" si="2"/>
        <v>2.021676228551342</v>
      </c>
      <c r="L104" s="6"/>
      <c r="M104" s="60">
        <f t="shared" si="3"/>
        <v>2.7281063085461077</v>
      </c>
    </row>
    <row r="105" spans="2:13" ht="12.75">
      <c r="B105" s="4" t="s">
        <v>63</v>
      </c>
      <c r="C105" s="4" t="s">
        <v>204</v>
      </c>
      <c r="D105" s="4" t="s">
        <v>37</v>
      </c>
      <c r="E105" s="4" t="s">
        <v>15</v>
      </c>
      <c r="G105" s="5">
        <f t="shared" si="0"/>
        <v>12.422413732057755</v>
      </c>
      <c r="H105" s="24"/>
      <c r="I105" s="5">
        <f t="shared" si="1"/>
        <v>12.070269400441797</v>
      </c>
      <c r="J105" s="24"/>
      <c r="K105" s="6">
        <f t="shared" si="2"/>
        <v>7.235159404093904</v>
      </c>
      <c r="M105" s="23">
        <f aca="true" t="shared" si="4" ref="M105:M112">AVERAGE(G105,I105,K105)</f>
        <v>10.575947512197818</v>
      </c>
    </row>
    <row r="106" spans="2:13" ht="12.75">
      <c r="B106" s="4" t="s">
        <v>102</v>
      </c>
      <c r="C106" s="4" t="s">
        <v>204</v>
      </c>
      <c r="D106" s="4" t="s">
        <v>37</v>
      </c>
      <c r="E106" s="4" t="s">
        <v>15</v>
      </c>
      <c r="G106" s="6">
        <f t="shared" si="0"/>
        <v>9.091766572013283</v>
      </c>
      <c r="H106" s="24" t="s">
        <v>20</v>
      </c>
      <c r="I106" s="6">
        <f t="shared" si="1"/>
        <v>5.65974354661864</v>
      </c>
      <c r="J106" s="24"/>
      <c r="K106" s="5">
        <f t="shared" si="2"/>
        <v>105.40108761519515</v>
      </c>
      <c r="L106" s="20"/>
      <c r="M106" s="60">
        <f t="shared" si="4"/>
        <v>40.05086591127569</v>
      </c>
    </row>
    <row r="107" spans="2:13" ht="12.75">
      <c r="B107" s="4" t="s">
        <v>103</v>
      </c>
      <c r="C107" s="4" t="s">
        <v>204</v>
      </c>
      <c r="D107" s="4" t="s">
        <v>37</v>
      </c>
      <c r="E107" s="4" t="s">
        <v>15</v>
      </c>
      <c r="F107" s="4" t="s">
        <v>20</v>
      </c>
      <c r="G107" s="6">
        <f t="shared" si="0"/>
        <v>1.1222180521230918</v>
      </c>
      <c r="H107" s="24" t="s">
        <v>20</v>
      </c>
      <c r="I107" s="6">
        <f t="shared" si="1"/>
        <v>1.1290610850652492</v>
      </c>
      <c r="J107" s="24" t="s">
        <v>20</v>
      </c>
      <c r="K107" s="6">
        <f t="shared" si="2"/>
        <v>1.143333831758049</v>
      </c>
      <c r="L107" s="20"/>
      <c r="M107" s="60">
        <f t="shared" si="4"/>
        <v>1.1315376563154633</v>
      </c>
    </row>
    <row r="108" spans="2:13" ht="12.75">
      <c r="B108" s="4" t="s">
        <v>104</v>
      </c>
      <c r="C108" s="4" t="s">
        <v>204</v>
      </c>
      <c r="D108" s="4" t="s">
        <v>37</v>
      </c>
      <c r="E108" s="4" t="s">
        <v>15</v>
      </c>
      <c r="G108" s="6">
        <f t="shared" si="0"/>
        <v>11.732279635832324</v>
      </c>
      <c r="H108" s="24" t="s">
        <v>20</v>
      </c>
      <c r="I108" s="6">
        <f t="shared" si="1"/>
        <v>5.65974354661864</v>
      </c>
      <c r="J108" s="24"/>
      <c r="K108" s="5">
        <f t="shared" si="2"/>
        <v>140.2370403015732</v>
      </c>
      <c r="L108" s="20"/>
      <c r="M108" s="60">
        <f t="shared" si="4"/>
        <v>52.543021161341386</v>
      </c>
    </row>
    <row r="109" spans="2:13" ht="12.75">
      <c r="B109" s="4" t="s">
        <v>105</v>
      </c>
      <c r="C109" s="4" t="s">
        <v>204</v>
      </c>
      <c r="D109" s="4" t="s">
        <v>37</v>
      </c>
      <c r="E109" s="4" t="s">
        <v>15</v>
      </c>
      <c r="F109" s="4" t="s">
        <v>20</v>
      </c>
      <c r="G109" s="6">
        <f t="shared" si="0"/>
        <v>0.5611090260615459</v>
      </c>
      <c r="H109" s="24" t="s">
        <v>20</v>
      </c>
      <c r="I109" s="6">
        <f t="shared" si="1"/>
        <v>0.565974354661864</v>
      </c>
      <c r="J109" s="24" t="s">
        <v>20</v>
      </c>
      <c r="K109" s="6">
        <f t="shared" si="2"/>
        <v>0.5448700291971953</v>
      </c>
      <c r="L109" s="20"/>
      <c r="M109" s="60">
        <f t="shared" si="4"/>
        <v>0.5573178033068684</v>
      </c>
    </row>
    <row r="110" spans="2:13" ht="12.75">
      <c r="B110" s="4" t="s">
        <v>106</v>
      </c>
      <c r="C110" s="4" t="s">
        <v>204</v>
      </c>
      <c r="D110" s="4" t="s">
        <v>37</v>
      </c>
      <c r="E110" s="4" t="s">
        <v>15</v>
      </c>
      <c r="G110" s="5">
        <f t="shared" si="0"/>
        <v>292.55684513904134</v>
      </c>
      <c r="H110" s="5"/>
      <c r="I110" s="5">
        <f t="shared" si="1"/>
        <v>201.26741081597922</v>
      </c>
      <c r="J110" s="5"/>
      <c r="K110" s="5">
        <f t="shared" si="2"/>
        <v>275.7101896374878</v>
      </c>
      <c r="L110" s="20"/>
      <c r="M110" s="60">
        <f t="shared" si="4"/>
        <v>256.51148186416947</v>
      </c>
    </row>
    <row r="111" spans="2:13" ht="12.75">
      <c r="B111" s="4" t="s">
        <v>38</v>
      </c>
      <c r="C111" s="4" t="s">
        <v>204</v>
      </c>
      <c r="D111" s="4" t="s">
        <v>37</v>
      </c>
      <c r="E111" s="4" t="s">
        <v>15</v>
      </c>
      <c r="G111" s="6">
        <f>G104+G100</f>
        <v>6.247213862353682</v>
      </c>
      <c r="H111" s="24"/>
      <c r="I111" s="6">
        <f>I104+I100</f>
        <v>3.153285690258957</v>
      </c>
      <c r="J111" s="24"/>
      <c r="K111" s="6">
        <f>K104+K100</f>
        <v>5.118205356229391</v>
      </c>
      <c r="L111" s="20"/>
      <c r="M111" s="60">
        <f t="shared" si="4"/>
        <v>4.839568302947344</v>
      </c>
    </row>
    <row r="112" spans="2:13" ht="12.75">
      <c r="B112" s="4" t="s">
        <v>39</v>
      </c>
      <c r="C112" s="4" t="s">
        <v>204</v>
      </c>
      <c r="D112" s="4" t="s">
        <v>37</v>
      </c>
      <c r="E112" s="4" t="s">
        <v>15</v>
      </c>
      <c r="G112" s="6">
        <f>G96+G99+G101</f>
        <v>16.959295268983194</v>
      </c>
      <c r="H112" s="24"/>
      <c r="I112" s="6">
        <f>I96+I99+I101</f>
        <v>13.670013239639104</v>
      </c>
      <c r="J112" s="24"/>
      <c r="K112" s="6">
        <f>K96+K99+K101</f>
        <v>98.14806361998002</v>
      </c>
      <c r="L112" s="24"/>
      <c r="M112" s="23">
        <f t="shared" si="4"/>
        <v>42.925790709534105</v>
      </c>
    </row>
    <row r="113" spans="2:13" ht="12.75">
      <c r="B113" s="4"/>
      <c r="C113" s="4"/>
      <c r="G113" s="24"/>
      <c r="H113" s="24"/>
      <c r="I113" s="25"/>
      <c r="J113" s="24"/>
      <c r="K113" s="24"/>
      <c r="L113" s="20"/>
      <c r="M113" s="26"/>
    </row>
    <row r="114" spans="2:13" ht="12.75">
      <c r="B114" s="4"/>
      <c r="C114" s="4"/>
      <c r="G114" s="24"/>
      <c r="H114" s="24"/>
      <c r="I114" s="25"/>
      <c r="J114" s="24"/>
      <c r="K114" s="24"/>
      <c r="L114" s="20"/>
      <c r="M114" s="26"/>
    </row>
    <row r="115" spans="1:14" ht="12.75">
      <c r="A115" s="24"/>
      <c r="D115" s="22" t="s">
        <v>135</v>
      </c>
      <c r="E115" s="22" t="s">
        <v>65</v>
      </c>
      <c r="F115" s="22" t="s">
        <v>97</v>
      </c>
      <c r="G115" s="4"/>
      <c r="H115" s="4"/>
      <c r="I115" s="20" t="s">
        <v>198</v>
      </c>
      <c r="J115" s="20"/>
      <c r="K115" s="21" t="s">
        <v>199</v>
      </c>
      <c r="L115" s="20"/>
      <c r="M115" s="20" t="s">
        <v>200</v>
      </c>
      <c r="N115" s="20"/>
    </row>
    <row r="116" spans="5:14" ht="12.75">
      <c r="E116" s="4" t="s">
        <v>64</v>
      </c>
      <c r="F116" s="29" t="s">
        <v>12</v>
      </c>
      <c r="G116" s="29" t="s">
        <v>45</v>
      </c>
      <c r="H116" s="29"/>
      <c r="I116" s="29"/>
      <c r="J116" s="29"/>
      <c r="K116" s="74"/>
      <c r="L116" s="29"/>
      <c r="M116" s="29"/>
      <c r="N116" s="20"/>
    </row>
    <row r="117" spans="4:15" ht="12.75">
      <c r="D117" s="4" t="s">
        <v>13</v>
      </c>
      <c r="F117" s="4" t="s">
        <v>14</v>
      </c>
      <c r="G117" s="4" t="s">
        <v>15</v>
      </c>
      <c r="H117" s="4"/>
      <c r="I117" s="29">
        <v>0.0197</v>
      </c>
      <c r="J117" s="29"/>
      <c r="K117" s="74">
        <v>0.0277</v>
      </c>
      <c r="L117" s="29"/>
      <c r="M117" s="29">
        <v>0.0252</v>
      </c>
      <c r="N117" s="20"/>
      <c r="O117" s="59"/>
    </row>
    <row r="118" spans="4:15" ht="12.75">
      <c r="D118" s="4" t="s">
        <v>82</v>
      </c>
      <c r="F118" s="4" t="s">
        <v>16</v>
      </c>
      <c r="G118" s="4"/>
      <c r="H118" s="4"/>
      <c r="I118" s="5">
        <v>13.1</v>
      </c>
      <c r="J118" s="5"/>
      <c r="K118" s="5">
        <v>7.2</v>
      </c>
      <c r="L118" s="5"/>
      <c r="M118" s="5">
        <v>5.4</v>
      </c>
      <c r="N118" s="20"/>
      <c r="O118" s="60"/>
    </row>
    <row r="119" spans="4:15" ht="12.75">
      <c r="D119" s="4" t="s">
        <v>83</v>
      </c>
      <c r="F119" s="4" t="s">
        <v>16</v>
      </c>
      <c r="G119" s="4"/>
      <c r="H119" s="4"/>
      <c r="I119" s="5"/>
      <c r="J119" s="5"/>
      <c r="K119" s="5"/>
      <c r="L119" s="5"/>
      <c r="M119" s="5"/>
      <c r="N119" s="20"/>
      <c r="O119" s="60"/>
    </row>
    <row r="120" spans="4:15" ht="12.75">
      <c r="D120" s="4" t="s">
        <v>26</v>
      </c>
      <c r="F120" s="4" t="s">
        <v>96</v>
      </c>
      <c r="G120" s="4"/>
      <c r="H120" s="4"/>
      <c r="I120" s="27">
        <v>2.67E-08</v>
      </c>
      <c r="J120" s="24"/>
      <c r="K120" s="27">
        <v>1.36E-07</v>
      </c>
      <c r="L120" s="24"/>
      <c r="M120" s="27">
        <v>3.08E-08</v>
      </c>
      <c r="N120" s="20"/>
      <c r="O120" s="59"/>
    </row>
    <row r="121" spans="4:15" ht="12.75">
      <c r="D121" s="4" t="s">
        <v>27</v>
      </c>
      <c r="F121" s="4" t="s">
        <v>96</v>
      </c>
      <c r="G121" s="4"/>
      <c r="H121" s="4"/>
      <c r="I121" s="27">
        <v>5.14E-07</v>
      </c>
      <c r="J121" s="24"/>
      <c r="K121" s="27">
        <v>1.25E-06</v>
      </c>
      <c r="L121" s="24"/>
      <c r="M121" s="27">
        <v>2.45E-06</v>
      </c>
      <c r="N121" s="20"/>
      <c r="O121" s="26"/>
    </row>
    <row r="122" spans="7:15" ht="12.75">
      <c r="G122" s="4"/>
      <c r="H122" s="4"/>
      <c r="I122" s="24"/>
      <c r="J122" s="24"/>
      <c r="K122" s="25"/>
      <c r="L122" s="24"/>
      <c r="M122" s="24"/>
      <c r="N122" s="20"/>
      <c r="O122" s="26"/>
    </row>
    <row r="123" spans="4:15" ht="12.75">
      <c r="D123" s="4" t="s">
        <v>73</v>
      </c>
      <c r="E123" s="4" t="s">
        <v>66</v>
      </c>
      <c r="G123" s="4"/>
      <c r="H123" s="4"/>
      <c r="I123" s="18"/>
      <c r="K123" s="19"/>
      <c r="N123" s="20"/>
      <c r="O123" s="60"/>
    </row>
    <row r="124" spans="4:15" ht="12.75">
      <c r="D124" s="4" t="s">
        <v>57</v>
      </c>
      <c r="F124" s="4" t="s">
        <v>17</v>
      </c>
      <c r="G124" s="4"/>
      <c r="H124" s="4"/>
      <c r="I124" s="24">
        <v>7200</v>
      </c>
      <c r="J124" s="24"/>
      <c r="K124" s="25">
        <v>7100</v>
      </c>
      <c r="L124" s="7"/>
      <c r="M124" s="24">
        <v>6800</v>
      </c>
      <c r="N124" s="20"/>
      <c r="O124" s="26"/>
    </row>
    <row r="125" spans="4:15" ht="12.75">
      <c r="D125" s="4" t="s">
        <v>69</v>
      </c>
      <c r="F125" s="4" t="s">
        <v>18</v>
      </c>
      <c r="G125" s="4"/>
      <c r="H125" s="4"/>
      <c r="I125" s="24">
        <v>12.6</v>
      </c>
      <c r="J125" s="24"/>
      <c r="K125" s="25">
        <v>12.8</v>
      </c>
      <c r="L125" s="24"/>
      <c r="M125" s="5">
        <v>12.7</v>
      </c>
      <c r="O125" s="60"/>
    </row>
    <row r="126" spans="4:15" ht="12.75">
      <c r="D126" s="4" t="s">
        <v>70</v>
      </c>
      <c r="F126" s="4" t="s">
        <v>18</v>
      </c>
      <c r="G126" s="4"/>
      <c r="H126" s="4"/>
      <c r="I126" s="24">
        <v>1.4</v>
      </c>
      <c r="J126" s="24"/>
      <c r="K126" s="25">
        <v>1.9</v>
      </c>
      <c r="L126" s="24"/>
      <c r="M126" s="24">
        <v>1.5</v>
      </c>
      <c r="O126" s="60"/>
    </row>
    <row r="127" spans="4:15" ht="12.75">
      <c r="D127" s="4" t="s">
        <v>56</v>
      </c>
      <c r="F127" s="4" t="s">
        <v>19</v>
      </c>
      <c r="G127" s="4"/>
      <c r="H127" s="4"/>
      <c r="I127" s="24">
        <v>59.1</v>
      </c>
      <c r="J127" s="24"/>
      <c r="K127" s="25">
        <v>58.3</v>
      </c>
      <c r="L127" s="24"/>
      <c r="M127" s="24">
        <v>57.3</v>
      </c>
      <c r="O127" s="23"/>
    </row>
    <row r="128" spans="4:11" ht="12.75">
      <c r="D128" s="18"/>
      <c r="E128" s="18"/>
      <c r="G128" s="4"/>
      <c r="H128" s="4"/>
      <c r="I128" s="18"/>
      <c r="K128" s="19"/>
    </row>
    <row r="129" spans="4:11" ht="12.75">
      <c r="D129" s="18"/>
      <c r="E129" s="18"/>
      <c r="G129" s="4"/>
      <c r="H129" s="4"/>
      <c r="I129" s="18"/>
      <c r="K129" s="19"/>
    </row>
    <row r="130" spans="4:13" ht="12.75">
      <c r="D130" s="18"/>
      <c r="E130" s="18"/>
      <c r="F130" s="22" t="s">
        <v>98</v>
      </c>
      <c r="G130" s="4"/>
      <c r="H130" s="4"/>
      <c r="I130" s="20" t="s">
        <v>198</v>
      </c>
      <c r="J130" s="20"/>
      <c r="K130" s="21" t="s">
        <v>199</v>
      </c>
      <c r="L130" s="20"/>
      <c r="M130" s="20" t="s">
        <v>200</v>
      </c>
    </row>
    <row r="131" spans="4:11" ht="12.75">
      <c r="D131" s="18"/>
      <c r="E131" s="18"/>
      <c r="G131" s="4"/>
      <c r="H131" s="4"/>
      <c r="I131" s="18"/>
      <c r="K131" s="19"/>
    </row>
    <row r="132" spans="4:15" ht="12.75">
      <c r="D132" s="4" t="s">
        <v>13</v>
      </c>
      <c r="F132" s="4" t="s">
        <v>14</v>
      </c>
      <c r="G132" s="4" t="s">
        <v>15</v>
      </c>
      <c r="H132" s="4"/>
      <c r="I132" s="29">
        <v>0.0153</v>
      </c>
      <c r="J132" s="29"/>
      <c r="K132" s="74">
        <v>0.011</v>
      </c>
      <c r="L132" s="29"/>
      <c r="M132" s="29">
        <v>0.0151</v>
      </c>
      <c r="O132" s="59"/>
    </row>
    <row r="133" spans="4:13" ht="12.75">
      <c r="D133" s="4" t="s">
        <v>82</v>
      </c>
      <c r="F133" s="4" t="s">
        <v>16</v>
      </c>
      <c r="G133" s="4"/>
      <c r="H133" s="4"/>
      <c r="I133" s="5">
        <v>3.1</v>
      </c>
      <c r="J133" s="5"/>
      <c r="K133" s="5">
        <v>3.1</v>
      </c>
      <c r="L133" s="5"/>
      <c r="M133" s="5">
        <v>5.2</v>
      </c>
    </row>
    <row r="134" spans="4:13" ht="12.75">
      <c r="D134" s="4" t="s">
        <v>83</v>
      </c>
      <c r="F134" s="4" t="s">
        <v>16</v>
      </c>
      <c r="G134" s="4"/>
      <c r="H134" s="4"/>
      <c r="I134" s="5">
        <v>1.2</v>
      </c>
      <c r="J134" s="5"/>
      <c r="K134" s="5">
        <v>1.9</v>
      </c>
      <c r="L134" s="5"/>
      <c r="M134" s="5">
        <v>0</v>
      </c>
    </row>
    <row r="135" spans="4:13" ht="12.75">
      <c r="D135" s="4" t="s">
        <v>26</v>
      </c>
      <c r="F135" s="4" t="s">
        <v>96</v>
      </c>
      <c r="G135" s="4"/>
      <c r="H135" s="4"/>
      <c r="I135" s="27">
        <v>8.09E-08</v>
      </c>
      <c r="J135" s="24"/>
      <c r="K135" s="27">
        <v>1.11E-07</v>
      </c>
      <c r="L135" s="24"/>
      <c r="M135" s="27">
        <v>1.35E-07</v>
      </c>
    </row>
    <row r="136" spans="4:13" ht="12.75">
      <c r="D136" s="4" t="s">
        <v>27</v>
      </c>
      <c r="F136" s="4" t="s">
        <v>96</v>
      </c>
      <c r="G136" s="4"/>
      <c r="H136" s="4"/>
      <c r="I136" s="27">
        <v>2.53E-07</v>
      </c>
      <c r="J136" s="24"/>
      <c r="K136" s="27">
        <v>1.07E-06</v>
      </c>
      <c r="L136" s="24"/>
      <c r="M136" s="27">
        <v>1.41E-06</v>
      </c>
    </row>
    <row r="137" spans="7:13" ht="12.75">
      <c r="G137" s="4"/>
      <c r="H137" s="4"/>
      <c r="I137" s="24"/>
      <c r="J137" s="24"/>
      <c r="K137" s="25"/>
      <c r="L137" s="24"/>
      <c r="M137" s="24"/>
    </row>
    <row r="138" spans="4:11" ht="12.75">
      <c r="D138" s="4" t="s">
        <v>73</v>
      </c>
      <c r="E138" s="4" t="s">
        <v>66</v>
      </c>
      <c r="G138" s="4"/>
      <c r="H138" s="4"/>
      <c r="I138" s="18"/>
      <c r="K138" s="19"/>
    </row>
    <row r="139" spans="4:15" ht="12.75">
      <c r="D139" s="4" t="s">
        <v>57</v>
      </c>
      <c r="F139" s="4" t="s">
        <v>17</v>
      </c>
      <c r="G139" s="4"/>
      <c r="H139" s="4"/>
      <c r="I139" s="24">
        <v>6500</v>
      </c>
      <c r="J139" s="24"/>
      <c r="K139" s="25">
        <v>6700</v>
      </c>
      <c r="L139" s="7"/>
      <c r="M139" s="24">
        <v>6900</v>
      </c>
      <c r="O139" s="26"/>
    </row>
    <row r="140" spans="4:15" ht="12.75">
      <c r="D140" s="4" t="s">
        <v>69</v>
      </c>
      <c r="F140" s="4" t="s">
        <v>18</v>
      </c>
      <c r="G140" s="4"/>
      <c r="H140" s="4"/>
      <c r="I140" s="24">
        <v>11.3</v>
      </c>
      <c r="J140" s="24"/>
      <c r="K140" s="25">
        <v>11.3</v>
      </c>
      <c r="L140" s="24"/>
      <c r="M140" s="5">
        <v>11.1</v>
      </c>
      <c r="O140" s="60"/>
    </row>
    <row r="141" spans="4:15" ht="12.75">
      <c r="D141" s="4" t="s">
        <v>70</v>
      </c>
      <c r="F141" s="4" t="s">
        <v>18</v>
      </c>
      <c r="G141" s="4"/>
      <c r="H141" s="4"/>
      <c r="I141" s="24">
        <v>1.7</v>
      </c>
      <c r="J141" s="24"/>
      <c r="K141" s="25">
        <v>1.8</v>
      </c>
      <c r="L141" s="24"/>
      <c r="M141" s="5">
        <v>1.6</v>
      </c>
      <c r="O141" s="60"/>
    </row>
    <row r="142" spans="4:15" ht="12.75">
      <c r="D142" s="4" t="s">
        <v>56</v>
      </c>
      <c r="F142" s="4" t="s">
        <v>19</v>
      </c>
      <c r="G142" s="4"/>
      <c r="H142" s="4"/>
      <c r="I142" s="24">
        <v>58.8</v>
      </c>
      <c r="J142" s="24"/>
      <c r="K142" s="25">
        <v>58.1</v>
      </c>
      <c r="L142" s="24"/>
      <c r="M142" s="24">
        <v>54.7</v>
      </c>
      <c r="O142" s="23"/>
    </row>
    <row r="143" spans="7:15" ht="12.75">
      <c r="G143" s="4"/>
      <c r="H143" s="4"/>
      <c r="I143" s="24"/>
      <c r="J143" s="24"/>
      <c r="K143" s="25"/>
      <c r="L143" s="24"/>
      <c r="M143" s="24"/>
      <c r="O143" s="23"/>
    </row>
    <row r="144" spans="1:13" ht="12.75">
      <c r="A144" s="18">
        <v>2</v>
      </c>
      <c r="B144" s="17" t="s">
        <v>135</v>
      </c>
      <c r="D144" s="18"/>
      <c r="E144" s="18"/>
      <c r="F144" s="18"/>
      <c r="G144" s="20" t="s">
        <v>198</v>
      </c>
      <c r="H144" s="20"/>
      <c r="I144" s="20" t="s">
        <v>199</v>
      </c>
      <c r="J144" s="20"/>
      <c r="K144" s="20" t="s">
        <v>200</v>
      </c>
      <c r="L144" s="20"/>
      <c r="M144" s="20" t="s">
        <v>201</v>
      </c>
    </row>
    <row r="145" spans="2:6" ht="12.75">
      <c r="B145" s="22" t="s">
        <v>99</v>
      </c>
      <c r="D145" s="22"/>
      <c r="E145" s="18"/>
      <c r="F145" s="18"/>
    </row>
    <row r="146" spans="3:9" ht="12.75">
      <c r="C146" s="58"/>
      <c r="D146" s="57"/>
      <c r="E146" s="57"/>
      <c r="F146" s="18"/>
      <c r="I146" s="18"/>
    </row>
    <row r="147" spans="2:13" ht="12.75">
      <c r="B147" s="4" t="s">
        <v>13</v>
      </c>
      <c r="C147" s="4" t="s">
        <v>203</v>
      </c>
      <c r="D147" s="4" t="s">
        <v>14</v>
      </c>
      <c r="E147" s="4" t="s">
        <v>15</v>
      </c>
      <c r="G147" s="63">
        <f>(I117*I$124+I132*I$139)/(I$124+I$139)</f>
        <v>0.01761240875912409</v>
      </c>
      <c r="H147" s="29"/>
      <c r="I147" s="63">
        <f>(K117*K$124+K132*K$139)/(K$124+K$139)</f>
        <v>0.019592028985507246</v>
      </c>
      <c r="J147" s="63"/>
      <c r="K147" s="63">
        <f>(M117*M$124+M132*M$139)/(M$124+M$139)</f>
        <v>0.020113138686131387</v>
      </c>
      <c r="M147" s="59">
        <f>AVERAGE(G147,I147,K147)</f>
        <v>0.019105858810254242</v>
      </c>
    </row>
    <row r="148" spans="2:13" ht="12.75">
      <c r="B148" s="4" t="s">
        <v>82</v>
      </c>
      <c r="C148" s="4"/>
      <c r="D148" s="4" t="s">
        <v>16</v>
      </c>
      <c r="G148" s="32">
        <f>(I118*I$124+I133*I$139)/(I$124+I$139)</f>
        <v>8.355474452554745</v>
      </c>
      <c r="H148" s="32"/>
      <c r="I148" s="32">
        <f>(K118*K$124+K133*K$139)/(K$124+K$139)</f>
        <v>5.209420289855072</v>
      </c>
      <c r="J148" s="32"/>
      <c r="K148" s="32">
        <f>(M118*M$124+M133*M$139)/(M$124+M$139)</f>
        <v>5.299270072992701</v>
      </c>
      <c r="L148" s="23"/>
      <c r="M148" s="23">
        <f>AVERAGE(G148,I148,K148)</f>
        <v>6.288054938467506</v>
      </c>
    </row>
    <row r="149" spans="2:13" ht="12.75">
      <c r="B149" s="4" t="s">
        <v>83</v>
      </c>
      <c r="C149" s="4"/>
      <c r="D149" s="4" t="s">
        <v>16</v>
      </c>
      <c r="G149" s="5">
        <f>I134</f>
        <v>1.2</v>
      </c>
      <c r="H149" s="5"/>
      <c r="I149" s="5">
        <f>K134</f>
        <v>1.9</v>
      </c>
      <c r="J149" s="5"/>
      <c r="K149" s="5">
        <f>M134</f>
        <v>0</v>
      </c>
      <c r="M149" s="23">
        <f>AVERAGE(G149,I149,K149)</f>
        <v>1.0333333333333332</v>
      </c>
    </row>
    <row r="150" spans="2:15" ht="12.75">
      <c r="B150" s="4" t="s">
        <v>26</v>
      </c>
      <c r="C150" s="4"/>
      <c r="D150" s="4" t="s">
        <v>96</v>
      </c>
      <c r="G150" s="62">
        <f>(I120*I$124+I135*I$139)/(I$124+I$139)</f>
        <v>5.2415328467153284E-08</v>
      </c>
      <c r="H150" s="62"/>
      <c r="I150" s="62">
        <f>(K120*K$124+K135*K$139)/(K$124+K$139)</f>
        <v>1.238623188405797E-07</v>
      </c>
      <c r="J150" s="62"/>
      <c r="K150" s="62">
        <f>(M120*M$124+M135*M$139)/(M$124+M$139)</f>
        <v>8.328029197080292E-08</v>
      </c>
      <c r="M150" s="75">
        <f>AVERAGE(G150,I150,K150)</f>
        <v>8.65193130928453E-08</v>
      </c>
      <c r="O150" s="56"/>
    </row>
    <row r="151" spans="2:15" ht="12.75">
      <c r="B151" s="4" t="s">
        <v>27</v>
      </c>
      <c r="C151" s="4"/>
      <c r="D151" s="4" t="s">
        <v>96</v>
      </c>
      <c r="G151" s="62">
        <f>(I121*I$124+I136*I$139)/(I$124+I$139)</f>
        <v>3.9016788321167883E-07</v>
      </c>
      <c r="H151" s="62"/>
      <c r="I151" s="62">
        <f>(K121*K$124+K136*K$139)/(K$124+K$139)</f>
        <v>1.1626086956521738E-06</v>
      </c>
      <c r="J151" s="62"/>
      <c r="K151" s="62">
        <f>(M121*M$124+M136*M$139)/(M$124+M$139)</f>
        <v>1.9262043795620434E-06</v>
      </c>
      <c r="M151" s="75">
        <f>AVERAGE(G151,I151,K151)</f>
        <v>1.1596603194752986E-06</v>
      </c>
      <c r="O151" s="56"/>
    </row>
    <row r="152" spans="4:9" ht="12.75">
      <c r="D152" s="18"/>
      <c r="E152" s="18"/>
      <c r="F152" s="18"/>
      <c r="I152" s="18"/>
    </row>
    <row r="153" spans="4:9" ht="12.75">
      <c r="D153" s="18"/>
      <c r="E153" s="18"/>
      <c r="F153" s="18"/>
      <c r="I153" s="18"/>
    </row>
    <row r="154" spans="2:13" ht="12.75">
      <c r="B154" s="4" t="s">
        <v>48</v>
      </c>
      <c r="C154" s="4" t="s">
        <v>95</v>
      </c>
      <c r="G154" s="24"/>
      <c r="H154" s="24"/>
      <c r="I154" s="25"/>
      <c r="J154" s="24"/>
      <c r="K154" s="24"/>
      <c r="L154" s="20"/>
      <c r="M154" s="26"/>
    </row>
    <row r="155" spans="2:13" ht="12.75">
      <c r="B155" s="4" t="s">
        <v>67</v>
      </c>
      <c r="C155" s="4"/>
      <c r="D155" s="4" t="s">
        <v>30</v>
      </c>
      <c r="G155" s="24">
        <v>507</v>
      </c>
      <c r="H155" s="24"/>
      <c r="I155" s="25">
        <v>651</v>
      </c>
      <c r="J155" s="24"/>
      <c r="K155" s="24">
        <v>618</v>
      </c>
      <c r="L155" s="20"/>
      <c r="M155" s="26">
        <f>AVERAGE(G155,I155,K155)</f>
        <v>592</v>
      </c>
    </row>
    <row r="156" spans="2:15" ht="12.75">
      <c r="B156" s="4" t="s">
        <v>68</v>
      </c>
      <c r="C156" s="4" t="s">
        <v>204</v>
      </c>
      <c r="D156" s="4" t="s">
        <v>30</v>
      </c>
      <c r="G156" s="52">
        <v>0.00456</v>
      </c>
      <c r="H156" s="52"/>
      <c r="I156" s="52">
        <v>0.00478</v>
      </c>
      <c r="J156" s="52"/>
      <c r="K156" s="52">
        <v>0.00589</v>
      </c>
      <c r="L156" s="20"/>
      <c r="M156" s="76">
        <f>AVERAGE(G156,I156,K156)</f>
        <v>0.005076666666666667</v>
      </c>
      <c r="O156" s="43"/>
    </row>
    <row r="157" spans="2:13" ht="12.75">
      <c r="B157" s="4" t="s">
        <v>28</v>
      </c>
      <c r="C157" s="4" t="s">
        <v>204</v>
      </c>
      <c r="D157" s="4" t="s">
        <v>18</v>
      </c>
      <c r="G157" s="52">
        <v>99.9991</v>
      </c>
      <c r="H157" s="24"/>
      <c r="I157" s="25">
        <v>99.99927</v>
      </c>
      <c r="J157" s="24"/>
      <c r="K157" s="24">
        <v>99.99921</v>
      </c>
      <c r="L157" s="20"/>
      <c r="M157" s="76">
        <f>AVERAGE(G157,I157,K157)</f>
        <v>99.99919333333332</v>
      </c>
    </row>
    <row r="158" spans="2:13" ht="12.75">
      <c r="B158" s="4"/>
      <c r="C158" s="4"/>
      <c r="G158" s="24"/>
      <c r="H158" s="24"/>
      <c r="I158" s="25"/>
      <c r="J158" s="24"/>
      <c r="K158" s="24"/>
      <c r="L158" s="20"/>
      <c r="M158" s="26"/>
    </row>
    <row r="159" spans="2:13" ht="12.75">
      <c r="B159" s="4" t="s">
        <v>48</v>
      </c>
      <c r="C159" s="4" t="s">
        <v>77</v>
      </c>
      <c r="G159" s="24"/>
      <c r="H159" s="24"/>
      <c r="I159" s="25"/>
      <c r="J159" s="24"/>
      <c r="K159" s="24"/>
      <c r="L159" s="20"/>
      <c r="M159" s="26"/>
    </row>
    <row r="160" spans="2:13" ht="12.75">
      <c r="B160" s="4" t="s">
        <v>67</v>
      </c>
      <c r="C160" s="4"/>
      <c r="D160" s="4" t="s">
        <v>30</v>
      </c>
      <c r="G160" s="24">
        <v>934</v>
      </c>
      <c r="H160" s="24"/>
      <c r="I160" s="25">
        <v>840</v>
      </c>
      <c r="J160" s="24"/>
      <c r="K160" s="24">
        <v>896</v>
      </c>
      <c r="L160" s="20"/>
      <c r="M160" s="26">
        <f>AVERAGE(G160,I160,K160)</f>
        <v>890</v>
      </c>
    </row>
    <row r="161" spans="2:13" ht="12.75">
      <c r="B161" s="4" t="s">
        <v>68</v>
      </c>
      <c r="C161" s="4" t="s">
        <v>204</v>
      </c>
      <c r="D161" s="4" t="s">
        <v>30</v>
      </c>
      <c r="G161" s="53">
        <v>0.0257</v>
      </c>
      <c r="H161" s="53"/>
      <c r="I161" s="53">
        <v>0.024</v>
      </c>
      <c r="J161" s="53"/>
      <c r="K161" s="53">
        <v>0.0253</v>
      </c>
      <c r="L161" s="20"/>
      <c r="M161" s="76">
        <f>AVERAGE(G161,I161,K161)</f>
        <v>0.024999999999999998</v>
      </c>
    </row>
    <row r="162" spans="2:13" ht="12.75">
      <c r="B162" s="4" t="s">
        <v>28</v>
      </c>
      <c r="C162" s="4" t="s">
        <v>204</v>
      </c>
      <c r="D162" s="4" t="s">
        <v>18</v>
      </c>
      <c r="G162" s="24">
        <v>99.9973</v>
      </c>
      <c r="H162" s="24"/>
      <c r="I162" s="25">
        <v>99.9971</v>
      </c>
      <c r="J162" s="24"/>
      <c r="K162" s="25">
        <v>99.9972</v>
      </c>
      <c r="L162" s="24"/>
      <c r="M162" s="76">
        <f>AVERAGE(G162,I162,K162)</f>
        <v>99.9972</v>
      </c>
    </row>
    <row r="163" spans="2:13" ht="12.75">
      <c r="B163" s="4"/>
      <c r="C163" s="4"/>
      <c r="G163" s="24"/>
      <c r="H163" s="24"/>
      <c r="I163" s="25"/>
      <c r="J163" s="24"/>
      <c r="K163" s="25"/>
      <c r="L163" s="24"/>
      <c r="M163" s="25"/>
    </row>
    <row r="164" spans="2:13" ht="12.75">
      <c r="B164" s="4" t="s">
        <v>48</v>
      </c>
      <c r="C164" s="4" t="s">
        <v>29</v>
      </c>
      <c r="G164" s="24"/>
      <c r="H164" s="24"/>
      <c r="I164" s="25"/>
      <c r="J164" s="24"/>
      <c r="K164" s="24"/>
      <c r="L164" s="20"/>
      <c r="M164" s="26"/>
    </row>
    <row r="165" spans="2:13" ht="12.75">
      <c r="B165" s="4" t="s">
        <v>67</v>
      </c>
      <c r="C165" s="4"/>
      <c r="D165" s="4" t="s">
        <v>30</v>
      </c>
      <c r="G165" s="24">
        <v>101</v>
      </c>
      <c r="H165" s="24"/>
      <c r="I165" s="25">
        <v>130</v>
      </c>
      <c r="J165" s="24"/>
      <c r="K165" s="24">
        <v>120</v>
      </c>
      <c r="L165" s="20"/>
      <c r="M165" s="26">
        <f>AVERAGE(G165,I165,K165)</f>
        <v>117</v>
      </c>
    </row>
    <row r="166" spans="2:13" ht="12.75">
      <c r="B166" s="4" t="s">
        <v>68</v>
      </c>
      <c r="C166" s="4" t="s">
        <v>204</v>
      </c>
      <c r="D166" s="4" t="s">
        <v>30</v>
      </c>
      <c r="G166" s="54">
        <v>0.001002</v>
      </c>
      <c r="H166" s="54"/>
      <c r="I166" s="54">
        <v>0.000769</v>
      </c>
      <c r="J166" s="54"/>
      <c r="K166" s="54">
        <v>0.00088</v>
      </c>
      <c r="L166" s="20"/>
      <c r="M166" s="76">
        <f>AVERAGE(G166,I166,K166)</f>
        <v>0.0008836666666666667</v>
      </c>
    </row>
    <row r="167" spans="2:13" ht="12.75">
      <c r="B167" s="4" t="s">
        <v>28</v>
      </c>
      <c r="C167" s="4" t="s">
        <v>204</v>
      </c>
      <c r="D167" s="4" t="s">
        <v>18</v>
      </c>
      <c r="G167" s="24">
        <v>99.99901</v>
      </c>
      <c r="H167" s="24"/>
      <c r="I167" s="24">
        <v>99.99941</v>
      </c>
      <c r="J167" s="24"/>
      <c r="K167" s="25">
        <v>99.99927</v>
      </c>
      <c r="L167" s="24"/>
      <c r="M167" s="76">
        <f>AVERAGE(G167,I167,K167)</f>
        <v>99.99923000000001</v>
      </c>
    </row>
    <row r="168" spans="2:13" ht="12.75">
      <c r="B168" s="4"/>
      <c r="C168" s="4"/>
      <c r="G168" s="24"/>
      <c r="H168" s="24"/>
      <c r="I168" s="25"/>
      <c r="J168" s="24"/>
      <c r="K168" s="24"/>
      <c r="L168" s="20"/>
      <c r="M168" s="26"/>
    </row>
    <row r="169" spans="2:13" ht="12.75">
      <c r="B169" s="4" t="s">
        <v>60</v>
      </c>
      <c r="C169" s="4"/>
      <c r="D169" s="4" t="s">
        <v>30</v>
      </c>
      <c r="G169" s="27">
        <v>9.02E-05</v>
      </c>
      <c r="H169" s="27"/>
      <c r="I169" s="27">
        <v>9.12E-05</v>
      </c>
      <c r="J169" s="24"/>
      <c r="K169" s="27">
        <v>0.000104</v>
      </c>
      <c r="L169" s="20"/>
      <c r="M169" s="75">
        <f aca="true" t="shared" si="5" ref="M169:M183">AVERAGE(G169,I169,K169)</f>
        <v>9.513333333333333E-05</v>
      </c>
    </row>
    <row r="170" spans="2:13" ht="12.75">
      <c r="B170" s="4" t="s">
        <v>59</v>
      </c>
      <c r="C170" s="4"/>
      <c r="D170" s="4" t="s">
        <v>30</v>
      </c>
      <c r="F170" s="4" t="s">
        <v>20</v>
      </c>
      <c r="G170" s="27">
        <v>4.72E-05</v>
      </c>
      <c r="H170" s="24" t="s">
        <v>20</v>
      </c>
      <c r="I170" s="27">
        <v>4.9E-05</v>
      </c>
      <c r="J170" s="24" t="s">
        <v>20</v>
      </c>
      <c r="K170" s="27">
        <v>4.77E-05</v>
      </c>
      <c r="L170" s="20"/>
      <c r="M170" s="75">
        <f t="shared" si="5"/>
        <v>4.796666666666667E-05</v>
      </c>
    </row>
    <row r="171" spans="2:13" ht="12.75">
      <c r="B171" s="4" t="s">
        <v>100</v>
      </c>
      <c r="C171" s="4"/>
      <c r="D171" s="4" t="s">
        <v>30</v>
      </c>
      <c r="G171" s="27">
        <v>0.000243</v>
      </c>
      <c r="H171" s="24"/>
      <c r="I171" s="27">
        <v>0.00033</v>
      </c>
      <c r="J171" s="24"/>
      <c r="K171" s="27">
        <v>0.000342</v>
      </c>
      <c r="L171" s="20"/>
      <c r="M171" s="75">
        <f t="shared" si="5"/>
        <v>0.000305</v>
      </c>
    </row>
    <row r="172" spans="2:13" ht="12.75">
      <c r="B172" s="4" t="s">
        <v>61</v>
      </c>
      <c r="C172" s="4"/>
      <c r="D172" s="4" t="s">
        <v>30</v>
      </c>
      <c r="F172" s="4" t="s">
        <v>20</v>
      </c>
      <c r="G172" s="27">
        <v>4.72E-05</v>
      </c>
      <c r="H172" s="24" t="s">
        <v>20</v>
      </c>
      <c r="I172" s="27">
        <v>4.9E-05</v>
      </c>
      <c r="J172" s="24"/>
      <c r="K172" s="27">
        <v>5.13E-05</v>
      </c>
      <c r="L172" s="20"/>
      <c r="M172" s="75">
        <f t="shared" si="5"/>
        <v>4.916666666666667E-05</v>
      </c>
    </row>
    <row r="173" spans="2:13" ht="12.75">
      <c r="B173" s="4" t="s">
        <v>62</v>
      </c>
      <c r="C173" s="4"/>
      <c r="D173" s="4" t="s">
        <v>30</v>
      </c>
      <c r="G173" s="27">
        <v>3.92E-05</v>
      </c>
      <c r="H173" s="24"/>
      <c r="I173" s="27">
        <v>7.58E-05</v>
      </c>
      <c r="J173" s="24"/>
      <c r="K173" s="27">
        <v>3.86E-05</v>
      </c>
      <c r="L173" s="20"/>
      <c r="M173" s="75">
        <f t="shared" si="5"/>
        <v>5.12E-05</v>
      </c>
    </row>
    <row r="174" spans="2:13" ht="12.75">
      <c r="B174" s="4" t="s">
        <v>71</v>
      </c>
      <c r="C174" s="4"/>
      <c r="D174" s="4" t="s">
        <v>30</v>
      </c>
      <c r="G174" s="27">
        <v>0.000866</v>
      </c>
      <c r="H174" s="24"/>
      <c r="I174" s="27">
        <v>0.00412</v>
      </c>
      <c r="J174" s="24"/>
      <c r="K174" s="27">
        <v>0.00212</v>
      </c>
      <c r="L174" s="20"/>
      <c r="M174" s="75">
        <f t="shared" si="5"/>
        <v>0.002368666666666667</v>
      </c>
    </row>
    <row r="175" spans="2:13" ht="12.75">
      <c r="B175" s="78" t="s">
        <v>202</v>
      </c>
      <c r="C175" s="4"/>
      <c r="D175" s="4" t="s">
        <v>30</v>
      </c>
      <c r="G175" s="27">
        <v>8.77E-05</v>
      </c>
      <c r="H175" s="24"/>
      <c r="I175" s="27">
        <v>0.000141</v>
      </c>
      <c r="J175" s="24"/>
      <c r="K175" s="27">
        <v>0.000141</v>
      </c>
      <c r="L175" s="20"/>
      <c r="M175" s="75">
        <f t="shared" si="5"/>
        <v>0.00012323333333333334</v>
      </c>
    </row>
    <row r="176" spans="2:13" ht="12.75">
      <c r="B176" s="4" t="s">
        <v>101</v>
      </c>
      <c r="C176" s="4"/>
      <c r="D176" s="4" t="s">
        <v>30</v>
      </c>
      <c r="G176" s="27">
        <v>0.0129</v>
      </c>
      <c r="H176" s="24"/>
      <c r="I176" s="27">
        <v>0.0131</v>
      </c>
      <c r="J176" s="24"/>
      <c r="K176" s="27">
        <v>0.0211</v>
      </c>
      <c r="L176" s="20"/>
      <c r="M176" s="75">
        <f t="shared" si="5"/>
        <v>0.015700000000000002</v>
      </c>
    </row>
    <row r="177" spans="2:13" ht="12.75">
      <c r="B177" s="4" t="s">
        <v>58</v>
      </c>
      <c r="C177" s="4"/>
      <c r="D177" s="4" t="s">
        <v>30</v>
      </c>
      <c r="G177" s="27">
        <v>4.47E-05</v>
      </c>
      <c r="H177" s="24"/>
      <c r="I177" s="27">
        <v>0.000127</v>
      </c>
      <c r="J177" s="24"/>
      <c r="K177" s="27">
        <v>7.95E-05</v>
      </c>
      <c r="L177" s="20"/>
      <c r="M177" s="75">
        <f t="shared" si="5"/>
        <v>8.373333333333333E-05</v>
      </c>
    </row>
    <row r="178" spans="2:13" ht="12.75">
      <c r="B178" s="4" t="s">
        <v>63</v>
      </c>
      <c r="C178" s="4"/>
      <c r="D178" s="4" t="s">
        <v>30</v>
      </c>
      <c r="G178" s="27">
        <v>7.21E-05</v>
      </c>
      <c r="H178" s="24"/>
      <c r="I178" s="27">
        <v>0.000129</v>
      </c>
      <c r="J178" s="24"/>
      <c r="K178" s="27">
        <v>0.000249</v>
      </c>
      <c r="L178" s="20"/>
      <c r="M178" s="75">
        <f t="shared" si="5"/>
        <v>0.00015003333333333334</v>
      </c>
    </row>
    <row r="179" spans="2:13" ht="12.75">
      <c r="B179" s="4" t="s">
        <v>102</v>
      </c>
      <c r="C179" s="4"/>
      <c r="D179" s="4" t="s">
        <v>30</v>
      </c>
      <c r="G179" s="27">
        <v>0.00114</v>
      </c>
      <c r="H179" s="24"/>
      <c r="I179" s="27">
        <v>0.00357</v>
      </c>
      <c r="J179" s="24"/>
      <c r="K179" s="27">
        <v>0.00152</v>
      </c>
      <c r="L179" s="20"/>
      <c r="M179" s="75">
        <f t="shared" si="5"/>
        <v>0.0020766666666666663</v>
      </c>
    </row>
    <row r="180" spans="2:13" ht="12.75">
      <c r="B180" s="4" t="s">
        <v>103</v>
      </c>
      <c r="C180" s="4"/>
      <c r="D180" s="4" t="s">
        <v>30</v>
      </c>
      <c r="F180" s="4" t="s">
        <v>20</v>
      </c>
      <c r="G180" s="27">
        <v>3.77E-05</v>
      </c>
      <c r="H180" s="24" t="s">
        <v>20</v>
      </c>
      <c r="I180" s="27">
        <v>3.92E-05</v>
      </c>
      <c r="J180" s="24" t="s">
        <v>20</v>
      </c>
      <c r="K180" s="27">
        <v>3.81E-05</v>
      </c>
      <c r="L180" s="20"/>
      <c r="M180" s="75">
        <f t="shared" si="5"/>
        <v>3.8333333333333334E-05</v>
      </c>
    </row>
    <row r="181" spans="2:13" ht="12.75">
      <c r="B181" s="4" t="s">
        <v>104</v>
      </c>
      <c r="C181" s="4"/>
      <c r="D181" s="4" t="s">
        <v>30</v>
      </c>
      <c r="G181" s="27">
        <v>0.000198</v>
      </c>
      <c r="H181" s="24"/>
      <c r="I181" s="27">
        <v>0.000171</v>
      </c>
      <c r="J181" s="24"/>
      <c r="K181" s="27">
        <v>0.000191</v>
      </c>
      <c r="L181" s="20"/>
      <c r="M181" s="75">
        <f t="shared" si="5"/>
        <v>0.00018666666666666666</v>
      </c>
    </row>
    <row r="182" spans="2:13" ht="12.75">
      <c r="B182" s="4" t="s">
        <v>105</v>
      </c>
      <c r="C182" s="4"/>
      <c r="D182" s="4" t="s">
        <v>30</v>
      </c>
      <c r="F182" s="4" t="s">
        <v>20</v>
      </c>
      <c r="G182" s="27">
        <v>1.89E-05</v>
      </c>
      <c r="H182" s="24" t="s">
        <v>20</v>
      </c>
      <c r="I182" s="27">
        <v>1.96E-05</v>
      </c>
      <c r="J182" s="24" t="s">
        <v>20</v>
      </c>
      <c r="K182" s="27">
        <v>1.91E-05</v>
      </c>
      <c r="L182" s="20"/>
      <c r="M182" s="75">
        <f t="shared" si="5"/>
        <v>1.9200000000000003E-05</v>
      </c>
    </row>
    <row r="183" spans="2:13" ht="12.75">
      <c r="B183" s="4" t="s">
        <v>106</v>
      </c>
      <c r="C183" s="4"/>
      <c r="D183" s="4" t="s">
        <v>30</v>
      </c>
      <c r="G183" s="27">
        <v>0.005</v>
      </c>
      <c r="H183" s="24"/>
      <c r="I183" s="27">
        <v>0.00566</v>
      </c>
      <c r="J183" s="24"/>
      <c r="K183" s="27">
        <v>0.00708</v>
      </c>
      <c r="L183" s="20"/>
      <c r="M183" s="75">
        <f t="shared" si="5"/>
        <v>0.005913333333333333</v>
      </c>
    </row>
    <row r="184" spans="2:13" ht="12.75">
      <c r="B184" s="4"/>
      <c r="C184" s="4"/>
      <c r="G184" s="24"/>
      <c r="H184" s="24"/>
      <c r="I184" s="25"/>
      <c r="J184" s="24"/>
      <c r="K184" s="24"/>
      <c r="L184" s="20"/>
      <c r="M184" s="26"/>
    </row>
    <row r="185" spans="2:13" ht="12.75">
      <c r="B185" s="4"/>
      <c r="C185" s="4"/>
      <c r="G185" s="24"/>
      <c r="H185" s="24"/>
      <c r="I185" s="25"/>
      <c r="J185" s="24"/>
      <c r="K185" s="24"/>
      <c r="L185" s="20"/>
      <c r="M185" s="26"/>
    </row>
    <row r="186" spans="2:13" ht="12.75">
      <c r="B186" s="4" t="s">
        <v>73</v>
      </c>
      <c r="C186" s="4" t="s">
        <v>66</v>
      </c>
      <c r="D186" s="4" t="s">
        <v>203</v>
      </c>
      <c r="L186" s="20"/>
      <c r="M186" s="60"/>
    </row>
    <row r="187" spans="2:13" ht="12.75">
      <c r="B187" s="4" t="s">
        <v>57</v>
      </c>
      <c r="C187" s="4"/>
      <c r="D187" s="4" t="s">
        <v>17</v>
      </c>
      <c r="G187" s="24">
        <f>I124+I139</f>
        <v>13700</v>
      </c>
      <c r="H187" s="24"/>
      <c r="I187" s="24">
        <f>K124+K139</f>
        <v>13800</v>
      </c>
      <c r="J187" s="7"/>
      <c r="K187" s="24">
        <f>M124+M139</f>
        <v>13700</v>
      </c>
      <c r="M187" s="26">
        <f>AVERAGE(G187,I187,K187)</f>
        <v>13733.333333333334</v>
      </c>
    </row>
    <row r="188" spans="2:13" ht="12.75">
      <c r="B188" s="4" t="s">
        <v>69</v>
      </c>
      <c r="C188" s="4"/>
      <c r="D188" s="4" t="s">
        <v>18</v>
      </c>
      <c r="G188" s="23">
        <f>(I125*I$124+I140*I$139)/G$187</f>
        <v>11.983211678832117</v>
      </c>
      <c r="H188" s="24"/>
      <c r="I188" s="23">
        <f>(K125*K$124+K140*K$139)/I$187</f>
        <v>12.071739130434782</v>
      </c>
      <c r="J188" s="24"/>
      <c r="K188" s="23">
        <f>(M125*M$124+M140*M$139)/K$187</f>
        <v>11.894160583941606</v>
      </c>
      <c r="M188" s="23">
        <f>AVERAGE(G188,I188,K188)</f>
        <v>11.983037131069501</v>
      </c>
    </row>
    <row r="189" spans="2:13" ht="12.75">
      <c r="B189" s="4" t="s">
        <v>70</v>
      </c>
      <c r="C189" s="4"/>
      <c r="D189" s="4" t="s">
        <v>18</v>
      </c>
      <c r="G189" s="23">
        <f>(I126*I$124+I141*I$139)/G$187</f>
        <v>1.5423357664233577</v>
      </c>
      <c r="H189" s="24"/>
      <c r="I189" s="23">
        <f>(K126*K$124+K141*K$139)/I$187</f>
        <v>1.8514492753623188</v>
      </c>
      <c r="J189" s="24"/>
      <c r="K189" s="23">
        <f>(M126*M$124+M141*M$139)/K$187</f>
        <v>1.5503649635036496</v>
      </c>
      <c r="M189" s="23">
        <f>AVERAGE(G189,I189,K189)</f>
        <v>1.6480500017631086</v>
      </c>
    </row>
    <row r="190" spans="2:13" ht="12.75">
      <c r="B190" s="4" t="s">
        <v>56</v>
      </c>
      <c r="C190" s="4"/>
      <c r="D190" s="4" t="s">
        <v>19</v>
      </c>
      <c r="G190" s="23">
        <f>(I127*I$124+I142*I$139)/G$187</f>
        <v>58.957664233576644</v>
      </c>
      <c r="H190" s="24"/>
      <c r="I190" s="23">
        <f>(K127*K$124+K142*K$139)/I$187</f>
        <v>58.20289855072464</v>
      </c>
      <c r="J190" s="24"/>
      <c r="K190" s="23">
        <f>(M127*M$124+M142*M$139)/K$187</f>
        <v>55.99051094890511</v>
      </c>
      <c r="M190" s="23">
        <f>AVERAGE(G190,I190,K190)</f>
        <v>57.71702457773546</v>
      </c>
    </row>
    <row r="191" spans="2:13" ht="12.75">
      <c r="B191" s="4"/>
      <c r="C191" s="4"/>
      <c r="G191" s="24"/>
      <c r="H191" s="24"/>
      <c r="I191" s="25"/>
      <c r="J191" s="24"/>
      <c r="K191" s="24"/>
      <c r="M191" s="60"/>
    </row>
    <row r="192" spans="2:13" ht="12.75">
      <c r="B192" s="4" t="s">
        <v>73</v>
      </c>
      <c r="C192" s="4" t="s">
        <v>78</v>
      </c>
      <c r="D192" s="4" t="s">
        <v>204</v>
      </c>
      <c r="G192" s="24"/>
      <c r="H192" s="24"/>
      <c r="I192" s="25"/>
      <c r="J192" s="24"/>
      <c r="K192" s="24"/>
      <c r="M192" s="60"/>
    </row>
    <row r="193" spans="2:13" ht="12.75">
      <c r="B193" s="4" t="s">
        <v>57</v>
      </c>
      <c r="C193" s="4"/>
      <c r="D193" s="4" t="s">
        <v>17</v>
      </c>
      <c r="G193" s="24">
        <f>G187</f>
        <v>13700</v>
      </c>
      <c r="H193" s="24"/>
      <c r="I193" s="24">
        <f>I187</f>
        <v>13800</v>
      </c>
      <c r="J193" s="24"/>
      <c r="K193" s="24">
        <f>K187</f>
        <v>13700</v>
      </c>
      <c r="M193" s="26">
        <f>AVERAGE(G193,I193,K193)</f>
        <v>13733.333333333334</v>
      </c>
    </row>
    <row r="194" spans="2:13" ht="12.75">
      <c r="B194" s="4" t="s">
        <v>69</v>
      </c>
      <c r="C194" s="4"/>
      <c r="D194" s="4" t="s">
        <v>18</v>
      </c>
      <c r="G194" s="5">
        <f>G188</f>
        <v>11.983211678832117</v>
      </c>
      <c r="H194" s="24"/>
      <c r="I194" s="5">
        <f>I188</f>
        <v>12.071739130434782</v>
      </c>
      <c r="J194" s="24"/>
      <c r="K194" s="5">
        <f>K188</f>
        <v>11.894160583941606</v>
      </c>
      <c r="M194" s="23">
        <f>AVERAGE(G194,I194,K194)</f>
        <v>11.983037131069501</v>
      </c>
    </row>
    <row r="195" spans="2:13" ht="12.75">
      <c r="B195" s="4" t="s">
        <v>70</v>
      </c>
      <c r="C195" s="4"/>
      <c r="D195" s="4" t="s">
        <v>18</v>
      </c>
      <c r="G195" s="24"/>
      <c r="H195" s="24"/>
      <c r="I195" s="25"/>
      <c r="J195" s="24"/>
      <c r="K195" s="24"/>
      <c r="M195" s="26"/>
    </row>
    <row r="196" spans="2:13" ht="12.75">
      <c r="B196" s="4" t="s">
        <v>56</v>
      </c>
      <c r="C196" s="4"/>
      <c r="D196" s="4" t="s">
        <v>19</v>
      </c>
      <c r="G196" s="24"/>
      <c r="H196" s="24"/>
      <c r="I196" s="25"/>
      <c r="J196" s="24"/>
      <c r="K196" s="24"/>
      <c r="M196" s="26"/>
    </row>
    <row r="197" spans="2:13" ht="12.75">
      <c r="B197" s="4"/>
      <c r="C197" s="4"/>
      <c r="G197" s="24"/>
      <c r="H197" s="24"/>
      <c r="I197" s="25"/>
      <c r="J197" s="24"/>
      <c r="K197" s="24"/>
      <c r="L197" s="20"/>
      <c r="M197" s="26"/>
    </row>
    <row r="198" spans="2:13" ht="12.75">
      <c r="B198" s="4" t="s">
        <v>26</v>
      </c>
      <c r="C198" s="4" t="s">
        <v>203</v>
      </c>
      <c r="D198" s="4" t="s">
        <v>16</v>
      </c>
      <c r="E198" s="4" t="s">
        <v>15</v>
      </c>
      <c r="G198" s="55">
        <f>G150*1/36.5*386.7*1000000*(21-7)/(21-G188)</f>
        <v>0.862215410376715</v>
      </c>
      <c r="H198" s="5"/>
      <c r="I198" s="55">
        <f>I150*1/36.5*386.7*1000000*(21-7)/(21-I188)</f>
        <v>2.0576982032013498</v>
      </c>
      <c r="J198" s="5"/>
      <c r="K198" s="55">
        <f>K150*1/36.5*386.7*1000000*(21-7)/(21-K188)</f>
        <v>1.3565368483816949</v>
      </c>
      <c r="L198" s="5"/>
      <c r="M198" s="77">
        <f>AVERAGE(K198,I198,G198)</f>
        <v>1.42548348731992</v>
      </c>
    </row>
    <row r="199" spans="2:13" ht="12.75">
      <c r="B199" s="4" t="s">
        <v>27</v>
      </c>
      <c r="C199" s="4" t="s">
        <v>203</v>
      </c>
      <c r="D199" s="4" t="s">
        <v>16</v>
      </c>
      <c r="E199" s="4" t="s">
        <v>15</v>
      </c>
      <c r="G199" s="55">
        <f>G151*1/71*386.7*1000000*(21-7)/(21-G188)</f>
        <v>3.2994648206571253</v>
      </c>
      <c r="H199" s="5"/>
      <c r="I199" s="55">
        <f>I151*1/71*386.7*1000000*(21-7)/(21-I188)</f>
        <v>9.92911532011646</v>
      </c>
      <c r="J199" s="5"/>
      <c r="K199" s="55">
        <f>K151*1/71*386.7*1000000*(21-7)/(21-K188)</f>
        <v>16.12969806655564</v>
      </c>
      <c r="L199" s="5"/>
      <c r="M199" s="23">
        <f>AVERAGE(K199,I199,G199)</f>
        <v>9.786092735776409</v>
      </c>
    </row>
    <row r="200" spans="2:13" ht="12.75">
      <c r="B200" s="4" t="s">
        <v>72</v>
      </c>
      <c r="C200" s="4" t="s">
        <v>203</v>
      </c>
      <c r="D200" s="4" t="s">
        <v>16</v>
      </c>
      <c r="E200" s="4" t="s">
        <v>15</v>
      </c>
      <c r="G200" s="6">
        <f>G198+G199*2</f>
        <v>7.461145051690965</v>
      </c>
      <c r="H200" s="6"/>
      <c r="I200" s="6">
        <f>I198+I199*2</f>
        <v>21.915928843434273</v>
      </c>
      <c r="J200" s="6"/>
      <c r="K200" s="6">
        <f>K198+K199*2</f>
        <v>33.615932981492975</v>
      </c>
      <c r="L200" s="6"/>
      <c r="M200" s="23">
        <f>AVERAGE(K200,I200,G200)</f>
        <v>20.997668958872737</v>
      </c>
    </row>
    <row r="201" spans="2:13" ht="12.75">
      <c r="B201" s="4" t="s">
        <v>82</v>
      </c>
      <c r="C201" s="4" t="s">
        <v>203</v>
      </c>
      <c r="D201" s="4" t="s">
        <v>16</v>
      </c>
      <c r="E201" s="4" t="s">
        <v>15</v>
      </c>
      <c r="G201" s="5">
        <f>G148*(21-7)/(21-G188)</f>
        <v>12.973204889500526</v>
      </c>
      <c r="H201" s="6"/>
      <c r="I201" s="5">
        <f>I148*(21-7)/(21-I188)</f>
        <v>8.168655141628113</v>
      </c>
      <c r="J201" s="6"/>
      <c r="K201" s="5">
        <f>K148*(21-7)/(21-K188)</f>
        <v>8.14749498997996</v>
      </c>
      <c r="L201" s="6"/>
      <c r="M201" s="23">
        <f>AVERAGE(K201,I201,G201)</f>
        <v>9.763118340369532</v>
      </c>
    </row>
    <row r="202" spans="2:13" ht="12.75">
      <c r="B202" s="4" t="s">
        <v>83</v>
      </c>
      <c r="C202" s="4" t="s">
        <v>203</v>
      </c>
      <c r="D202" s="4" t="s">
        <v>16</v>
      </c>
      <c r="E202" s="4" t="s">
        <v>15</v>
      </c>
      <c r="G202" s="5">
        <f>G149*(21-7)/(21-G188)</f>
        <v>1.863191127661297</v>
      </c>
      <c r="H202" s="6"/>
      <c r="I202" s="5">
        <f>I149*(21-7)/(21-I188)</f>
        <v>2.979303627952276</v>
      </c>
      <c r="J202" s="6"/>
      <c r="K202" s="5">
        <f>K149*(21-7)/(21-K188)</f>
        <v>0</v>
      </c>
      <c r="L202" s="6"/>
      <c r="M202" s="23">
        <f>AVERAGE(K202,I202,G202)</f>
        <v>1.6141649185378577</v>
      </c>
    </row>
    <row r="203" spans="2:13" ht="12.75">
      <c r="B203" s="4"/>
      <c r="C203" s="4"/>
      <c r="G203" s="6"/>
      <c r="H203" s="6"/>
      <c r="I203" s="6"/>
      <c r="J203" s="6"/>
      <c r="K203" s="6"/>
      <c r="L203" s="6"/>
      <c r="M203" s="23"/>
    </row>
    <row r="204" spans="2:13" ht="12.75">
      <c r="B204" s="4" t="s">
        <v>60</v>
      </c>
      <c r="C204" s="4" t="s">
        <v>204</v>
      </c>
      <c r="D204" s="4" t="s">
        <v>37</v>
      </c>
      <c r="E204" s="4" t="s">
        <v>15</v>
      </c>
      <c r="G204" s="6">
        <f aca="true" t="shared" si="6" ref="G204:G218">G169/60*454*1000000/(G$193*0.0283)*(21-7)/(21-G$194)</f>
        <v>2.7332559283510958</v>
      </c>
      <c r="H204" s="4"/>
      <c r="I204" s="6">
        <f aca="true" t="shared" si="7" ref="I204:I218">I169/60*454*1000000/(I$193*0.0283)*(21-7)/(21-I$194)</f>
        <v>2.7707355909055837</v>
      </c>
      <c r="J204" s="4"/>
      <c r="K204" s="6">
        <f aca="true" t="shared" si="8" ref="K204:K218">K169/60*454*1000000/(K$193*0.0283)*(21-7)/(21-K$194)</f>
        <v>3.1206063481497743</v>
      </c>
      <c r="L204" s="6"/>
      <c r="M204" s="60">
        <f aca="true" t="shared" si="9" ref="M204:M212">AVERAGE(G204,I204,K204)</f>
        <v>2.8748659558021514</v>
      </c>
    </row>
    <row r="205" spans="2:13" ht="12.75">
      <c r="B205" s="4" t="s">
        <v>59</v>
      </c>
      <c r="C205" s="4" t="s">
        <v>204</v>
      </c>
      <c r="D205" s="4" t="s">
        <v>37</v>
      </c>
      <c r="E205" s="4" t="s">
        <v>15</v>
      </c>
      <c r="F205" s="4" t="s">
        <v>20</v>
      </c>
      <c r="G205" s="6">
        <f t="shared" si="6"/>
        <v>1.4302625257003516</v>
      </c>
      <c r="H205" s="4" t="s">
        <v>20</v>
      </c>
      <c r="I205" s="6">
        <f t="shared" si="7"/>
        <v>1.4886627626576054</v>
      </c>
      <c r="J205" s="4" t="s">
        <v>20</v>
      </c>
      <c r="K205" s="6">
        <f t="shared" si="8"/>
        <v>1.4312781039110023</v>
      </c>
      <c r="L205" s="6"/>
      <c r="M205" s="60">
        <f t="shared" si="9"/>
        <v>1.4500677974229863</v>
      </c>
    </row>
    <row r="206" spans="2:13" ht="12.75">
      <c r="B206" s="4" t="s">
        <v>100</v>
      </c>
      <c r="C206" s="4" t="s">
        <v>204</v>
      </c>
      <c r="D206" s="4" t="s">
        <v>37</v>
      </c>
      <c r="E206" s="4" t="s">
        <v>15</v>
      </c>
      <c r="G206" s="6">
        <f t="shared" si="6"/>
        <v>7.3634278335844385</v>
      </c>
      <c r="H206" s="4"/>
      <c r="I206" s="6">
        <f t="shared" si="7"/>
        <v>10.025687993408363</v>
      </c>
      <c r="J206" s="4"/>
      <c r="K206" s="6">
        <f t="shared" si="8"/>
        <v>10.261993952569451</v>
      </c>
      <c r="L206" s="6"/>
      <c r="M206" s="60">
        <f t="shared" si="9"/>
        <v>9.217036593187418</v>
      </c>
    </row>
    <row r="207" spans="2:13" ht="12.75">
      <c r="B207" s="4" t="s">
        <v>61</v>
      </c>
      <c r="C207" s="4" t="s">
        <v>204</v>
      </c>
      <c r="D207" s="4" t="s">
        <v>37</v>
      </c>
      <c r="E207" s="4" t="s">
        <v>15</v>
      </c>
      <c r="F207" s="4" t="s">
        <v>20</v>
      </c>
      <c r="G207" s="6">
        <f t="shared" si="6"/>
        <v>1.4302625257003516</v>
      </c>
      <c r="H207" s="4" t="s">
        <v>20</v>
      </c>
      <c r="I207" s="6">
        <f t="shared" si="7"/>
        <v>1.4886627626576054</v>
      </c>
      <c r="J207" s="4"/>
      <c r="K207" s="6">
        <f t="shared" si="8"/>
        <v>1.5392990928854173</v>
      </c>
      <c r="L207" s="6"/>
      <c r="M207" s="60">
        <f t="shared" si="9"/>
        <v>1.4860747937477914</v>
      </c>
    </row>
    <row r="208" spans="2:13" ht="12.75">
      <c r="B208" s="4" t="s">
        <v>62</v>
      </c>
      <c r="C208" s="4" t="s">
        <v>204</v>
      </c>
      <c r="D208" s="4" t="s">
        <v>37</v>
      </c>
      <c r="E208" s="4" t="s">
        <v>15</v>
      </c>
      <c r="G208" s="6">
        <f t="shared" si="6"/>
        <v>1.1878451484630037</v>
      </c>
      <c r="H208" s="4"/>
      <c r="I208" s="6">
        <f t="shared" si="7"/>
        <v>2.302870151213194</v>
      </c>
      <c r="J208" s="4"/>
      <c r="K208" s="6">
        <f t="shared" si="8"/>
        <v>1.1582250484478969</v>
      </c>
      <c r="L208" s="6"/>
      <c r="M208" s="60">
        <f t="shared" si="9"/>
        <v>1.5496467827080316</v>
      </c>
    </row>
    <row r="209" spans="2:13" ht="12.75">
      <c r="B209" s="4" t="s">
        <v>71</v>
      </c>
      <c r="C209" s="4" t="s">
        <v>204</v>
      </c>
      <c r="D209" s="4" t="s">
        <v>37</v>
      </c>
      <c r="E209" s="4" t="s">
        <v>15</v>
      </c>
      <c r="G209" s="6">
        <f t="shared" si="6"/>
        <v>26.24168108594289</v>
      </c>
      <c r="H209" s="4"/>
      <c r="I209" s="6">
        <f t="shared" si="7"/>
        <v>125.1691955540681</v>
      </c>
      <c r="J209" s="4"/>
      <c r="K209" s="6">
        <f t="shared" si="8"/>
        <v>63.61236017382232</v>
      </c>
      <c r="L209" s="6"/>
      <c r="M209" s="60">
        <f t="shared" si="9"/>
        <v>71.67441227127777</v>
      </c>
    </row>
    <row r="210" spans="2:13" ht="12.75">
      <c r="B210" s="78" t="s">
        <v>202</v>
      </c>
      <c r="C210" s="4" t="s">
        <v>204</v>
      </c>
      <c r="D210" s="4" t="s">
        <v>37</v>
      </c>
      <c r="E210" s="4" t="s">
        <v>15</v>
      </c>
      <c r="G210" s="6">
        <f t="shared" si="6"/>
        <v>2.6575004979644246</v>
      </c>
      <c r="H210" s="4"/>
      <c r="I210" s="6">
        <f t="shared" si="7"/>
        <v>4.283703051729028</v>
      </c>
      <c r="J210" s="4"/>
      <c r="K210" s="6">
        <f t="shared" si="8"/>
        <v>4.230822068164598</v>
      </c>
      <c r="L210" s="6"/>
      <c r="M210" s="60">
        <f t="shared" si="9"/>
        <v>3.7240085392860167</v>
      </c>
    </row>
    <row r="211" spans="2:13" ht="12.75">
      <c r="B211" s="4" t="s">
        <v>101</v>
      </c>
      <c r="C211" s="4" t="s">
        <v>204</v>
      </c>
      <c r="D211" s="4" t="s">
        <v>37</v>
      </c>
      <c r="E211" s="4" t="s">
        <v>15</v>
      </c>
      <c r="G211" s="6">
        <f t="shared" si="6"/>
        <v>390.8980207952232</v>
      </c>
      <c r="H211" s="4"/>
      <c r="I211" s="6">
        <f t="shared" si="7"/>
        <v>397.98943246560475</v>
      </c>
      <c r="J211" s="4"/>
      <c r="K211" s="6">
        <f t="shared" si="8"/>
        <v>633.1230187111561</v>
      </c>
      <c r="L211" s="6"/>
      <c r="M211" s="60">
        <f t="shared" si="9"/>
        <v>474.003490657328</v>
      </c>
    </row>
    <row r="212" spans="2:13" ht="12.75">
      <c r="B212" s="4" t="s">
        <v>58</v>
      </c>
      <c r="C212" s="4" t="s">
        <v>204</v>
      </c>
      <c r="D212" s="4" t="s">
        <v>37</v>
      </c>
      <c r="E212" s="4" t="s">
        <v>15</v>
      </c>
      <c r="G212" s="6">
        <f t="shared" si="6"/>
        <v>1.3545070953136806</v>
      </c>
      <c r="H212" s="4"/>
      <c r="I212" s="6">
        <f t="shared" si="7"/>
        <v>3.8583708338268554</v>
      </c>
      <c r="J212" s="4"/>
      <c r="K212" s="6">
        <f t="shared" si="8"/>
        <v>2.3854635065183367</v>
      </c>
      <c r="L212" s="6"/>
      <c r="M212" s="60">
        <f t="shared" si="9"/>
        <v>2.5327804785529575</v>
      </c>
    </row>
    <row r="213" spans="2:13" ht="12.75">
      <c r="B213" s="4" t="s">
        <v>63</v>
      </c>
      <c r="C213" s="4" t="s">
        <v>204</v>
      </c>
      <c r="D213" s="4" t="s">
        <v>37</v>
      </c>
      <c r="E213" s="4" t="s">
        <v>15</v>
      </c>
      <c r="G213" s="6">
        <f t="shared" si="6"/>
        <v>2.1847866123515964</v>
      </c>
      <c r="H213" s="4"/>
      <c r="I213" s="6">
        <f t="shared" si="7"/>
        <v>3.9191325792414515</v>
      </c>
      <c r="J213" s="4"/>
      <c r="K213" s="6">
        <f t="shared" si="8"/>
        <v>7.471451737397056</v>
      </c>
      <c r="M213" s="23">
        <f aca="true" t="shared" si="10" ref="M213:M220">AVERAGE(G213,I213,K213)</f>
        <v>4.525123642996701</v>
      </c>
    </row>
    <row r="214" spans="2:13" ht="12.75">
      <c r="B214" s="4" t="s">
        <v>102</v>
      </c>
      <c r="C214" s="4" t="s">
        <v>204</v>
      </c>
      <c r="D214" s="4" t="s">
        <v>37</v>
      </c>
      <c r="E214" s="4" t="s">
        <v>15</v>
      </c>
      <c r="G214" s="6">
        <f t="shared" si="6"/>
        <v>34.54447625632204</v>
      </c>
      <c r="H214" s="4"/>
      <c r="I214" s="6">
        <f t="shared" si="7"/>
        <v>108.45971556505414</v>
      </c>
      <c r="J214" s="4"/>
      <c r="K214" s="6">
        <f t="shared" si="8"/>
        <v>45.60886201141978</v>
      </c>
      <c r="L214" s="20"/>
      <c r="M214" s="60">
        <f t="shared" si="10"/>
        <v>62.871017944265326</v>
      </c>
    </row>
    <row r="215" spans="2:13" ht="12.75">
      <c r="B215" s="4" t="s">
        <v>103</v>
      </c>
      <c r="C215" s="4" t="s">
        <v>204</v>
      </c>
      <c r="D215" s="4" t="s">
        <v>37</v>
      </c>
      <c r="E215" s="4" t="s">
        <v>15</v>
      </c>
      <c r="F215" s="4" t="s">
        <v>20</v>
      </c>
      <c r="G215" s="6">
        <f t="shared" si="6"/>
        <v>1.1423918902310013</v>
      </c>
      <c r="H215" s="4" t="s">
        <v>20</v>
      </c>
      <c r="I215" s="6">
        <f t="shared" si="7"/>
        <v>1.1909302101260844</v>
      </c>
      <c r="J215" s="4" t="s">
        <v>20</v>
      </c>
      <c r="K215" s="6">
        <f t="shared" si="8"/>
        <v>1.1432221333125614</v>
      </c>
      <c r="L215" s="20"/>
      <c r="M215" s="60">
        <f t="shared" si="10"/>
        <v>1.1588480778898822</v>
      </c>
    </row>
    <row r="216" spans="2:13" ht="12.75">
      <c r="B216" s="4" t="s">
        <v>104</v>
      </c>
      <c r="C216" s="4" t="s">
        <v>204</v>
      </c>
      <c r="D216" s="4" t="s">
        <v>37</v>
      </c>
      <c r="E216" s="4" t="s">
        <v>15</v>
      </c>
      <c r="G216" s="6">
        <f t="shared" si="6"/>
        <v>5.999830086624356</v>
      </c>
      <c r="H216" s="4"/>
      <c r="I216" s="6">
        <f t="shared" si="7"/>
        <v>5.195129232947972</v>
      </c>
      <c r="J216" s="4"/>
      <c r="K216" s="6">
        <f t="shared" si="8"/>
        <v>5.731113581698143</v>
      </c>
      <c r="L216" s="20"/>
      <c r="M216" s="60">
        <f t="shared" si="10"/>
        <v>5.64202430042349</v>
      </c>
    </row>
    <row r="217" spans="2:13" ht="12.75">
      <c r="B217" s="4" t="s">
        <v>105</v>
      </c>
      <c r="C217" s="4" t="s">
        <v>204</v>
      </c>
      <c r="D217" s="4" t="s">
        <v>37</v>
      </c>
      <c r="E217" s="4" t="s">
        <v>15</v>
      </c>
      <c r="F217" s="4" t="s">
        <v>20</v>
      </c>
      <c r="G217" s="6">
        <f t="shared" si="6"/>
        <v>0.5727110537232339</v>
      </c>
      <c r="H217" s="4" t="s">
        <v>20</v>
      </c>
      <c r="I217" s="6">
        <f t="shared" si="7"/>
        <v>0.5954651050630422</v>
      </c>
      <c r="J217" s="4" t="s">
        <v>20</v>
      </c>
      <c r="K217" s="6">
        <f t="shared" si="8"/>
        <v>0.5731113581698143</v>
      </c>
      <c r="L217" s="20"/>
      <c r="M217" s="60">
        <f t="shared" si="10"/>
        <v>0.5804291723186967</v>
      </c>
    </row>
    <row r="218" spans="2:13" ht="12.75">
      <c r="B218" s="4" t="s">
        <v>106</v>
      </c>
      <c r="C218" s="4" t="s">
        <v>204</v>
      </c>
      <c r="D218" s="4" t="s">
        <v>37</v>
      </c>
      <c r="E218" s="4" t="s">
        <v>15</v>
      </c>
      <c r="G218" s="6">
        <f t="shared" si="6"/>
        <v>151.5108607733423</v>
      </c>
      <c r="H218" s="4"/>
      <c r="I218" s="6">
        <f t="shared" si="7"/>
        <v>171.9557395233071</v>
      </c>
      <c r="J218" s="4"/>
      <c r="K218" s="6">
        <f t="shared" si="8"/>
        <v>212.44127831635004</v>
      </c>
      <c r="L218" s="20"/>
      <c r="M218" s="60">
        <f t="shared" si="10"/>
        <v>178.63595953766648</v>
      </c>
    </row>
    <row r="219" spans="2:13" ht="12.75">
      <c r="B219" s="4" t="s">
        <v>38</v>
      </c>
      <c r="C219" s="4" t="s">
        <v>204</v>
      </c>
      <c r="D219" s="4" t="s">
        <v>37</v>
      </c>
      <c r="E219" s="4" t="s">
        <v>15</v>
      </c>
      <c r="G219" s="6">
        <f>G212+G208</f>
        <v>2.5423522437766843</v>
      </c>
      <c r="H219" s="24"/>
      <c r="I219" s="6">
        <f>I212+I208</f>
        <v>6.161240985040049</v>
      </c>
      <c r="J219" s="24"/>
      <c r="K219" s="6">
        <f>K212+K208</f>
        <v>3.5436885549662334</v>
      </c>
      <c r="L219" s="20"/>
      <c r="M219" s="60">
        <f t="shared" si="10"/>
        <v>4.082427261260989</v>
      </c>
    </row>
    <row r="220" spans="2:13" ht="12.75">
      <c r="B220" s="4" t="s">
        <v>39</v>
      </c>
      <c r="C220" s="4" t="s">
        <v>204</v>
      </c>
      <c r="D220" s="4" t="s">
        <v>37</v>
      </c>
      <c r="E220" s="4" t="s">
        <v>15</v>
      </c>
      <c r="G220" s="6">
        <f>G204+G207+G209</f>
        <v>30.405199539994335</v>
      </c>
      <c r="H220" s="24"/>
      <c r="I220" s="6">
        <f>I204+I207+I209</f>
        <v>129.4285939076313</v>
      </c>
      <c r="J220" s="24"/>
      <c r="K220" s="6">
        <f>K204+K207+K209</f>
        <v>68.2722656148575</v>
      </c>
      <c r="L220" s="24"/>
      <c r="M220" s="23">
        <f t="shared" si="10"/>
        <v>76.03535302082771</v>
      </c>
    </row>
    <row r="221" spans="2:13" ht="12.75">
      <c r="B221" s="4"/>
      <c r="C221" s="4"/>
      <c r="G221" s="24"/>
      <c r="H221" s="24"/>
      <c r="I221" s="25"/>
      <c r="J221" s="24"/>
      <c r="K221" s="24"/>
      <c r="L221" s="20"/>
      <c r="M221" s="2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131"/>
  <sheetViews>
    <sheetView workbookViewId="0" topLeftCell="Y1">
      <selection activeCell="C10" sqref="C10"/>
    </sheetView>
  </sheetViews>
  <sheetFormatPr defaultColWidth="9.140625" defaultRowHeight="12.75"/>
  <cols>
    <col min="1" max="1" width="2.421875" style="29" hidden="1" customWidth="1"/>
    <col min="2" max="2" width="20.57421875" style="8" customWidth="1"/>
    <col min="3" max="3" width="11.00390625" style="8" customWidth="1"/>
    <col min="4" max="4" width="9.28125" style="8" customWidth="1"/>
    <col min="5" max="5" width="2.8515625" style="29" customWidth="1"/>
    <col min="6" max="6" width="10.8515625" style="30" customWidth="1"/>
    <col min="7" max="7" width="3.140625" style="31" customWidth="1"/>
    <col min="8" max="8" width="10.421875" style="29" customWidth="1"/>
    <col min="9" max="9" width="3.00390625" style="29" customWidth="1"/>
    <col min="10" max="10" width="10.8515625" style="29" customWidth="1"/>
    <col min="11" max="11" width="2.421875" style="29" customWidth="1"/>
    <col min="12" max="12" width="10.8515625" style="29" customWidth="1"/>
    <col min="13" max="13" width="2.28125" style="29" customWidth="1"/>
    <col min="14" max="14" width="10.140625" style="29" customWidth="1"/>
    <col min="15" max="15" width="2.57421875" style="29" customWidth="1"/>
    <col min="16" max="16" width="10.57421875" style="29" customWidth="1"/>
    <col min="17" max="17" width="2.140625" style="29" customWidth="1"/>
    <col min="18" max="18" width="10.00390625" style="29" customWidth="1"/>
    <col min="19" max="19" width="2.140625" style="29" customWidth="1"/>
    <col min="20" max="20" width="9.7109375" style="29" customWidth="1"/>
    <col min="21" max="21" width="2.140625" style="29" customWidth="1"/>
    <col min="22" max="22" width="9.8515625" style="29" customWidth="1"/>
    <col min="23" max="23" width="3.00390625" style="29" customWidth="1"/>
    <col min="24" max="24" width="8.8515625" style="29" customWidth="1"/>
    <col min="25" max="25" width="2.140625" style="29" customWidth="1"/>
    <col min="26" max="26" width="8.8515625" style="29" customWidth="1"/>
    <col min="27" max="27" width="2.140625" style="29" customWidth="1"/>
    <col min="28" max="28" width="9.28125" style="29" customWidth="1"/>
    <col min="29" max="29" width="2.00390625" style="29" customWidth="1"/>
    <col min="30" max="30" width="9.7109375" style="29" customWidth="1"/>
    <col min="31" max="31" width="1.8515625" style="29" customWidth="1"/>
    <col min="32" max="32" width="9.8515625" style="29" customWidth="1"/>
    <col min="33" max="33" width="2.00390625" style="29" customWidth="1"/>
    <col min="34" max="34" width="10.28125" style="29" customWidth="1"/>
    <col min="35" max="35" width="3.140625" style="29" customWidth="1"/>
    <col min="36" max="36" width="10.140625" style="29" customWidth="1"/>
    <col min="37" max="37" width="2.140625" style="29" customWidth="1"/>
    <col min="38" max="38" width="10.57421875" style="29" customWidth="1"/>
    <col min="39" max="39" width="2.57421875" style="29" customWidth="1"/>
    <col min="40" max="40" width="10.421875" style="29" customWidth="1"/>
    <col min="41" max="41" width="2.421875" style="29" customWidth="1"/>
    <col min="42" max="42" width="11.421875" style="36" customWidth="1"/>
    <col min="43" max="43" width="2.00390625" style="29" customWidth="1"/>
    <col min="44" max="44" width="11.57421875" style="29" customWidth="1"/>
    <col min="45" max="45" width="8.8515625" style="29" customWidth="1"/>
    <col min="46" max="46" width="10.28125" style="29" customWidth="1"/>
    <col min="47" max="16384" width="8.8515625" style="29" customWidth="1"/>
  </cols>
  <sheetData>
    <row r="1" spans="2:3" ht="12.75">
      <c r="B1" s="28" t="s">
        <v>197</v>
      </c>
      <c r="C1" s="28"/>
    </row>
    <row r="3" spans="15:16" ht="12.75">
      <c r="O3" s="30"/>
      <c r="P3" s="31"/>
    </row>
    <row r="4" spans="1:44" ht="12.75">
      <c r="A4" s="29" t="s">
        <v>75</v>
      </c>
      <c r="B4" s="28" t="s">
        <v>134</v>
      </c>
      <c r="C4" s="28" t="s">
        <v>74</v>
      </c>
      <c r="F4" s="31" t="s">
        <v>198</v>
      </c>
      <c r="H4" s="31" t="s">
        <v>199</v>
      </c>
      <c r="I4" s="31"/>
      <c r="J4" s="31" t="s">
        <v>200</v>
      </c>
      <c r="L4" s="31" t="s">
        <v>198</v>
      </c>
      <c r="M4" s="31"/>
      <c r="N4" s="31" t="s">
        <v>199</v>
      </c>
      <c r="O4" s="31"/>
      <c r="P4" s="31" t="s">
        <v>200</v>
      </c>
      <c r="Q4" s="28"/>
      <c r="R4" s="31" t="s">
        <v>198</v>
      </c>
      <c r="S4" s="31"/>
      <c r="T4" s="31" t="s">
        <v>199</v>
      </c>
      <c r="U4" s="31"/>
      <c r="V4" s="31" t="s">
        <v>200</v>
      </c>
      <c r="W4" s="28"/>
      <c r="X4" s="31" t="s">
        <v>198</v>
      </c>
      <c r="Y4" s="31"/>
      <c r="Z4" s="31" t="s">
        <v>199</v>
      </c>
      <c r="AA4" s="31"/>
      <c r="AB4" s="31" t="s">
        <v>200</v>
      </c>
      <c r="AC4" s="31"/>
      <c r="AD4" s="31" t="s">
        <v>198</v>
      </c>
      <c r="AE4" s="31"/>
      <c r="AF4" s="31" t="s">
        <v>199</v>
      </c>
      <c r="AG4" s="31"/>
      <c r="AH4" s="31" t="s">
        <v>200</v>
      </c>
      <c r="AJ4" s="31" t="s">
        <v>198</v>
      </c>
      <c r="AK4" s="31"/>
      <c r="AL4" s="31" t="s">
        <v>199</v>
      </c>
      <c r="AM4" s="31"/>
      <c r="AN4" s="31" t="s">
        <v>200</v>
      </c>
      <c r="AP4" s="12" t="s">
        <v>201</v>
      </c>
      <c r="AQ4" s="31"/>
      <c r="AR4" s="31" t="s">
        <v>201</v>
      </c>
    </row>
    <row r="5" spans="2:43" ht="12.75">
      <c r="B5" s="28"/>
      <c r="C5" s="28"/>
      <c r="F5" s="31"/>
      <c r="H5" s="31"/>
      <c r="I5" s="31"/>
      <c r="J5" s="31"/>
      <c r="L5" s="31"/>
      <c r="M5" s="31"/>
      <c r="N5" s="31"/>
      <c r="O5" s="31"/>
      <c r="P5" s="31"/>
      <c r="Q5" s="28"/>
      <c r="R5" s="31"/>
      <c r="S5" s="31"/>
      <c r="T5" s="31"/>
      <c r="U5" s="31"/>
      <c r="V5" s="31"/>
      <c r="W5" s="28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J5" s="31"/>
      <c r="AK5" s="31"/>
      <c r="AL5" s="31"/>
      <c r="AM5" s="31"/>
      <c r="AN5" s="31"/>
      <c r="AP5" s="12"/>
      <c r="AQ5" s="31"/>
    </row>
    <row r="6" spans="2:44" ht="12.75">
      <c r="B6" s="8" t="s">
        <v>219</v>
      </c>
      <c r="C6" s="28"/>
      <c r="F6" s="31" t="s">
        <v>223</v>
      </c>
      <c r="H6" s="31" t="s">
        <v>223</v>
      </c>
      <c r="I6" s="31"/>
      <c r="J6" s="31" t="s">
        <v>223</v>
      </c>
      <c r="L6" s="31" t="s">
        <v>224</v>
      </c>
      <c r="M6" s="31"/>
      <c r="N6" s="31" t="s">
        <v>224</v>
      </c>
      <c r="O6" s="31"/>
      <c r="P6" s="31" t="s">
        <v>224</v>
      </c>
      <c r="Q6" s="28"/>
      <c r="R6" s="31" t="s">
        <v>225</v>
      </c>
      <c r="S6" s="31"/>
      <c r="T6" s="31" t="s">
        <v>225</v>
      </c>
      <c r="U6" s="31"/>
      <c r="V6" s="31" t="s">
        <v>225</v>
      </c>
      <c r="W6" s="28"/>
      <c r="X6" s="31" t="s">
        <v>226</v>
      </c>
      <c r="Y6" s="31"/>
      <c r="Z6" s="31" t="s">
        <v>226</v>
      </c>
      <c r="AA6" s="31"/>
      <c r="AB6" s="31" t="s">
        <v>226</v>
      </c>
      <c r="AC6" s="31"/>
      <c r="AD6" s="31"/>
      <c r="AE6" s="31"/>
      <c r="AF6" s="31"/>
      <c r="AG6" s="31"/>
      <c r="AH6" s="31"/>
      <c r="AJ6" s="31" t="s">
        <v>227</v>
      </c>
      <c r="AK6" s="31"/>
      <c r="AL6" s="31" t="s">
        <v>227</v>
      </c>
      <c r="AM6" s="31"/>
      <c r="AN6" s="31" t="s">
        <v>227</v>
      </c>
      <c r="AP6" s="12" t="s">
        <v>227</v>
      </c>
      <c r="AQ6" s="31"/>
      <c r="AR6" s="31" t="s">
        <v>229</v>
      </c>
    </row>
    <row r="7" spans="1:44" ht="12.75">
      <c r="A7" s="61"/>
      <c r="B7" s="8" t="s">
        <v>220</v>
      </c>
      <c r="F7" s="29" t="s">
        <v>221</v>
      </c>
      <c r="G7" s="29"/>
      <c r="H7" s="29" t="s">
        <v>221</v>
      </c>
      <c r="J7" s="29" t="s">
        <v>221</v>
      </c>
      <c r="L7" s="29" t="s">
        <v>221</v>
      </c>
      <c r="N7" s="29" t="s">
        <v>221</v>
      </c>
      <c r="P7" s="29" t="s">
        <v>221</v>
      </c>
      <c r="R7" s="29" t="s">
        <v>221</v>
      </c>
      <c r="T7" s="29" t="s">
        <v>221</v>
      </c>
      <c r="V7" s="29" t="s">
        <v>221</v>
      </c>
      <c r="X7" s="29" t="s">
        <v>222</v>
      </c>
      <c r="Z7" s="29" t="s">
        <v>222</v>
      </c>
      <c r="AB7" s="29" t="s">
        <v>222</v>
      </c>
      <c r="AJ7" s="31" t="s">
        <v>117</v>
      </c>
      <c r="AL7" s="31" t="s">
        <v>117</v>
      </c>
      <c r="AN7" s="31" t="s">
        <v>117</v>
      </c>
      <c r="AP7" s="12" t="s">
        <v>117</v>
      </c>
      <c r="AQ7" s="31"/>
      <c r="AR7" s="31" t="s">
        <v>36</v>
      </c>
    </row>
    <row r="8" spans="1:44" ht="12.75">
      <c r="A8" s="61"/>
      <c r="B8" s="8" t="s">
        <v>228</v>
      </c>
      <c r="F8" s="29"/>
      <c r="G8" s="29"/>
      <c r="AD8" s="29" t="s">
        <v>43</v>
      </c>
      <c r="AF8" s="29" t="s">
        <v>43</v>
      </c>
      <c r="AH8" s="29" t="s">
        <v>43</v>
      </c>
      <c r="AJ8" s="31" t="s">
        <v>117</v>
      </c>
      <c r="AL8" s="31" t="s">
        <v>117</v>
      </c>
      <c r="AN8" s="31" t="s">
        <v>117</v>
      </c>
      <c r="AP8" s="12" t="s">
        <v>117</v>
      </c>
      <c r="AQ8" s="31"/>
      <c r="AR8" s="31" t="s">
        <v>36</v>
      </c>
    </row>
    <row r="9" spans="2:44" ht="12.75">
      <c r="B9" s="8" t="s">
        <v>21</v>
      </c>
      <c r="C9" s="28"/>
      <c r="D9" s="58"/>
      <c r="F9" s="30" t="s">
        <v>108</v>
      </c>
      <c r="H9" s="30" t="s">
        <v>108</v>
      </c>
      <c r="J9" s="30" t="s">
        <v>108</v>
      </c>
      <c r="L9" s="8" t="s">
        <v>111</v>
      </c>
      <c r="N9" s="8" t="s">
        <v>111</v>
      </c>
      <c r="O9" s="30"/>
      <c r="P9" s="8" t="s">
        <v>111</v>
      </c>
      <c r="R9" s="29" t="s">
        <v>115</v>
      </c>
      <c r="T9" s="29" t="s">
        <v>115</v>
      </c>
      <c r="V9" s="29" t="s">
        <v>115</v>
      </c>
      <c r="X9" s="31" t="s">
        <v>116</v>
      </c>
      <c r="Y9" s="31"/>
      <c r="Z9" s="31" t="s">
        <v>116</v>
      </c>
      <c r="AA9" s="31"/>
      <c r="AB9" s="31" t="s">
        <v>116</v>
      </c>
      <c r="AC9" s="31"/>
      <c r="AD9" s="31"/>
      <c r="AE9" s="31"/>
      <c r="AF9" s="31"/>
      <c r="AG9" s="31"/>
      <c r="AH9" s="31"/>
      <c r="AJ9" s="31" t="s">
        <v>117</v>
      </c>
      <c r="AL9" s="31" t="s">
        <v>117</v>
      </c>
      <c r="AN9" s="31" t="s">
        <v>117</v>
      </c>
      <c r="AP9" s="12" t="s">
        <v>117</v>
      </c>
      <c r="AQ9" s="31"/>
      <c r="AR9" s="31" t="s">
        <v>36</v>
      </c>
    </row>
    <row r="10" spans="2:43" ht="12.75">
      <c r="B10" s="8" t="s">
        <v>107</v>
      </c>
      <c r="D10" s="8" t="s">
        <v>30</v>
      </c>
      <c r="F10" s="30">
        <v>834.9</v>
      </c>
      <c r="H10" s="29">
        <v>843.5</v>
      </c>
      <c r="J10" s="29">
        <v>794.4</v>
      </c>
      <c r="L10" s="30">
        <v>4849</v>
      </c>
      <c r="M10" s="31"/>
      <c r="N10" s="29">
        <v>4806</v>
      </c>
      <c r="P10" s="29">
        <v>4741</v>
      </c>
      <c r="Q10" s="8"/>
      <c r="R10" s="30">
        <v>852.2</v>
      </c>
      <c r="S10" s="31"/>
      <c r="T10" s="29">
        <v>871.7</v>
      </c>
      <c r="V10" s="29">
        <v>826.3</v>
      </c>
      <c r="X10" s="30">
        <v>2432</v>
      </c>
      <c r="Y10" s="31"/>
      <c r="Z10" s="29">
        <v>2510</v>
      </c>
      <c r="AB10" s="29">
        <v>2522</v>
      </c>
      <c r="AJ10" s="10">
        <f>F10+L10+R10+X10</f>
        <v>8968.099999999999</v>
      </c>
      <c r="AK10" s="31"/>
      <c r="AL10" s="10">
        <f>H10+N10+T10+Z10</f>
        <v>9031.2</v>
      </c>
      <c r="AM10" s="30"/>
      <c r="AN10" s="10">
        <f>J10+P10+V10+AB10</f>
        <v>8883.7</v>
      </c>
      <c r="AP10" s="36">
        <f>AVERAGE(AJ10,AL10,AN10)</f>
        <v>8961</v>
      </c>
      <c r="AQ10" s="36"/>
    </row>
    <row r="11" spans="2:43" ht="12.75">
      <c r="B11" s="8" t="s">
        <v>22</v>
      </c>
      <c r="D11" s="8" t="s">
        <v>23</v>
      </c>
      <c r="F11" s="30">
        <v>17100</v>
      </c>
      <c r="H11" s="29">
        <v>17250</v>
      </c>
      <c r="J11" s="29">
        <v>17300</v>
      </c>
      <c r="K11" s="29" t="s">
        <v>20</v>
      </c>
      <c r="L11" s="30">
        <v>100</v>
      </c>
      <c r="M11" s="31" t="s">
        <v>20</v>
      </c>
      <c r="N11" s="29">
        <v>100</v>
      </c>
      <c r="O11" s="29" t="s">
        <v>20</v>
      </c>
      <c r="P11" s="29">
        <v>100</v>
      </c>
      <c r="Q11" s="8"/>
      <c r="R11" s="30">
        <v>6000</v>
      </c>
      <c r="S11" s="31"/>
      <c r="T11" s="29">
        <v>6000</v>
      </c>
      <c r="V11" s="29">
        <v>6100</v>
      </c>
      <c r="X11" s="30">
        <v>6467</v>
      </c>
      <c r="Y11" s="31"/>
      <c r="Z11" s="29">
        <v>6500</v>
      </c>
      <c r="AB11" s="29">
        <v>6767</v>
      </c>
      <c r="AJ11" s="10"/>
      <c r="AK11" s="31"/>
      <c r="AL11" s="10"/>
      <c r="AM11" s="30"/>
      <c r="AN11" s="10"/>
      <c r="AQ11" s="36"/>
    </row>
    <row r="12" spans="2:40" ht="12.75">
      <c r="B12" s="8" t="s">
        <v>109</v>
      </c>
      <c r="F12" s="30">
        <v>0.86</v>
      </c>
      <c r="H12" s="29">
        <v>0.86</v>
      </c>
      <c r="J12" s="29">
        <v>0.84</v>
      </c>
      <c r="L12" s="80">
        <v>1</v>
      </c>
      <c r="M12" s="31"/>
      <c r="N12" s="29">
        <v>0.98</v>
      </c>
      <c r="P12" s="29">
        <v>0.96</v>
      </c>
      <c r="Q12" s="8"/>
      <c r="R12" s="80">
        <v>1.31</v>
      </c>
      <c r="S12" s="31"/>
      <c r="T12" s="29">
        <v>1.3</v>
      </c>
      <c r="V12" s="29">
        <v>1.28</v>
      </c>
      <c r="X12" s="80">
        <v>1.24</v>
      </c>
      <c r="Y12" s="31"/>
      <c r="Z12" s="29">
        <v>1.27</v>
      </c>
      <c r="AB12" s="29">
        <v>1.26</v>
      </c>
      <c r="AJ12" s="80"/>
      <c r="AK12" s="31"/>
      <c r="AL12" s="80"/>
      <c r="AM12" s="30"/>
      <c r="AN12" s="80"/>
    </row>
    <row r="13" spans="12:40" ht="12.75">
      <c r="L13" s="80"/>
      <c r="M13" s="31"/>
      <c r="Q13" s="8"/>
      <c r="R13" s="80"/>
      <c r="S13" s="31"/>
      <c r="X13" s="80"/>
      <c r="Y13" s="31"/>
      <c r="AJ13" s="30"/>
      <c r="AK13" s="31"/>
      <c r="AM13" s="30"/>
      <c r="AN13" s="31"/>
    </row>
    <row r="14" spans="2:40" ht="12.75">
      <c r="B14" s="8" t="s">
        <v>24</v>
      </c>
      <c r="D14" s="8" t="s">
        <v>18</v>
      </c>
      <c r="E14" s="31"/>
      <c r="F14" s="30">
        <v>1.51</v>
      </c>
      <c r="H14" s="29">
        <v>1.68</v>
      </c>
      <c r="I14" s="9"/>
      <c r="J14" s="29">
        <v>1.54</v>
      </c>
      <c r="K14" s="31"/>
      <c r="L14" s="30">
        <v>0.11</v>
      </c>
      <c r="M14" s="31"/>
      <c r="N14" s="29">
        <v>0.1</v>
      </c>
      <c r="O14" s="9"/>
      <c r="P14" s="29">
        <v>0.11</v>
      </c>
      <c r="Q14" s="8"/>
      <c r="R14" s="30">
        <v>0.67</v>
      </c>
      <c r="S14" s="31"/>
      <c r="T14" s="29">
        <v>0.53</v>
      </c>
      <c r="U14" s="9"/>
      <c r="V14" s="29">
        <v>0.46</v>
      </c>
      <c r="X14" s="30">
        <v>23</v>
      </c>
      <c r="Y14" s="31"/>
      <c r="Z14" s="29">
        <v>30.3</v>
      </c>
      <c r="AA14" s="9"/>
      <c r="AB14" s="29">
        <v>29.5</v>
      </c>
      <c r="AJ14" s="10"/>
      <c r="AK14" s="31"/>
      <c r="AL14" s="10"/>
      <c r="AM14" s="30"/>
      <c r="AN14" s="10"/>
    </row>
    <row r="15" spans="2:40" ht="12.75">
      <c r="B15" s="8" t="s">
        <v>25</v>
      </c>
      <c r="D15" s="8" t="s">
        <v>18</v>
      </c>
      <c r="E15" s="31"/>
      <c r="F15" s="30">
        <v>0.28</v>
      </c>
      <c r="H15" s="29">
        <v>0.13</v>
      </c>
      <c r="I15" s="9"/>
      <c r="J15" s="29">
        <v>0.15</v>
      </c>
      <c r="K15" s="31"/>
      <c r="L15" s="30">
        <v>2.22</v>
      </c>
      <c r="M15" s="31"/>
      <c r="N15" s="29">
        <v>2.18</v>
      </c>
      <c r="O15" s="9"/>
      <c r="P15" s="29">
        <v>2.21</v>
      </c>
      <c r="Q15" s="8"/>
      <c r="R15" s="30">
        <v>52.8</v>
      </c>
      <c r="S15" s="31"/>
      <c r="T15" s="29">
        <v>48.6</v>
      </c>
      <c r="U15" s="9"/>
      <c r="V15" s="29">
        <v>44.9</v>
      </c>
      <c r="X15" s="30">
        <v>26.9</v>
      </c>
      <c r="Y15" s="31"/>
      <c r="Z15" s="29">
        <v>24</v>
      </c>
      <c r="AA15" s="9"/>
      <c r="AB15" s="29">
        <v>26.2</v>
      </c>
      <c r="AJ15" s="10"/>
      <c r="AK15" s="31"/>
      <c r="AL15" s="10"/>
      <c r="AM15" s="30"/>
      <c r="AN15" s="10"/>
    </row>
    <row r="16" spans="2:40" ht="12.75">
      <c r="B16" s="8" t="s">
        <v>110</v>
      </c>
      <c r="D16" s="8" t="s">
        <v>18</v>
      </c>
      <c r="E16" s="31"/>
      <c r="F16" s="30">
        <v>2.5</v>
      </c>
      <c r="H16" s="29">
        <v>2.8</v>
      </c>
      <c r="I16" s="30"/>
      <c r="J16" s="29">
        <v>2.5</v>
      </c>
      <c r="K16" s="31"/>
      <c r="L16" s="30">
        <v>0.11</v>
      </c>
      <c r="M16" s="31"/>
      <c r="N16" s="29">
        <v>0.21</v>
      </c>
      <c r="O16" s="30"/>
      <c r="P16" s="29">
        <v>0.09</v>
      </c>
      <c r="Q16" s="8"/>
      <c r="R16" s="30">
        <v>1.8</v>
      </c>
      <c r="S16" s="31"/>
      <c r="T16" s="29">
        <v>1.8</v>
      </c>
      <c r="U16" s="30"/>
      <c r="V16" s="29">
        <v>2.1</v>
      </c>
      <c r="X16" s="30">
        <v>29.6</v>
      </c>
      <c r="Y16" s="31"/>
      <c r="Z16" s="29">
        <v>28</v>
      </c>
      <c r="AA16" s="30"/>
      <c r="AB16" s="29">
        <v>33.4</v>
      </c>
      <c r="AJ16" s="10"/>
      <c r="AK16" s="31"/>
      <c r="AL16" s="10"/>
      <c r="AM16" s="30"/>
      <c r="AN16" s="10"/>
    </row>
    <row r="17" spans="5:40" ht="12.75">
      <c r="E17" s="31"/>
      <c r="I17" s="30"/>
      <c r="K17" s="30"/>
      <c r="L17" s="30"/>
      <c r="M17" s="30"/>
      <c r="O17" s="10"/>
      <c r="P17" s="31"/>
      <c r="AJ17" s="30"/>
      <c r="AK17" s="31"/>
      <c r="AM17" s="30"/>
      <c r="AN17" s="31"/>
    </row>
    <row r="18" spans="2:40" ht="12.75">
      <c r="B18" s="8" t="s">
        <v>112</v>
      </c>
      <c r="D18" s="8" t="s">
        <v>113</v>
      </c>
      <c r="E18" s="31"/>
      <c r="F18" s="30">
        <f>25000/2</f>
        <v>12500</v>
      </c>
      <c r="H18" s="29">
        <f>25000/2</f>
        <v>12500</v>
      </c>
      <c r="I18" s="30"/>
      <c r="J18" s="29">
        <f>25000/2</f>
        <v>12500</v>
      </c>
      <c r="K18" s="30"/>
      <c r="L18" s="30">
        <f>50/2</f>
        <v>25</v>
      </c>
      <c r="M18" s="30"/>
      <c r="N18" s="29">
        <f>50/2</f>
        <v>25</v>
      </c>
      <c r="O18" s="10"/>
      <c r="P18" s="30">
        <f>63/2</f>
        <v>31.5</v>
      </c>
      <c r="R18" s="29">
        <v>680000</v>
      </c>
      <c r="T18" s="29">
        <v>600000</v>
      </c>
      <c r="V18" s="29">
        <v>590000</v>
      </c>
      <c r="X18" s="36">
        <f>AVERAGE(110/2,130/2,130/2)</f>
        <v>61.666666666666664</v>
      </c>
      <c r="Z18" s="36">
        <f>AVERAGE(130/2,130/2,130/2)</f>
        <v>65</v>
      </c>
      <c r="AB18" s="36">
        <f>AVERAGE(130/2,130/2,130/2)</f>
        <v>65</v>
      </c>
      <c r="AC18" s="36"/>
      <c r="AD18" s="36"/>
      <c r="AE18" s="36"/>
      <c r="AF18" s="36"/>
      <c r="AG18" s="36"/>
      <c r="AH18" s="36"/>
      <c r="AJ18" s="7"/>
      <c r="AK18" s="31"/>
      <c r="AL18" s="7"/>
      <c r="AM18" s="30"/>
      <c r="AN18" s="7"/>
    </row>
    <row r="19" spans="2:40" ht="12.75">
      <c r="B19" s="8" t="s">
        <v>77</v>
      </c>
      <c r="D19" s="8" t="s">
        <v>113</v>
      </c>
      <c r="F19" s="30">
        <v>740000</v>
      </c>
      <c r="H19" s="29">
        <v>670000</v>
      </c>
      <c r="J19" s="29">
        <v>660000</v>
      </c>
      <c r="K19" s="30"/>
      <c r="L19" s="30">
        <v>1300</v>
      </c>
      <c r="M19" s="30"/>
      <c r="N19" s="18">
        <v>1400</v>
      </c>
      <c r="O19" s="10"/>
      <c r="P19" s="30">
        <v>1700</v>
      </c>
      <c r="R19" s="29">
        <v>91000</v>
      </c>
      <c r="T19" s="29">
        <v>81000</v>
      </c>
      <c r="V19" s="29">
        <v>75000</v>
      </c>
      <c r="X19" s="36">
        <f>AVERAGE(110/2,27,130/2)</f>
        <v>49</v>
      </c>
      <c r="Z19" s="36">
        <f>AVERAGE(130/2,130/2,130/2)</f>
        <v>65</v>
      </c>
      <c r="AB19" s="36">
        <f>AVERAGE(130/2,130/2,130/2)</f>
        <v>65</v>
      </c>
      <c r="AC19" s="36"/>
      <c r="AD19" s="36"/>
      <c r="AE19" s="36"/>
      <c r="AF19" s="36"/>
      <c r="AG19" s="36"/>
      <c r="AH19" s="36"/>
      <c r="AJ19" s="7"/>
      <c r="AK19" s="31"/>
      <c r="AL19" s="7"/>
      <c r="AM19" s="30"/>
      <c r="AN19" s="7"/>
    </row>
    <row r="20" spans="2:40" ht="12.75">
      <c r="B20" s="8" t="s">
        <v>29</v>
      </c>
      <c r="D20" s="8" t="s">
        <v>113</v>
      </c>
      <c r="F20" s="30">
        <f>25000/2</f>
        <v>12500</v>
      </c>
      <c r="H20" s="29">
        <f>25000/2</f>
        <v>12500</v>
      </c>
      <c r="J20" s="29">
        <f>25000/2</f>
        <v>12500</v>
      </c>
      <c r="K20" s="30"/>
      <c r="L20" s="30">
        <f>50/2</f>
        <v>25</v>
      </c>
      <c r="M20" s="30"/>
      <c r="N20" s="29">
        <f>50/2</f>
        <v>25</v>
      </c>
      <c r="O20" s="10"/>
      <c r="P20" s="30">
        <f>63/2</f>
        <v>31.5</v>
      </c>
      <c r="R20" s="29">
        <v>130000</v>
      </c>
      <c r="T20" s="29">
        <v>120000</v>
      </c>
      <c r="V20" s="29">
        <v>110000</v>
      </c>
      <c r="X20" s="36">
        <f>AVERAGE(110/2,130/2,130/2)</f>
        <v>61.666666666666664</v>
      </c>
      <c r="Z20" s="36">
        <f>AVERAGE(130/2,130/2,130/2)</f>
        <v>65</v>
      </c>
      <c r="AB20" s="36">
        <f>AVERAGE(130/2,130/2,130/2)</f>
        <v>65</v>
      </c>
      <c r="AC20" s="36"/>
      <c r="AD20" s="36"/>
      <c r="AE20" s="36"/>
      <c r="AF20" s="36"/>
      <c r="AG20" s="36"/>
      <c r="AH20" s="36"/>
      <c r="AJ20" s="7"/>
      <c r="AK20" s="31"/>
      <c r="AL20" s="7"/>
      <c r="AM20" s="30"/>
      <c r="AN20" s="7"/>
    </row>
    <row r="21" spans="11:40" ht="12.75">
      <c r="K21" s="30"/>
      <c r="L21" s="30"/>
      <c r="M21" s="30"/>
      <c r="O21" s="10"/>
      <c r="P21" s="30"/>
      <c r="AJ21" s="30"/>
      <c r="AK21" s="31"/>
      <c r="AM21" s="30"/>
      <c r="AN21" s="31"/>
    </row>
    <row r="22" spans="2:40" ht="12.75">
      <c r="B22" s="4" t="s">
        <v>60</v>
      </c>
      <c r="D22" s="8" t="s">
        <v>114</v>
      </c>
      <c r="F22" s="30">
        <f>10/2</f>
        <v>5</v>
      </c>
      <c r="H22" s="29">
        <f>10/2</f>
        <v>5</v>
      </c>
      <c r="J22" s="29">
        <f>10/2</f>
        <v>5</v>
      </c>
      <c r="K22" s="30"/>
      <c r="L22" s="30">
        <v>1780</v>
      </c>
      <c r="M22" s="30"/>
      <c r="N22" s="29">
        <v>1680</v>
      </c>
      <c r="O22" s="10"/>
      <c r="P22" s="30">
        <v>2350</v>
      </c>
      <c r="R22" s="29">
        <f>10/2</f>
        <v>5</v>
      </c>
      <c r="T22" s="29">
        <f>10/2</f>
        <v>5</v>
      </c>
      <c r="V22" s="29">
        <f>10/2</f>
        <v>5</v>
      </c>
      <c r="X22" s="32">
        <f>48.2*X12</f>
        <v>59.768</v>
      </c>
      <c r="Z22" s="32">
        <f>41.8*Z12</f>
        <v>53.086</v>
      </c>
      <c r="AA22" s="32"/>
      <c r="AB22" s="32">
        <f>37.8*AB12</f>
        <v>47.628</v>
      </c>
      <c r="AC22" s="32"/>
      <c r="AD22" s="32"/>
      <c r="AE22" s="32"/>
      <c r="AF22" s="32"/>
      <c r="AG22" s="32"/>
      <c r="AH22" s="32"/>
      <c r="AJ22" s="6"/>
      <c r="AK22" s="31"/>
      <c r="AL22" s="6"/>
      <c r="AM22" s="30"/>
      <c r="AN22" s="6"/>
    </row>
    <row r="23" spans="2:34" ht="12.75">
      <c r="B23" s="4" t="s">
        <v>59</v>
      </c>
      <c r="D23" s="8" t="s">
        <v>114</v>
      </c>
      <c r="F23" s="30">
        <f>60/2</f>
        <v>30</v>
      </c>
      <c r="H23" s="29">
        <f>60/2</f>
        <v>30</v>
      </c>
      <c r="J23" s="29">
        <f>60/2</f>
        <v>30</v>
      </c>
      <c r="K23" s="30"/>
      <c r="L23" s="30">
        <v>71.6</v>
      </c>
      <c r="M23" s="30"/>
      <c r="N23" s="29">
        <v>67.8</v>
      </c>
      <c r="O23" s="10"/>
      <c r="P23" s="30">
        <f>60/2</f>
        <v>30</v>
      </c>
      <c r="R23" s="29">
        <f>60/2</f>
        <v>30</v>
      </c>
      <c r="T23" s="29">
        <f>60/2</f>
        <v>30</v>
      </c>
      <c r="V23" s="29">
        <f>60/2</f>
        <v>30</v>
      </c>
      <c r="X23" s="29">
        <f>19.5/2*X12</f>
        <v>12.09</v>
      </c>
      <c r="Z23" s="32">
        <f>19.1/2*Z12</f>
        <v>12.1285</v>
      </c>
      <c r="AA23" s="32"/>
      <c r="AB23" s="32">
        <f>18.6/2*AB12</f>
        <v>11.718000000000002</v>
      </c>
      <c r="AC23" s="32"/>
      <c r="AD23" s="32"/>
      <c r="AE23" s="32"/>
      <c r="AF23" s="32"/>
      <c r="AG23" s="32"/>
      <c r="AH23" s="32"/>
    </row>
    <row r="24" spans="2:37" ht="12.75">
      <c r="B24" s="4" t="s">
        <v>100</v>
      </c>
      <c r="D24" s="8" t="s">
        <v>114</v>
      </c>
      <c r="F24" s="30">
        <f>10/2</f>
        <v>5</v>
      </c>
      <c r="H24" s="29">
        <f>10/2</f>
        <v>5</v>
      </c>
      <c r="J24" s="29">
        <f>10/2</f>
        <v>5</v>
      </c>
      <c r="K24" s="30"/>
      <c r="L24" s="30">
        <v>18.1</v>
      </c>
      <c r="M24" s="30"/>
      <c r="N24" s="18">
        <v>17.2</v>
      </c>
      <c r="O24" s="10"/>
      <c r="P24" s="30">
        <v>16.4</v>
      </c>
      <c r="R24" s="29">
        <v>25.5</v>
      </c>
      <c r="T24" s="29">
        <v>18.2</v>
      </c>
      <c r="V24" s="29">
        <v>20.8</v>
      </c>
      <c r="X24" s="30">
        <f>8.5*X12</f>
        <v>10.54</v>
      </c>
      <c r="Y24" s="31"/>
      <c r="Z24" s="29">
        <f>7*Z12</f>
        <v>8.89</v>
      </c>
      <c r="AB24" s="29">
        <f>6.5*AB12</f>
        <v>8.19</v>
      </c>
      <c r="AJ24" s="30"/>
      <c r="AK24" s="31"/>
    </row>
    <row r="25" spans="2:37" ht="12.75">
      <c r="B25" s="4" t="s">
        <v>61</v>
      </c>
      <c r="D25" s="8" t="s">
        <v>114</v>
      </c>
      <c r="F25" s="30">
        <f>5/2</f>
        <v>2.5</v>
      </c>
      <c r="H25" s="30">
        <f>5/2</f>
        <v>2.5</v>
      </c>
      <c r="J25" s="30">
        <f>5/2</f>
        <v>2.5</v>
      </c>
      <c r="K25" s="30"/>
      <c r="L25" s="32">
        <v>66.4</v>
      </c>
      <c r="N25" s="18">
        <v>58.4</v>
      </c>
      <c r="O25" s="30"/>
      <c r="P25" s="30">
        <v>58.6</v>
      </c>
      <c r="R25" s="29">
        <f>5/2</f>
        <v>2.5</v>
      </c>
      <c r="T25" s="29">
        <f>5/2</f>
        <v>2.5</v>
      </c>
      <c r="V25" s="29">
        <f>5/2</f>
        <v>2.5</v>
      </c>
      <c r="X25" s="81">
        <f>0.53/2*X12</f>
        <v>0.3286</v>
      </c>
      <c r="Y25" s="31"/>
      <c r="Z25" s="29">
        <f>0.48/2*Z12</f>
        <v>0.3048</v>
      </c>
      <c r="AB25" s="29">
        <f>0.46/2*AB12</f>
        <v>0.2898</v>
      </c>
      <c r="AJ25" s="30"/>
      <c r="AK25" s="31"/>
    </row>
    <row r="26" spans="2:37" ht="12.75">
      <c r="B26" s="4" t="s">
        <v>62</v>
      </c>
      <c r="D26" s="8" t="s">
        <v>114</v>
      </c>
      <c r="F26" s="30">
        <f>5/2</f>
        <v>2.5</v>
      </c>
      <c r="H26" s="30">
        <f>5/2</f>
        <v>2.5</v>
      </c>
      <c r="J26" s="30">
        <f>5/2</f>
        <v>2.5</v>
      </c>
      <c r="L26" s="32">
        <f>5/2</f>
        <v>2.5</v>
      </c>
      <c r="N26" s="32">
        <f>5/2</f>
        <v>2.5</v>
      </c>
      <c r="O26" s="30"/>
      <c r="P26" s="32">
        <f>5/2</f>
        <v>2.5</v>
      </c>
      <c r="R26" s="29">
        <f>5/2</f>
        <v>2.5</v>
      </c>
      <c r="T26" s="29">
        <f>5/2</f>
        <v>2.5</v>
      </c>
      <c r="V26" s="29">
        <f>5/2</f>
        <v>2.5</v>
      </c>
      <c r="X26" s="30">
        <f>2/2*X12</f>
        <v>1.24</v>
      </c>
      <c r="Y26" s="31"/>
      <c r="Z26" s="29">
        <f>1.9/2*Z12</f>
        <v>1.2065</v>
      </c>
      <c r="AB26" s="29">
        <f>1.9/2*AB12</f>
        <v>1.1969999999999998</v>
      </c>
      <c r="AJ26" s="30"/>
      <c r="AK26" s="31"/>
    </row>
    <row r="27" spans="2:28" ht="12.75">
      <c r="B27" s="4" t="s">
        <v>71</v>
      </c>
      <c r="D27" s="8" t="s">
        <v>114</v>
      </c>
      <c r="E27" s="31"/>
      <c r="F27" s="30">
        <f>10/2</f>
        <v>5</v>
      </c>
      <c r="H27" s="29">
        <f>10/2</f>
        <v>5</v>
      </c>
      <c r="I27" s="30"/>
      <c r="J27" s="29">
        <f>10/2</f>
        <v>5</v>
      </c>
      <c r="L27" s="36">
        <v>6810</v>
      </c>
      <c r="N27" s="24">
        <v>5960</v>
      </c>
      <c r="O27" s="30"/>
      <c r="P27" s="30">
        <v>6200</v>
      </c>
      <c r="R27" s="29">
        <v>25.7</v>
      </c>
      <c r="T27" s="29">
        <v>20.9</v>
      </c>
      <c r="V27" s="29">
        <v>28.2</v>
      </c>
      <c r="X27" s="32">
        <f>82.4*X12</f>
        <v>102.176</v>
      </c>
      <c r="Z27" s="29">
        <f>71.2*Z12</f>
        <v>90.424</v>
      </c>
      <c r="AB27" s="29">
        <f>53.1*AB12</f>
        <v>66.906</v>
      </c>
    </row>
    <row r="28" spans="2:34" ht="12.75">
      <c r="B28" s="4" t="s">
        <v>101</v>
      </c>
      <c r="D28" s="8" t="s">
        <v>114</v>
      </c>
      <c r="E28" s="31"/>
      <c r="F28" s="30">
        <f>25/2</f>
        <v>12.5</v>
      </c>
      <c r="H28" s="29">
        <f>25/2</f>
        <v>12.5</v>
      </c>
      <c r="I28" s="30"/>
      <c r="J28" s="29">
        <f>25/2</f>
        <v>12.5</v>
      </c>
      <c r="L28" s="32">
        <v>70.2</v>
      </c>
      <c r="N28" s="24">
        <v>62.4</v>
      </c>
      <c r="O28" s="30"/>
      <c r="P28" s="30">
        <v>66.2</v>
      </c>
      <c r="R28" s="29">
        <v>335</v>
      </c>
      <c r="T28" s="29">
        <v>229</v>
      </c>
      <c r="V28" s="29">
        <v>305</v>
      </c>
      <c r="X28" s="36">
        <f>52233*X12</f>
        <v>64768.92</v>
      </c>
      <c r="Z28" s="36">
        <f>42333*Z12</f>
        <v>53762.91</v>
      </c>
      <c r="AA28" s="36"/>
      <c r="AB28" s="36">
        <f>38133*AB12</f>
        <v>48047.58</v>
      </c>
      <c r="AC28" s="36"/>
      <c r="AD28" s="36"/>
      <c r="AE28" s="36"/>
      <c r="AF28" s="36"/>
      <c r="AG28" s="36"/>
      <c r="AH28" s="36"/>
    </row>
    <row r="29" spans="2:28" ht="12.75">
      <c r="B29" s="4" t="s">
        <v>58</v>
      </c>
      <c r="D29" s="8" t="s">
        <v>114</v>
      </c>
      <c r="F29" s="30">
        <f>15/2</f>
        <v>7.5</v>
      </c>
      <c r="H29" s="29">
        <f>15/2</f>
        <v>7.5</v>
      </c>
      <c r="J29" s="29">
        <f>15/2</f>
        <v>7.5</v>
      </c>
      <c r="L29" s="32">
        <v>18.5</v>
      </c>
      <c r="N29" s="24">
        <v>16.5</v>
      </c>
      <c r="O29" s="30"/>
      <c r="P29" s="30">
        <v>17.5</v>
      </c>
      <c r="R29" s="29">
        <f>15/2</f>
        <v>7.5</v>
      </c>
      <c r="T29" s="29">
        <f>15/2</f>
        <v>7.5</v>
      </c>
      <c r="V29" s="29">
        <f>15/2</f>
        <v>7.5</v>
      </c>
      <c r="X29" s="29">
        <f>19.5/2*X12</f>
        <v>12.09</v>
      </c>
      <c r="Z29" s="29">
        <f>19.1*Z12</f>
        <v>24.257</v>
      </c>
      <c r="AB29" s="29">
        <f>18.6/2*AB12</f>
        <v>11.718000000000002</v>
      </c>
    </row>
    <row r="30" spans="2:28" ht="12.75">
      <c r="B30" s="4" t="s">
        <v>63</v>
      </c>
      <c r="D30" s="8" t="s">
        <v>114</v>
      </c>
      <c r="F30" s="30">
        <f>20/2</f>
        <v>10</v>
      </c>
      <c r="H30" s="29">
        <f>20/2</f>
        <v>10</v>
      </c>
      <c r="J30" s="29">
        <f>20/2</f>
        <v>10</v>
      </c>
      <c r="L30" s="32">
        <f>20/2</f>
        <v>10</v>
      </c>
      <c r="N30" s="24">
        <v>23.5</v>
      </c>
      <c r="O30" s="30"/>
      <c r="P30" s="30">
        <f>20/2</f>
        <v>10</v>
      </c>
      <c r="R30" s="29">
        <f>20/2</f>
        <v>10</v>
      </c>
      <c r="T30" s="29">
        <f>20/2</f>
        <v>10</v>
      </c>
      <c r="V30" s="29">
        <v>26.9</v>
      </c>
      <c r="X30" s="70">
        <f>0.01/2*X12</f>
        <v>0.0062</v>
      </c>
      <c r="Z30" s="29">
        <f>0.01/2*Z12</f>
        <v>0.006350000000000001</v>
      </c>
      <c r="AB30" s="29">
        <f>0.01/2*AB12</f>
        <v>0.0063</v>
      </c>
    </row>
    <row r="31" spans="2:28" ht="12.75">
      <c r="B31" s="4" t="s">
        <v>102</v>
      </c>
      <c r="D31" s="8" t="s">
        <v>114</v>
      </c>
      <c r="F31" s="30">
        <f>40/2</f>
        <v>20</v>
      </c>
      <c r="H31" s="29">
        <f>40/2</f>
        <v>20</v>
      </c>
      <c r="J31" s="29">
        <f>40/2</f>
        <v>20</v>
      </c>
      <c r="L31" s="36">
        <v>1060</v>
      </c>
      <c r="N31" s="24">
        <v>902</v>
      </c>
      <c r="O31" s="30"/>
      <c r="P31" s="30">
        <v>1010</v>
      </c>
      <c r="R31" s="29">
        <f>40/2</f>
        <v>20</v>
      </c>
      <c r="T31" s="29">
        <f>40/2</f>
        <v>20</v>
      </c>
      <c r="V31" s="29">
        <v>40.5</v>
      </c>
      <c r="X31" s="32">
        <f>59.5*X12</f>
        <v>73.78</v>
      </c>
      <c r="Z31" s="29">
        <f>57.6*Z12</f>
        <v>73.152</v>
      </c>
      <c r="AB31" s="29">
        <f>46.8*AB12</f>
        <v>58.967999999999996</v>
      </c>
    </row>
    <row r="32" spans="2:28" ht="12.75">
      <c r="B32" s="4" t="s">
        <v>103</v>
      </c>
      <c r="D32" s="8" t="s">
        <v>114</v>
      </c>
      <c r="F32" s="30">
        <f>5/2</f>
        <v>2.5</v>
      </c>
      <c r="H32" s="29">
        <f>25/2</f>
        <v>12.5</v>
      </c>
      <c r="J32" s="29">
        <f>25/2</f>
        <v>12.5</v>
      </c>
      <c r="L32" s="32">
        <f>5/2</f>
        <v>2.5</v>
      </c>
      <c r="N32" s="32">
        <f>5/2</f>
        <v>2.5</v>
      </c>
      <c r="O32" s="9"/>
      <c r="P32" s="32">
        <f>5/2</f>
        <v>2.5</v>
      </c>
      <c r="R32" s="29">
        <f>25/2</f>
        <v>12.5</v>
      </c>
      <c r="T32" s="29">
        <f>25/2</f>
        <v>12.5</v>
      </c>
      <c r="V32" s="29">
        <f>25/2</f>
        <v>12.5</v>
      </c>
      <c r="X32" s="32">
        <f>20.2/2*X12</f>
        <v>12.524</v>
      </c>
      <c r="Z32" s="29">
        <f>19.1/2*Z12</f>
        <v>12.1285</v>
      </c>
      <c r="AB32" s="29">
        <f>18.6/2*AB12</f>
        <v>11.718000000000002</v>
      </c>
    </row>
    <row r="33" spans="2:34" ht="12.75">
      <c r="B33" s="4" t="s">
        <v>104</v>
      </c>
      <c r="D33" s="8" t="s">
        <v>114</v>
      </c>
      <c r="F33" s="30">
        <f>10/2</f>
        <v>5</v>
      </c>
      <c r="H33" s="29">
        <f>10/2</f>
        <v>5</v>
      </c>
      <c r="J33" s="29">
        <f>10/2</f>
        <v>5</v>
      </c>
      <c r="L33" s="32">
        <f>10/2</f>
        <v>5</v>
      </c>
      <c r="N33" s="32">
        <f>10/2</f>
        <v>5</v>
      </c>
      <c r="O33" s="30"/>
      <c r="P33" s="32">
        <f>10/2</f>
        <v>5</v>
      </c>
      <c r="R33" s="29">
        <f>10/2</f>
        <v>5</v>
      </c>
      <c r="T33" s="29">
        <f>10/2</f>
        <v>5</v>
      </c>
      <c r="V33" s="29">
        <f>10/2</f>
        <v>5</v>
      </c>
      <c r="X33" s="71">
        <f>1.6*X12</f>
        <v>1.984</v>
      </c>
      <c r="Z33" s="32">
        <f>1.6*Z12</f>
        <v>2.032</v>
      </c>
      <c r="AA33" s="32"/>
      <c r="AB33" s="32">
        <f>1.4*AB12</f>
        <v>1.7639999999999998</v>
      </c>
      <c r="AC33" s="32"/>
      <c r="AD33" s="32"/>
      <c r="AE33" s="32"/>
      <c r="AF33" s="32"/>
      <c r="AG33" s="32"/>
      <c r="AH33" s="32"/>
    </row>
    <row r="34" spans="2:34" ht="12.75">
      <c r="B34" s="4" t="s">
        <v>105</v>
      </c>
      <c r="D34" s="8" t="s">
        <v>114</v>
      </c>
      <c r="F34" s="30">
        <f>10/2</f>
        <v>5</v>
      </c>
      <c r="H34" s="29">
        <f>10/2</f>
        <v>5</v>
      </c>
      <c r="J34" s="29">
        <f>10/2</f>
        <v>5</v>
      </c>
      <c r="L34" s="32">
        <f>10/2</f>
        <v>5</v>
      </c>
      <c r="N34" s="32">
        <f>10/2</f>
        <v>5</v>
      </c>
      <c r="O34" s="30"/>
      <c r="P34" s="32">
        <f>10/2</f>
        <v>5</v>
      </c>
      <c r="R34" s="29">
        <f>10/2</f>
        <v>5</v>
      </c>
      <c r="T34" s="29">
        <f>10/2</f>
        <v>5</v>
      </c>
      <c r="V34" s="29">
        <f>10/2</f>
        <v>5</v>
      </c>
      <c r="X34" s="32">
        <f>19.5/2*X12</f>
        <v>12.09</v>
      </c>
      <c r="Z34" s="32">
        <f>19.1/2*Z12</f>
        <v>12.1285</v>
      </c>
      <c r="AA34" s="32"/>
      <c r="AB34" s="32">
        <f>18.6/2*AB12</f>
        <v>11.718000000000002</v>
      </c>
      <c r="AC34" s="32"/>
      <c r="AD34" s="32"/>
      <c r="AE34" s="32"/>
      <c r="AF34" s="32"/>
      <c r="AG34" s="32"/>
      <c r="AH34" s="32"/>
    </row>
    <row r="35" spans="2:34" ht="12.75">
      <c r="B35" s="4" t="s">
        <v>106</v>
      </c>
      <c r="D35" s="8" t="s">
        <v>114</v>
      </c>
      <c r="F35" s="30">
        <v>46.9</v>
      </c>
      <c r="H35" s="29">
        <v>58.5</v>
      </c>
      <c r="J35" s="29">
        <v>59.5</v>
      </c>
      <c r="L35" s="36">
        <v>223</v>
      </c>
      <c r="N35" s="29">
        <v>142</v>
      </c>
      <c r="O35" s="30"/>
      <c r="P35" s="30">
        <v>151</v>
      </c>
      <c r="R35" s="29">
        <v>3560</v>
      </c>
      <c r="T35" s="29">
        <v>1660</v>
      </c>
      <c r="V35" s="29">
        <v>2360</v>
      </c>
      <c r="X35" s="36">
        <f>6230*X12</f>
        <v>7725.2</v>
      </c>
      <c r="Z35" s="36">
        <f>5063*Z12</f>
        <v>6430.01</v>
      </c>
      <c r="AB35" s="36">
        <f>4580*AB12</f>
        <v>5770.8</v>
      </c>
      <c r="AC35" s="36"/>
      <c r="AD35" s="36"/>
      <c r="AE35" s="36"/>
      <c r="AF35" s="36"/>
      <c r="AG35" s="36"/>
      <c r="AH35" s="36"/>
    </row>
    <row r="36" spans="15:40" ht="12.75">
      <c r="O36" s="30"/>
      <c r="P36" s="31"/>
      <c r="AJ36" s="81"/>
      <c r="AK36" s="31"/>
      <c r="AL36" s="81"/>
      <c r="AM36" s="30"/>
      <c r="AN36" s="81"/>
    </row>
    <row r="37" spans="5:16" ht="12.75">
      <c r="E37" s="31"/>
      <c r="I37" s="30"/>
      <c r="J37" s="31"/>
      <c r="O37" s="30"/>
      <c r="P37" s="31"/>
    </row>
    <row r="38" spans="2:43" ht="12.75">
      <c r="B38" s="8" t="s">
        <v>40</v>
      </c>
      <c r="D38" s="8" t="s">
        <v>17</v>
      </c>
      <c r="E38" s="31"/>
      <c r="F38" s="30">
        <f>emiss!G79</f>
        <v>13900</v>
      </c>
      <c r="H38" s="29">
        <f>emiss!I79</f>
        <v>14200</v>
      </c>
      <c r="I38" s="30"/>
      <c r="J38" s="30">
        <f>emiss!K79</f>
        <v>14100</v>
      </c>
      <c r="K38" s="26"/>
      <c r="L38" s="30">
        <f>$F38</f>
        <v>13900</v>
      </c>
      <c r="M38" s="31"/>
      <c r="N38" s="30">
        <f>$H38</f>
        <v>14200</v>
      </c>
      <c r="O38" s="30"/>
      <c r="P38" s="30">
        <f>$J38</f>
        <v>14100</v>
      </c>
      <c r="R38" s="30">
        <f>$F38</f>
        <v>13900</v>
      </c>
      <c r="S38" s="31"/>
      <c r="T38" s="30">
        <f>$H38</f>
        <v>14200</v>
      </c>
      <c r="U38" s="30"/>
      <c r="V38" s="30">
        <f>$J38</f>
        <v>14100</v>
      </c>
      <c r="X38" s="30">
        <f>$F38</f>
        <v>13900</v>
      </c>
      <c r="Y38" s="31"/>
      <c r="Z38" s="30">
        <f>$H38</f>
        <v>14200</v>
      </c>
      <c r="AA38" s="30"/>
      <c r="AB38" s="30">
        <f>$J38</f>
        <v>14100</v>
      </c>
      <c r="AC38" s="30"/>
      <c r="AD38" s="30"/>
      <c r="AE38" s="30"/>
      <c r="AF38" s="30"/>
      <c r="AG38" s="30"/>
      <c r="AH38" s="30"/>
      <c r="AJ38" s="30">
        <f>$F38</f>
        <v>13900</v>
      </c>
      <c r="AK38" s="31"/>
      <c r="AL38" s="30">
        <f>$H38</f>
        <v>14200</v>
      </c>
      <c r="AM38" s="30"/>
      <c r="AN38" s="30">
        <f>$J38</f>
        <v>14100</v>
      </c>
      <c r="AP38" s="36">
        <f>AVERAGE(AJ38,AL38,AN38)</f>
        <v>14066.666666666666</v>
      </c>
      <c r="AQ38" s="36"/>
    </row>
    <row r="39" spans="2:43" ht="12.75">
      <c r="B39" s="8" t="s">
        <v>41</v>
      </c>
      <c r="D39" s="8" t="s">
        <v>18</v>
      </c>
      <c r="E39" s="31"/>
      <c r="F39" s="9">
        <f>emiss!G80</f>
        <v>12.025179856115107</v>
      </c>
      <c r="G39" s="11"/>
      <c r="H39" s="32">
        <f>emiss!I80</f>
        <v>11.87112676056338</v>
      </c>
      <c r="I39" s="9"/>
      <c r="J39" s="9">
        <f>emiss!K80</f>
        <v>12.083687943262412</v>
      </c>
      <c r="K39" s="23"/>
      <c r="L39" s="9">
        <f>$F39</f>
        <v>12.025179856115107</v>
      </c>
      <c r="M39" s="11"/>
      <c r="N39" s="9">
        <f>$H39</f>
        <v>11.87112676056338</v>
      </c>
      <c r="O39" s="9"/>
      <c r="P39" s="9">
        <f>$J39</f>
        <v>12.083687943262412</v>
      </c>
      <c r="R39" s="9">
        <f>$F39</f>
        <v>12.025179856115107</v>
      </c>
      <c r="S39" s="11"/>
      <c r="T39" s="9">
        <f>$H39</f>
        <v>11.87112676056338</v>
      </c>
      <c r="U39" s="9"/>
      <c r="V39" s="9">
        <f>$J39</f>
        <v>12.083687943262412</v>
      </c>
      <c r="X39" s="9">
        <f>$F39</f>
        <v>12.025179856115107</v>
      </c>
      <c r="Y39" s="11"/>
      <c r="Z39" s="9">
        <f>$H39</f>
        <v>11.87112676056338</v>
      </c>
      <c r="AA39" s="9"/>
      <c r="AB39" s="9">
        <f>$J39</f>
        <v>12.083687943262412</v>
      </c>
      <c r="AC39" s="9"/>
      <c r="AD39" s="9"/>
      <c r="AE39" s="9"/>
      <c r="AF39" s="9"/>
      <c r="AG39" s="9"/>
      <c r="AH39" s="9"/>
      <c r="AJ39" s="9">
        <f>$F39</f>
        <v>12.025179856115107</v>
      </c>
      <c r="AK39" s="11"/>
      <c r="AL39" s="9">
        <f>$H39</f>
        <v>11.87112676056338</v>
      </c>
      <c r="AM39" s="9"/>
      <c r="AN39" s="9">
        <f>$J39</f>
        <v>12.083687943262412</v>
      </c>
      <c r="AP39" s="36">
        <f>AVERAGE(AJ39,AL39,AN39)</f>
        <v>11.9933315199803</v>
      </c>
      <c r="AQ39" s="32"/>
    </row>
    <row r="40" spans="5:43" ht="12.75">
      <c r="E40" s="31"/>
      <c r="I40" s="30"/>
      <c r="J40" s="31"/>
      <c r="P40" s="31"/>
      <c r="AQ40" s="71"/>
    </row>
    <row r="41" spans="2:43" ht="12.75">
      <c r="B41" s="8" t="s">
        <v>234</v>
      </c>
      <c r="D41" s="8" t="s">
        <v>35</v>
      </c>
      <c r="E41" s="31"/>
      <c r="F41" s="9">
        <f>F11*F10/1000000</f>
        <v>14.27679</v>
      </c>
      <c r="H41" s="9">
        <f>H11*H10/1000000</f>
        <v>14.550375</v>
      </c>
      <c r="I41" s="30"/>
      <c r="J41" s="9">
        <f>J11*J10/1000000</f>
        <v>13.74312</v>
      </c>
      <c r="L41" s="9">
        <f>L11*L10/1000000</f>
        <v>0.4849</v>
      </c>
      <c r="M41" s="31"/>
      <c r="N41" s="9">
        <f>N11*N10/1000000</f>
        <v>0.4806</v>
      </c>
      <c r="O41" s="30"/>
      <c r="P41" s="9">
        <f>P11*P10/1000000</f>
        <v>0.4741</v>
      </c>
      <c r="R41" s="9">
        <f>R11*R10/1000000</f>
        <v>5.1132</v>
      </c>
      <c r="S41" s="31"/>
      <c r="T41" s="9">
        <f>T11*T10/1000000</f>
        <v>5.2302</v>
      </c>
      <c r="U41" s="30"/>
      <c r="V41" s="9">
        <f>V11*V10/1000000</f>
        <v>5.04043</v>
      </c>
      <c r="X41" s="9">
        <f>X11*X10/1000000</f>
        <v>15.727744</v>
      </c>
      <c r="Y41" s="31"/>
      <c r="Z41" s="9">
        <f>Z11*Z10/1000000</f>
        <v>16.315</v>
      </c>
      <c r="AA41" s="30"/>
      <c r="AB41" s="9">
        <f>AB11*AB10/1000000</f>
        <v>17.066374</v>
      </c>
      <c r="AC41" s="9"/>
      <c r="AD41" s="9"/>
      <c r="AE41" s="9"/>
      <c r="AF41" s="9"/>
      <c r="AG41" s="9"/>
      <c r="AH41" s="9"/>
      <c r="AJ41" s="32">
        <f>F41+L41+R41+X41</f>
        <v>35.602634</v>
      </c>
      <c r="AL41" s="32">
        <f>H41+N41+T41+Z41</f>
        <v>36.576175000000006</v>
      </c>
      <c r="AN41" s="32">
        <f>J41+P41+V41+AB41</f>
        <v>36.324023999999994</v>
      </c>
      <c r="AP41" s="36">
        <f>AVERAGE(AJ41,AL41,AN41)</f>
        <v>36.167611</v>
      </c>
      <c r="AQ41" s="32"/>
    </row>
    <row r="42" spans="2:43" ht="12.75">
      <c r="B42" s="8" t="s">
        <v>230</v>
      </c>
      <c r="D42" s="8" t="s">
        <v>35</v>
      </c>
      <c r="E42" s="31"/>
      <c r="F42" s="32"/>
      <c r="I42" s="9"/>
      <c r="J42" s="31"/>
      <c r="N42" s="9"/>
      <c r="P42" s="11"/>
      <c r="AD42" s="9"/>
      <c r="AF42" s="9"/>
      <c r="AH42" s="9"/>
      <c r="AJ42" s="32">
        <f>AJ38/9000*(21-AJ39)/21*60</f>
        <v>39.60317460317461</v>
      </c>
      <c r="AL42" s="32">
        <f>AL38/9000*(21-AL39)/21*60</f>
        <v>41.15238095238096</v>
      </c>
      <c r="AN42" s="32">
        <f>AN38/9000*(21-AN39)/21*60</f>
        <v>39.911111111111104</v>
      </c>
      <c r="AP42" s="36">
        <f>AVERAGE(AJ42,AL42,AN42)</f>
        <v>40.22222222222222</v>
      </c>
      <c r="AQ42" s="32"/>
    </row>
    <row r="43" spans="5:40" ht="12.75">
      <c r="E43" s="31"/>
      <c r="F43" s="32"/>
      <c r="I43" s="9"/>
      <c r="J43" s="31"/>
      <c r="N43" s="9"/>
      <c r="P43" s="11"/>
      <c r="AJ43" s="32"/>
      <c r="AL43" s="32"/>
      <c r="AN43" s="32"/>
    </row>
    <row r="44" spans="8:44" ht="12.75">
      <c r="H44" s="30"/>
      <c r="J44" s="30"/>
      <c r="L44" s="8"/>
      <c r="N44" s="8"/>
      <c r="O44" s="30"/>
      <c r="P44" s="8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J44" s="31"/>
      <c r="AL44" s="31"/>
      <c r="AN44" s="31"/>
      <c r="AP44" s="12"/>
      <c r="AQ44" s="31"/>
      <c r="AR44" s="20"/>
    </row>
    <row r="45" spans="2:44" ht="12.75">
      <c r="B45" s="40" t="s">
        <v>52</v>
      </c>
      <c r="C45" s="40"/>
      <c r="F45" s="31"/>
      <c r="H45" s="31"/>
      <c r="I45" s="31"/>
      <c r="J45" s="31"/>
      <c r="L45" s="31"/>
      <c r="M45" s="31"/>
      <c r="N45" s="31"/>
      <c r="O45" s="31"/>
      <c r="P45" s="31"/>
      <c r="Q45" s="28"/>
      <c r="R45" s="31"/>
      <c r="S45" s="31"/>
      <c r="T45" s="31"/>
      <c r="U45" s="31"/>
      <c r="V45" s="31"/>
      <c r="W45" s="28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J45" s="31"/>
      <c r="AK45" s="31"/>
      <c r="AL45" s="31"/>
      <c r="AM45" s="30"/>
      <c r="AN45" s="31"/>
      <c r="AP45" s="12"/>
      <c r="AQ45" s="31"/>
      <c r="AR45" s="20"/>
    </row>
    <row r="46" spans="2:45" ht="12.75">
      <c r="B46" s="8" t="s">
        <v>24</v>
      </c>
      <c r="D46" s="8" t="s">
        <v>42</v>
      </c>
      <c r="F46" s="10">
        <f>F$10*F14/100*1/60*1/(F$38*0.0283)*454*1000*(21-7)/(21-F$39)</f>
        <v>378.28320216404546</v>
      </c>
      <c r="G46" s="12"/>
      <c r="H46" s="10">
        <f>H$10*H14/100*1/60*1/(H$38*0.0283)*454*1000*(21-7)/(21-H$39)</f>
        <v>409.1994584205277</v>
      </c>
      <c r="I46" s="10"/>
      <c r="J46" s="10">
        <f>J$10*J14/100*1/60*1/(J$38*0.0283)*454*1000*(21-7)/(21-J$39)</f>
        <v>364.2518671252174</v>
      </c>
      <c r="K46" s="10"/>
      <c r="L46" s="10">
        <f>L$10*L14/100*1/60*1/(L$38*0.0283)*454*1000*(21-7)/(21-L$39)</f>
        <v>160.04809808073153</v>
      </c>
      <c r="M46" s="12"/>
      <c r="N46" s="10">
        <f>N$10*N14/100*1/60*1/(N$38*0.0283)*454*1000*(21-7)/(21-N$39)</f>
        <v>138.77922186249586</v>
      </c>
      <c r="O46" s="10"/>
      <c r="P46" s="10">
        <f>P$10*P14/100*1/60*1/(P$38*0.0283)*454*1000*(21-7)/(21-P$39)</f>
        <v>155.2760485937865</v>
      </c>
      <c r="Q46" s="36"/>
      <c r="R46" s="10">
        <f>R$10*R14/100*1/60*1/(R$38*0.0283)*454*1000*(21-7)/(21-R$39)</f>
        <v>171.3254893296605</v>
      </c>
      <c r="S46" s="12"/>
      <c r="T46" s="10">
        <f>T$10*T14/100*1/60*1/(T$38*0.0283)*454*1000*(21-7)/(21-T$39)</f>
        <v>133.40852950415098</v>
      </c>
      <c r="U46" s="10"/>
      <c r="V46" s="10">
        <f>V$10*V14/100*1/60*1/(V$38*0.0283)*454*1000*(21-7)/(21-V$39)</f>
        <v>113.17158926655493</v>
      </c>
      <c r="W46" s="36"/>
      <c r="X46" s="10">
        <f>X$10*X14/100*1/60*1/(X$38*0.0283)*454*1000*(21-7)/(21-X$39)</f>
        <v>16784.061220202475</v>
      </c>
      <c r="Y46" s="12"/>
      <c r="Z46" s="10">
        <f>Z$10*Z14/100*1/60*1/(Z$38*0.0283)*454*1000*(21-7)/(21-Z$39)</f>
        <v>21961.248773009564</v>
      </c>
      <c r="AA46" s="10"/>
      <c r="AB46" s="10">
        <f>AB$10*AB14/100*1/60*1/(AB$38*0.0283)*454*1000*(21-7)/(21-AB$39)</f>
        <v>22151.795247126844</v>
      </c>
      <c r="AC46" s="10"/>
      <c r="AD46" s="10">
        <f>AJ46</f>
        <v>17493.718009776912</v>
      </c>
      <c r="AE46" s="10"/>
      <c r="AF46" s="10">
        <f>AL46</f>
        <v>22642.63598279674</v>
      </c>
      <c r="AG46" s="10"/>
      <c r="AH46" s="10">
        <f>AN46</f>
        <v>22784.4947521124</v>
      </c>
      <c r="AI46" s="36"/>
      <c r="AJ46" s="36">
        <f>F46+L46+R46+X46</f>
        <v>17493.718009776912</v>
      </c>
      <c r="AK46" s="36"/>
      <c r="AL46" s="36">
        <f>H46+N46+T46+Z46</f>
        <v>22642.63598279674</v>
      </c>
      <c r="AM46" s="36"/>
      <c r="AN46" s="36">
        <f>J46+P46+V46+AB46</f>
        <v>22784.4947521124</v>
      </c>
      <c r="AO46" s="36"/>
      <c r="AP46" s="36">
        <f>AVERAGE(AJ46,AL46,AN46)</f>
        <v>20973.616248228685</v>
      </c>
      <c r="AQ46" s="36"/>
      <c r="AR46" s="36"/>
      <c r="AS46" s="82"/>
    </row>
    <row r="47" spans="2:45" ht="12.75">
      <c r="B47" s="8" t="s">
        <v>25</v>
      </c>
      <c r="D47" s="8" t="s">
        <v>37</v>
      </c>
      <c r="F47" s="10">
        <f>F$10*F15/100*1/60*1/(F$38*0.0283)*454*1000000*(21-7)/(21-F$39)</f>
        <v>70145.22954035278</v>
      </c>
      <c r="G47" s="12"/>
      <c r="H47" s="10">
        <f>H$10*H15/100*1/60*1/(H$38*0.0283)*454*1000000*(21-7)/(21-H$39)</f>
        <v>31664.243806350354</v>
      </c>
      <c r="I47" s="10"/>
      <c r="J47" s="10">
        <f>J$10*J15/100*1/60*1/(J$38*0.0283)*454*1000000*(21-7)/(21-J$39)</f>
        <v>35479.07796674196</v>
      </c>
      <c r="K47" s="10"/>
      <c r="L47" s="10">
        <f>L$10*L15/100*1/60*1/(L$38*0.0283)*454*1000000*(21-7)/(21-L$39)</f>
        <v>3230061.6158111272</v>
      </c>
      <c r="M47" s="12"/>
      <c r="N47" s="10">
        <f>N$10*N15/100*1/60*1/(N$38*0.0283)*454*1000000*(21-7)/(21-N$39)</f>
        <v>3025387.036602409</v>
      </c>
      <c r="O47" s="10"/>
      <c r="P47" s="10">
        <f>P$10*P15/100*1/60*1/(P$38*0.0283)*454*1000000*(21-7)/(21-P$39)</f>
        <v>3119636.976293347</v>
      </c>
      <c r="Q47" s="36"/>
      <c r="R47" s="10">
        <f>R$10*R15/100*1/60*1/(R$38*0.0283)*454*1000000*(21-7)/(21-R$39)</f>
        <v>13501471.397919511</v>
      </c>
      <c r="S47" s="12"/>
      <c r="T47" s="10">
        <f>T$10*T15/100*1/60*1/(T$38*0.0283)*454*1000000*(21-7)/(21-T$39)</f>
        <v>12233310.441324031</v>
      </c>
      <c r="U47" s="10"/>
      <c r="V47" s="10">
        <f>V$10*V15/100*1/60*1/(V$38*0.0283)*454*1000000*(21-7)/(21-V$39)</f>
        <v>11046531.213191992</v>
      </c>
      <c r="W47" s="36"/>
      <c r="X47" s="10">
        <f>X$10*X15/100*1/60*1/(X$38*0.0283)*454*1000000*(21-7)/(21-X$39)</f>
        <v>19630054.209715072</v>
      </c>
      <c r="Y47" s="12"/>
      <c r="Z47" s="10">
        <f>Z$10*Z15/100*1/60*1/(Z$38*0.0283)*454*1000000*(21-7)/(21-Z$39)</f>
        <v>17395048.53307688</v>
      </c>
      <c r="AA47" s="10"/>
      <c r="AB47" s="10">
        <f>AB$10*AB15/100*1/60*1/(AB$38*0.0283)*454*1000000*(21-7)/(21-AB$39)</f>
        <v>19673797.812702484</v>
      </c>
      <c r="AC47" s="10"/>
      <c r="AD47" s="10">
        <f aca="true" t="shared" si="0" ref="AD47:AH65">AJ47</f>
        <v>36431732.45298606</v>
      </c>
      <c r="AE47" s="10"/>
      <c r="AF47" s="10">
        <f t="shared" si="0"/>
        <v>32685410.25480967</v>
      </c>
      <c r="AG47" s="10"/>
      <c r="AH47" s="10">
        <f t="shared" si="0"/>
        <v>33875445.08015457</v>
      </c>
      <c r="AI47" s="36"/>
      <c r="AJ47" s="36">
        <f>F47+L47+R47+X47</f>
        <v>36431732.45298606</v>
      </c>
      <c r="AK47" s="36"/>
      <c r="AL47" s="36">
        <f>H47+N47+T47+Z47</f>
        <v>32685410.25480967</v>
      </c>
      <c r="AM47" s="36"/>
      <c r="AN47" s="36">
        <f>J47+P47+V47+AB47</f>
        <v>33875445.08015457</v>
      </c>
      <c r="AO47" s="36"/>
      <c r="AP47" s="36">
        <f aca="true" t="shared" si="1" ref="AP47:AP65">AVERAGE(AJ47,AL47,AN47)</f>
        <v>34330862.59598344</v>
      </c>
      <c r="AQ47" s="36"/>
      <c r="AR47" s="36"/>
      <c r="AS47" s="82"/>
    </row>
    <row r="48" spans="2:45" ht="12.75">
      <c r="B48" s="8" t="s">
        <v>110</v>
      </c>
      <c r="D48" s="8" t="s">
        <v>37</v>
      </c>
      <c r="F48" s="10">
        <f>F$10*F16/100*1/60*1/(F$38*0.0283)*454*1000000*(21-7)/(21-F$39)</f>
        <v>626296.6923245784</v>
      </c>
      <c r="G48" s="12"/>
      <c r="H48" s="10">
        <f>H$10*H16/100*1/60*1/(H$38*0.0283)*454*1000000*(21-7)/(21-H$39)</f>
        <v>681999.097367546</v>
      </c>
      <c r="I48" s="10"/>
      <c r="J48" s="10">
        <f>J$10*J16/100*1/60*1/(J$38*0.0283)*454*1000000*(21-7)/(21-J$39)</f>
        <v>591317.9661123661</v>
      </c>
      <c r="K48" s="10"/>
      <c r="L48" s="10">
        <f>L$10*L16/100*1/60*1/(L$38*0.0283)*454*1000000*(21-7)/(21-L$39)</f>
        <v>160048.09808073152</v>
      </c>
      <c r="M48" s="12"/>
      <c r="N48" s="10">
        <f>N$10*N16/100*1/60*1/(N$38*0.0283)*454*1000000*(21-7)/(21-N$39)</f>
        <v>291436.3659112413</v>
      </c>
      <c r="O48" s="10"/>
      <c r="P48" s="10">
        <f>P$10*P16/100*1/60*1/(P$38*0.0283)*454*1000000*(21-7)/(21-P$39)</f>
        <v>127044.03975855256</v>
      </c>
      <c r="Q48" s="36"/>
      <c r="R48" s="10">
        <f>R$10*R16/100*1/60*1/(R$38*0.0283)*454*1000000*(21-7)/(21-R$39)</f>
        <v>460277.4340199835</v>
      </c>
      <c r="S48" s="12"/>
      <c r="T48" s="10">
        <f>T$10*T16/100*1/60*1/(T$38*0.0283)*454*1000000*(21-7)/(21-T$39)</f>
        <v>453085.57190089</v>
      </c>
      <c r="U48" s="10"/>
      <c r="V48" s="10">
        <f>V$10*V16/100*1/60*1/(V$38*0.0283)*454*1000000*(21-7)/(21-V$39)</f>
        <v>516652.90752122895</v>
      </c>
      <c r="W48" s="36"/>
      <c r="X48" s="10">
        <f>X$10*X16/100*1/60*1/(X$38*0.0283)*454*1000000*(21-7)/(21-X$39)</f>
        <v>21600357.048608404</v>
      </c>
      <c r="Y48" s="12"/>
      <c r="Z48" s="10">
        <f>Z$10*Z16/100*1/60*1/(Z$38*0.0283)*454*1000000*(21-7)/(21-Z$39)</f>
        <v>20294223.288589694</v>
      </c>
      <c r="AA48" s="10"/>
      <c r="AB48" s="10">
        <f>AB$10*AB16/100*1/60*1/(AB$38*0.0283)*454*1000000*(21-7)/(21-AB$39)</f>
        <v>25080337.669628367</v>
      </c>
      <c r="AC48" s="10"/>
      <c r="AD48" s="10">
        <f t="shared" si="0"/>
        <v>22846979.273033697</v>
      </c>
      <c r="AE48" s="10"/>
      <c r="AF48" s="10">
        <f t="shared" si="0"/>
        <v>21720744.323769372</v>
      </c>
      <c r="AG48" s="10"/>
      <c r="AH48" s="10">
        <f t="shared" si="0"/>
        <v>26315352.583020516</v>
      </c>
      <c r="AI48" s="36"/>
      <c r="AJ48" s="36">
        <f>F48+L48+R48+X48</f>
        <v>22846979.273033697</v>
      </c>
      <c r="AK48" s="36"/>
      <c r="AL48" s="36">
        <f>H48+N48+T48+Z48</f>
        <v>21720744.323769372</v>
      </c>
      <c r="AM48" s="36"/>
      <c r="AN48" s="36">
        <f>J48+P48+V48+AB48</f>
        <v>26315352.583020516</v>
      </c>
      <c r="AO48" s="36"/>
      <c r="AP48" s="36">
        <f t="shared" si="1"/>
        <v>23627692.05994119</v>
      </c>
      <c r="AQ48" s="36"/>
      <c r="AR48" s="36"/>
      <c r="AS48" s="82"/>
    </row>
    <row r="49" spans="5:44" ht="12.75">
      <c r="E49" s="31"/>
      <c r="F49" s="10"/>
      <c r="G49" s="12"/>
      <c r="H49" s="36"/>
      <c r="I49" s="10"/>
      <c r="J49" s="10"/>
      <c r="K49" s="10"/>
      <c r="L49" s="36"/>
      <c r="M49" s="36"/>
      <c r="N49" s="36"/>
      <c r="O49" s="36"/>
      <c r="P49" s="12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10"/>
      <c r="AE49" s="36"/>
      <c r="AF49" s="10"/>
      <c r="AG49" s="36"/>
      <c r="AH49" s="10"/>
      <c r="AI49" s="36"/>
      <c r="AJ49" s="36"/>
      <c r="AK49" s="36"/>
      <c r="AL49" s="36"/>
      <c r="AM49" s="36"/>
      <c r="AN49" s="36"/>
      <c r="AO49" s="36"/>
      <c r="AQ49" s="36"/>
      <c r="AR49" s="36"/>
    </row>
    <row r="50" spans="2:44" ht="12.75">
      <c r="B50" s="4" t="s">
        <v>60</v>
      </c>
      <c r="D50" s="8" t="s">
        <v>37</v>
      </c>
      <c r="E50" s="31"/>
      <c r="F50" s="10">
        <f>F22/F$12*F$10*1/60*454*1/(F$38*0.0283)*(21-7)/(21-F$39)</f>
        <v>145.65039356385543</v>
      </c>
      <c r="G50" s="12"/>
      <c r="H50" s="10">
        <f>H22/H$12*H$10*1/60*454*1/(H$38*0.0283)*(21-7)/(21-H$39)</f>
        <v>141.6111082573808</v>
      </c>
      <c r="I50" s="10"/>
      <c r="J50" s="10">
        <f>J22/J$12*J$10*1/60*454*1/(J$38*0.0283)*(21-7)/(21-J$39)</f>
        <v>140.78999193151571</v>
      </c>
      <c r="K50" s="10"/>
      <c r="L50" s="10">
        <f>L22/L$12*L$10*1/60*454*1/(L$38*0.0283)*(21-7)/(21-L$39)</f>
        <v>258986.92234882014</v>
      </c>
      <c r="M50" s="12"/>
      <c r="N50" s="10">
        <f>N22/N$12*N$10*1/60*454*1/(N$38*0.0283)*(21-7)/(21-N$39)</f>
        <v>237907.2374785643</v>
      </c>
      <c r="O50" s="10"/>
      <c r="P50" s="10">
        <f>P22/P$12*P$10*1/60*454*1/(P$38*0.0283)*(21-7)/(21-P$39)</f>
        <v>345548.02480624843</v>
      </c>
      <c r="Q50" s="36"/>
      <c r="R50" s="10">
        <f>R22/R$12*R$10*1/60*454*1/(R$38*0.0283)*(21-7)/(21-R$39)</f>
        <v>97.59911662849521</v>
      </c>
      <c r="S50" s="12"/>
      <c r="T50" s="10">
        <f>T22/T$12*T$10*1/60*454*1/(T$38*0.0283)*(21-7)/(21-T$39)</f>
        <v>96.81315638907904</v>
      </c>
      <c r="U50" s="10"/>
      <c r="V50" s="10">
        <f>V22/V$12*V$10*1/60*454*1/(V$38*0.0283)*(21-7)/(21-V$39)</f>
        <v>96.10359142880003</v>
      </c>
      <c r="W50" s="36"/>
      <c r="X50" s="10">
        <f>X22/X$12*X$10*1/60*454*1/(X$38*0.0283)*(21-7)/(21-X$39)</f>
        <v>3517.3554383206924</v>
      </c>
      <c r="Y50" s="12"/>
      <c r="Z50" s="10">
        <f>Z22/Z$12*Z$10*1/60*454*1/(Z$38*0.0283)*(21-7)/(21-Z$39)</f>
        <v>3029.6376195108905</v>
      </c>
      <c r="AA50" s="10"/>
      <c r="AB50" s="10">
        <f>AB22/AB$12*AB$10*1/60*454*1/(AB$38*0.0283)*(21-7)/(21-AB$39)</f>
        <v>2838.4334248860837</v>
      </c>
      <c r="AC50" s="10"/>
      <c r="AD50" s="10">
        <f t="shared" si="0"/>
        <v>262747.5272973332</v>
      </c>
      <c r="AE50" s="10"/>
      <c r="AF50" s="10">
        <f t="shared" si="0"/>
        <v>241175.29936272165</v>
      </c>
      <c r="AG50" s="10"/>
      <c r="AH50" s="10">
        <f t="shared" si="0"/>
        <v>348623.3518144948</v>
      </c>
      <c r="AI50" s="36"/>
      <c r="AJ50" s="36">
        <f aca="true" t="shared" si="2" ref="AJ50:AJ65">F50+L50+R50+X50</f>
        <v>262747.5272973332</v>
      </c>
      <c r="AK50" s="36"/>
      <c r="AL50" s="36">
        <f aca="true" t="shared" si="3" ref="AL50:AL65">H50+N50+T50+Z50</f>
        <v>241175.29936272165</v>
      </c>
      <c r="AM50" s="36"/>
      <c r="AN50" s="36">
        <f aca="true" t="shared" si="4" ref="AN50:AN65">J50+P50+V50+AB50</f>
        <v>348623.3518144948</v>
      </c>
      <c r="AO50" s="36"/>
      <c r="AP50" s="36">
        <f t="shared" si="1"/>
        <v>284182.05949151656</v>
      </c>
      <c r="AQ50" s="36"/>
      <c r="AR50" s="83">
        <f>AVERAGE(L50,N50,P50)</f>
        <v>280814.0615445443</v>
      </c>
    </row>
    <row r="51" spans="2:44" ht="12.75">
      <c r="B51" s="4" t="s">
        <v>59</v>
      </c>
      <c r="D51" s="8" t="s">
        <v>37</v>
      </c>
      <c r="E51" s="31"/>
      <c r="F51" s="10">
        <f aca="true" t="shared" si="5" ref="F51:F63">F23/F$12*F$10*1/60*454*1/(F$38*0.0283)*(21-7)/(21-F$39)</f>
        <v>873.9023613831328</v>
      </c>
      <c r="G51" s="12"/>
      <c r="H51" s="10">
        <f aca="true" t="shared" si="6" ref="H51:H63">H23/H$12*H$10*1/60*454*1/(H$38*0.0283)*(21-7)/(21-H$39)</f>
        <v>849.6666495442851</v>
      </c>
      <c r="I51" s="10"/>
      <c r="J51" s="10">
        <f aca="true" t="shared" si="7" ref="J51:J63">J23/J$12*J$10*1/60*454*1/(J$38*0.0283)*(21-7)/(21-J$39)</f>
        <v>844.7399515890944</v>
      </c>
      <c r="K51" s="10"/>
      <c r="L51" s="10">
        <f aca="true" t="shared" si="8" ref="L51:L63">L23/L$12*L$10*1/60*454*1/(L$38*0.0283)*(21-7)/(21-L$39)</f>
        <v>10417.676202345798</v>
      </c>
      <c r="M51" s="12"/>
      <c r="N51" s="10">
        <f aca="true" t="shared" si="9" ref="N51:N63">N23/N$12*N$10*1/60*454*1/(N$38*0.0283)*(21-7)/(21-N$39)</f>
        <v>9601.256369670631</v>
      </c>
      <c r="O51" s="10"/>
      <c r="P51" s="10">
        <f aca="true" t="shared" si="10" ref="P51:P63">P23/P$12*P$10*1/60*454*1/(P$38*0.0283)*(21-7)/(21-P$39)</f>
        <v>4411.2513805052995</v>
      </c>
      <c r="Q51" s="36"/>
      <c r="R51" s="10">
        <f aca="true" t="shared" si="11" ref="R51:R63">R23/R$12*R$10*1/60*454*1/(R$38*0.0283)*(21-7)/(21-R$39)</f>
        <v>585.5946997709714</v>
      </c>
      <c r="S51" s="12"/>
      <c r="T51" s="10">
        <f aca="true" t="shared" si="12" ref="T51:T63">T23/T$12*T$10*1/60*454*1/(T$38*0.0283)*(21-7)/(21-T$39)</f>
        <v>580.8789383344744</v>
      </c>
      <c r="U51" s="10"/>
      <c r="V51" s="10">
        <f aca="true" t="shared" si="13" ref="V51:V63">V23/V$12*V$10*1/60*454*1/(V$38*0.0283)*(21-7)/(21-V$39)</f>
        <v>576.6215485728002</v>
      </c>
      <c r="W51" s="36"/>
      <c r="X51" s="10">
        <f aca="true" t="shared" si="14" ref="X51:X63">X23/X$12*X$10*1/60*454*1/(X$38*0.0283)*(21-7)/(21-X$39)</f>
        <v>711.4982473781484</v>
      </c>
      <c r="Y51" s="12"/>
      <c r="Z51" s="10">
        <f aca="true" t="shared" si="15" ref="Z51:Z63">Z23/Z$12*Z$10*1/60*454*1/(Z$38*0.0283)*(21-7)/(21-Z$39)</f>
        <v>692.1779728786843</v>
      </c>
      <c r="AA51" s="10"/>
      <c r="AB51" s="10">
        <f aca="true" t="shared" si="16" ref="AB51:AB63">AB23/AB$12*AB$10*1/60*454*1/(AB$38*0.0283)*(21-7)/(21-AB$39)</f>
        <v>698.3447315195922</v>
      </c>
      <c r="AC51" s="10"/>
      <c r="AD51" s="10">
        <f t="shared" si="0"/>
        <v>12588.67151087805</v>
      </c>
      <c r="AE51" s="10"/>
      <c r="AF51" s="10">
        <f t="shared" si="0"/>
        <v>11723.979930428073</v>
      </c>
      <c r="AG51" s="10"/>
      <c r="AH51" s="10">
        <f t="shared" si="0"/>
        <v>6530.957612186787</v>
      </c>
      <c r="AI51" s="36"/>
      <c r="AJ51" s="36">
        <f t="shared" si="2"/>
        <v>12588.67151087805</v>
      </c>
      <c r="AK51" s="36"/>
      <c r="AL51" s="36">
        <f t="shared" si="3"/>
        <v>11723.979930428073</v>
      </c>
      <c r="AM51" s="36"/>
      <c r="AN51" s="36">
        <f t="shared" si="4"/>
        <v>6530.957612186787</v>
      </c>
      <c r="AO51" s="36"/>
      <c r="AP51" s="36">
        <f t="shared" si="1"/>
        <v>10281.20301783097</v>
      </c>
      <c r="AQ51" s="36"/>
      <c r="AR51" s="83">
        <f aca="true" t="shared" si="17" ref="AR51:AR64">AVERAGE(L51,N51,P51)</f>
        <v>8143.394650840575</v>
      </c>
    </row>
    <row r="52" spans="2:44" ht="12.75">
      <c r="B52" s="4" t="s">
        <v>100</v>
      </c>
      <c r="D52" s="8" t="s">
        <v>37</v>
      </c>
      <c r="E52" s="31"/>
      <c r="F52" s="10">
        <f t="shared" si="5"/>
        <v>145.65039356385543</v>
      </c>
      <c r="G52" s="12"/>
      <c r="H52" s="10">
        <f t="shared" si="6"/>
        <v>141.6111082573808</v>
      </c>
      <c r="I52" s="10"/>
      <c r="J52" s="10">
        <f t="shared" si="7"/>
        <v>140.78999193151571</v>
      </c>
      <c r="K52" s="10"/>
      <c r="L52" s="10">
        <f t="shared" si="8"/>
        <v>2633.5187047829463</v>
      </c>
      <c r="M52" s="12"/>
      <c r="N52" s="10">
        <f t="shared" si="9"/>
        <v>2435.716955137682</v>
      </c>
      <c r="O52" s="10"/>
      <c r="P52" s="10">
        <f t="shared" si="10"/>
        <v>2411.4840880095626</v>
      </c>
      <c r="Q52" s="36"/>
      <c r="R52" s="10">
        <f t="shared" si="11"/>
        <v>497.7554948053256</v>
      </c>
      <c r="S52" s="12"/>
      <c r="T52" s="10">
        <f t="shared" si="12"/>
        <v>352.3998892562477</v>
      </c>
      <c r="U52" s="10"/>
      <c r="V52" s="10">
        <f t="shared" si="13"/>
        <v>399.79094034380813</v>
      </c>
      <c r="W52" s="36"/>
      <c r="X52" s="10">
        <f t="shared" si="14"/>
        <v>620.2805233553089</v>
      </c>
      <c r="Y52" s="12"/>
      <c r="Z52" s="10">
        <f t="shared" si="15"/>
        <v>507.3555822147423</v>
      </c>
      <c r="AA52" s="10"/>
      <c r="AB52" s="10">
        <f t="shared" si="16"/>
        <v>488.09040375025245</v>
      </c>
      <c r="AC52" s="10"/>
      <c r="AD52" s="10">
        <f t="shared" si="0"/>
        <v>3897.2051165074363</v>
      </c>
      <c r="AE52" s="10"/>
      <c r="AF52" s="10">
        <f t="shared" si="0"/>
        <v>3437.0835348660526</v>
      </c>
      <c r="AG52" s="10"/>
      <c r="AH52" s="10">
        <f t="shared" si="0"/>
        <v>3440.155424035139</v>
      </c>
      <c r="AI52" s="36"/>
      <c r="AJ52" s="36">
        <f t="shared" si="2"/>
        <v>3897.2051165074363</v>
      </c>
      <c r="AK52" s="36"/>
      <c r="AL52" s="36">
        <f t="shared" si="3"/>
        <v>3437.0835348660526</v>
      </c>
      <c r="AM52" s="36"/>
      <c r="AN52" s="36">
        <f t="shared" si="4"/>
        <v>3440.155424035139</v>
      </c>
      <c r="AO52" s="36"/>
      <c r="AP52" s="36">
        <f t="shared" si="1"/>
        <v>3591.4813584695426</v>
      </c>
      <c r="AQ52" s="36"/>
      <c r="AR52" s="83">
        <f t="shared" si="17"/>
        <v>2493.5732493100636</v>
      </c>
    </row>
    <row r="53" spans="2:44" ht="12.75">
      <c r="B53" s="4" t="s">
        <v>61</v>
      </c>
      <c r="D53" s="8" t="s">
        <v>37</v>
      </c>
      <c r="E53" s="31"/>
      <c r="F53" s="10">
        <f t="shared" si="5"/>
        <v>72.82519678192772</v>
      </c>
      <c r="G53" s="12"/>
      <c r="H53" s="10">
        <f t="shared" si="6"/>
        <v>70.8055541286904</v>
      </c>
      <c r="I53" s="10"/>
      <c r="J53" s="10">
        <f t="shared" si="7"/>
        <v>70.39499596575786</v>
      </c>
      <c r="K53" s="10"/>
      <c r="L53" s="10">
        <f t="shared" si="8"/>
        <v>9661.085193236888</v>
      </c>
      <c r="M53" s="12"/>
      <c r="N53" s="10">
        <f t="shared" si="9"/>
        <v>8270.108731397713</v>
      </c>
      <c r="O53" s="10"/>
      <c r="P53" s="10">
        <f t="shared" si="10"/>
        <v>8616.644363253683</v>
      </c>
      <c r="Q53" s="36"/>
      <c r="R53" s="10">
        <f t="shared" si="11"/>
        <v>48.799558314247605</v>
      </c>
      <c r="S53" s="12"/>
      <c r="T53" s="10">
        <f t="shared" si="12"/>
        <v>48.40657819453952</v>
      </c>
      <c r="U53" s="10"/>
      <c r="V53" s="10">
        <f t="shared" si="13"/>
        <v>48.051795714400015</v>
      </c>
      <c r="W53" s="36"/>
      <c r="X53" s="10">
        <f t="shared" si="14"/>
        <v>19.338157492841983</v>
      </c>
      <c r="Y53" s="12"/>
      <c r="Z53" s="10">
        <f t="shared" si="15"/>
        <v>17.395048533076885</v>
      </c>
      <c r="AA53" s="10"/>
      <c r="AB53" s="10">
        <f t="shared" si="16"/>
        <v>17.270891209624324</v>
      </c>
      <c r="AC53" s="10"/>
      <c r="AD53" s="10">
        <f t="shared" si="0"/>
        <v>9802.048105825905</v>
      </c>
      <c r="AE53" s="10"/>
      <c r="AF53" s="10">
        <f t="shared" si="0"/>
        <v>8406.71591225402</v>
      </c>
      <c r="AG53" s="10"/>
      <c r="AH53" s="10">
        <f t="shared" si="0"/>
        <v>8752.362046143466</v>
      </c>
      <c r="AI53" s="36"/>
      <c r="AJ53" s="36">
        <f t="shared" si="2"/>
        <v>9802.048105825905</v>
      </c>
      <c r="AK53" s="36"/>
      <c r="AL53" s="36">
        <f t="shared" si="3"/>
        <v>8406.71591225402</v>
      </c>
      <c r="AM53" s="36"/>
      <c r="AN53" s="36">
        <f t="shared" si="4"/>
        <v>8752.362046143466</v>
      </c>
      <c r="AO53" s="36"/>
      <c r="AP53" s="36">
        <f t="shared" si="1"/>
        <v>8987.042021407797</v>
      </c>
      <c r="AQ53" s="36"/>
      <c r="AR53" s="83">
        <f t="shared" si="17"/>
        <v>8849.279429296095</v>
      </c>
    </row>
    <row r="54" spans="2:44" ht="12.75">
      <c r="B54" s="4" t="s">
        <v>62</v>
      </c>
      <c r="D54" s="8" t="s">
        <v>37</v>
      </c>
      <c r="E54" s="31"/>
      <c r="F54" s="10">
        <f t="shared" si="5"/>
        <v>72.82519678192772</v>
      </c>
      <c r="G54" s="12"/>
      <c r="H54" s="10">
        <f t="shared" si="6"/>
        <v>70.8055541286904</v>
      </c>
      <c r="I54" s="10"/>
      <c r="J54" s="10">
        <f t="shared" si="7"/>
        <v>70.39499596575786</v>
      </c>
      <c r="K54" s="10"/>
      <c r="L54" s="10">
        <f t="shared" si="8"/>
        <v>363.745677456208</v>
      </c>
      <c r="M54" s="12"/>
      <c r="N54" s="10">
        <f t="shared" si="9"/>
        <v>354.0286272002445</v>
      </c>
      <c r="O54" s="10"/>
      <c r="P54" s="10">
        <f t="shared" si="10"/>
        <v>367.60428170877486</v>
      </c>
      <c r="Q54" s="36"/>
      <c r="R54" s="10">
        <f t="shared" si="11"/>
        <v>48.799558314247605</v>
      </c>
      <c r="S54" s="12"/>
      <c r="T54" s="10">
        <f t="shared" si="12"/>
        <v>48.40657819453952</v>
      </c>
      <c r="U54" s="10"/>
      <c r="V54" s="10">
        <f t="shared" si="13"/>
        <v>48.051795714400015</v>
      </c>
      <c r="W54" s="36"/>
      <c r="X54" s="10">
        <f t="shared" si="14"/>
        <v>72.97417921827163</v>
      </c>
      <c r="Y54" s="12"/>
      <c r="Z54" s="10">
        <f t="shared" si="15"/>
        <v>68.85540044342933</v>
      </c>
      <c r="AA54" s="10"/>
      <c r="AB54" s="10">
        <f t="shared" si="16"/>
        <v>71.33628977888306</v>
      </c>
      <c r="AC54" s="10"/>
      <c r="AD54" s="10">
        <f t="shared" si="0"/>
        <v>558.344611770655</v>
      </c>
      <c r="AE54" s="10"/>
      <c r="AF54" s="10">
        <f t="shared" si="0"/>
        <v>542.0961599669038</v>
      </c>
      <c r="AG54" s="10"/>
      <c r="AH54" s="10">
        <f t="shared" si="0"/>
        <v>557.3873631678158</v>
      </c>
      <c r="AI54" s="36"/>
      <c r="AJ54" s="36">
        <f t="shared" si="2"/>
        <v>558.344611770655</v>
      </c>
      <c r="AK54" s="36"/>
      <c r="AL54" s="36">
        <f t="shared" si="3"/>
        <v>542.0961599669038</v>
      </c>
      <c r="AM54" s="36"/>
      <c r="AN54" s="36">
        <f t="shared" si="4"/>
        <v>557.3873631678158</v>
      </c>
      <c r="AO54" s="36"/>
      <c r="AP54" s="36">
        <f t="shared" si="1"/>
        <v>552.6093783017915</v>
      </c>
      <c r="AQ54" s="36"/>
      <c r="AR54" s="83">
        <f t="shared" si="17"/>
        <v>361.7928621217425</v>
      </c>
    </row>
    <row r="55" spans="2:44" ht="12.75">
      <c r="B55" s="4" t="s">
        <v>71</v>
      </c>
      <c r="D55" s="8" t="s">
        <v>37</v>
      </c>
      <c r="E55" s="31"/>
      <c r="F55" s="10">
        <f t="shared" si="5"/>
        <v>145.65039356385543</v>
      </c>
      <c r="G55" s="12"/>
      <c r="H55" s="10">
        <f t="shared" si="6"/>
        <v>141.6111082573808</v>
      </c>
      <c r="I55" s="10"/>
      <c r="J55" s="10">
        <f t="shared" si="7"/>
        <v>140.78999193151571</v>
      </c>
      <c r="K55" s="10"/>
      <c r="L55" s="10">
        <f t="shared" si="8"/>
        <v>990843.2253907106</v>
      </c>
      <c r="M55" s="12"/>
      <c r="N55" s="10">
        <f t="shared" si="9"/>
        <v>844004.2472453831</v>
      </c>
      <c r="O55" s="10"/>
      <c r="P55" s="10">
        <f t="shared" si="10"/>
        <v>911658.6186377616</v>
      </c>
      <c r="Q55" s="36"/>
      <c r="R55" s="10">
        <f t="shared" si="11"/>
        <v>501.65945947046526</v>
      </c>
      <c r="S55" s="12"/>
      <c r="T55" s="10">
        <f t="shared" si="12"/>
        <v>404.67899370635047</v>
      </c>
      <c r="U55" s="10"/>
      <c r="V55" s="10">
        <f t="shared" si="13"/>
        <v>542.0242556584321</v>
      </c>
      <c r="W55" s="36"/>
      <c r="X55" s="10">
        <f t="shared" si="14"/>
        <v>6013.072367585584</v>
      </c>
      <c r="Y55" s="12"/>
      <c r="Z55" s="10">
        <f t="shared" si="15"/>
        <v>5160.531064812808</v>
      </c>
      <c r="AA55" s="10"/>
      <c r="AB55" s="10">
        <f t="shared" si="16"/>
        <v>3987.323144482833</v>
      </c>
      <c r="AC55" s="10"/>
      <c r="AD55" s="10">
        <f t="shared" si="0"/>
        <v>997503.6076113306</v>
      </c>
      <c r="AE55" s="10"/>
      <c r="AF55" s="10">
        <f t="shared" si="0"/>
        <v>849711.0684121597</v>
      </c>
      <c r="AG55" s="10"/>
      <c r="AH55" s="10">
        <f t="shared" si="0"/>
        <v>916328.7560298343</v>
      </c>
      <c r="AI55" s="36"/>
      <c r="AJ55" s="36">
        <f t="shared" si="2"/>
        <v>997503.6076113306</v>
      </c>
      <c r="AK55" s="36"/>
      <c r="AL55" s="36">
        <f t="shared" si="3"/>
        <v>849711.0684121597</v>
      </c>
      <c r="AM55" s="36"/>
      <c r="AN55" s="36">
        <f t="shared" si="4"/>
        <v>916328.7560298343</v>
      </c>
      <c r="AO55" s="36"/>
      <c r="AP55" s="36">
        <f t="shared" si="1"/>
        <v>921181.144017775</v>
      </c>
      <c r="AQ55" s="36"/>
      <c r="AR55" s="83">
        <f t="shared" si="17"/>
        <v>915502.0304246185</v>
      </c>
    </row>
    <row r="56" spans="2:44" ht="12.75">
      <c r="B56" s="4" t="s">
        <v>101</v>
      </c>
      <c r="D56" s="8" t="s">
        <v>37</v>
      </c>
      <c r="E56" s="31"/>
      <c r="F56" s="10">
        <f t="shared" si="5"/>
        <v>364.12598390963865</v>
      </c>
      <c r="G56" s="12"/>
      <c r="H56" s="10">
        <f t="shared" si="6"/>
        <v>354.02777064345213</v>
      </c>
      <c r="I56" s="10"/>
      <c r="J56" s="10">
        <f t="shared" si="7"/>
        <v>351.9749798287893</v>
      </c>
      <c r="K56" s="36"/>
      <c r="L56" s="10">
        <f t="shared" si="8"/>
        <v>10213.978622970322</v>
      </c>
      <c r="M56" s="12"/>
      <c r="N56" s="10">
        <f t="shared" si="9"/>
        <v>8836.554534918105</v>
      </c>
      <c r="O56" s="10"/>
      <c r="P56" s="10">
        <f t="shared" si="10"/>
        <v>9734.16137964836</v>
      </c>
      <c r="Q56" s="36"/>
      <c r="R56" s="10">
        <f t="shared" si="11"/>
        <v>6539.140814109179</v>
      </c>
      <c r="S56" s="12"/>
      <c r="T56" s="10">
        <f t="shared" si="12"/>
        <v>4434.042562619822</v>
      </c>
      <c r="U56" s="10"/>
      <c r="V56" s="10">
        <f t="shared" si="13"/>
        <v>5862.3190771568015</v>
      </c>
      <c r="W56" s="36"/>
      <c r="X56" s="10">
        <f t="shared" si="14"/>
        <v>3811660.303107983</v>
      </c>
      <c r="Y56" s="12"/>
      <c r="Z56" s="10">
        <f t="shared" si="15"/>
        <v>3068269.1231280984</v>
      </c>
      <c r="AA56" s="10"/>
      <c r="AB56" s="10">
        <f t="shared" si="16"/>
        <v>2863438.6717243665</v>
      </c>
      <c r="AC56" s="10"/>
      <c r="AD56" s="10">
        <f t="shared" si="0"/>
        <v>3828777.548528972</v>
      </c>
      <c r="AE56" s="10"/>
      <c r="AF56" s="10">
        <f t="shared" si="0"/>
        <v>3081893.74799628</v>
      </c>
      <c r="AG56" s="10"/>
      <c r="AH56" s="10">
        <f t="shared" si="0"/>
        <v>2879387.1271610004</v>
      </c>
      <c r="AI56" s="36"/>
      <c r="AJ56" s="36">
        <f t="shared" si="2"/>
        <v>3828777.548528972</v>
      </c>
      <c r="AK56" s="36"/>
      <c r="AL56" s="36">
        <f t="shared" si="3"/>
        <v>3081893.74799628</v>
      </c>
      <c r="AM56" s="36"/>
      <c r="AN56" s="36">
        <f t="shared" si="4"/>
        <v>2879387.1271610004</v>
      </c>
      <c r="AO56" s="36"/>
      <c r="AP56" s="36">
        <f t="shared" si="1"/>
        <v>3263352.807895418</v>
      </c>
      <c r="AQ56" s="36"/>
      <c r="AR56" s="83">
        <f t="shared" si="17"/>
        <v>9594.898179178928</v>
      </c>
    </row>
    <row r="57" spans="2:44" ht="12.75" customHeight="1">
      <c r="B57" s="4" t="s">
        <v>58</v>
      </c>
      <c r="D57" s="8" t="s">
        <v>37</v>
      </c>
      <c r="E57" s="31"/>
      <c r="F57" s="10">
        <f t="shared" si="5"/>
        <v>218.4755903457832</v>
      </c>
      <c r="G57" s="12"/>
      <c r="H57" s="10">
        <f t="shared" si="6"/>
        <v>212.41666238607127</v>
      </c>
      <c r="I57" s="10"/>
      <c r="J57" s="10">
        <f t="shared" si="7"/>
        <v>211.1849878972736</v>
      </c>
      <c r="K57" s="36"/>
      <c r="L57" s="10">
        <f t="shared" si="8"/>
        <v>2691.718013175939</v>
      </c>
      <c r="M57" s="12"/>
      <c r="N57" s="10">
        <f t="shared" si="9"/>
        <v>2336.588939521614</v>
      </c>
      <c r="O57" s="10"/>
      <c r="P57" s="10">
        <f t="shared" si="10"/>
        <v>2573.229971961424</v>
      </c>
      <c r="Q57" s="36"/>
      <c r="R57" s="10">
        <f t="shared" si="11"/>
        <v>146.39867494274284</v>
      </c>
      <c r="S57" s="12"/>
      <c r="T57" s="10">
        <f t="shared" si="12"/>
        <v>145.2197345836186</v>
      </c>
      <c r="U57" s="10"/>
      <c r="V57" s="10">
        <f t="shared" si="13"/>
        <v>144.15538714320004</v>
      </c>
      <c r="W57" s="36"/>
      <c r="X57" s="10">
        <f t="shared" si="14"/>
        <v>711.4982473781484</v>
      </c>
      <c r="Y57" s="12"/>
      <c r="Z57" s="10">
        <f>Z29/Z$12*Z$10*1/60*454*1/(Z$38*0.0283)*(21-7)/(21-Z$39)</f>
        <v>1384.3559457573685</v>
      </c>
      <c r="AA57" s="10"/>
      <c r="AB57" s="10">
        <f t="shared" si="16"/>
        <v>698.3447315195922</v>
      </c>
      <c r="AC57" s="10"/>
      <c r="AD57" s="10">
        <f t="shared" si="0"/>
        <v>3768.0905258426133</v>
      </c>
      <c r="AE57" s="10"/>
      <c r="AF57" s="10">
        <f t="shared" si="0"/>
        <v>4078.5812822486723</v>
      </c>
      <c r="AG57" s="10"/>
      <c r="AH57" s="10">
        <f t="shared" si="0"/>
        <v>3626.9150785214897</v>
      </c>
      <c r="AI57" s="36"/>
      <c r="AJ57" s="36">
        <f t="shared" si="2"/>
        <v>3768.0905258426133</v>
      </c>
      <c r="AK57" s="36"/>
      <c r="AL57" s="36">
        <f t="shared" si="3"/>
        <v>4078.5812822486723</v>
      </c>
      <c r="AM57" s="36"/>
      <c r="AN57" s="36">
        <f t="shared" si="4"/>
        <v>3626.9150785214897</v>
      </c>
      <c r="AO57" s="36"/>
      <c r="AP57" s="36">
        <f t="shared" si="1"/>
        <v>3824.5289622042583</v>
      </c>
      <c r="AQ57" s="36"/>
      <c r="AR57" s="83">
        <f t="shared" si="17"/>
        <v>2533.845641552992</v>
      </c>
    </row>
    <row r="58" spans="2:44" ht="12.75">
      <c r="B58" s="4" t="s">
        <v>63</v>
      </c>
      <c r="D58" s="8" t="s">
        <v>37</v>
      </c>
      <c r="F58" s="10">
        <f t="shared" si="5"/>
        <v>291.30078712771086</v>
      </c>
      <c r="G58" s="12"/>
      <c r="H58" s="10">
        <f t="shared" si="6"/>
        <v>283.2222165147616</v>
      </c>
      <c r="I58" s="10"/>
      <c r="J58" s="10">
        <f t="shared" si="7"/>
        <v>281.57998386303143</v>
      </c>
      <c r="K58" s="36"/>
      <c r="L58" s="10">
        <f t="shared" si="8"/>
        <v>1454.982709824832</v>
      </c>
      <c r="M58" s="12"/>
      <c r="N58" s="10">
        <f t="shared" si="9"/>
        <v>3327.8690956822984</v>
      </c>
      <c r="O58" s="10"/>
      <c r="P58" s="10">
        <f t="shared" si="10"/>
        <v>1470.4171268350995</v>
      </c>
      <c r="Q58" s="36"/>
      <c r="R58" s="10">
        <f t="shared" si="11"/>
        <v>195.19823325699042</v>
      </c>
      <c r="S58" s="12"/>
      <c r="T58" s="10">
        <f t="shared" si="12"/>
        <v>193.62631277815808</v>
      </c>
      <c r="U58" s="10"/>
      <c r="V58" s="10">
        <f t="shared" si="13"/>
        <v>517.0373218869443</v>
      </c>
      <c r="W58" s="36"/>
      <c r="X58" s="10">
        <f t="shared" si="14"/>
        <v>0.3648708960913582</v>
      </c>
      <c r="Y58" s="12"/>
      <c r="Z58" s="10">
        <f t="shared" si="15"/>
        <v>0.36239684443910175</v>
      </c>
      <c r="AA58" s="10"/>
      <c r="AB58" s="10">
        <f t="shared" si="16"/>
        <v>0.3754541567309635</v>
      </c>
      <c r="AC58" s="10"/>
      <c r="AD58" s="10">
        <f t="shared" si="0"/>
        <v>1941.8466011056248</v>
      </c>
      <c r="AE58" s="10"/>
      <c r="AF58" s="10">
        <f t="shared" si="0"/>
        <v>3805.080021819657</v>
      </c>
      <c r="AG58" s="10"/>
      <c r="AH58" s="10">
        <f t="shared" si="0"/>
        <v>2269.409886741806</v>
      </c>
      <c r="AI58" s="36"/>
      <c r="AJ58" s="36">
        <f t="shared" si="2"/>
        <v>1941.8466011056248</v>
      </c>
      <c r="AK58" s="36"/>
      <c r="AL58" s="36">
        <f t="shared" si="3"/>
        <v>3805.080021819657</v>
      </c>
      <c r="AM58" s="36"/>
      <c r="AN58" s="36">
        <f t="shared" si="4"/>
        <v>2269.409886741806</v>
      </c>
      <c r="AO58" s="36"/>
      <c r="AP58" s="36">
        <f t="shared" si="1"/>
        <v>2672.1121698890292</v>
      </c>
      <c r="AQ58" s="36"/>
      <c r="AR58" s="83">
        <f t="shared" si="17"/>
        <v>2084.42297744741</v>
      </c>
    </row>
    <row r="59" spans="2:44" ht="12.75">
      <c r="B59" s="4" t="s">
        <v>102</v>
      </c>
      <c r="D59" s="8" t="s">
        <v>37</v>
      </c>
      <c r="F59" s="10">
        <f t="shared" si="5"/>
        <v>582.6015742554217</v>
      </c>
      <c r="G59" s="12"/>
      <c r="H59" s="10">
        <f t="shared" si="6"/>
        <v>566.4444330295232</v>
      </c>
      <c r="I59" s="10"/>
      <c r="J59" s="10">
        <f t="shared" si="7"/>
        <v>563.1599677260629</v>
      </c>
      <c r="K59" s="36"/>
      <c r="L59" s="10">
        <f t="shared" si="8"/>
        <v>154228.1672414322</v>
      </c>
      <c r="M59" s="12"/>
      <c r="N59" s="10">
        <f t="shared" si="9"/>
        <v>127733.52869384823</v>
      </c>
      <c r="O59" s="10"/>
      <c r="P59" s="10">
        <f t="shared" si="10"/>
        <v>148512.12981034507</v>
      </c>
      <c r="Q59" s="36"/>
      <c r="R59" s="10">
        <f t="shared" si="11"/>
        <v>390.39646651398084</v>
      </c>
      <c r="S59" s="12"/>
      <c r="T59" s="10">
        <f t="shared" si="12"/>
        <v>387.25262555631616</v>
      </c>
      <c r="U59" s="10"/>
      <c r="V59" s="10">
        <f t="shared" si="13"/>
        <v>778.4390905732803</v>
      </c>
      <c r="W59" s="36"/>
      <c r="X59" s="10">
        <f t="shared" si="14"/>
        <v>4341.963663487163</v>
      </c>
      <c r="Y59" s="12"/>
      <c r="Z59" s="10">
        <f t="shared" si="15"/>
        <v>4174.811647938452</v>
      </c>
      <c r="AA59" s="10"/>
      <c r="AB59" s="10">
        <f t="shared" si="16"/>
        <v>3514.2509070018177</v>
      </c>
      <c r="AC59" s="10"/>
      <c r="AD59" s="10">
        <f t="shared" si="0"/>
        <v>159543.12894568878</v>
      </c>
      <c r="AE59" s="10"/>
      <c r="AF59" s="10">
        <f t="shared" si="0"/>
        <v>132862.03740037253</v>
      </c>
      <c r="AG59" s="10"/>
      <c r="AH59" s="10">
        <f t="shared" si="0"/>
        <v>153367.97977564624</v>
      </c>
      <c r="AI59" s="36"/>
      <c r="AJ59" s="36">
        <f t="shared" si="2"/>
        <v>159543.12894568878</v>
      </c>
      <c r="AK59" s="36"/>
      <c r="AL59" s="36">
        <f t="shared" si="3"/>
        <v>132862.03740037253</v>
      </c>
      <c r="AM59" s="36"/>
      <c r="AN59" s="36">
        <f t="shared" si="4"/>
        <v>153367.97977564624</v>
      </c>
      <c r="AO59" s="36"/>
      <c r="AP59" s="36">
        <f t="shared" si="1"/>
        <v>148591.04870723584</v>
      </c>
      <c r="AQ59" s="36"/>
      <c r="AR59" s="83">
        <f t="shared" si="17"/>
        <v>143491.27524854182</v>
      </c>
    </row>
    <row r="60" spans="2:44" ht="12.75">
      <c r="B60" s="4" t="s">
        <v>103</v>
      </c>
      <c r="D60" s="8" t="s">
        <v>37</v>
      </c>
      <c r="F60" s="10">
        <f t="shared" si="5"/>
        <v>72.82519678192772</v>
      </c>
      <c r="G60" s="12"/>
      <c r="H60" s="10">
        <f t="shared" si="6"/>
        <v>354.02777064345213</v>
      </c>
      <c r="I60" s="10"/>
      <c r="J60" s="10">
        <f t="shared" si="7"/>
        <v>351.9749798287893</v>
      </c>
      <c r="K60" s="36"/>
      <c r="L60" s="10">
        <f t="shared" si="8"/>
        <v>363.745677456208</v>
      </c>
      <c r="M60" s="12"/>
      <c r="N60" s="10">
        <f t="shared" si="9"/>
        <v>354.0286272002445</v>
      </c>
      <c r="O60" s="10"/>
      <c r="P60" s="10">
        <f t="shared" si="10"/>
        <v>367.60428170877486</v>
      </c>
      <c r="Q60" s="36"/>
      <c r="R60" s="10">
        <f t="shared" si="11"/>
        <v>243.99779157123794</v>
      </c>
      <c r="S60" s="12"/>
      <c r="T60" s="10">
        <f t="shared" si="12"/>
        <v>242.03289097269766</v>
      </c>
      <c r="U60" s="10"/>
      <c r="V60" s="10">
        <f t="shared" si="13"/>
        <v>240.25897857200007</v>
      </c>
      <c r="W60" s="36"/>
      <c r="X60" s="10">
        <f t="shared" si="14"/>
        <v>737.0392101045435</v>
      </c>
      <c r="Y60" s="12"/>
      <c r="Z60" s="10">
        <f t="shared" si="15"/>
        <v>692.1779728786843</v>
      </c>
      <c r="AA60" s="10"/>
      <c r="AB60" s="10">
        <f t="shared" si="16"/>
        <v>698.3447315195922</v>
      </c>
      <c r="AC60" s="10"/>
      <c r="AD60" s="10">
        <f t="shared" si="0"/>
        <v>1417.6078759139173</v>
      </c>
      <c r="AE60" s="10"/>
      <c r="AF60" s="10">
        <f t="shared" si="0"/>
        <v>1642.2672616950786</v>
      </c>
      <c r="AG60" s="10"/>
      <c r="AH60" s="10">
        <f t="shared" si="0"/>
        <v>1658.1829716291563</v>
      </c>
      <c r="AI60" s="36"/>
      <c r="AJ60" s="36">
        <f t="shared" si="2"/>
        <v>1417.6078759139173</v>
      </c>
      <c r="AK60" s="36"/>
      <c r="AL60" s="36">
        <f t="shared" si="3"/>
        <v>1642.2672616950786</v>
      </c>
      <c r="AM60" s="36"/>
      <c r="AN60" s="36">
        <f t="shared" si="4"/>
        <v>1658.1829716291563</v>
      </c>
      <c r="AO60" s="36"/>
      <c r="AP60" s="36">
        <f t="shared" si="1"/>
        <v>1572.6860364127176</v>
      </c>
      <c r="AQ60" s="36"/>
      <c r="AR60" s="83">
        <f t="shared" si="17"/>
        <v>361.7928621217425</v>
      </c>
    </row>
    <row r="61" spans="2:44" ht="12.75">
      <c r="B61" s="4" t="s">
        <v>104</v>
      </c>
      <c r="D61" s="8" t="s">
        <v>37</v>
      </c>
      <c r="F61" s="10">
        <f t="shared" si="5"/>
        <v>145.65039356385543</v>
      </c>
      <c r="G61" s="12"/>
      <c r="H61" s="10">
        <f t="shared" si="6"/>
        <v>141.6111082573808</v>
      </c>
      <c r="I61" s="10"/>
      <c r="J61" s="10">
        <f t="shared" si="7"/>
        <v>140.78999193151571</v>
      </c>
      <c r="K61" s="36"/>
      <c r="L61" s="10">
        <f t="shared" si="8"/>
        <v>727.491354912416</v>
      </c>
      <c r="M61" s="12"/>
      <c r="N61" s="10">
        <f t="shared" si="9"/>
        <v>708.057254400489</v>
      </c>
      <c r="O61" s="10"/>
      <c r="P61" s="10">
        <f t="shared" si="10"/>
        <v>735.2085634175497</v>
      </c>
      <c r="Q61" s="36"/>
      <c r="R61" s="10">
        <f t="shared" si="11"/>
        <v>97.59911662849521</v>
      </c>
      <c r="S61" s="12"/>
      <c r="T61" s="10">
        <f t="shared" si="12"/>
        <v>96.81315638907904</v>
      </c>
      <c r="U61" s="10"/>
      <c r="V61" s="10">
        <f t="shared" si="13"/>
        <v>96.10359142880003</v>
      </c>
      <c r="W61" s="36"/>
      <c r="X61" s="10">
        <f t="shared" si="14"/>
        <v>116.75868674923464</v>
      </c>
      <c r="Y61" s="12"/>
      <c r="Z61" s="10">
        <f t="shared" si="15"/>
        <v>115.96699022051254</v>
      </c>
      <c r="AA61" s="10"/>
      <c r="AB61" s="10">
        <f t="shared" si="16"/>
        <v>105.12716388466977</v>
      </c>
      <c r="AC61" s="10"/>
      <c r="AD61" s="10">
        <f t="shared" si="0"/>
        <v>1087.4995518540013</v>
      </c>
      <c r="AE61" s="10"/>
      <c r="AF61" s="10">
        <f t="shared" si="0"/>
        <v>1062.4485092674613</v>
      </c>
      <c r="AG61" s="10"/>
      <c r="AH61" s="10">
        <f t="shared" si="0"/>
        <v>1077.2293106625352</v>
      </c>
      <c r="AI61" s="36"/>
      <c r="AJ61" s="36">
        <f t="shared" si="2"/>
        <v>1087.4995518540013</v>
      </c>
      <c r="AK61" s="36"/>
      <c r="AL61" s="36">
        <f t="shared" si="3"/>
        <v>1062.4485092674613</v>
      </c>
      <c r="AM61" s="36"/>
      <c r="AN61" s="36">
        <f t="shared" si="4"/>
        <v>1077.2293106625352</v>
      </c>
      <c r="AO61" s="36"/>
      <c r="AP61" s="36">
        <f t="shared" si="1"/>
        <v>1075.725790594666</v>
      </c>
      <c r="AQ61" s="36"/>
      <c r="AR61" s="83">
        <f t="shared" si="17"/>
        <v>723.585724243485</v>
      </c>
    </row>
    <row r="62" spans="2:44" ht="12.75">
      <c r="B62" s="4" t="s">
        <v>105</v>
      </c>
      <c r="D62" s="8" t="s">
        <v>37</v>
      </c>
      <c r="F62" s="10">
        <f t="shared" si="5"/>
        <v>145.65039356385543</v>
      </c>
      <c r="G62" s="12"/>
      <c r="H62" s="10">
        <f t="shared" si="6"/>
        <v>141.6111082573808</v>
      </c>
      <c r="I62" s="10"/>
      <c r="J62" s="10">
        <f t="shared" si="7"/>
        <v>140.78999193151571</v>
      </c>
      <c r="K62" s="36"/>
      <c r="L62" s="10">
        <f t="shared" si="8"/>
        <v>727.491354912416</v>
      </c>
      <c r="M62" s="12"/>
      <c r="N62" s="10">
        <f t="shared" si="9"/>
        <v>708.057254400489</v>
      </c>
      <c r="O62" s="10"/>
      <c r="P62" s="10">
        <f t="shared" si="10"/>
        <v>735.2085634175497</v>
      </c>
      <c r="Q62" s="36"/>
      <c r="R62" s="10">
        <f t="shared" si="11"/>
        <v>97.59911662849521</v>
      </c>
      <c r="S62" s="12"/>
      <c r="T62" s="10">
        <f t="shared" si="12"/>
        <v>96.81315638907904</v>
      </c>
      <c r="U62" s="10"/>
      <c r="V62" s="10">
        <f t="shared" si="13"/>
        <v>96.10359142880003</v>
      </c>
      <c r="W62" s="36"/>
      <c r="X62" s="10">
        <f t="shared" si="14"/>
        <v>711.4982473781484</v>
      </c>
      <c r="Y62" s="12"/>
      <c r="Z62" s="10">
        <f t="shared" si="15"/>
        <v>692.1779728786843</v>
      </c>
      <c r="AA62" s="10"/>
      <c r="AB62" s="10">
        <f t="shared" si="16"/>
        <v>698.3447315195922</v>
      </c>
      <c r="AC62" s="10"/>
      <c r="AD62" s="10">
        <f t="shared" si="0"/>
        <v>1682.239112482915</v>
      </c>
      <c r="AE62" s="10"/>
      <c r="AF62" s="10">
        <f t="shared" si="0"/>
        <v>1638.6594919256331</v>
      </c>
      <c r="AG62" s="10"/>
      <c r="AH62" s="10">
        <f t="shared" si="0"/>
        <v>1670.4468782974577</v>
      </c>
      <c r="AI62" s="36"/>
      <c r="AJ62" s="36">
        <f t="shared" si="2"/>
        <v>1682.239112482915</v>
      </c>
      <c r="AK62" s="36"/>
      <c r="AL62" s="36">
        <f t="shared" si="3"/>
        <v>1638.6594919256331</v>
      </c>
      <c r="AM62" s="36"/>
      <c r="AN62" s="36">
        <f t="shared" si="4"/>
        <v>1670.4468782974577</v>
      </c>
      <c r="AO62" s="36"/>
      <c r="AP62" s="36">
        <f t="shared" si="1"/>
        <v>1663.7818275686686</v>
      </c>
      <c r="AQ62" s="36"/>
      <c r="AR62" s="83">
        <f t="shared" si="17"/>
        <v>723.585724243485</v>
      </c>
    </row>
    <row r="63" spans="2:44" ht="12.75">
      <c r="B63" s="4" t="s">
        <v>106</v>
      </c>
      <c r="D63" s="8" t="s">
        <v>37</v>
      </c>
      <c r="F63" s="10">
        <f t="shared" si="5"/>
        <v>1366.200691628964</v>
      </c>
      <c r="G63" s="12"/>
      <c r="H63" s="10">
        <f t="shared" si="6"/>
        <v>1656.849966611356</v>
      </c>
      <c r="I63" s="10"/>
      <c r="J63" s="10">
        <f t="shared" si="7"/>
        <v>1675.4009039850373</v>
      </c>
      <c r="K63" s="36"/>
      <c r="L63" s="10">
        <f t="shared" si="8"/>
        <v>32446.114429093755</v>
      </c>
      <c r="M63" s="12"/>
      <c r="N63" s="10">
        <f t="shared" si="9"/>
        <v>20108.826024973885</v>
      </c>
      <c r="O63" s="10"/>
      <c r="P63" s="10">
        <f t="shared" si="10"/>
        <v>22203.298615210002</v>
      </c>
      <c r="Q63" s="36"/>
      <c r="R63" s="10">
        <f t="shared" si="11"/>
        <v>69490.5710394886</v>
      </c>
      <c r="S63" s="12"/>
      <c r="T63" s="10">
        <f t="shared" si="12"/>
        <v>32141.967921174255</v>
      </c>
      <c r="U63" s="10"/>
      <c r="V63" s="10">
        <f t="shared" si="13"/>
        <v>45360.89515439363</v>
      </c>
      <c r="W63" s="36"/>
      <c r="X63" s="10">
        <f t="shared" si="14"/>
        <v>454629.13652983226</v>
      </c>
      <c r="Y63" s="12"/>
      <c r="Z63" s="10">
        <f t="shared" si="15"/>
        <v>366963.0446790343</v>
      </c>
      <c r="AA63" s="10"/>
      <c r="AB63" s="10">
        <f t="shared" si="16"/>
        <v>343916.0075655625</v>
      </c>
      <c r="AC63" s="10"/>
      <c r="AD63" s="10">
        <f t="shared" si="0"/>
        <v>557932.0226900436</v>
      </c>
      <c r="AE63" s="10"/>
      <c r="AF63" s="10">
        <f t="shared" si="0"/>
        <v>420870.6885917938</v>
      </c>
      <c r="AG63" s="10"/>
      <c r="AH63" s="10">
        <f t="shared" si="0"/>
        <v>413155.60223915114</v>
      </c>
      <c r="AI63" s="36"/>
      <c r="AJ63" s="36">
        <f t="shared" si="2"/>
        <v>557932.0226900436</v>
      </c>
      <c r="AK63" s="36"/>
      <c r="AL63" s="36">
        <f t="shared" si="3"/>
        <v>420870.6885917938</v>
      </c>
      <c r="AM63" s="36"/>
      <c r="AN63" s="36">
        <f t="shared" si="4"/>
        <v>413155.60223915114</v>
      </c>
      <c r="AO63" s="36"/>
      <c r="AP63" s="36">
        <f t="shared" si="1"/>
        <v>463986.10450699617</v>
      </c>
      <c r="AQ63" s="36"/>
      <c r="AR63" s="83">
        <f t="shared" si="17"/>
        <v>24919.413023092548</v>
      </c>
    </row>
    <row r="64" spans="2:44" ht="12.75">
      <c r="B64" s="8" t="s">
        <v>38</v>
      </c>
      <c r="D64" s="8" t="s">
        <v>37</v>
      </c>
      <c r="F64" s="10">
        <f>F54+F57</f>
        <v>291.3007871277109</v>
      </c>
      <c r="G64" s="12"/>
      <c r="H64" s="10">
        <f>H54+H57</f>
        <v>283.22221651476167</v>
      </c>
      <c r="I64" s="36"/>
      <c r="J64" s="10">
        <f>J54+J57</f>
        <v>281.57998386303143</v>
      </c>
      <c r="K64" s="36"/>
      <c r="L64" s="10">
        <f>L54+L57</f>
        <v>3055.463690632147</v>
      </c>
      <c r="M64" s="12"/>
      <c r="N64" s="10">
        <f>N54+N57</f>
        <v>2690.6175667218586</v>
      </c>
      <c r="O64" s="36"/>
      <c r="P64" s="10">
        <f>P54+P57</f>
        <v>2940.834253670199</v>
      </c>
      <c r="Q64" s="36"/>
      <c r="R64" s="10">
        <f>R54+R57</f>
        <v>195.19823325699045</v>
      </c>
      <c r="S64" s="12"/>
      <c r="T64" s="10">
        <f>T54+T57</f>
        <v>193.6263127781581</v>
      </c>
      <c r="U64" s="36"/>
      <c r="V64" s="10">
        <f>V54+V57</f>
        <v>192.20718285760006</v>
      </c>
      <c r="W64" s="36"/>
      <c r="X64" s="10">
        <f>X54+X57</f>
        <v>784.4724265964201</v>
      </c>
      <c r="Y64" s="12"/>
      <c r="Z64" s="10">
        <f>Z54+Z57</f>
        <v>1453.2113462007978</v>
      </c>
      <c r="AA64" s="36"/>
      <c r="AB64" s="10">
        <f>AB54+AB57</f>
        <v>769.6810212984752</v>
      </c>
      <c r="AC64" s="10"/>
      <c r="AD64" s="10">
        <f t="shared" si="0"/>
        <v>4326.435137613269</v>
      </c>
      <c r="AE64" s="10"/>
      <c r="AF64" s="10">
        <f t="shared" si="0"/>
        <v>4620.677442215576</v>
      </c>
      <c r="AG64" s="10"/>
      <c r="AH64" s="10">
        <f t="shared" si="0"/>
        <v>4184.302441689306</v>
      </c>
      <c r="AI64" s="36"/>
      <c r="AJ64" s="36">
        <f t="shared" si="2"/>
        <v>4326.435137613269</v>
      </c>
      <c r="AK64" s="36"/>
      <c r="AL64" s="36">
        <f t="shared" si="3"/>
        <v>4620.677442215576</v>
      </c>
      <c r="AM64" s="36"/>
      <c r="AN64" s="36">
        <f t="shared" si="4"/>
        <v>4184.302441689306</v>
      </c>
      <c r="AO64" s="36"/>
      <c r="AP64" s="36">
        <f t="shared" si="1"/>
        <v>4377.138340506051</v>
      </c>
      <c r="AQ64" s="36"/>
      <c r="AR64" s="83">
        <f t="shared" si="17"/>
        <v>2895.6385036747347</v>
      </c>
    </row>
    <row r="65" spans="2:44" ht="12.75">
      <c r="B65" s="8" t="s">
        <v>39</v>
      </c>
      <c r="D65" s="8" t="s">
        <v>37</v>
      </c>
      <c r="F65" s="10">
        <f>F50+F53+F55</f>
        <v>364.12598390963853</v>
      </c>
      <c r="G65" s="12"/>
      <c r="H65" s="10">
        <f>H50+H53+H55</f>
        <v>354.027770643452</v>
      </c>
      <c r="I65" s="36"/>
      <c r="J65" s="10">
        <f>J50+J53+J55</f>
        <v>351.9749798287893</v>
      </c>
      <c r="K65" s="36"/>
      <c r="L65" s="10">
        <f>L50+L53+L55</f>
        <v>1259491.2329327676</v>
      </c>
      <c r="M65" s="12"/>
      <c r="N65" s="10">
        <f>N50+N53+N55</f>
        <v>1090181.5934553451</v>
      </c>
      <c r="O65" s="36"/>
      <c r="P65" s="10">
        <f>P50+P53+P55</f>
        <v>1265823.2878072637</v>
      </c>
      <c r="Q65" s="36"/>
      <c r="R65" s="10">
        <f>R50+R53+R55</f>
        <v>648.0581344132081</v>
      </c>
      <c r="S65" s="12"/>
      <c r="T65" s="10">
        <f>T50+T53+T55</f>
        <v>549.8987282899691</v>
      </c>
      <c r="U65" s="36"/>
      <c r="V65" s="10">
        <f>V50+V53+V55</f>
        <v>686.1796428016322</v>
      </c>
      <c r="W65" s="36"/>
      <c r="X65" s="10">
        <f>X50+X53+X55</f>
        <v>9549.765963399119</v>
      </c>
      <c r="Y65" s="12"/>
      <c r="Z65" s="10">
        <f>Z50+Z53+Z55</f>
        <v>8207.563732856775</v>
      </c>
      <c r="AA65" s="36"/>
      <c r="AB65" s="10">
        <f>AB50+AB53+AB55</f>
        <v>6843.027460578542</v>
      </c>
      <c r="AC65" s="10"/>
      <c r="AD65" s="10">
        <f t="shared" si="0"/>
        <v>1270053.1830144897</v>
      </c>
      <c r="AE65" s="10"/>
      <c r="AF65" s="10">
        <f t="shared" si="0"/>
        <v>1099293.0836871353</v>
      </c>
      <c r="AG65" s="10"/>
      <c r="AH65" s="10">
        <f t="shared" si="0"/>
        <v>1273704.4698904727</v>
      </c>
      <c r="AI65" s="36"/>
      <c r="AJ65" s="36">
        <f t="shared" si="2"/>
        <v>1270053.1830144897</v>
      </c>
      <c r="AK65" s="36"/>
      <c r="AL65" s="36">
        <f t="shared" si="3"/>
        <v>1099293.0836871353</v>
      </c>
      <c r="AM65" s="36"/>
      <c r="AN65" s="36">
        <f t="shared" si="4"/>
        <v>1273704.4698904727</v>
      </c>
      <c r="AO65" s="36"/>
      <c r="AP65" s="36">
        <f t="shared" si="1"/>
        <v>1214350.2455306991</v>
      </c>
      <c r="AQ65" s="36"/>
      <c r="AR65" s="83">
        <f>AVERAGE(L65,N65,P65)</f>
        <v>1205165.371398459</v>
      </c>
    </row>
    <row r="70" spans="1:43" ht="12.75">
      <c r="A70" s="29" t="s">
        <v>75</v>
      </c>
      <c r="B70" s="28" t="s">
        <v>135</v>
      </c>
      <c r="C70" s="28" t="s">
        <v>74</v>
      </c>
      <c r="F70" s="31" t="s">
        <v>198</v>
      </c>
      <c r="H70" s="31" t="s">
        <v>199</v>
      </c>
      <c r="I70" s="31"/>
      <c r="J70" s="31" t="s">
        <v>200</v>
      </c>
      <c r="L70" s="31" t="s">
        <v>198</v>
      </c>
      <c r="M70" s="31"/>
      <c r="N70" s="31" t="s">
        <v>199</v>
      </c>
      <c r="O70" s="31"/>
      <c r="P70" s="31" t="s">
        <v>200</v>
      </c>
      <c r="Q70" s="28"/>
      <c r="R70" s="31" t="s">
        <v>198</v>
      </c>
      <c r="S70" s="31"/>
      <c r="T70" s="31" t="s">
        <v>199</v>
      </c>
      <c r="U70" s="31"/>
      <c r="V70" s="31" t="s">
        <v>200</v>
      </c>
      <c r="W70" s="28"/>
      <c r="X70" s="31" t="s">
        <v>198</v>
      </c>
      <c r="Y70" s="31"/>
      <c r="Z70" s="31" t="s">
        <v>199</v>
      </c>
      <c r="AA70" s="31"/>
      <c r="AB70" s="31" t="s">
        <v>200</v>
      </c>
      <c r="AC70" s="31"/>
      <c r="AD70" s="31" t="s">
        <v>198</v>
      </c>
      <c r="AE70" s="31"/>
      <c r="AF70" s="31" t="s">
        <v>199</v>
      </c>
      <c r="AG70" s="31"/>
      <c r="AH70" s="31" t="s">
        <v>200</v>
      </c>
      <c r="AJ70" s="31" t="s">
        <v>198</v>
      </c>
      <c r="AK70" s="31"/>
      <c r="AL70" s="31" t="s">
        <v>199</v>
      </c>
      <c r="AM70" s="31"/>
      <c r="AN70" s="31" t="s">
        <v>200</v>
      </c>
      <c r="AP70" s="12" t="s">
        <v>201</v>
      </c>
      <c r="AQ70" s="31"/>
    </row>
    <row r="71" spans="2:43" ht="12.75">
      <c r="B71" s="28"/>
      <c r="C71" s="28"/>
      <c r="F71" s="31"/>
      <c r="H71" s="31"/>
      <c r="I71" s="31"/>
      <c r="J71" s="31"/>
      <c r="L71" s="31"/>
      <c r="M71" s="31"/>
      <c r="N71" s="31"/>
      <c r="O71" s="31"/>
      <c r="P71" s="31"/>
      <c r="Q71" s="28"/>
      <c r="R71" s="31"/>
      <c r="S71" s="31"/>
      <c r="T71" s="31"/>
      <c r="U71" s="31"/>
      <c r="V71" s="31"/>
      <c r="W71" s="28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J71" s="31"/>
      <c r="AK71" s="31"/>
      <c r="AL71" s="31"/>
      <c r="AM71" s="31"/>
      <c r="AN71" s="31"/>
      <c r="AP71" s="12"/>
      <c r="AQ71" s="31"/>
    </row>
    <row r="72" spans="2:43" ht="12.75">
      <c r="B72" s="8" t="s">
        <v>219</v>
      </c>
      <c r="C72" s="28"/>
      <c r="F72" s="31" t="s">
        <v>223</v>
      </c>
      <c r="H72" s="31" t="s">
        <v>223</v>
      </c>
      <c r="I72" s="31"/>
      <c r="J72" s="31" t="s">
        <v>223</v>
      </c>
      <c r="L72" s="31" t="s">
        <v>224</v>
      </c>
      <c r="M72" s="31"/>
      <c r="N72" s="31" t="s">
        <v>224</v>
      </c>
      <c r="O72" s="31"/>
      <c r="P72" s="31" t="s">
        <v>224</v>
      </c>
      <c r="Q72" s="28"/>
      <c r="R72" s="31" t="s">
        <v>225</v>
      </c>
      <c r="S72" s="31"/>
      <c r="T72" s="31" t="s">
        <v>225</v>
      </c>
      <c r="U72" s="31"/>
      <c r="V72" s="31" t="s">
        <v>225</v>
      </c>
      <c r="W72" s="28"/>
      <c r="X72" s="31" t="s">
        <v>226</v>
      </c>
      <c r="Y72" s="31"/>
      <c r="Z72" s="31" t="s">
        <v>226</v>
      </c>
      <c r="AA72" s="31"/>
      <c r="AB72" s="31" t="s">
        <v>226</v>
      </c>
      <c r="AC72" s="31"/>
      <c r="AD72" s="31"/>
      <c r="AE72" s="31"/>
      <c r="AF72" s="31"/>
      <c r="AG72" s="31"/>
      <c r="AH72" s="31"/>
      <c r="AJ72" s="31" t="s">
        <v>227</v>
      </c>
      <c r="AK72" s="31"/>
      <c r="AL72" s="31" t="s">
        <v>227</v>
      </c>
      <c r="AM72" s="31"/>
      <c r="AN72" s="31" t="s">
        <v>227</v>
      </c>
      <c r="AP72" s="12" t="s">
        <v>227</v>
      </c>
      <c r="AQ72" s="31"/>
    </row>
    <row r="73" spans="1:43" ht="12.75">
      <c r="A73" s="61"/>
      <c r="B73" s="8" t="s">
        <v>220</v>
      </c>
      <c r="F73" s="29" t="s">
        <v>221</v>
      </c>
      <c r="G73" s="29"/>
      <c r="H73" s="29" t="s">
        <v>221</v>
      </c>
      <c r="J73" s="29" t="s">
        <v>221</v>
      </c>
      <c r="L73" s="29" t="s">
        <v>221</v>
      </c>
      <c r="N73" s="29" t="s">
        <v>221</v>
      </c>
      <c r="P73" s="29" t="s">
        <v>221</v>
      </c>
      <c r="R73" s="29" t="s">
        <v>221</v>
      </c>
      <c r="T73" s="29" t="s">
        <v>221</v>
      </c>
      <c r="V73" s="29" t="s">
        <v>221</v>
      </c>
      <c r="X73" s="29" t="s">
        <v>222</v>
      </c>
      <c r="Z73" s="29" t="s">
        <v>222</v>
      </c>
      <c r="AB73" s="29" t="s">
        <v>222</v>
      </c>
      <c r="AJ73" s="31" t="s">
        <v>117</v>
      </c>
      <c r="AL73" s="31" t="s">
        <v>117</v>
      </c>
      <c r="AN73" s="31" t="s">
        <v>117</v>
      </c>
      <c r="AP73" s="12" t="s">
        <v>117</v>
      </c>
      <c r="AQ73" s="31"/>
    </row>
    <row r="74" spans="1:43" ht="12.75">
      <c r="A74" s="61"/>
      <c r="B74" s="8" t="s">
        <v>228</v>
      </c>
      <c r="F74" s="29"/>
      <c r="G74" s="29"/>
      <c r="AD74" s="29" t="s">
        <v>43</v>
      </c>
      <c r="AF74" s="29" t="s">
        <v>43</v>
      </c>
      <c r="AH74" s="29" t="s">
        <v>43</v>
      </c>
      <c r="AJ74" s="31" t="s">
        <v>117</v>
      </c>
      <c r="AL74" s="31" t="s">
        <v>117</v>
      </c>
      <c r="AN74" s="31" t="s">
        <v>117</v>
      </c>
      <c r="AP74" s="12" t="s">
        <v>117</v>
      </c>
      <c r="AQ74" s="31"/>
    </row>
    <row r="75" spans="2:43" ht="12.75">
      <c r="B75" s="8" t="s">
        <v>21</v>
      </c>
      <c r="C75" s="28"/>
      <c r="D75" s="58"/>
      <c r="F75" s="30" t="s">
        <v>108</v>
      </c>
      <c r="H75" s="30" t="s">
        <v>108</v>
      </c>
      <c r="J75" s="30" t="s">
        <v>108</v>
      </c>
      <c r="L75" s="8" t="s">
        <v>111</v>
      </c>
      <c r="N75" s="8" t="s">
        <v>111</v>
      </c>
      <c r="O75" s="30"/>
      <c r="P75" s="8" t="s">
        <v>111</v>
      </c>
      <c r="R75" s="29" t="s">
        <v>115</v>
      </c>
      <c r="T75" s="29" t="s">
        <v>115</v>
      </c>
      <c r="V75" s="29" t="s">
        <v>115</v>
      </c>
      <c r="X75" s="31" t="s">
        <v>116</v>
      </c>
      <c r="Y75" s="31"/>
      <c r="Z75" s="31" t="s">
        <v>116</v>
      </c>
      <c r="AA75" s="31"/>
      <c r="AB75" s="31" t="s">
        <v>116</v>
      </c>
      <c r="AC75" s="31"/>
      <c r="AD75" s="31"/>
      <c r="AE75" s="31"/>
      <c r="AF75" s="31"/>
      <c r="AG75" s="31"/>
      <c r="AH75" s="31"/>
      <c r="AJ75" s="31" t="s">
        <v>117</v>
      </c>
      <c r="AL75" s="31" t="s">
        <v>117</v>
      </c>
      <c r="AN75" s="31" t="s">
        <v>117</v>
      </c>
      <c r="AP75" s="12" t="s">
        <v>117</v>
      </c>
      <c r="AQ75" s="31"/>
    </row>
    <row r="76" spans="2:43" ht="12.75">
      <c r="B76" s="8" t="s">
        <v>107</v>
      </c>
      <c r="D76" s="8" t="s">
        <v>30</v>
      </c>
      <c r="F76" s="30">
        <v>1202</v>
      </c>
      <c r="H76" s="29">
        <v>1162</v>
      </c>
      <c r="J76" s="29">
        <v>1153</v>
      </c>
      <c r="L76" s="30">
        <v>3483</v>
      </c>
      <c r="M76" s="31"/>
      <c r="N76" s="29">
        <v>3420</v>
      </c>
      <c r="P76" s="18">
        <v>3458</v>
      </c>
      <c r="Q76" s="8"/>
      <c r="R76" s="30">
        <v>845.5</v>
      </c>
      <c r="S76" s="31"/>
      <c r="T76" s="29">
        <v>928.7</v>
      </c>
      <c r="V76" s="29">
        <v>997.4</v>
      </c>
      <c r="X76" s="24">
        <v>1633</v>
      </c>
      <c r="Y76" s="20"/>
      <c r="Z76" s="18">
        <v>1601</v>
      </c>
      <c r="AA76" s="18"/>
      <c r="AB76" s="18">
        <v>1614</v>
      </c>
      <c r="AC76" s="18"/>
      <c r="AD76" s="18"/>
      <c r="AE76" s="18"/>
      <c r="AF76" s="18"/>
      <c r="AG76" s="18"/>
      <c r="AH76" s="18"/>
      <c r="AJ76" s="10">
        <f>F76+L76+R76+X76</f>
        <v>7163.5</v>
      </c>
      <c r="AK76" s="31"/>
      <c r="AL76" s="10">
        <f>H76+N76+T76+Z76</f>
        <v>7111.7</v>
      </c>
      <c r="AM76" s="30"/>
      <c r="AN76" s="10">
        <f>J76+P76+V76+AB76</f>
        <v>7222.4</v>
      </c>
      <c r="AP76" s="36">
        <f>AVERAGE(AJ76,AL76,AN76)</f>
        <v>7165.866666666666</v>
      </c>
      <c r="AQ76" s="36"/>
    </row>
    <row r="77" spans="2:40" ht="12.75">
      <c r="B77" s="8" t="s">
        <v>22</v>
      </c>
      <c r="D77" s="8" t="s">
        <v>23</v>
      </c>
      <c r="F77" s="30">
        <v>17300</v>
      </c>
      <c r="H77" s="29">
        <v>17300</v>
      </c>
      <c r="J77" s="29">
        <v>17400</v>
      </c>
      <c r="K77" s="29" t="s">
        <v>20</v>
      </c>
      <c r="L77" s="30">
        <v>100</v>
      </c>
      <c r="M77" s="31" t="s">
        <v>20</v>
      </c>
      <c r="N77" s="29">
        <v>100</v>
      </c>
      <c r="O77" s="29" t="s">
        <v>20</v>
      </c>
      <c r="P77" s="29">
        <v>100</v>
      </c>
      <c r="Q77" s="8"/>
      <c r="R77" s="30">
        <v>5800</v>
      </c>
      <c r="S77" s="31"/>
      <c r="T77" s="29">
        <v>6000</v>
      </c>
      <c r="V77" s="29">
        <v>6000</v>
      </c>
      <c r="X77" s="30">
        <v>6837</v>
      </c>
      <c r="Y77" s="31"/>
      <c r="Z77" s="29">
        <v>7033</v>
      </c>
      <c r="AB77" s="29">
        <v>6900</v>
      </c>
      <c r="AJ77" s="10"/>
      <c r="AK77" s="31"/>
      <c r="AL77" s="10"/>
      <c r="AM77" s="30"/>
      <c r="AN77" s="10"/>
    </row>
    <row r="78" spans="2:40" ht="12.75">
      <c r="B78" s="8" t="s">
        <v>109</v>
      </c>
      <c r="F78" s="30">
        <v>0.87</v>
      </c>
      <c r="H78" s="29">
        <v>0.87</v>
      </c>
      <c r="J78" s="29">
        <v>0.86</v>
      </c>
      <c r="L78" s="80">
        <v>0.96</v>
      </c>
      <c r="M78" s="31"/>
      <c r="N78" s="29">
        <v>0.96</v>
      </c>
      <c r="P78" s="29">
        <v>0.96</v>
      </c>
      <c r="Q78" s="8"/>
      <c r="R78" s="80">
        <v>1.32</v>
      </c>
      <c r="S78" s="31"/>
      <c r="T78" s="29">
        <v>1.28</v>
      </c>
      <c r="V78" s="29">
        <v>1.31</v>
      </c>
      <c r="X78" s="80">
        <v>1.28</v>
      </c>
      <c r="Y78" s="31"/>
      <c r="Z78" s="29">
        <v>1.28</v>
      </c>
      <c r="AB78" s="29">
        <v>1.29</v>
      </c>
      <c r="AJ78" s="80"/>
      <c r="AK78" s="31"/>
      <c r="AL78" s="80"/>
      <c r="AM78" s="30"/>
      <c r="AN78" s="80"/>
    </row>
    <row r="79" spans="12:40" ht="12.75">
      <c r="L79" s="80"/>
      <c r="M79" s="31"/>
      <c r="Q79" s="8"/>
      <c r="R79" s="80"/>
      <c r="S79" s="31"/>
      <c r="X79" s="80"/>
      <c r="Y79" s="31"/>
      <c r="AJ79" s="30"/>
      <c r="AK79" s="31"/>
      <c r="AM79" s="30"/>
      <c r="AN79" s="31"/>
    </row>
    <row r="80" spans="2:40" ht="12.75">
      <c r="B80" s="8" t="s">
        <v>24</v>
      </c>
      <c r="D80" s="8" t="s">
        <v>18</v>
      </c>
      <c r="E80" s="31"/>
      <c r="F80" s="30">
        <v>1.17</v>
      </c>
      <c r="H80" s="29">
        <v>1.45</v>
      </c>
      <c r="I80" s="9"/>
      <c r="J80" s="29">
        <v>1.54</v>
      </c>
      <c r="K80" s="31"/>
      <c r="L80" s="30">
        <f>0.1/2</f>
        <v>0.05</v>
      </c>
      <c r="M80" s="31"/>
      <c r="N80" s="29">
        <f>0.11</f>
        <v>0.11</v>
      </c>
      <c r="O80" s="9"/>
      <c r="P80" s="29">
        <v>0.11</v>
      </c>
      <c r="Q80" s="8"/>
      <c r="R80" s="30">
        <v>17.2</v>
      </c>
      <c r="S80" s="31"/>
      <c r="T80" s="29">
        <v>0.94</v>
      </c>
      <c r="U80" s="9"/>
      <c r="V80" s="29">
        <v>0.9</v>
      </c>
      <c r="X80" s="30">
        <v>29.5</v>
      </c>
      <c r="Y80" s="31"/>
      <c r="Z80" s="29">
        <v>23.7</v>
      </c>
      <c r="AA80" s="9"/>
      <c r="AB80" s="29">
        <v>27.5</v>
      </c>
      <c r="AJ80" s="10"/>
      <c r="AK80" s="31"/>
      <c r="AL80" s="10"/>
      <c r="AM80" s="30"/>
      <c r="AN80" s="10"/>
    </row>
    <row r="81" spans="2:40" ht="12.75">
      <c r="B81" s="8" t="s">
        <v>25</v>
      </c>
      <c r="D81" s="8" t="s">
        <v>18</v>
      </c>
      <c r="E81" s="31"/>
      <c r="F81" s="30">
        <v>0.18</v>
      </c>
      <c r="H81" s="29">
        <v>0.15</v>
      </c>
      <c r="I81" s="9"/>
      <c r="J81" s="29">
        <v>0.18</v>
      </c>
      <c r="K81" s="31"/>
      <c r="L81" s="30">
        <v>0.86</v>
      </c>
      <c r="M81" s="31"/>
      <c r="N81" s="29">
        <v>0.93</v>
      </c>
      <c r="O81" s="9"/>
      <c r="P81" s="29">
        <v>0.9</v>
      </c>
      <c r="Q81" s="8"/>
      <c r="R81" s="30">
        <v>47</v>
      </c>
      <c r="S81" s="31"/>
      <c r="T81" s="29">
        <v>49.3</v>
      </c>
      <c r="U81" s="9"/>
      <c r="V81" s="29">
        <v>48.9</v>
      </c>
      <c r="X81" s="30">
        <v>24.3</v>
      </c>
      <c r="Y81" s="31"/>
      <c r="Z81" s="29">
        <v>22.7</v>
      </c>
      <c r="AA81" s="9"/>
      <c r="AB81" s="29">
        <v>24.1</v>
      </c>
      <c r="AJ81" s="10"/>
      <c r="AK81" s="31"/>
      <c r="AL81" s="10"/>
      <c r="AM81" s="30"/>
      <c r="AN81" s="10"/>
    </row>
    <row r="82" spans="2:40" ht="12.75">
      <c r="B82" s="8" t="s">
        <v>110</v>
      </c>
      <c r="D82" s="8" t="s">
        <v>18</v>
      </c>
      <c r="E82" s="31"/>
      <c r="F82" s="30">
        <v>2.6</v>
      </c>
      <c r="H82" s="29">
        <v>2.2</v>
      </c>
      <c r="I82" s="30"/>
      <c r="J82" s="29">
        <v>3</v>
      </c>
      <c r="K82" s="31"/>
      <c r="L82" s="30">
        <v>0.38</v>
      </c>
      <c r="M82" s="31"/>
      <c r="N82" s="29">
        <v>0.1</v>
      </c>
      <c r="O82" s="30"/>
      <c r="P82" s="29">
        <v>0.09</v>
      </c>
      <c r="Q82" s="8"/>
      <c r="R82" s="30">
        <v>1.9</v>
      </c>
      <c r="S82" s="31"/>
      <c r="T82" s="29">
        <v>2</v>
      </c>
      <c r="U82" s="30"/>
      <c r="V82" s="29">
        <v>2.1</v>
      </c>
      <c r="X82" s="30">
        <v>29.6</v>
      </c>
      <c r="Y82" s="31"/>
      <c r="Z82" s="29">
        <v>36.5</v>
      </c>
      <c r="AA82" s="30"/>
      <c r="AB82" s="29">
        <v>30.7</v>
      </c>
      <c r="AJ82" s="10"/>
      <c r="AK82" s="31"/>
      <c r="AL82" s="10"/>
      <c r="AM82" s="30"/>
      <c r="AN82" s="10"/>
    </row>
    <row r="83" spans="5:40" ht="12.75">
      <c r="E83" s="31"/>
      <c r="I83" s="30"/>
      <c r="K83" s="30"/>
      <c r="L83" s="30"/>
      <c r="M83" s="30"/>
      <c r="O83" s="10"/>
      <c r="P83" s="31"/>
      <c r="AJ83" s="30"/>
      <c r="AK83" s="31"/>
      <c r="AM83" s="30"/>
      <c r="AN83" s="31"/>
    </row>
    <row r="84" spans="2:40" ht="12.75">
      <c r="B84" s="8" t="s">
        <v>112</v>
      </c>
      <c r="D84" s="8" t="s">
        <v>113</v>
      </c>
      <c r="E84" s="31"/>
      <c r="F84" s="30">
        <f>25000/2</f>
        <v>12500</v>
      </c>
      <c r="H84" s="30">
        <f>25000/2</f>
        <v>12500</v>
      </c>
      <c r="I84" s="30"/>
      <c r="J84" s="30">
        <f>25000/2</f>
        <v>12500</v>
      </c>
      <c r="K84" s="30"/>
      <c r="L84" s="30">
        <f>350/2</f>
        <v>175</v>
      </c>
      <c r="M84" s="30"/>
      <c r="N84" s="29">
        <f>63/2</f>
        <v>31.5</v>
      </c>
      <c r="O84" s="10"/>
      <c r="P84" s="30">
        <f>50/2</f>
        <v>25</v>
      </c>
      <c r="R84" s="29">
        <v>700000</v>
      </c>
      <c r="T84" s="29">
        <v>620000</v>
      </c>
      <c r="V84" s="29">
        <v>560000</v>
      </c>
      <c r="X84" s="36">
        <f>AVERAGE(130/2,130/2,130/2)</f>
        <v>65</v>
      </c>
      <c r="Z84" s="36">
        <f>AVERAGE(130/2,130/2,130/2)</f>
        <v>65</v>
      </c>
      <c r="AB84" s="36">
        <f>AVERAGE(130/2,130/2,130/2)</f>
        <v>65</v>
      </c>
      <c r="AC84" s="36"/>
      <c r="AD84" s="36"/>
      <c r="AE84" s="36"/>
      <c r="AF84" s="36"/>
      <c r="AG84" s="36"/>
      <c r="AH84" s="36"/>
      <c r="AJ84" s="7"/>
      <c r="AK84" s="31"/>
      <c r="AL84" s="7"/>
      <c r="AM84" s="30"/>
      <c r="AN84" s="7"/>
    </row>
    <row r="85" spans="2:40" ht="12.75">
      <c r="B85" s="8" t="s">
        <v>77</v>
      </c>
      <c r="D85" s="8" t="s">
        <v>113</v>
      </c>
      <c r="F85" s="30">
        <v>640000</v>
      </c>
      <c r="H85" s="29">
        <v>700000</v>
      </c>
      <c r="J85" s="29">
        <v>650000</v>
      </c>
      <c r="K85" s="30"/>
      <c r="L85" s="30">
        <v>3600</v>
      </c>
      <c r="M85" s="30"/>
      <c r="N85" s="18">
        <v>2400</v>
      </c>
      <c r="O85" s="10"/>
      <c r="P85" s="30">
        <v>1600</v>
      </c>
      <c r="R85" s="29">
        <v>90000</v>
      </c>
      <c r="T85" s="29">
        <v>81000</v>
      </c>
      <c r="V85" s="29">
        <v>73000</v>
      </c>
      <c r="X85" s="36">
        <f>AVERAGE(130/2,130/2,130/2)</f>
        <v>65</v>
      </c>
      <c r="Z85" s="36">
        <f>AVERAGE(130/2,130/2,130/2)</f>
        <v>65</v>
      </c>
      <c r="AB85" s="36">
        <f>AVERAGE(130/2,130/2,130/2)</f>
        <v>65</v>
      </c>
      <c r="AC85" s="36"/>
      <c r="AD85" s="36"/>
      <c r="AE85" s="36"/>
      <c r="AF85" s="36"/>
      <c r="AG85" s="36"/>
      <c r="AH85" s="36"/>
      <c r="AJ85" s="7"/>
      <c r="AK85" s="31"/>
      <c r="AL85" s="7"/>
      <c r="AM85" s="30"/>
      <c r="AN85" s="7"/>
    </row>
    <row r="86" spans="2:40" ht="12.75">
      <c r="B86" s="8" t="s">
        <v>29</v>
      </c>
      <c r="D86" s="8" t="s">
        <v>113</v>
      </c>
      <c r="F86" s="30">
        <f>25000/2</f>
        <v>12500</v>
      </c>
      <c r="H86" s="30">
        <f>25000/2</f>
        <v>12500</v>
      </c>
      <c r="I86" s="30"/>
      <c r="J86" s="30">
        <f>25000/2</f>
        <v>12500</v>
      </c>
      <c r="K86" s="30"/>
      <c r="L86" s="30">
        <f>86/2</f>
        <v>43</v>
      </c>
      <c r="M86" s="30"/>
      <c r="N86" s="29">
        <f>63/2</f>
        <v>31.5</v>
      </c>
      <c r="O86" s="10"/>
      <c r="P86" s="30">
        <f>50/2</f>
        <v>25</v>
      </c>
      <c r="R86" s="29">
        <v>140000</v>
      </c>
      <c r="T86" s="29">
        <v>120000</v>
      </c>
      <c r="V86" s="29">
        <v>110000</v>
      </c>
      <c r="X86" s="36">
        <f>AVERAGE(130/2,130/2,130/2)</f>
        <v>65</v>
      </c>
      <c r="Z86" s="36">
        <f>AVERAGE(130/2,130/2,130/2)</f>
        <v>65</v>
      </c>
      <c r="AB86" s="36">
        <f>AVERAGE(130/2,130/2,130/2)</f>
        <v>65</v>
      </c>
      <c r="AC86" s="36"/>
      <c r="AD86" s="36"/>
      <c r="AE86" s="36"/>
      <c r="AF86" s="36"/>
      <c r="AG86" s="36"/>
      <c r="AH86" s="36"/>
      <c r="AJ86" s="7"/>
      <c r="AK86" s="31"/>
      <c r="AL86" s="7"/>
      <c r="AM86" s="30"/>
      <c r="AN86" s="7"/>
    </row>
    <row r="87" spans="11:40" ht="12.75">
      <c r="K87" s="30"/>
      <c r="L87" s="30"/>
      <c r="M87" s="30"/>
      <c r="O87" s="10"/>
      <c r="P87" s="30"/>
      <c r="AJ87" s="30"/>
      <c r="AK87" s="31"/>
      <c r="AM87" s="30"/>
      <c r="AN87" s="31"/>
    </row>
    <row r="88" spans="2:40" ht="12.75">
      <c r="B88" s="4" t="s">
        <v>60</v>
      </c>
      <c r="D88" s="8" t="s">
        <v>114</v>
      </c>
      <c r="F88" s="30">
        <f>10/2</f>
        <v>5</v>
      </c>
      <c r="H88" s="29">
        <f>10/2</f>
        <v>5</v>
      </c>
      <c r="J88" s="29">
        <f>10/2</f>
        <v>5</v>
      </c>
      <c r="K88" s="30"/>
      <c r="L88" s="30">
        <v>2000</v>
      </c>
      <c r="M88" s="30"/>
      <c r="N88" s="29">
        <v>2130</v>
      </c>
      <c r="O88" s="10"/>
      <c r="P88" s="30">
        <v>3420</v>
      </c>
      <c r="R88" s="29">
        <f>10/2</f>
        <v>5</v>
      </c>
      <c r="T88" s="29">
        <v>21.4</v>
      </c>
      <c r="V88" s="29">
        <f>10/2</f>
        <v>5</v>
      </c>
      <c r="X88" s="32">
        <f>32.7*X$78</f>
        <v>41.856</v>
      </c>
      <c r="Z88" s="32">
        <f>55*Z$78</f>
        <v>70.4</v>
      </c>
      <c r="AA88" s="32"/>
      <c r="AB88" s="32">
        <f>50*AB$78</f>
        <v>64.5</v>
      </c>
      <c r="AC88" s="32"/>
      <c r="AD88" s="32"/>
      <c r="AE88" s="32"/>
      <c r="AF88" s="32"/>
      <c r="AG88" s="32"/>
      <c r="AH88" s="32"/>
      <c r="AJ88" s="6"/>
      <c r="AK88" s="31"/>
      <c r="AL88" s="6"/>
      <c r="AM88" s="30"/>
      <c r="AN88" s="6"/>
    </row>
    <row r="89" spans="2:34" ht="12.75">
      <c r="B89" s="4" t="s">
        <v>59</v>
      </c>
      <c r="D89" s="8" t="s">
        <v>114</v>
      </c>
      <c r="F89" s="30">
        <f>60/2</f>
        <v>30</v>
      </c>
      <c r="H89" s="29">
        <f>60/2</f>
        <v>30</v>
      </c>
      <c r="J89" s="29">
        <f>60/2</f>
        <v>30</v>
      </c>
      <c r="K89" s="30"/>
      <c r="L89" s="30">
        <f>60/2</f>
        <v>30</v>
      </c>
      <c r="M89" s="30"/>
      <c r="N89" s="30">
        <f>60/2</f>
        <v>30</v>
      </c>
      <c r="O89" s="10"/>
      <c r="P89" s="30">
        <f>60/2</f>
        <v>30</v>
      </c>
      <c r="R89" s="29">
        <f>60/2</f>
        <v>30</v>
      </c>
      <c r="T89" s="29">
        <f>60/2</f>
        <v>30</v>
      </c>
      <c r="V89" s="29">
        <f>60/2</f>
        <v>30</v>
      </c>
      <c r="X89" s="32">
        <f>19.4/2*X$78</f>
        <v>12.415999999999999</v>
      </c>
      <c r="Z89" s="32">
        <f>19.5/2*Z$78</f>
        <v>12.48</v>
      </c>
      <c r="AA89" s="32"/>
      <c r="AB89" s="32">
        <f>19/2*AB$78</f>
        <v>12.255</v>
      </c>
      <c r="AC89" s="32"/>
      <c r="AD89" s="32"/>
      <c r="AE89" s="32"/>
      <c r="AF89" s="32"/>
      <c r="AG89" s="32"/>
      <c r="AH89" s="32"/>
    </row>
    <row r="90" spans="2:37" ht="12.75">
      <c r="B90" s="4" t="s">
        <v>100</v>
      </c>
      <c r="D90" s="8" t="s">
        <v>114</v>
      </c>
      <c r="F90" s="30">
        <f>10/2</f>
        <v>5</v>
      </c>
      <c r="H90" s="30">
        <f>10/2</f>
        <v>5</v>
      </c>
      <c r="J90" s="30">
        <f>10/2</f>
        <v>5</v>
      </c>
      <c r="K90" s="30"/>
      <c r="L90" s="30">
        <v>15.9</v>
      </c>
      <c r="M90" s="30"/>
      <c r="N90" s="18">
        <v>14.2</v>
      </c>
      <c r="O90" s="10"/>
      <c r="P90" s="30">
        <v>18</v>
      </c>
      <c r="R90" s="29">
        <v>132</v>
      </c>
      <c r="T90" s="29">
        <v>27.3</v>
      </c>
      <c r="V90" s="29">
        <f>100/2</f>
        <v>50</v>
      </c>
      <c r="X90" s="32">
        <f>4*X$78</f>
        <v>5.12</v>
      </c>
      <c r="Y90" s="31"/>
      <c r="Z90" s="32">
        <f>6.3*Z$78</f>
        <v>8.064</v>
      </c>
      <c r="AB90" s="32">
        <f>6.7*AB$78</f>
        <v>8.643</v>
      </c>
      <c r="AC90" s="32"/>
      <c r="AD90" s="32"/>
      <c r="AE90" s="32"/>
      <c r="AF90" s="32"/>
      <c r="AG90" s="32"/>
      <c r="AH90" s="32"/>
      <c r="AJ90" s="30"/>
      <c r="AK90" s="31"/>
    </row>
    <row r="91" spans="2:37" ht="12.75">
      <c r="B91" s="4" t="s">
        <v>61</v>
      </c>
      <c r="D91" s="8" t="s">
        <v>114</v>
      </c>
      <c r="F91" s="30">
        <f>5/2</f>
        <v>2.5</v>
      </c>
      <c r="H91" s="30">
        <f>5/2</f>
        <v>2.5</v>
      </c>
      <c r="J91" s="30">
        <f>5/2</f>
        <v>2.5</v>
      </c>
      <c r="K91" s="30"/>
      <c r="L91" s="32">
        <v>22.1</v>
      </c>
      <c r="N91" s="18">
        <v>22.5</v>
      </c>
      <c r="O91" s="30"/>
      <c r="P91" s="30">
        <v>28.4</v>
      </c>
      <c r="R91" s="29">
        <v>5.76</v>
      </c>
      <c r="T91" s="29">
        <f>5/2</f>
        <v>2.5</v>
      </c>
      <c r="V91" s="29">
        <f>50/2</f>
        <v>25</v>
      </c>
      <c r="X91" s="32">
        <f>0.48/2*X$78</f>
        <v>0.3072</v>
      </c>
      <c r="Y91" s="31"/>
      <c r="Z91" s="32">
        <f>0.49/2*Z$78</f>
        <v>0.3136</v>
      </c>
      <c r="AB91" s="32">
        <f>0.49/2*AB$78</f>
        <v>0.31605</v>
      </c>
      <c r="AC91" s="32"/>
      <c r="AD91" s="32"/>
      <c r="AE91" s="32"/>
      <c r="AF91" s="32"/>
      <c r="AG91" s="32"/>
      <c r="AH91" s="32"/>
      <c r="AJ91" s="30"/>
      <c r="AK91" s="31"/>
    </row>
    <row r="92" spans="2:37" ht="12.75">
      <c r="B92" s="4" t="s">
        <v>62</v>
      </c>
      <c r="D92" s="8" t="s">
        <v>114</v>
      </c>
      <c r="F92" s="30">
        <f>5/2</f>
        <v>2.5</v>
      </c>
      <c r="H92" s="30">
        <f>5/2</f>
        <v>2.5</v>
      </c>
      <c r="J92" s="30">
        <f>5/2</f>
        <v>2.5</v>
      </c>
      <c r="L92" s="32">
        <f>5/2</f>
        <v>2.5</v>
      </c>
      <c r="N92" s="32">
        <f>5/2</f>
        <v>2.5</v>
      </c>
      <c r="O92" s="30"/>
      <c r="P92" s="32">
        <f>5/2</f>
        <v>2.5</v>
      </c>
      <c r="R92" s="29">
        <f>5/2</f>
        <v>2.5</v>
      </c>
      <c r="T92" s="29">
        <v>5.51</v>
      </c>
      <c r="V92" s="29">
        <f>50/2</f>
        <v>25</v>
      </c>
      <c r="X92" s="32">
        <f>1.9/2*X$78</f>
        <v>1.216</v>
      </c>
      <c r="Y92" s="31"/>
      <c r="Z92" s="32">
        <f>1.9/2*Z$78</f>
        <v>1.216</v>
      </c>
      <c r="AB92" s="32">
        <f>1.9/2*AB$78</f>
        <v>1.2255</v>
      </c>
      <c r="AC92" s="32"/>
      <c r="AD92" s="32"/>
      <c r="AE92" s="32"/>
      <c r="AF92" s="32"/>
      <c r="AG92" s="32"/>
      <c r="AH92" s="32"/>
      <c r="AJ92" s="30"/>
      <c r="AK92" s="31"/>
    </row>
    <row r="93" spans="2:34" ht="12.75">
      <c r="B93" s="4" t="s">
        <v>71</v>
      </c>
      <c r="D93" s="8" t="s">
        <v>114</v>
      </c>
      <c r="E93" s="31"/>
      <c r="F93" s="30">
        <f>10/2</f>
        <v>5</v>
      </c>
      <c r="H93" s="30">
        <f>10/2</f>
        <v>5</v>
      </c>
      <c r="J93" s="30">
        <f>10/2</f>
        <v>5</v>
      </c>
      <c r="L93" s="36">
        <v>2810</v>
      </c>
      <c r="N93" s="24">
        <v>2730</v>
      </c>
      <c r="O93" s="30"/>
      <c r="P93" s="30">
        <v>3450</v>
      </c>
      <c r="R93" s="29">
        <v>500</v>
      </c>
      <c r="T93" s="29">
        <v>139</v>
      </c>
      <c r="V93" s="29">
        <f>100/2</f>
        <v>50</v>
      </c>
      <c r="X93" s="32">
        <f>44.5*X$78</f>
        <v>56.96</v>
      </c>
      <c r="Z93" s="32">
        <f>59.3*Z$78</f>
        <v>75.904</v>
      </c>
      <c r="AB93" s="32">
        <f>98.7*AB$78</f>
        <v>127.32300000000001</v>
      </c>
      <c r="AC93" s="32"/>
      <c r="AD93" s="32"/>
      <c r="AE93" s="32"/>
      <c r="AF93" s="32"/>
      <c r="AG93" s="32"/>
      <c r="AH93" s="32"/>
    </row>
    <row r="94" spans="2:34" ht="12.75">
      <c r="B94" s="4" t="s">
        <v>101</v>
      </c>
      <c r="D94" s="8" t="s">
        <v>114</v>
      </c>
      <c r="E94" s="31"/>
      <c r="F94" s="30">
        <f>25/2</f>
        <v>12.5</v>
      </c>
      <c r="H94" s="30">
        <f>25/2</f>
        <v>12.5</v>
      </c>
      <c r="I94" s="30"/>
      <c r="J94" s="30">
        <f>25/2</f>
        <v>12.5</v>
      </c>
      <c r="L94" s="32">
        <v>50.1</v>
      </c>
      <c r="N94" s="24">
        <v>38.8</v>
      </c>
      <c r="O94" s="30"/>
      <c r="P94" s="30">
        <v>46.5</v>
      </c>
      <c r="R94" s="29">
        <v>447</v>
      </c>
      <c r="T94" s="29">
        <v>264</v>
      </c>
      <c r="V94" s="29">
        <v>279</v>
      </c>
      <c r="X94" s="36">
        <f>27333*X$78</f>
        <v>34986.24</v>
      </c>
      <c r="Z94" s="36">
        <f>38733*Z$78</f>
        <v>49578.24</v>
      </c>
      <c r="AA94" s="36"/>
      <c r="AB94" s="36">
        <f>40700*AB$78</f>
        <v>52503</v>
      </c>
      <c r="AC94" s="36"/>
      <c r="AD94" s="36"/>
      <c r="AE94" s="36"/>
      <c r="AF94" s="36"/>
      <c r="AG94" s="36"/>
      <c r="AH94" s="36"/>
    </row>
    <row r="95" spans="2:34" ht="12.75">
      <c r="B95" s="4" t="s">
        <v>58</v>
      </c>
      <c r="D95" s="8" t="s">
        <v>114</v>
      </c>
      <c r="F95" s="30">
        <f>15/2</f>
        <v>7.5</v>
      </c>
      <c r="H95" s="29">
        <f>15/2</f>
        <v>7.5</v>
      </c>
      <c r="J95" s="29">
        <f>15/2</f>
        <v>7.5</v>
      </c>
      <c r="L95" s="32">
        <f>15/2</f>
        <v>7.5</v>
      </c>
      <c r="N95" s="24">
        <v>16.5</v>
      </c>
      <c r="O95" s="30"/>
      <c r="P95" s="30">
        <f>15/2</f>
        <v>7.5</v>
      </c>
      <c r="R95" s="29">
        <f>15/2</f>
        <v>7.5</v>
      </c>
      <c r="T95" s="29">
        <v>68</v>
      </c>
      <c r="V95" s="29">
        <f>15/2</f>
        <v>7.5</v>
      </c>
      <c r="X95" s="32">
        <f>19.4/2*X$78</f>
        <v>12.415999999999999</v>
      </c>
      <c r="Z95" s="32">
        <f>19.4/2*Z$78</f>
        <v>12.415999999999999</v>
      </c>
      <c r="AB95" s="32">
        <f>19/2*AB$78</f>
        <v>12.255</v>
      </c>
      <c r="AC95" s="32"/>
      <c r="AD95" s="32"/>
      <c r="AE95" s="32"/>
      <c r="AF95" s="32"/>
      <c r="AG95" s="32"/>
      <c r="AH95" s="32"/>
    </row>
    <row r="96" spans="2:34" ht="12.75">
      <c r="B96" s="4" t="s">
        <v>63</v>
      </c>
      <c r="D96" s="8" t="s">
        <v>114</v>
      </c>
      <c r="F96" s="30">
        <f>20/2</f>
        <v>10</v>
      </c>
      <c r="H96" s="30">
        <f>20/2</f>
        <v>10</v>
      </c>
      <c r="J96" s="30">
        <f>20/2</f>
        <v>10</v>
      </c>
      <c r="L96" s="32">
        <f>20/2</f>
        <v>10</v>
      </c>
      <c r="N96" s="32">
        <f>20/2</f>
        <v>10</v>
      </c>
      <c r="O96" s="30"/>
      <c r="P96" s="32">
        <f>20/2</f>
        <v>10</v>
      </c>
      <c r="R96" s="29">
        <f>20/2</f>
        <v>10</v>
      </c>
      <c r="T96" s="29">
        <f>20/2</f>
        <v>10</v>
      </c>
      <c r="V96" s="29">
        <f>20/2</f>
        <v>10</v>
      </c>
      <c r="X96" s="71">
        <f>0.01/2*X$78</f>
        <v>0.0064</v>
      </c>
      <c r="Z96" s="71">
        <f>0.01/2*Z$78</f>
        <v>0.0064</v>
      </c>
      <c r="AB96" s="71">
        <f>0.01/2*AB$78</f>
        <v>0.00645</v>
      </c>
      <c r="AC96" s="71"/>
      <c r="AD96" s="71"/>
      <c r="AE96" s="71"/>
      <c r="AF96" s="71"/>
      <c r="AG96" s="71"/>
      <c r="AH96" s="71"/>
    </row>
    <row r="97" spans="2:34" ht="12.75">
      <c r="B97" s="4" t="s">
        <v>102</v>
      </c>
      <c r="D97" s="8" t="s">
        <v>114</v>
      </c>
      <c r="F97" s="30">
        <f>40/2</f>
        <v>20</v>
      </c>
      <c r="H97" s="29">
        <v>44.3</v>
      </c>
      <c r="J97" s="29">
        <f>40/2</f>
        <v>20</v>
      </c>
      <c r="L97" s="36">
        <v>336</v>
      </c>
      <c r="N97" s="24">
        <v>244</v>
      </c>
      <c r="O97" s="30"/>
      <c r="P97" s="30">
        <v>307</v>
      </c>
      <c r="R97" s="29">
        <v>61</v>
      </c>
      <c r="T97" s="29">
        <f>40/2</f>
        <v>20</v>
      </c>
      <c r="V97" s="29">
        <f>400/2</f>
        <v>200</v>
      </c>
      <c r="X97" s="32">
        <f>39.2*X$78</f>
        <v>50.176</v>
      </c>
      <c r="Z97" s="32">
        <f>53.7*Z$78</f>
        <v>68.736</v>
      </c>
      <c r="AB97" s="32">
        <f>76.8*AB$78</f>
        <v>99.072</v>
      </c>
      <c r="AC97" s="32"/>
      <c r="AD97" s="32"/>
      <c r="AE97" s="32"/>
      <c r="AF97" s="32"/>
      <c r="AG97" s="32"/>
      <c r="AH97" s="32"/>
    </row>
    <row r="98" spans="2:34" ht="12.75">
      <c r="B98" s="4" t="s">
        <v>103</v>
      </c>
      <c r="D98" s="8" t="s">
        <v>114</v>
      </c>
      <c r="F98" s="30">
        <f>25/2</f>
        <v>12.5</v>
      </c>
      <c r="H98" s="30">
        <f>25/2</f>
        <v>12.5</v>
      </c>
      <c r="I98" s="30"/>
      <c r="J98" s="30">
        <f>25/2</f>
        <v>12.5</v>
      </c>
      <c r="L98" s="32">
        <f>5/2</f>
        <v>2.5</v>
      </c>
      <c r="N98" s="32">
        <f>5/2</f>
        <v>2.5</v>
      </c>
      <c r="O98" s="9"/>
      <c r="P98" s="32">
        <f>5/2</f>
        <v>2.5</v>
      </c>
      <c r="R98" s="29">
        <f>25/2</f>
        <v>12.5</v>
      </c>
      <c r="T98" s="29">
        <f>25/2</f>
        <v>12.5</v>
      </c>
      <c r="V98" s="29">
        <f>25/2</f>
        <v>12.5</v>
      </c>
      <c r="X98" s="32">
        <f>19.4/2*X$78</f>
        <v>12.415999999999999</v>
      </c>
      <c r="Z98" s="32">
        <f>19.5/2*Z$78</f>
        <v>12.48</v>
      </c>
      <c r="AB98" s="32">
        <f>19/2*AB$78</f>
        <v>12.255</v>
      </c>
      <c r="AC98" s="32"/>
      <c r="AD98" s="32"/>
      <c r="AE98" s="32"/>
      <c r="AF98" s="32"/>
      <c r="AG98" s="32"/>
      <c r="AH98" s="32"/>
    </row>
    <row r="99" spans="2:34" ht="12.75">
      <c r="B99" s="4" t="s">
        <v>104</v>
      </c>
      <c r="D99" s="8" t="s">
        <v>114</v>
      </c>
      <c r="F99" s="30">
        <f>10/2</f>
        <v>5</v>
      </c>
      <c r="H99" s="30">
        <f>10/2</f>
        <v>5</v>
      </c>
      <c r="J99" s="30">
        <f>10/2</f>
        <v>5</v>
      </c>
      <c r="L99" s="32">
        <f>10/2</f>
        <v>5</v>
      </c>
      <c r="N99" s="32">
        <f>10/2</f>
        <v>5</v>
      </c>
      <c r="O99" s="30"/>
      <c r="P99" s="32">
        <f>10/2</f>
        <v>5</v>
      </c>
      <c r="R99" s="29">
        <f>10/2</f>
        <v>5</v>
      </c>
      <c r="T99" s="29">
        <f>10/2</f>
        <v>5</v>
      </c>
      <c r="V99" s="29">
        <f>10/2</f>
        <v>5</v>
      </c>
      <c r="X99" s="32">
        <f>0.98*X$78</f>
        <v>1.2544</v>
      </c>
      <c r="Z99" s="32">
        <f>1.62*Z$78</f>
        <v>2.0736000000000003</v>
      </c>
      <c r="AA99" s="32"/>
      <c r="AB99" s="32">
        <f>1.45*AB$78</f>
        <v>1.8705</v>
      </c>
      <c r="AC99" s="32"/>
      <c r="AD99" s="32"/>
      <c r="AE99" s="32"/>
      <c r="AF99" s="32"/>
      <c r="AG99" s="32"/>
      <c r="AH99" s="32"/>
    </row>
    <row r="100" spans="2:34" ht="12.75">
      <c r="B100" s="4" t="s">
        <v>105</v>
      </c>
      <c r="D100" s="8" t="s">
        <v>114</v>
      </c>
      <c r="F100" s="30">
        <f>10/2</f>
        <v>5</v>
      </c>
      <c r="H100" s="30">
        <f>10/2</f>
        <v>5</v>
      </c>
      <c r="J100" s="30">
        <f>10/2</f>
        <v>5</v>
      </c>
      <c r="L100" s="32">
        <f>10/2</f>
        <v>5</v>
      </c>
      <c r="N100" s="32">
        <f>10/2</f>
        <v>5</v>
      </c>
      <c r="O100" s="30"/>
      <c r="P100" s="32">
        <f>10/2</f>
        <v>5</v>
      </c>
      <c r="R100" s="29">
        <f>10/2</f>
        <v>5</v>
      </c>
      <c r="T100" s="29">
        <f>10/2</f>
        <v>5</v>
      </c>
      <c r="V100" s="29">
        <f>10/2</f>
        <v>5</v>
      </c>
      <c r="X100" s="32">
        <f>19.4/2*X$78</f>
        <v>12.415999999999999</v>
      </c>
      <c r="Z100" s="32">
        <f>19.5/2*Z$78</f>
        <v>12.48</v>
      </c>
      <c r="AA100" s="32"/>
      <c r="AB100" s="32">
        <f>19/2*AB$78</f>
        <v>12.255</v>
      </c>
      <c r="AC100" s="32"/>
      <c r="AD100" s="32"/>
      <c r="AE100" s="32"/>
      <c r="AF100" s="32"/>
      <c r="AG100" s="32"/>
      <c r="AH100" s="32"/>
    </row>
    <row r="101" spans="2:34" ht="12.75">
      <c r="B101" s="4" t="s">
        <v>106</v>
      </c>
      <c r="D101" s="8" t="s">
        <v>114</v>
      </c>
      <c r="F101" s="30">
        <v>51.6</v>
      </c>
      <c r="H101" s="29">
        <v>66.9</v>
      </c>
      <c r="J101" s="29">
        <v>48.3</v>
      </c>
      <c r="L101" s="36">
        <v>213</v>
      </c>
      <c r="N101" s="29">
        <v>81.2</v>
      </c>
      <c r="O101" s="30"/>
      <c r="P101" s="30">
        <v>100</v>
      </c>
      <c r="R101" s="29">
        <v>3510</v>
      </c>
      <c r="T101" s="29">
        <v>1710</v>
      </c>
      <c r="V101" s="29">
        <v>2410</v>
      </c>
      <c r="X101" s="36">
        <f>3190*X$78</f>
        <v>4083.2000000000003</v>
      </c>
      <c r="Y101" s="36"/>
      <c r="Z101" s="36">
        <f>4617*Z$78</f>
        <v>5909.76</v>
      </c>
      <c r="AA101" s="36"/>
      <c r="AB101" s="36">
        <f>7107*AB$78</f>
        <v>9168.03</v>
      </c>
      <c r="AC101" s="36"/>
      <c r="AD101" s="36"/>
      <c r="AE101" s="36"/>
      <c r="AF101" s="36"/>
      <c r="AG101" s="36"/>
      <c r="AH101" s="36"/>
    </row>
    <row r="102" spans="15:40" ht="12.75">
      <c r="O102" s="30"/>
      <c r="P102" s="31"/>
      <c r="AJ102" s="81"/>
      <c r="AK102" s="31"/>
      <c r="AL102" s="81"/>
      <c r="AM102" s="30"/>
      <c r="AN102" s="81"/>
    </row>
    <row r="103" spans="5:16" ht="12.75">
      <c r="E103" s="31"/>
      <c r="I103" s="30"/>
      <c r="J103" s="31"/>
      <c r="O103" s="30"/>
      <c r="P103" s="31"/>
    </row>
    <row r="104" spans="2:43" ht="12.75">
      <c r="B104" s="8" t="s">
        <v>40</v>
      </c>
      <c r="D104" s="8" t="s">
        <v>17</v>
      </c>
      <c r="E104" s="31"/>
      <c r="F104" s="30">
        <f>emiss!G187</f>
        <v>13700</v>
      </c>
      <c r="H104" s="30">
        <f>emiss!I187</f>
        <v>13800</v>
      </c>
      <c r="I104" s="30"/>
      <c r="J104" s="30">
        <f>emiss!K187</f>
        <v>13700</v>
      </c>
      <c r="K104" s="26"/>
      <c r="L104" s="30">
        <f>$F104</f>
        <v>13700</v>
      </c>
      <c r="M104" s="31"/>
      <c r="N104" s="30">
        <f>$H104</f>
        <v>13800</v>
      </c>
      <c r="O104" s="30"/>
      <c r="P104" s="30">
        <f>$J104</f>
        <v>13700</v>
      </c>
      <c r="R104" s="30">
        <f>$F104</f>
        <v>13700</v>
      </c>
      <c r="S104" s="31"/>
      <c r="T104" s="30">
        <f>$H104</f>
        <v>13800</v>
      </c>
      <c r="U104" s="30"/>
      <c r="V104" s="30">
        <f>$J104</f>
        <v>13700</v>
      </c>
      <c r="X104" s="30">
        <f>$F104</f>
        <v>13700</v>
      </c>
      <c r="Y104" s="31"/>
      <c r="Z104" s="30">
        <f>$H104</f>
        <v>13800</v>
      </c>
      <c r="AA104" s="30"/>
      <c r="AB104" s="30">
        <f>$J104</f>
        <v>13700</v>
      </c>
      <c r="AC104" s="30"/>
      <c r="AD104" s="30"/>
      <c r="AE104" s="30"/>
      <c r="AF104" s="30"/>
      <c r="AG104" s="30"/>
      <c r="AH104" s="30"/>
      <c r="AJ104" s="30">
        <f>$F104</f>
        <v>13700</v>
      </c>
      <c r="AK104" s="31"/>
      <c r="AL104" s="30">
        <f>$H104</f>
        <v>13800</v>
      </c>
      <c r="AM104" s="30"/>
      <c r="AN104" s="30">
        <f>$J104</f>
        <v>13700</v>
      </c>
      <c r="AP104" s="36">
        <f>AVERAGE(AJ104,AL104,AN104)</f>
        <v>13733.333333333334</v>
      </c>
      <c r="AQ104" s="36"/>
    </row>
    <row r="105" spans="2:43" ht="12.75">
      <c r="B105" s="8" t="s">
        <v>41</v>
      </c>
      <c r="D105" s="8" t="s">
        <v>18</v>
      </c>
      <c r="E105" s="31"/>
      <c r="F105" s="9">
        <f>emiss!G188</f>
        <v>11.983211678832117</v>
      </c>
      <c r="G105" s="11"/>
      <c r="H105" s="9">
        <f>emiss!I188</f>
        <v>12.071739130434782</v>
      </c>
      <c r="I105" s="9"/>
      <c r="J105" s="9">
        <f>emiss!K188</f>
        <v>11.894160583941606</v>
      </c>
      <c r="K105" s="23"/>
      <c r="L105" s="9">
        <f>$F105</f>
        <v>11.983211678832117</v>
      </c>
      <c r="M105" s="11"/>
      <c r="N105" s="9">
        <f>$H105</f>
        <v>12.071739130434782</v>
      </c>
      <c r="O105" s="9"/>
      <c r="P105" s="9">
        <f>$J105</f>
        <v>11.894160583941606</v>
      </c>
      <c r="R105" s="9">
        <f>$F105</f>
        <v>11.983211678832117</v>
      </c>
      <c r="S105" s="11"/>
      <c r="T105" s="9">
        <f>$H105</f>
        <v>12.071739130434782</v>
      </c>
      <c r="U105" s="9"/>
      <c r="V105" s="9">
        <f>$J105</f>
        <v>11.894160583941606</v>
      </c>
      <c r="X105" s="9">
        <f>$F105</f>
        <v>11.983211678832117</v>
      </c>
      <c r="Y105" s="11"/>
      <c r="Z105" s="9">
        <f>$H105</f>
        <v>12.071739130434782</v>
      </c>
      <c r="AA105" s="9"/>
      <c r="AB105" s="9">
        <f>$J105</f>
        <v>11.894160583941606</v>
      </c>
      <c r="AC105" s="9"/>
      <c r="AD105" s="9"/>
      <c r="AE105" s="9"/>
      <c r="AF105" s="9"/>
      <c r="AG105" s="9"/>
      <c r="AH105" s="9"/>
      <c r="AJ105" s="9">
        <f>$F105</f>
        <v>11.983211678832117</v>
      </c>
      <c r="AK105" s="11"/>
      <c r="AL105" s="9">
        <f>$H105</f>
        <v>12.071739130434782</v>
      </c>
      <c r="AM105" s="9"/>
      <c r="AN105" s="9">
        <f>$J105</f>
        <v>11.894160583941606</v>
      </c>
      <c r="AP105" s="36">
        <f>AVERAGE(AJ105,AL105,AN105)</f>
        <v>11.983037131069501</v>
      </c>
      <c r="AQ105" s="32"/>
    </row>
    <row r="106" spans="5:43" ht="12.75">
      <c r="E106" s="31"/>
      <c r="I106" s="30"/>
      <c r="J106" s="31"/>
      <c r="P106" s="31"/>
      <c r="AQ106" s="71"/>
    </row>
    <row r="107" spans="2:43" ht="12.75">
      <c r="B107" s="8" t="s">
        <v>234</v>
      </c>
      <c r="D107" s="8" t="s">
        <v>35</v>
      </c>
      <c r="E107" s="31"/>
      <c r="F107" s="9">
        <f>F77*F76/1000000</f>
        <v>20.7946</v>
      </c>
      <c r="H107" s="9">
        <f>H77*H76/1000000</f>
        <v>20.1026</v>
      </c>
      <c r="I107" s="30"/>
      <c r="J107" s="9">
        <f>J77*J76/1000000</f>
        <v>20.0622</v>
      </c>
      <c r="L107" s="9">
        <f>L77*L76/1000000</f>
        <v>0.3483</v>
      </c>
      <c r="M107" s="31"/>
      <c r="N107" s="9">
        <f>N77*N76/1000000</f>
        <v>0.342</v>
      </c>
      <c r="O107" s="30"/>
      <c r="P107" s="9">
        <f>P77*P76/1000000</f>
        <v>0.3458</v>
      </c>
      <c r="R107" s="9">
        <f>R77*R76/1000000</f>
        <v>4.9039</v>
      </c>
      <c r="S107" s="31"/>
      <c r="T107" s="9">
        <f>T77*T76/1000000</f>
        <v>5.5722</v>
      </c>
      <c r="U107" s="30"/>
      <c r="V107" s="9">
        <f>V77*V76/1000000</f>
        <v>5.9844</v>
      </c>
      <c r="X107" s="9">
        <f>X77*X76/1000000</f>
        <v>11.164821</v>
      </c>
      <c r="Y107" s="31"/>
      <c r="Z107" s="9">
        <f>Z77*Z76/1000000</f>
        <v>11.259833</v>
      </c>
      <c r="AA107" s="30"/>
      <c r="AB107" s="9">
        <f>AB77*AB76/1000000</f>
        <v>11.1366</v>
      </c>
      <c r="AC107" s="9"/>
      <c r="AD107" s="9"/>
      <c r="AE107" s="9"/>
      <c r="AF107" s="9"/>
      <c r="AG107" s="9"/>
      <c r="AH107" s="9"/>
      <c r="AJ107" s="32">
        <f>F107+L107+R107+X107</f>
        <v>37.211620999999994</v>
      </c>
      <c r="AL107" s="32">
        <f>H107+N107+T107+Z107</f>
        <v>37.276633</v>
      </c>
      <c r="AN107" s="32">
        <f>J107+P107+V107+AB107</f>
        <v>37.529</v>
      </c>
      <c r="AP107" s="36">
        <f>AVERAGE(AJ107,AL107,AN107)</f>
        <v>37.33908466666666</v>
      </c>
      <c r="AQ107" s="32"/>
    </row>
    <row r="108" spans="2:43" ht="12.75">
      <c r="B108" s="8" t="s">
        <v>230</v>
      </c>
      <c r="D108" s="8" t="s">
        <v>35</v>
      </c>
      <c r="E108" s="31"/>
      <c r="F108" s="32"/>
      <c r="I108" s="9"/>
      <c r="J108" s="31"/>
      <c r="N108" s="9"/>
      <c r="P108" s="11"/>
      <c r="AJ108" s="32">
        <f>AJ104/9000*(21-AJ105)/21*60</f>
        <v>39.215873015873015</v>
      </c>
      <c r="AL108" s="32">
        <f>AL104/9000*(21-AL105)/21*60</f>
        <v>39.11428571428572</v>
      </c>
      <c r="AN108" s="32">
        <f>AN104/9000*(21-AN105)/21*60</f>
        <v>39.6031746031746</v>
      </c>
      <c r="AP108" s="36">
        <f>AVERAGE(AJ108,AL108,AN108)</f>
        <v>39.31111111111111</v>
      </c>
      <c r="AQ108" s="32"/>
    </row>
    <row r="109" spans="5:40" ht="12.75">
      <c r="E109" s="31"/>
      <c r="F109" s="32"/>
      <c r="I109" s="9"/>
      <c r="J109" s="31"/>
      <c r="N109" s="9"/>
      <c r="P109" s="11"/>
      <c r="AJ109" s="32"/>
      <c r="AL109" s="32"/>
      <c r="AN109" s="32"/>
    </row>
    <row r="110" spans="8:44" ht="12.75">
      <c r="H110" s="30"/>
      <c r="J110" s="30"/>
      <c r="L110" s="8"/>
      <c r="N110" s="8"/>
      <c r="O110" s="30"/>
      <c r="P110" s="8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J110" s="31"/>
      <c r="AL110" s="31"/>
      <c r="AN110" s="31"/>
      <c r="AP110" s="12"/>
      <c r="AQ110" s="31"/>
      <c r="AR110" s="20"/>
    </row>
    <row r="111" spans="2:44" ht="12.75">
      <c r="B111" s="40" t="s">
        <v>52</v>
      </c>
      <c r="C111" s="40"/>
      <c r="F111" s="31"/>
      <c r="H111" s="31"/>
      <c r="I111" s="31"/>
      <c r="J111" s="31"/>
      <c r="L111" s="31"/>
      <c r="M111" s="31"/>
      <c r="N111" s="31"/>
      <c r="O111" s="31"/>
      <c r="P111" s="31"/>
      <c r="Q111" s="28"/>
      <c r="R111" s="31"/>
      <c r="S111" s="31"/>
      <c r="T111" s="31"/>
      <c r="U111" s="31"/>
      <c r="V111" s="31"/>
      <c r="W111" s="28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J111" s="31"/>
      <c r="AK111" s="31"/>
      <c r="AL111" s="31"/>
      <c r="AM111" s="31"/>
      <c r="AN111" s="31"/>
      <c r="AP111" s="12"/>
      <c r="AQ111" s="31"/>
      <c r="AR111" s="20"/>
    </row>
    <row r="112" spans="2:43" ht="12.75">
      <c r="B112" s="8" t="s">
        <v>24</v>
      </c>
      <c r="D112" s="8" t="s">
        <v>42</v>
      </c>
      <c r="F112" s="10">
        <f>F$76*F80/100*1/60*1/(F$104*0.0283)*454*1000*(21-7)/(21-F$105)</f>
        <v>426.1515678799645</v>
      </c>
      <c r="G112" s="12"/>
      <c r="H112" s="10">
        <f>H$76*H80/100*1/60*1/(H$104*0.0283)*454*1000*(21-7)/(21-H$105)</f>
        <v>511.8873242452652</v>
      </c>
      <c r="I112" s="10"/>
      <c r="J112" s="10">
        <f>J$76*J80/100*1/60*1/(J$104*0.0283)*454*1000*(21-7)/(21-J$105)</f>
        <v>532.7895234520868</v>
      </c>
      <c r="K112" s="10"/>
      <c r="L112" s="10">
        <f>L$76*L80/100*1/60*1/(L$104*0.0283)*454*1000*(21-7)/(21-L$105)</f>
        <v>52.77123280735515</v>
      </c>
      <c r="M112" s="12"/>
      <c r="N112" s="10">
        <f>N$76*N80/100*1/60*1/(N$104*0.0283)*454*1000*(21-7)/(21-N$105)</f>
        <v>114.29284312485535</v>
      </c>
      <c r="O112" s="10"/>
      <c r="P112" s="10">
        <f>P$76*P80/100*1/60*1/(P$104*0.0283)*454*1000*(21-7)/(21-P$105)</f>
        <v>114.13617718357803</v>
      </c>
      <c r="Q112" s="36"/>
      <c r="R112" s="10">
        <f>R$76*R80/100*1/60*1/(R$104*0.0283)*454*1000*(21-7)/(21-R$105)</f>
        <v>4406.723687764816</v>
      </c>
      <c r="S112" s="12"/>
      <c r="T112" s="10">
        <f>T$76*T80/100*1/60*1/(T$104*0.0283)*454*1000*(21-7)/(21-T$105)</f>
        <v>265.2183349427165</v>
      </c>
      <c r="U112" s="10"/>
      <c r="V112" s="10">
        <f>V$76*V80/100*1/60*1/(V$104*0.0283)*454*1000*(21-7)/(21-V$105)</f>
        <v>269.35033600770447</v>
      </c>
      <c r="W112" s="36"/>
      <c r="X112" s="10">
        <f>X$76*X80/100*1/60*1/(X$104*0.0283)*454*1000*(21-7)/(21-X$105)</f>
        <v>14597.616902929214</v>
      </c>
      <c r="Y112" s="12"/>
      <c r="Z112" s="10">
        <f>Z$76*Z80/100*1/60*1/(Z$104*0.0283)*454*1000*(21-7)/(21-Z$105)</f>
        <v>11527.627197439057</v>
      </c>
      <c r="AA112" s="10"/>
      <c r="AB112" s="10">
        <f>AB$76*AB80/100*1/60*1/(AB$104*0.0283)*454*1000*(21-7)/(21-AB$105)</f>
        <v>13318.087765637283</v>
      </c>
      <c r="AC112" s="10"/>
      <c r="AD112" s="10">
        <f>AJ112</f>
        <v>19483.263391381348</v>
      </c>
      <c r="AE112" s="10"/>
      <c r="AF112" s="10">
        <f>AL112</f>
        <v>12419.025699751894</v>
      </c>
      <c r="AG112" s="10"/>
      <c r="AH112" s="10">
        <f>AN112</f>
        <v>14234.363802280652</v>
      </c>
      <c r="AI112" s="36"/>
      <c r="AJ112" s="36">
        <f>F112+L112+R112+X112</f>
        <v>19483.263391381348</v>
      </c>
      <c r="AK112" s="36"/>
      <c r="AL112" s="36">
        <f>H112+N112+T112+Z112</f>
        <v>12419.025699751894</v>
      </c>
      <c r="AM112" s="36"/>
      <c r="AN112" s="36">
        <f>J112+P112+V112+AB112</f>
        <v>14234.363802280652</v>
      </c>
      <c r="AO112" s="36"/>
      <c r="AP112" s="36">
        <f>AVERAGE(AJ112,AL112,AN112)</f>
        <v>15378.88429780463</v>
      </c>
      <c r="AQ112" s="62"/>
    </row>
    <row r="113" spans="2:43" ht="12.75">
      <c r="B113" s="8" t="s">
        <v>25</v>
      </c>
      <c r="D113" s="8" t="s">
        <v>37</v>
      </c>
      <c r="F113" s="10">
        <f>F$76*F81/100*1/60*1/(F$104*0.0283)*454*1000000*(21-7)/(21-F$105)</f>
        <v>65561.77967384069</v>
      </c>
      <c r="G113" s="12"/>
      <c r="H113" s="10">
        <f>H$76*H81/100*1/60*1/(H$104*0.0283)*454*1000000*(21-7)/(21-H$105)</f>
        <v>52953.861128820536</v>
      </c>
      <c r="I113" s="10"/>
      <c r="J113" s="10">
        <f>J$76*J81/100*1/60*1/(J$104*0.0283)*454*1000000*(21-7)/(21-J$105)</f>
        <v>62274.10014375041</v>
      </c>
      <c r="K113" s="10"/>
      <c r="L113" s="10">
        <f>L$76*L81/100*1/60*1/(L$104*0.0283)*454*1000000*(21-7)/(21-L$105)</f>
        <v>907665.2042865084</v>
      </c>
      <c r="M113" s="12"/>
      <c r="N113" s="10">
        <f>N$76*N81/100*1/60*1/(N$104*0.0283)*454*1000000*(21-7)/(21-N$105)</f>
        <v>966294.0373283229</v>
      </c>
      <c r="O113" s="10"/>
      <c r="P113" s="10">
        <f>P$76*P81/100*1/60*1/(P$104*0.0283)*454*1000000*(21-7)/(21-P$105)</f>
        <v>933841.4496838201</v>
      </c>
      <c r="Q113" s="36"/>
      <c r="R113" s="10">
        <f>R$76*R81/100*1/60*1/(R$104*0.0283)*454*1000000*(21-7)/(21-R$105)</f>
        <v>12041628.681682926</v>
      </c>
      <c r="S113" s="12"/>
      <c r="T113" s="10">
        <f>T$76*T81/100*1/60*1/(T$104*0.0283)*454*1000000*(21-7)/(21-T$105)</f>
        <v>13909855.226250986</v>
      </c>
      <c r="U113" s="10"/>
      <c r="V113" s="10">
        <f>V$76*V81/100*1/60*1/(V$104*0.0283)*454*1000000*(21-7)/(21-V$105)</f>
        <v>14634701.58975194</v>
      </c>
      <c r="W113" s="36"/>
      <c r="X113" s="10">
        <f>X$76*X81/100*1/60*1/(X$104*0.0283)*454*1000000*(21-7)/(21-X$105)</f>
        <v>12024477.652243387</v>
      </c>
      <c r="Y113" s="12"/>
      <c r="Z113" s="10">
        <f>Z$76*Z81/100*1/60*1/(Z$104*0.0283)*454*1000000*(21-7)/(21-Z$105)</f>
        <v>11041229.425395217</v>
      </c>
      <c r="AA113" s="10"/>
      <c r="AB113" s="10">
        <f>AB$76*AB81/100*1/60*1/(AB$104*0.0283)*454*1000000*(21-7)/(21-AB$105)</f>
        <v>11671487.823703947</v>
      </c>
      <c r="AC113" s="10"/>
      <c r="AD113" s="10">
        <f aca="true" t="shared" si="18" ref="AD113:AH131">AJ113</f>
        <v>25039333.31788666</v>
      </c>
      <c r="AE113" s="10"/>
      <c r="AF113" s="10">
        <f t="shared" si="18"/>
        <v>25970332.550103344</v>
      </c>
      <c r="AG113" s="10"/>
      <c r="AH113" s="10">
        <f t="shared" si="18"/>
        <v>27302304.963283457</v>
      </c>
      <c r="AI113" s="36"/>
      <c r="AJ113" s="36">
        <f>F113+L113+R113+X113</f>
        <v>25039333.31788666</v>
      </c>
      <c r="AK113" s="36"/>
      <c r="AL113" s="36">
        <f>H113+N113+T113+Z113</f>
        <v>25970332.550103344</v>
      </c>
      <c r="AM113" s="36"/>
      <c r="AN113" s="36">
        <f>J113+P113+V113+AB113</f>
        <v>27302304.963283457</v>
      </c>
      <c r="AO113" s="36"/>
      <c r="AP113" s="36">
        <f>AVERAGE(AJ113,AL113,AN113)</f>
        <v>26103990.277091157</v>
      </c>
      <c r="AQ113" s="62"/>
    </row>
    <row r="114" spans="2:43" ht="12.75">
      <c r="B114" s="8" t="s">
        <v>110</v>
      </c>
      <c r="D114" s="8" t="s">
        <v>37</v>
      </c>
      <c r="F114" s="10">
        <f>F$76*F82/100*1/60*1/(F$104*0.0283)*454*1000000*(21-7)/(21-F$105)</f>
        <v>947003.484177699</v>
      </c>
      <c r="G114" s="12"/>
      <c r="H114" s="10">
        <f>H$76*H82/100*1/60*1/(H$104*0.0283)*454*1000000*(21-7)/(21-H$105)</f>
        <v>776656.6298893678</v>
      </c>
      <c r="I114" s="10"/>
      <c r="J114" s="10">
        <f>J$76*J82/100*1/60*1/(J$104*0.0283)*454*1000000*(21-7)/(21-J$105)</f>
        <v>1037901.6690625068</v>
      </c>
      <c r="K114" s="10"/>
      <c r="L114" s="10">
        <f>L$76*L82/100*1/60*1/(L$104*0.0283)*454*1000000*(21-7)/(21-L$105)</f>
        <v>401061.3693358991</v>
      </c>
      <c r="M114" s="12"/>
      <c r="N114" s="10">
        <f>N$76*N82/100*1/60*1/(N$104*0.0283)*454*1000000*(21-7)/(21-N$105)</f>
        <v>103902.58465895941</v>
      </c>
      <c r="O114" s="10"/>
      <c r="P114" s="10">
        <f>P$76*P82/100*1/60*1/(P$104*0.0283)*454*1000000*(21-7)/(21-P$105)</f>
        <v>93384.144968382</v>
      </c>
      <c r="Q114" s="36"/>
      <c r="R114" s="10">
        <f>R$76*R82/100*1/60*1/(R$104*0.0283)*454*1000000*(21-7)/(21-R$105)</f>
        <v>486789.2445786716</v>
      </c>
      <c r="S114" s="12"/>
      <c r="T114" s="10">
        <f>T$76*T82/100*1/60*1/(T$104*0.0283)*454*1000000*(21-7)/(21-T$105)</f>
        <v>564294.3296653546</v>
      </c>
      <c r="U114" s="10"/>
      <c r="V114" s="10">
        <f>V$76*V82/100*1/60*1/(V$104*0.0283)*454*1000000*(21-7)/(21-V$105)</f>
        <v>628484.1173513106</v>
      </c>
      <c r="W114" s="36"/>
      <c r="X114" s="10">
        <f>X$76*X82/100*1/60*1/(X$104*0.0283)*454*1000000*(21-7)/(21-X$105)</f>
        <v>14647100.350057786</v>
      </c>
      <c r="Y114" s="12"/>
      <c r="Z114" s="10">
        <f>Z$76*Z82/100*1/60*1/(Z$104*0.0283)*454*1000000*(21-7)/(21-Z$105)</f>
        <v>17753518.679600235</v>
      </c>
      <c r="AA114" s="10"/>
      <c r="AB114" s="10">
        <f>AB$76*AB82/100*1/60*1/(AB$104*0.0283)*454*1000000*(21-7)/(21-AB$105)</f>
        <v>14867828.887456888</v>
      </c>
      <c r="AC114" s="10"/>
      <c r="AD114" s="10">
        <f t="shared" si="18"/>
        <v>16481954.448150055</v>
      </c>
      <c r="AE114" s="10"/>
      <c r="AF114" s="10">
        <f t="shared" si="18"/>
        <v>19198372.223813917</v>
      </c>
      <c r="AG114" s="10"/>
      <c r="AH114" s="10">
        <f t="shared" si="18"/>
        <v>16627598.818839088</v>
      </c>
      <c r="AI114" s="36"/>
      <c r="AJ114" s="36">
        <f>F114+L114+R114+X114</f>
        <v>16481954.448150055</v>
      </c>
      <c r="AK114" s="36"/>
      <c r="AL114" s="36">
        <f>H114+N114+T114+Z114</f>
        <v>19198372.223813917</v>
      </c>
      <c r="AM114" s="36"/>
      <c r="AN114" s="36">
        <f>J114+P114+V114+AB114</f>
        <v>16627598.818839088</v>
      </c>
      <c r="AO114" s="36"/>
      <c r="AP114" s="36">
        <f>AVERAGE(AJ114,AL114,AN114)</f>
        <v>17435975.163601022</v>
      </c>
      <c r="AQ114" s="62"/>
    </row>
    <row r="115" spans="5:43" ht="12.75">
      <c r="E115" s="31"/>
      <c r="F115" s="10"/>
      <c r="G115" s="12"/>
      <c r="H115" s="36"/>
      <c r="I115" s="10"/>
      <c r="J115" s="10"/>
      <c r="K115" s="10"/>
      <c r="L115" s="36"/>
      <c r="M115" s="36"/>
      <c r="N115" s="36"/>
      <c r="O115" s="36"/>
      <c r="P115" s="12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10"/>
      <c r="AE115" s="36"/>
      <c r="AF115" s="10"/>
      <c r="AG115" s="36"/>
      <c r="AH115" s="10"/>
      <c r="AI115" s="36"/>
      <c r="AJ115" s="36"/>
      <c r="AK115" s="36"/>
      <c r="AL115" s="36"/>
      <c r="AM115" s="36"/>
      <c r="AN115" s="36"/>
      <c r="AO115" s="36"/>
      <c r="AQ115" s="62"/>
    </row>
    <row r="116" spans="2:44" ht="12.75">
      <c r="B116" s="4" t="s">
        <v>60</v>
      </c>
      <c r="D116" s="8" t="s">
        <v>37</v>
      </c>
      <c r="E116" s="31"/>
      <c r="F116" s="7">
        <f>F88/F$78*F$76*1/60*454*1/(F$104*0.0283)*(21-7)/(21-F$105)</f>
        <v>209.3287984477672</v>
      </c>
      <c r="G116" s="12"/>
      <c r="H116" s="7">
        <f>H88/H$78*H$76*1/60*454*1/(H$104*0.0283)*(21-7)/(21-H$105)</f>
        <v>202.88835681540434</v>
      </c>
      <c r="I116" s="10"/>
      <c r="J116" s="7">
        <f aca="true" t="shared" si="19" ref="J116:J129">J88/J$78*J$76*1/60*454*1/(J$104*0.0283)*(21-7)/(21-J$105)</f>
        <v>201.14373431443926</v>
      </c>
      <c r="K116" s="10"/>
      <c r="L116" s="7">
        <f aca="true" t="shared" si="20" ref="L116:L129">L88/L$78*L$76*1/60*454*1/(L$104*0.0283)*(21-7)/(21-L$105)</f>
        <v>219880.1366973131</v>
      </c>
      <c r="M116" s="12"/>
      <c r="N116" s="7">
        <f aca="true" t="shared" si="21" ref="N116:N129">N88/N$78*N$76*1/60*454*1/(N$104*0.0283)*(21-7)/(21-N$105)</f>
        <v>230533.85971206622</v>
      </c>
      <c r="O116" s="10"/>
      <c r="P116" s="7">
        <f aca="true" t="shared" si="22" ref="P116:P129">P88/P$78*P$76*1/60*454*1/(P$104*0.0283)*(21-7)/(21-P$105)</f>
        <v>369645.57383317867</v>
      </c>
      <c r="Q116" s="36"/>
      <c r="R116" s="7">
        <f aca="true" t="shared" si="23" ref="R116:R129">R88/R$78*R$76*1/60*454*1/(R$104*0.0283)*(21-7)/(21-R$105)</f>
        <v>97.04729756353103</v>
      </c>
      <c r="S116" s="12"/>
      <c r="T116" s="7">
        <f aca="true" t="shared" si="24" ref="T116:T129">T88/T$78*T$76*1/60*454*1/(T$104*0.0283)*(21-7)/(21-T$105)</f>
        <v>471.7147912046322</v>
      </c>
      <c r="U116" s="10"/>
      <c r="V116" s="7">
        <f aca="true" t="shared" si="25" ref="V116:V129">V88/V$78*V$76*1/60*454*1/(V$104*0.0283)*(21-7)/(21-V$105)</f>
        <v>114.22830195407313</v>
      </c>
      <c r="W116" s="36"/>
      <c r="X116" s="7">
        <f aca="true" t="shared" si="26" ref="X116:X129">X88/X$78*X$76*1/60*454*1/(X$104*0.0283)*(21-7)/(21-X$105)</f>
        <v>1618.1087211043568</v>
      </c>
      <c r="Y116" s="12"/>
      <c r="Z116" s="7">
        <f aca="true" t="shared" si="27" ref="Z116:Z129">Z88/Z$78*Z$76*1/60*454*1/(Z$104*0.0283)*(21-7)/(21-Z$105)</f>
        <v>2675.1877462411317</v>
      </c>
      <c r="AA116" s="10"/>
      <c r="AB116" s="7">
        <f aca="true" t="shared" si="28" ref="AB116:AB129">AB88/AB$78*AB$76*1/60*454*1/(AB$104*0.0283)*(21-7)/(21-AB$105)</f>
        <v>2421.470502843142</v>
      </c>
      <c r="AC116" s="7"/>
      <c r="AD116" s="10">
        <f t="shared" si="18"/>
        <v>221804.62151442876</v>
      </c>
      <c r="AE116" s="7"/>
      <c r="AF116" s="10">
        <f t="shared" si="18"/>
        <v>233883.6506063274</v>
      </c>
      <c r="AG116" s="7"/>
      <c r="AH116" s="10">
        <f t="shared" si="18"/>
        <v>372382.4163722903</v>
      </c>
      <c r="AI116" s="36"/>
      <c r="AJ116" s="36">
        <f aca="true" t="shared" si="29" ref="AJ116:AJ131">F116+L116+R116+X116</f>
        <v>221804.62151442876</v>
      </c>
      <c r="AK116" s="36"/>
      <c r="AL116" s="36">
        <f aca="true" t="shared" si="30" ref="AL116:AL131">H116+N116+T116+Z116</f>
        <v>233883.6506063274</v>
      </c>
      <c r="AM116" s="36"/>
      <c r="AN116" s="36">
        <f aca="true" t="shared" si="31" ref="AN116:AN131">J116+P116+V116+AB116</f>
        <v>372382.4163722903</v>
      </c>
      <c r="AO116" s="36"/>
      <c r="AP116" s="36">
        <f aca="true" t="shared" si="32" ref="AP116:AP131">AVERAGE(AJ116,AL116,AN116)</f>
        <v>276023.5628310155</v>
      </c>
      <c r="AQ116" s="36"/>
      <c r="AR116" s="83"/>
    </row>
    <row r="117" spans="2:44" ht="12.75">
      <c r="B117" s="4" t="s">
        <v>59</v>
      </c>
      <c r="D117" s="8" t="s">
        <v>37</v>
      </c>
      <c r="E117" s="31"/>
      <c r="F117" s="7">
        <f aca="true" t="shared" si="33" ref="F117:H129">F89/F$78*F$76*1/60*454*1/(F$104*0.0283)*(21-7)/(21-F$105)</f>
        <v>1255.9727906866035</v>
      </c>
      <c r="G117" s="12"/>
      <c r="H117" s="7">
        <f t="shared" si="33"/>
        <v>1217.3301408924265</v>
      </c>
      <c r="I117" s="10"/>
      <c r="J117" s="7">
        <f t="shared" si="19"/>
        <v>1206.8624058866355</v>
      </c>
      <c r="K117" s="10"/>
      <c r="L117" s="7">
        <f t="shared" si="20"/>
        <v>3298.2020504596962</v>
      </c>
      <c r="M117" s="12"/>
      <c r="N117" s="7">
        <f t="shared" si="21"/>
        <v>3246.9557705924817</v>
      </c>
      <c r="O117" s="10"/>
      <c r="P117" s="7">
        <f t="shared" si="22"/>
        <v>3242.505033624375</v>
      </c>
      <c r="Q117" s="36"/>
      <c r="R117" s="7">
        <f t="shared" si="23"/>
        <v>582.2837853811862</v>
      </c>
      <c r="S117" s="12"/>
      <c r="T117" s="7">
        <f t="shared" si="24"/>
        <v>661.2824175765872</v>
      </c>
      <c r="U117" s="10"/>
      <c r="V117" s="7">
        <f t="shared" si="25"/>
        <v>685.3698117244388</v>
      </c>
      <c r="W117" s="36"/>
      <c r="X117" s="7">
        <f t="shared" si="26"/>
        <v>479.989437147164</v>
      </c>
      <c r="Y117" s="12"/>
      <c r="Z117" s="7">
        <f t="shared" si="27"/>
        <v>474.2378277427461</v>
      </c>
      <c r="AA117" s="10"/>
      <c r="AB117" s="7">
        <f t="shared" si="28"/>
        <v>460.0793955401971</v>
      </c>
      <c r="AC117" s="7"/>
      <c r="AD117" s="10">
        <f t="shared" si="18"/>
        <v>5616.448063674649</v>
      </c>
      <c r="AE117" s="7"/>
      <c r="AF117" s="10">
        <f t="shared" si="18"/>
        <v>5599.806156804241</v>
      </c>
      <c r="AG117" s="7"/>
      <c r="AH117" s="10">
        <f t="shared" si="18"/>
        <v>5594.8166467756455</v>
      </c>
      <c r="AI117" s="36"/>
      <c r="AJ117" s="36">
        <f t="shared" si="29"/>
        <v>5616.448063674649</v>
      </c>
      <c r="AK117" s="36"/>
      <c r="AL117" s="36">
        <f t="shared" si="30"/>
        <v>5599.806156804241</v>
      </c>
      <c r="AM117" s="36"/>
      <c r="AN117" s="36">
        <f t="shared" si="31"/>
        <v>5594.8166467756455</v>
      </c>
      <c r="AO117" s="36"/>
      <c r="AP117" s="36">
        <f t="shared" si="32"/>
        <v>5603.690289084846</v>
      </c>
      <c r="AQ117" s="36"/>
      <c r="AR117" s="36"/>
    </row>
    <row r="118" spans="2:44" ht="12.75">
      <c r="B118" s="4" t="s">
        <v>100</v>
      </c>
      <c r="D118" s="8" t="s">
        <v>37</v>
      </c>
      <c r="E118" s="31"/>
      <c r="F118" s="7">
        <f t="shared" si="33"/>
        <v>209.3287984477672</v>
      </c>
      <c r="G118" s="12"/>
      <c r="H118" s="7">
        <f t="shared" si="33"/>
        <v>202.88835681540434</v>
      </c>
      <c r="I118" s="10"/>
      <c r="J118" s="7">
        <f t="shared" si="19"/>
        <v>201.14373431443926</v>
      </c>
      <c r="K118" s="10"/>
      <c r="L118" s="7">
        <f t="shared" si="20"/>
        <v>1748.0470867436386</v>
      </c>
      <c r="M118" s="12"/>
      <c r="N118" s="7">
        <f t="shared" si="21"/>
        <v>1536.8923980804414</v>
      </c>
      <c r="O118" s="10"/>
      <c r="P118" s="7">
        <f t="shared" si="22"/>
        <v>1945.503020174625</v>
      </c>
      <c r="Q118" s="36"/>
      <c r="R118" s="7">
        <f t="shared" si="23"/>
        <v>2562.0486556772194</v>
      </c>
      <c r="S118" s="12"/>
      <c r="T118" s="7">
        <f t="shared" si="24"/>
        <v>601.7669999946943</v>
      </c>
      <c r="U118" s="10"/>
      <c r="V118" s="7">
        <f t="shared" si="25"/>
        <v>1142.2830195407314</v>
      </c>
      <c r="W118" s="36"/>
      <c r="X118" s="7">
        <f t="shared" si="26"/>
        <v>197.93378851429443</v>
      </c>
      <c r="Y118" s="12"/>
      <c r="Z118" s="7">
        <f t="shared" si="27"/>
        <v>306.43059638762054</v>
      </c>
      <c r="AA118" s="10"/>
      <c r="AB118" s="7">
        <f t="shared" si="28"/>
        <v>324.4770473809811</v>
      </c>
      <c r="AC118" s="7"/>
      <c r="AD118" s="10">
        <f t="shared" si="18"/>
        <v>4717.35832938292</v>
      </c>
      <c r="AE118" s="7"/>
      <c r="AF118" s="10">
        <f t="shared" si="18"/>
        <v>2647.9783512781605</v>
      </c>
      <c r="AG118" s="7"/>
      <c r="AH118" s="10">
        <f t="shared" si="18"/>
        <v>3613.406821410777</v>
      </c>
      <c r="AI118" s="36"/>
      <c r="AJ118" s="36">
        <f t="shared" si="29"/>
        <v>4717.35832938292</v>
      </c>
      <c r="AK118" s="36"/>
      <c r="AL118" s="36">
        <f t="shared" si="30"/>
        <v>2647.9783512781605</v>
      </c>
      <c r="AM118" s="36"/>
      <c r="AN118" s="36">
        <f t="shared" si="31"/>
        <v>3613.406821410777</v>
      </c>
      <c r="AO118" s="36"/>
      <c r="AP118" s="36">
        <f t="shared" si="32"/>
        <v>3659.5811673572857</v>
      </c>
      <c r="AQ118" s="36"/>
      <c r="AR118" s="36"/>
    </row>
    <row r="119" spans="2:44" ht="12.75">
      <c r="B119" s="4" t="s">
        <v>61</v>
      </c>
      <c r="D119" s="8" t="s">
        <v>37</v>
      </c>
      <c r="E119" s="31"/>
      <c r="F119" s="7">
        <f t="shared" si="33"/>
        <v>104.6643992238836</v>
      </c>
      <c r="G119" s="12"/>
      <c r="H119" s="7">
        <f t="shared" si="33"/>
        <v>101.44417840770217</v>
      </c>
      <c r="I119" s="10"/>
      <c r="J119" s="7">
        <f t="shared" si="19"/>
        <v>100.57186715721963</v>
      </c>
      <c r="K119" s="10"/>
      <c r="L119" s="7">
        <f t="shared" si="20"/>
        <v>2429.67551050531</v>
      </c>
      <c r="M119" s="12"/>
      <c r="N119" s="7">
        <f t="shared" si="21"/>
        <v>2435.216827944361</v>
      </c>
      <c r="O119" s="10"/>
      <c r="P119" s="7">
        <f t="shared" si="22"/>
        <v>3069.5714318310747</v>
      </c>
      <c r="Q119" s="36"/>
      <c r="R119" s="7">
        <f t="shared" si="23"/>
        <v>111.7984867931877</v>
      </c>
      <c r="S119" s="12"/>
      <c r="T119" s="7">
        <f t="shared" si="24"/>
        <v>55.10686813138227</v>
      </c>
      <c r="U119" s="10"/>
      <c r="V119" s="7">
        <f t="shared" si="25"/>
        <v>571.1415097703657</v>
      </c>
      <c r="W119" s="36"/>
      <c r="X119" s="7">
        <f t="shared" si="26"/>
        <v>11.876027310857664</v>
      </c>
      <c r="Y119" s="12"/>
      <c r="Z119" s="7">
        <f t="shared" si="27"/>
        <v>11.916745415074132</v>
      </c>
      <c r="AA119" s="10"/>
      <c r="AB119" s="7">
        <f t="shared" si="28"/>
        <v>11.865205463931396</v>
      </c>
      <c r="AC119" s="7"/>
      <c r="AD119" s="10">
        <f t="shared" si="18"/>
        <v>2658.014423833239</v>
      </c>
      <c r="AE119" s="7"/>
      <c r="AF119" s="10">
        <f t="shared" si="18"/>
        <v>2603.6846198985195</v>
      </c>
      <c r="AG119" s="7"/>
      <c r="AH119" s="10">
        <f t="shared" si="18"/>
        <v>3753.1500142225914</v>
      </c>
      <c r="AI119" s="36"/>
      <c r="AJ119" s="36">
        <f t="shared" si="29"/>
        <v>2658.014423833239</v>
      </c>
      <c r="AK119" s="36"/>
      <c r="AL119" s="36">
        <f t="shared" si="30"/>
        <v>2603.6846198985195</v>
      </c>
      <c r="AM119" s="36"/>
      <c r="AN119" s="36">
        <f t="shared" si="31"/>
        <v>3753.1500142225914</v>
      </c>
      <c r="AO119" s="36"/>
      <c r="AP119" s="36">
        <f t="shared" si="32"/>
        <v>3004.9496859847836</v>
      </c>
      <c r="AQ119" s="36"/>
      <c r="AR119" s="36"/>
    </row>
    <row r="120" spans="2:44" ht="12.75">
      <c r="B120" s="4" t="s">
        <v>62</v>
      </c>
      <c r="D120" s="8" t="s">
        <v>37</v>
      </c>
      <c r="E120" s="31"/>
      <c r="F120" s="7">
        <f t="shared" si="33"/>
        <v>104.6643992238836</v>
      </c>
      <c r="G120" s="12"/>
      <c r="H120" s="7">
        <f t="shared" si="33"/>
        <v>101.44417840770217</v>
      </c>
      <c r="I120" s="10"/>
      <c r="J120" s="7">
        <f t="shared" si="19"/>
        <v>100.57186715721963</v>
      </c>
      <c r="K120" s="10"/>
      <c r="L120" s="7">
        <f t="shared" si="20"/>
        <v>274.85017087164135</v>
      </c>
      <c r="M120" s="12"/>
      <c r="N120" s="7">
        <f t="shared" si="21"/>
        <v>270.57964754937353</v>
      </c>
      <c r="O120" s="10"/>
      <c r="P120" s="7">
        <f t="shared" si="22"/>
        <v>270.2087528020313</v>
      </c>
      <c r="Q120" s="36"/>
      <c r="R120" s="7">
        <f t="shared" si="23"/>
        <v>48.523648781765516</v>
      </c>
      <c r="S120" s="12"/>
      <c r="T120" s="7">
        <f t="shared" si="24"/>
        <v>121.45553736156653</v>
      </c>
      <c r="U120" s="10"/>
      <c r="V120" s="7">
        <f t="shared" si="25"/>
        <v>571.1415097703657</v>
      </c>
      <c r="W120" s="36"/>
      <c r="X120" s="7">
        <f t="shared" si="26"/>
        <v>47.009274772144934</v>
      </c>
      <c r="Y120" s="12"/>
      <c r="Z120" s="7">
        <f t="shared" si="27"/>
        <v>46.207788344165</v>
      </c>
      <c r="AA120" s="10"/>
      <c r="AB120" s="7">
        <f t="shared" si="28"/>
        <v>46.00793955401969</v>
      </c>
      <c r="AC120" s="7"/>
      <c r="AD120" s="10">
        <f t="shared" si="18"/>
        <v>475.0474936494354</v>
      </c>
      <c r="AE120" s="7"/>
      <c r="AF120" s="10">
        <f t="shared" si="18"/>
        <v>539.6871516628072</v>
      </c>
      <c r="AG120" s="7"/>
      <c r="AH120" s="10">
        <f t="shared" si="18"/>
        <v>987.9300692836364</v>
      </c>
      <c r="AI120" s="36"/>
      <c r="AJ120" s="36">
        <f t="shared" si="29"/>
        <v>475.0474936494354</v>
      </c>
      <c r="AK120" s="36"/>
      <c r="AL120" s="36">
        <f t="shared" si="30"/>
        <v>539.6871516628072</v>
      </c>
      <c r="AM120" s="36"/>
      <c r="AN120" s="36">
        <f t="shared" si="31"/>
        <v>987.9300692836364</v>
      </c>
      <c r="AO120" s="36"/>
      <c r="AP120" s="36">
        <f t="shared" si="32"/>
        <v>667.554904865293</v>
      </c>
      <c r="AQ120" s="36"/>
      <c r="AR120" s="36"/>
    </row>
    <row r="121" spans="2:44" ht="12.75">
      <c r="B121" s="4" t="s">
        <v>71</v>
      </c>
      <c r="D121" s="8" t="s">
        <v>37</v>
      </c>
      <c r="E121" s="31"/>
      <c r="F121" s="7">
        <f t="shared" si="33"/>
        <v>209.3287984477672</v>
      </c>
      <c r="G121" s="12"/>
      <c r="H121" s="7">
        <f t="shared" si="33"/>
        <v>202.88835681540434</v>
      </c>
      <c r="I121" s="10"/>
      <c r="J121" s="7">
        <f t="shared" si="19"/>
        <v>201.14373431443926</v>
      </c>
      <c r="K121" s="10"/>
      <c r="L121" s="7">
        <f t="shared" si="20"/>
        <v>308931.59205972485</v>
      </c>
      <c r="M121" s="12"/>
      <c r="N121" s="7">
        <f t="shared" si="21"/>
        <v>295472.9751239158</v>
      </c>
      <c r="O121" s="10"/>
      <c r="P121" s="7">
        <f t="shared" si="22"/>
        <v>372888.078866803</v>
      </c>
      <c r="Q121" s="36"/>
      <c r="R121" s="7">
        <f t="shared" si="23"/>
        <v>9704.729756353103</v>
      </c>
      <c r="S121" s="12"/>
      <c r="T121" s="7">
        <f t="shared" si="24"/>
        <v>3063.941868104854</v>
      </c>
      <c r="U121" s="10"/>
      <c r="V121" s="7">
        <f t="shared" si="25"/>
        <v>1142.2830195407314</v>
      </c>
      <c r="W121" s="36"/>
      <c r="X121" s="7">
        <f t="shared" si="26"/>
        <v>2202.0133972215253</v>
      </c>
      <c r="Y121" s="12"/>
      <c r="Z121" s="7">
        <f t="shared" si="27"/>
        <v>2884.3387882199836</v>
      </c>
      <c r="AA121" s="10"/>
      <c r="AB121" s="7">
        <f t="shared" si="28"/>
        <v>4779.982772612363</v>
      </c>
      <c r="AC121" s="7"/>
      <c r="AD121" s="10">
        <f t="shared" si="18"/>
        <v>321047.6640117473</v>
      </c>
      <c r="AE121" s="7"/>
      <c r="AF121" s="10">
        <f t="shared" si="18"/>
        <v>301624.144137056</v>
      </c>
      <c r="AG121" s="7"/>
      <c r="AH121" s="10">
        <f t="shared" si="18"/>
        <v>379011.4883932705</v>
      </c>
      <c r="AI121" s="36"/>
      <c r="AJ121" s="36">
        <f t="shared" si="29"/>
        <v>321047.6640117473</v>
      </c>
      <c r="AK121" s="36"/>
      <c r="AL121" s="36">
        <f t="shared" si="30"/>
        <v>301624.144137056</v>
      </c>
      <c r="AM121" s="36"/>
      <c r="AN121" s="36">
        <f t="shared" si="31"/>
        <v>379011.4883932705</v>
      </c>
      <c r="AO121" s="36"/>
      <c r="AP121" s="36">
        <f t="shared" si="32"/>
        <v>333894.4321806913</v>
      </c>
      <c r="AQ121" s="73"/>
      <c r="AR121" s="83"/>
    </row>
    <row r="122" spans="2:44" ht="12.75">
      <c r="B122" s="4" t="s">
        <v>101</v>
      </c>
      <c r="D122" s="8" t="s">
        <v>37</v>
      </c>
      <c r="E122" s="31"/>
      <c r="F122" s="7">
        <f t="shared" si="33"/>
        <v>523.3219961194181</v>
      </c>
      <c r="G122" s="12"/>
      <c r="H122" s="7">
        <f t="shared" si="33"/>
        <v>507.22089203851095</v>
      </c>
      <c r="I122" s="10"/>
      <c r="J122" s="7">
        <f t="shared" si="19"/>
        <v>502.85933578609826</v>
      </c>
      <c r="K122" s="36"/>
      <c r="L122" s="7">
        <f t="shared" si="20"/>
        <v>5507.997424267692</v>
      </c>
      <c r="M122" s="12"/>
      <c r="N122" s="7">
        <f t="shared" si="21"/>
        <v>4199.396129966276</v>
      </c>
      <c r="O122" s="10"/>
      <c r="P122" s="7">
        <f t="shared" si="22"/>
        <v>5025.8828021177815</v>
      </c>
      <c r="Q122" s="36"/>
      <c r="R122" s="7">
        <f t="shared" si="23"/>
        <v>8676.028402179674</v>
      </c>
      <c r="S122" s="12"/>
      <c r="T122" s="7">
        <f t="shared" si="24"/>
        <v>5819.285274673967</v>
      </c>
      <c r="U122" s="10"/>
      <c r="V122" s="7">
        <f t="shared" si="25"/>
        <v>6373.939249037281</v>
      </c>
      <c r="W122" s="36"/>
      <c r="X122" s="7">
        <f t="shared" si="26"/>
        <v>1352531.0603653023</v>
      </c>
      <c r="Y122" s="12"/>
      <c r="Z122" s="7">
        <f t="shared" si="27"/>
        <v>1883964.4904574137</v>
      </c>
      <c r="AA122" s="10"/>
      <c r="AB122" s="7">
        <f t="shared" si="28"/>
        <v>1971076.989314318</v>
      </c>
      <c r="AC122" s="7"/>
      <c r="AD122" s="10">
        <f t="shared" si="18"/>
        <v>1367238.408187869</v>
      </c>
      <c r="AE122" s="7"/>
      <c r="AF122" s="10">
        <f t="shared" si="18"/>
        <v>1894490.3927540926</v>
      </c>
      <c r="AG122" s="7"/>
      <c r="AH122" s="10">
        <f t="shared" si="18"/>
        <v>1982979.670701259</v>
      </c>
      <c r="AI122" s="36"/>
      <c r="AJ122" s="36">
        <f t="shared" si="29"/>
        <v>1367238.408187869</v>
      </c>
      <c r="AK122" s="36"/>
      <c r="AL122" s="36">
        <f t="shared" si="30"/>
        <v>1894490.3927540926</v>
      </c>
      <c r="AM122" s="36"/>
      <c r="AN122" s="36">
        <f t="shared" si="31"/>
        <v>1982979.670701259</v>
      </c>
      <c r="AO122" s="36"/>
      <c r="AP122" s="36">
        <f t="shared" si="32"/>
        <v>1748236.1572144069</v>
      </c>
      <c r="AQ122" s="73"/>
      <c r="AR122" s="36"/>
    </row>
    <row r="123" spans="2:44" ht="12.75">
      <c r="B123" s="4" t="s">
        <v>58</v>
      </c>
      <c r="D123" s="8" t="s">
        <v>37</v>
      </c>
      <c r="E123" s="31"/>
      <c r="F123" s="7">
        <f t="shared" si="33"/>
        <v>313.9931976716509</v>
      </c>
      <c r="G123" s="12"/>
      <c r="H123" s="7">
        <f t="shared" si="33"/>
        <v>304.3325352231066</v>
      </c>
      <c r="I123" s="10"/>
      <c r="J123" s="7">
        <f t="shared" si="19"/>
        <v>301.7156014716589</v>
      </c>
      <c r="K123" s="36"/>
      <c r="L123" s="7">
        <f t="shared" si="20"/>
        <v>824.5505126149241</v>
      </c>
      <c r="M123" s="12"/>
      <c r="N123" s="7">
        <f t="shared" si="21"/>
        <v>1785.825673825865</v>
      </c>
      <c r="O123" s="10"/>
      <c r="P123" s="7">
        <f t="shared" si="22"/>
        <v>810.6262584060937</v>
      </c>
      <c r="Q123" s="36"/>
      <c r="R123" s="7">
        <f t="shared" si="23"/>
        <v>145.57094634529656</v>
      </c>
      <c r="S123" s="12"/>
      <c r="T123" s="7">
        <f t="shared" si="24"/>
        <v>1498.9068131735978</v>
      </c>
      <c r="U123" s="10"/>
      <c r="V123" s="7">
        <f t="shared" si="25"/>
        <v>171.3424529311097</v>
      </c>
      <c r="W123" s="36"/>
      <c r="X123" s="7">
        <f t="shared" si="26"/>
        <v>479.989437147164</v>
      </c>
      <c r="Y123" s="12"/>
      <c r="Z123" s="7">
        <f t="shared" si="27"/>
        <v>471.80583888252676</v>
      </c>
      <c r="AA123" s="10"/>
      <c r="AB123" s="7">
        <f t="shared" si="28"/>
        <v>460.0793955401971</v>
      </c>
      <c r="AC123" s="7"/>
      <c r="AD123" s="10">
        <f t="shared" si="18"/>
        <v>1764.1040937790353</v>
      </c>
      <c r="AE123" s="7"/>
      <c r="AF123" s="10">
        <f t="shared" si="18"/>
        <v>4060.870861105096</v>
      </c>
      <c r="AG123" s="7"/>
      <c r="AH123" s="10">
        <f t="shared" si="18"/>
        <v>1743.7637083490592</v>
      </c>
      <c r="AI123" s="36"/>
      <c r="AJ123" s="36">
        <f t="shared" si="29"/>
        <v>1764.1040937790353</v>
      </c>
      <c r="AK123" s="36"/>
      <c r="AL123" s="36">
        <f t="shared" si="30"/>
        <v>4060.870861105096</v>
      </c>
      <c r="AM123" s="36"/>
      <c r="AN123" s="36">
        <f t="shared" si="31"/>
        <v>1743.7637083490592</v>
      </c>
      <c r="AO123" s="36"/>
      <c r="AP123" s="36">
        <f t="shared" si="32"/>
        <v>2522.912887744397</v>
      </c>
      <c r="AQ123" s="36"/>
      <c r="AR123" s="36"/>
    </row>
    <row r="124" spans="2:44" ht="12.75">
      <c r="B124" s="4" t="s">
        <v>63</v>
      </c>
      <c r="D124" s="8" t="s">
        <v>37</v>
      </c>
      <c r="F124" s="7">
        <f t="shared" si="33"/>
        <v>418.6575968955344</v>
      </c>
      <c r="G124" s="12"/>
      <c r="H124" s="7">
        <f t="shared" si="33"/>
        <v>405.7767136308087</v>
      </c>
      <c r="I124" s="10"/>
      <c r="J124" s="7">
        <f t="shared" si="19"/>
        <v>402.2874686288785</v>
      </c>
      <c r="K124" s="36"/>
      <c r="L124" s="7">
        <f t="shared" si="20"/>
        <v>1099.4006834865654</v>
      </c>
      <c r="M124" s="12"/>
      <c r="N124" s="7">
        <f t="shared" si="21"/>
        <v>1082.3185901974941</v>
      </c>
      <c r="O124" s="10"/>
      <c r="P124" s="7">
        <f t="shared" si="22"/>
        <v>1080.8350112081253</v>
      </c>
      <c r="Q124" s="36"/>
      <c r="R124" s="7">
        <f t="shared" si="23"/>
        <v>194.09459512706206</v>
      </c>
      <c r="S124" s="12"/>
      <c r="T124" s="7">
        <f t="shared" si="24"/>
        <v>220.42747252552908</v>
      </c>
      <c r="U124" s="10"/>
      <c r="V124" s="7">
        <f t="shared" si="25"/>
        <v>228.45660390814626</v>
      </c>
      <c r="W124" s="36"/>
      <c r="X124" s="7">
        <f t="shared" si="26"/>
        <v>0.24741723564286808</v>
      </c>
      <c r="Y124" s="12"/>
      <c r="Z124" s="7">
        <f t="shared" si="27"/>
        <v>0.24319888602192108</v>
      </c>
      <c r="AA124" s="10"/>
      <c r="AB124" s="7">
        <f t="shared" si="28"/>
        <v>0.24214705028431419</v>
      </c>
      <c r="AC124" s="7"/>
      <c r="AD124" s="10">
        <f t="shared" si="18"/>
        <v>1712.4002927448048</v>
      </c>
      <c r="AE124" s="7"/>
      <c r="AF124" s="10">
        <f t="shared" si="18"/>
        <v>1708.7659752398538</v>
      </c>
      <c r="AG124" s="7"/>
      <c r="AH124" s="10">
        <f t="shared" si="18"/>
        <v>1711.8212307954343</v>
      </c>
      <c r="AI124" s="36"/>
      <c r="AJ124" s="36">
        <f t="shared" si="29"/>
        <v>1712.4002927448048</v>
      </c>
      <c r="AK124" s="36"/>
      <c r="AL124" s="36">
        <f t="shared" si="30"/>
        <v>1708.7659752398538</v>
      </c>
      <c r="AM124" s="36"/>
      <c r="AN124" s="36">
        <f t="shared" si="31"/>
        <v>1711.8212307954343</v>
      </c>
      <c r="AO124" s="36"/>
      <c r="AP124" s="36">
        <f t="shared" si="32"/>
        <v>1710.9958329266976</v>
      </c>
      <c r="AQ124" s="36"/>
      <c r="AR124" s="36"/>
    </row>
    <row r="125" spans="2:44" ht="12.75">
      <c r="B125" s="4" t="s">
        <v>102</v>
      </c>
      <c r="D125" s="8" t="s">
        <v>37</v>
      </c>
      <c r="F125" s="7">
        <f t="shared" si="33"/>
        <v>837.3151937910689</v>
      </c>
      <c r="G125" s="12"/>
      <c r="H125" s="7">
        <f t="shared" si="33"/>
        <v>1797.590841384483</v>
      </c>
      <c r="I125" s="10"/>
      <c r="J125" s="7">
        <f t="shared" si="19"/>
        <v>804.574937257757</v>
      </c>
      <c r="K125" s="36"/>
      <c r="L125" s="7">
        <f t="shared" si="20"/>
        <v>36939.8629651486</v>
      </c>
      <c r="M125" s="12"/>
      <c r="N125" s="7">
        <f t="shared" si="21"/>
        <v>26408.573600818858</v>
      </c>
      <c r="O125" s="10"/>
      <c r="P125" s="7">
        <f t="shared" si="22"/>
        <v>33181.63484408944</v>
      </c>
      <c r="Q125" s="36"/>
      <c r="R125" s="7">
        <f t="shared" si="23"/>
        <v>1183.9770302750783</v>
      </c>
      <c r="S125" s="12"/>
      <c r="T125" s="7">
        <f t="shared" si="24"/>
        <v>440.85494505105817</v>
      </c>
      <c r="U125" s="10"/>
      <c r="V125" s="7">
        <f t="shared" si="25"/>
        <v>4569.132078162926</v>
      </c>
      <c r="W125" s="36"/>
      <c r="X125" s="7">
        <f t="shared" si="26"/>
        <v>1939.7511274400854</v>
      </c>
      <c r="Y125" s="12"/>
      <c r="Z125" s="7">
        <f t="shared" si="27"/>
        <v>2611.956035875433</v>
      </c>
      <c r="AA125" s="10"/>
      <c r="AB125" s="7">
        <f t="shared" si="28"/>
        <v>3719.3786923670664</v>
      </c>
      <c r="AC125" s="7"/>
      <c r="AD125" s="10">
        <f t="shared" si="18"/>
        <v>40900.90631665482</v>
      </c>
      <c r="AE125" s="7"/>
      <c r="AF125" s="10">
        <f t="shared" si="18"/>
        <v>31258.975423129832</v>
      </c>
      <c r="AG125" s="7"/>
      <c r="AH125" s="10">
        <f t="shared" si="18"/>
        <v>42274.72055187719</v>
      </c>
      <c r="AI125" s="36"/>
      <c r="AJ125" s="36">
        <f t="shared" si="29"/>
        <v>40900.90631665482</v>
      </c>
      <c r="AK125" s="36"/>
      <c r="AL125" s="36">
        <f t="shared" si="30"/>
        <v>31258.975423129832</v>
      </c>
      <c r="AM125" s="36"/>
      <c r="AN125" s="36">
        <f t="shared" si="31"/>
        <v>42274.72055187719</v>
      </c>
      <c r="AO125" s="36"/>
      <c r="AP125" s="36">
        <f t="shared" si="32"/>
        <v>38144.867430553946</v>
      </c>
      <c r="AQ125" s="73"/>
      <c r="AR125" s="36"/>
    </row>
    <row r="126" spans="2:44" ht="12.75">
      <c r="B126" s="4" t="s">
        <v>103</v>
      </c>
      <c r="D126" s="8" t="s">
        <v>37</v>
      </c>
      <c r="F126" s="7">
        <f t="shared" si="33"/>
        <v>523.3219961194181</v>
      </c>
      <c r="G126" s="12"/>
      <c r="H126" s="7">
        <f t="shared" si="33"/>
        <v>507.22089203851095</v>
      </c>
      <c r="I126" s="10"/>
      <c r="J126" s="7">
        <f t="shared" si="19"/>
        <v>502.85933578609826</v>
      </c>
      <c r="K126" s="36"/>
      <c r="L126" s="7">
        <f t="shared" si="20"/>
        <v>274.85017087164135</v>
      </c>
      <c r="M126" s="12"/>
      <c r="N126" s="7">
        <f t="shared" si="21"/>
        <v>270.57964754937353</v>
      </c>
      <c r="O126" s="10"/>
      <c r="P126" s="7">
        <f t="shared" si="22"/>
        <v>270.2087528020313</v>
      </c>
      <c r="Q126" s="36"/>
      <c r="R126" s="7">
        <f t="shared" si="23"/>
        <v>242.61824390882748</v>
      </c>
      <c r="S126" s="12"/>
      <c r="T126" s="7">
        <f t="shared" si="24"/>
        <v>275.5343406569114</v>
      </c>
      <c r="U126" s="10"/>
      <c r="V126" s="7">
        <f t="shared" si="25"/>
        <v>285.57075488518285</v>
      </c>
      <c r="W126" s="36"/>
      <c r="X126" s="7">
        <f t="shared" si="26"/>
        <v>479.989437147164</v>
      </c>
      <c r="Y126" s="12"/>
      <c r="Z126" s="7">
        <f t="shared" si="27"/>
        <v>474.2378277427461</v>
      </c>
      <c r="AA126" s="10"/>
      <c r="AB126" s="7">
        <f t="shared" si="28"/>
        <v>460.0793955401971</v>
      </c>
      <c r="AC126" s="7"/>
      <c r="AD126" s="10">
        <f t="shared" si="18"/>
        <v>1520.7798480470508</v>
      </c>
      <c r="AE126" s="7"/>
      <c r="AF126" s="10">
        <f t="shared" si="18"/>
        <v>1527.572707987542</v>
      </c>
      <c r="AG126" s="7"/>
      <c r="AH126" s="10">
        <f t="shared" si="18"/>
        <v>1518.7182390135094</v>
      </c>
      <c r="AI126" s="36"/>
      <c r="AJ126" s="36">
        <f t="shared" si="29"/>
        <v>1520.7798480470508</v>
      </c>
      <c r="AK126" s="36"/>
      <c r="AL126" s="36">
        <f t="shared" si="30"/>
        <v>1527.572707987542</v>
      </c>
      <c r="AM126" s="36"/>
      <c r="AN126" s="36">
        <f t="shared" si="31"/>
        <v>1518.7182390135094</v>
      </c>
      <c r="AO126" s="36"/>
      <c r="AP126" s="36">
        <f t="shared" si="32"/>
        <v>1522.3569316827006</v>
      </c>
      <c r="AQ126" s="36"/>
      <c r="AR126" s="36"/>
    </row>
    <row r="127" spans="2:44" ht="12.75">
      <c r="B127" s="4" t="s">
        <v>104</v>
      </c>
      <c r="D127" s="8" t="s">
        <v>37</v>
      </c>
      <c r="F127" s="7">
        <f t="shared" si="33"/>
        <v>209.3287984477672</v>
      </c>
      <c r="G127" s="12"/>
      <c r="H127" s="7">
        <f t="shared" si="33"/>
        <v>202.88835681540434</v>
      </c>
      <c r="I127" s="10"/>
      <c r="J127" s="7">
        <f t="shared" si="19"/>
        <v>201.14373431443926</v>
      </c>
      <c r="K127" s="36"/>
      <c r="L127" s="7">
        <f t="shared" si="20"/>
        <v>549.7003417432827</v>
      </c>
      <c r="M127" s="12"/>
      <c r="N127" s="7">
        <f t="shared" si="21"/>
        <v>541.1592950987471</v>
      </c>
      <c r="O127" s="10"/>
      <c r="P127" s="7">
        <f t="shared" si="22"/>
        <v>540.4175056040626</v>
      </c>
      <c r="Q127" s="36"/>
      <c r="R127" s="7">
        <f t="shared" si="23"/>
        <v>97.04729756353103</v>
      </c>
      <c r="S127" s="12"/>
      <c r="T127" s="7">
        <f t="shared" si="24"/>
        <v>110.21373626276454</v>
      </c>
      <c r="U127" s="10"/>
      <c r="V127" s="7">
        <f t="shared" si="25"/>
        <v>114.22830195407313</v>
      </c>
      <c r="W127" s="36"/>
      <c r="X127" s="7">
        <f t="shared" si="26"/>
        <v>48.49377818600213</v>
      </c>
      <c r="Y127" s="12"/>
      <c r="Z127" s="7">
        <f t="shared" si="27"/>
        <v>78.79643907110244</v>
      </c>
      <c r="AA127" s="10"/>
      <c r="AB127" s="7">
        <f t="shared" si="28"/>
        <v>70.22264458245112</v>
      </c>
      <c r="AC127" s="7"/>
      <c r="AD127" s="10">
        <f t="shared" si="18"/>
        <v>904.5702159405831</v>
      </c>
      <c r="AE127" s="7"/>
      <c r="AF127" s="10">
        <f t="shared" si="18"/>
        <v>933.0578272480184</v>
      </c>
      <c r="AG127" s="7"/>
      <c r="AH127" s="10">
        <f t="shared" si="18"/>
        <v>926.0121864550262</v>
      </c>
      <c r="AI127" s="36"/>
      <c r="AJ127" s="36">
        <f t="shared" si="29"/>
        <v>904.5702159405831</v>
      </c>
      <c r="AK127" s="36"/>
      <c r="AL127" s="36">
        <f t="shared" si="30"/>
        <v>933.0578272480184</v>
      </c>
      <c r="AM127" s="36"/>
      <c r="AN127" s="36">
        <f t="shared" si="31"/>
        <v>926.0121864550262</v>
      </c>
      <c r="AO127" s="36"/>
      <c r="AP127" s="36">
        <f t="shared" si="32"/>
        <v>921.2134098812093</v>
      </c>
      <c r="AQ127" s="36"/>
      <c r="AR127" s="36"/>
    </row>
    <row r="128" spans="2:44" ht="12.75">
      <c r="B128" s="4" t="s">
        <v>105</v>
      </c>
      <c r="D128" s="8" t="s">
        <v>37</v>
      </c>
      <c r="F128" s="7">
        <f t="shared" si="33"/>
        <v>209.3287984477672</v>
      </c>
      <c r="G128" s="12"/>
      <c r="H128" s="7">
        <f t="shared" si="33"/>
        <v>202.88835681540434</v>
      </c>
      <c r="I128" s="10"/>
      <c r="J128" s="7">
        <f t="shared" si="19"/>
        <v>201.14373431443926</v>
      </c>
      <c r="K128" s="36"/>
      <c r="L128" s="7">
        <f t="shared" si="20"/>
        <v>549.7003417432827</v>
      </c>
      <c r="M128" s="12"/>
      <c r="N128" s="7">
        <f t="shared" si="21"/>
        <v>541.1592950987471</v>
      </c>
      <c r="O128" s="10"/>
      <c r="P128" s="7">
        <f t="shared" si="22"/>
        <v>540.4175056040626</v>
      </c>
      <c r="Q128" s="36"/>
      <c r="R128" s="7">
        <f t="shared" si="23"/>
        <v>97.04729756353103</v>
      </c>
      <c r="S128" s="12"/>
      <c r="T128" s="7">
        <f t="shared" si="24"/>
        <v>110.21373626276454</v>
      </c>
      <c r="U128" s="10"/>
      <c r="V128" s="7">
        <f t="shared" si="25"/>
        <v>114.22830195407313</v>
      </c>
      <c r="W128" s="36"/>
      <c r="X128" s="7">
        <f t="shared" si="26"/>
        <v>479.989437147164</v>
      </c>
      <c r="Y128" s="12"/>
      <c r="Z128" s="7">
        <f t="shared" si="27"/>
        <v>474.2378277427461</v>
      </c>
      <c r="AA128" s="10"/>
      <c r="AB128" s="7">
        <f t="shared" si="28"/>
        <v>460.0793955401971</v>
      </c>
      <c r="AC128" s="7"/>
      <c r="AD128" s="10">
        <f t="shared" si="18"/>
        <v>1336.065874901745</v>
      </c>
      <c r="AE128" s="7"/>
      <c r="AF128" s="10">
        <f t="shared" si="18"/>
        <v>1328.499215919662</v>
      </c>
      <c r="AG128" s="7"/>
      <c r="AH128" s="10">
        <f t="shared" si="18"/>
        <v>1315.868937412772</v>
      </c>
      <c r="AI128" s="36"/>
      <c r="AJ128" s="36">
        <f t="shared" si="29"/>
        <v>1336.065874901745</v>
      </c>
      <c r="AK128" s="36"/>
      <c r="AL128" s="36">
        <f t="shared" si="30"/>
        <v>1328.499215919662</v>
      </c>
      <c r="AM128" s="36"/>
      <c r="AN128" s="36">
        <f t="shared" si="31"/>
        <v>1315.868937412772</v>
      </c>
      <c r="AO128" s="36"/>
      <c r="AP128" s="36">
        <f t="shared" si="32"/>
        <v>1326.8113427447263</v>
      </c>
      <c r="AQ128" s="36"/>
      <c r="AR128" s="36"/>
    </row>
    <row r="129" spans="2:44" ht="12.75">
      <c r="B129" s="4" t="s">
        <v>106</v>
      </c>
      <c r="D129" s="8" t="s">
        <v>37</v>
      </c>
      <c r="F129" s="7">
        <f t="shared" si="33"/>
        <v>2160.273199980958</v>
      </c>
      <c r="G129" s="12"/>
      <c r="H129" s="7">
        <f t="shared" si="33"/>
        <v>2714.64621419011</v>
      </c>
      <c r="I129" s="10"/>
      <c r="J129" s="7">
        <f t="shared" si="19"/>
        <v>1943.0484734774834</v>
      </c>
      <c r="K129" s="36"/>
      <c r="L129" s="7">
        <f t="shared" si="20"/>
        <v>23417.23455826384</v>
      </c>
      <c r="M129" s="12"/>
      <c r="N129" s="7">
        <f t="shared" si="21"/>
        <v>8788.426952403654</v>
      </c>
      <c r="O129" s="10"/>
      <c r="P129" s="7">
        <f t="shared" si="22"/>
        <v>10808.350112081249</v>
      </c>
      <c r="Q129" s="36"/>
      <c r="R129" s="7">
        <f t="shared" si="23"/>
        <v>68127.20288959879</v>
      </c>
      <c r="S129" s="12"/>
      <c r="T129" s="7">
        <f t="shared" si="24"/>
        <v>37693.09780186547</v>
      </c>
      <c r="U129" s="10"/>
      <c r="V129" s="7">
        <f t="shared" si="25"/>
        <v>55058.041541863255</v>
      </c>
      <c r="W129" s="36"/>
      <c r="X129" s="7">
        <f t="shared" si="26"/>
        <v>157852.19634014982</v>
      </c>
      <c r="Y129" s="12"/>
      <c r="Z129" s="7">
        <f t="shared" si="27"/>
        <v>224569.85135264188</v>
      </c>
      <c r="AA129" s="10"/>
      <c r="AB129" s="7">
        <f t="shared" si="28"/>
        <v>344187.8172741242</v>
      </c>
      <c r="AC129" s="7"/>
      <c r="AD129" s="10">
        <f t="shared" si="18"/>
        <v>251556.9069879934</v>
      </c>
      <c r="AE129" s="7"/>
      <c r="AF129" s="10">
        <f t="shared" si="18"/>
        <v>273766.0223211011</v>
      </c>
      <c r="AG129" s="7"/>
      <c r="AH129" s="10">
        <f t="shared" si="18"/>
        <v>411997.2574015462</v>
      </c>
      <c r="AI129" s="36"/>
      <c r="AJ129" s="36">
        <f t="shared" si="29"/>
        <v>251556.9069879934</v>
      </c>
      <c r="AK129" s="36"/>
      <c r="AL129" s="36">
        <f t="shared" si="30"/>
        <v>273766.0223211011</v>
      </c>
      <c r="AM129" s="36"/>
      <c r="AN129" s="36">
        <f t="shared" si="31"/>
        <v>411997.2574015462</v>
      </c>
      <c r="AO129" s="36"/>
      <c r="AP129" s="36">
        <f t="shared" si="32"/>
        <v>312440.06223688024</v>
      </c>
      <c r="AQ129" s="73"/>
      <c r="AR129" s="36"/>
    </row>
    <row r="130" spans="2:44" ht="12.75">
      <c r="B130" s="8" t="s">
        <v>38</v>
      </c>
      <c r="D130" s="8" t="s">
        <v>37</v>
      </c>
      <c r="F130" s="10">
        <f>F120+F123</f>
        <v>418.6575968955345</v>
      </c>
      <c r="G130" s="12"/>
      <c r="H130" s="10">
        <f>H120+H123</f>
        <v>405.7767136308088</v>
      </c>
      <c r="I130" s="36"/>
      <c r="J130" s="10">
        <f>J120+J123</f>
        <v>402.2874686288785</v>
      </c>
      <c r="K130" s="36"/>
      <c r="L130" s="10">
        <f>L120+L123</f>
        <v>1099.4006834865654</v>
      </c>
      <c r="M130" s="12"/>
      <c r="N130" s="10">
        <f>N120+N123</f>
        <v>2056.4053213752386</v>
      </c>
      <c r="O130" s="36"/>
      <c r="P130" s="10">
        <f>P120+P123</f>
        <v>1080.835011208125</v>
      </c>
      <c r="Q130" s="36"/>
      <c r="R130" s="10">
        <f>R120+R123</f>
        <v>194.09459512706206</v>
      </c>
      <c r="S130" s="12"/>
      <c r="T130" s="10">
        <f>T120+T123</f>
        <v>1620.3623505351643</v>
      </c>
      <c r="U130" s="36"/>
      <c r="V130" s="10">
        <f>V120+V123</f>
        <v>742.4839627014754</v>
      </c>
      <c r="W130" s="36"/>
      <c r="X130" s="10">
        <f>X120+X123</f>
        <v>526.9987119193089</v>
      </c>
      <c r="Y130" s="12"/>
      <c r="Z130" s="10">
        <f>Z120+Z123</f>
        <v>518.0136272266917</v>
      </c>
      <c r="AA130" s="36"/>
      <c r="AB130" s="10">
        <f>AB120+AB123</f>
        <v>506.08733509421677</v>
      </c>
      <c r="AC130" s="10"/>
      <c r="AD130" s="10">
        <f t="shared" si="18"/>
        <v>2239.151587428471</v>
      </c>
      <c r="AE130" s="10"/>
      <c r="AF130" s="10">
        <f t="shared" si="18"/>
        <v>4600.558012767903</v>
      </c>
      <c r="AG130" s="10"/>
      <c r="AH130" s="10">
        <f t="shared" si="18"/>
        <v>2731.693777632696</v>
      </c>
      <c r="AI130" s="36"/>
      <c r="AJ130" s="36">
        <f t="shared" si="29"/>
        <v>2239.151587428471</v>
      </c>
      <c r="AK130" s="36"/>
      <c r="AL130" s="36">
        <f t="shared" si="30"/>
        <v>4600.558012767903</v>
      </c>
      <c r="AM130" s="36"/>
      <c r="AN130" s="36">
        <f t="shared" si="31"/>
        <v>2731.693777632696</v>
      </c>
      <c r="AO130" s="36"/>
      <c r="AP130" s="36">
        <f t="shared" si="32"/>
        <v>3190.46779260969</v>
      </c>
      <c r="AQ130" s="36"/>
      <c r="AR130" s="36"/>
    </row>
    <row r="131" spans="2:44" ht="12.75">
      <c r="B131" s="8" t="s">
        <v>39</v>
      </c>
      <c r="D131" s="8" t="s">
        <v>37</v>
      </c>
      <c r="F131" s="10">
        <f>F116+F119+F121</f>
        <v>523.321996119418</v>
      </c>
      <c r="G131" s="12"/>
      <c r="H131" s="10">
        <f>H116+H119+H121</f>
        <v>507.22089203851084</v>
      </c>
      <c r="I131" s="36"/>
      <c r="J131" s="10">
        <f>J116+J119+J121</f>
        <v>502.85933578609814</v>
      </c>
      <c r="K131" s="36"/>
      <c r="L131" s="10">
        <f>L116+L119+L121</f>
        <v>531241.4042675432</v>
      </c>
      <c r="M131" s="12"/>
      <c r="N131" s="10">
        <f>N116+N119+N121</f>
        <v>528442.0516639263</v>
      </c>
      <c r="O131" s="36"/>
      <c r="P131" s="10">
        <f>P116+P119+P121</f>
        <v>745603.2241318128</v>
      </c>
      <c r="Q131" s="36"/>
      <c r="R131" s="10">
        <f>R116+R119+R121</f>
        <v>9913.575540709822</v>
      </c>
      <c r="S131" s="12"/>
      <c r="T131" s="10">
        <f>T116+T119+T121</f>
        <v>3590.7635274408685</v>
      </c>
      <c r="U131" s="36"/>
      <c r="V131" s="10">
        <f>V116+V119+V121</f>
        <v>1827.6528312651703</v>
      </c>
      <c r="W131" s="36"/>
      <c r="X131" s="10">
        <f>X116+X119+X121</f>
        <v>3831.9981456367395</v>
      </c>
      <c r="Y131" s="12"/>
      <c r="Z131" s="10">
        <f>Z116+Z119+Z121</f>
        <v>5571.44327987619</v>
      </c>
      <c r="AA131" s="36"/>
      <c r="AB131" s="10">
        <f>AB116+AB119+AB121</f>
        <v>7213.318480919437</v>
      </c>
      <c r="AC131" s="10"/>
      <c r="AD131" s="10">
        <f t="shared" si="18"/>
        <v>545510.2999500092</v>
      </c>
      <c r="AE131" s="10"/>
      <c r="AF131" s="10">
        <f t="shared" si="18"/>
        <v>538111.4793632819</v>
      </c>
      <c r="AG131" s="10"/>
      <c r="AH131" s="10">
        <f t="shared" si="18"/>
        <v>755147.0547797835</v>
      </c>
      <c r="AI131" s="36"/>
      <c r="AJ131" s="36">
        <f t="shared" si="29"/>
        <v>545510.2999500092</v>
      </c>
      <c r="AK131" s="36"/>
      <c r="AL131" s="36">
        <f t="shared" si="30"/>
        <v>538111.4793632819</v>
      </c>
      <c r="AM131" s="36"/>
      <c r="AN131" s="36">
        <f t="shared" si="31"/>
        <v>755147.0547797835</v>
      </c>
      <c r="AO131" s="36"/>
      <c r="AP131" s="36">
        <f t="shared" si="32"/>
        <v>612922.9446976915</v>
      </c>
      <c r="AQ131" s="73"/>
      <c r="AR131" s="8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B6">
      <selection activeCell="C10" sqref="C10"/>
    </sheetView>
  </sheetViews>
  <sheetFormatPr defaultColWidth="9.140625" defaultRowHeight="12.75"/>
  <cols>
    <col min="1" max="1" width="3.7109375" style="0" hidden="1" customWidth="1"/>
    <col min="2" max="2" width="41.140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2" t="s">
        <v>46</v>
      </c>
      <c r="C1" s="13"/>
      <c r="D1" s="13"/>
      <c r="E1" s="13"/>
      <c r="F1" s="13"/>
    </row>
    <row r="2" spans="2:6" ht="12.75">
      <c r="B2" s="13"/>
      <c r="C2" s="13"/>
      <c r="D2" s="13"/>
      <c r="E2" s="13"/>
      <c r="F2" s="13"/>
    </row>
    <row r="3" spans="1:6" ht="12.75">
      <c r="A3" t="s">
        <v>75</v>
      </c>
      <c r="B3" s="2" t="s">
        <v>136</v>
      </c>
      <c r="C3" s="13"/>
      <c r="D3" s="13"/>
      <c r="E3" s="13"/>
      <c r="F3" s="13"/>
    </row>
    <row r="4" spans="2:6" ht="12.75">
      <c r="B4" s="13"/>
      <c r="C4" s="13"/>
      <c r="D4" s="13"/>
      <c r="E4" s="41" t="s">
        <v>201</v>
      </c>
      <c r="F4" s="13"/>
    </row>
    <row r="5" spans="2:6" ht="14.25">
      <c r="B5" s="13" t="s">
        <v>118</v>
      </c>
      <c r="C5" s="13" t="s">
        <v>79</v>
      </c>
      <c r="D5" s="3"/>
      <c r="E5" s="13">
        <v>977</v>
      </c>
      <c r="F5" s="13"/>
    </row>
    <row r="6" spans="2:6" ht="12.75">
      <c r="B6" s="13" t="s">
        <v>119</v>
      </c>
      <c r="C6" s="13" t="s">
        <v>80</v>
      </c>
      <c r="D6" s="13"/>
      <c r="E6" s="13">
        <v>-0.41</v>
      </c>
      <c r="F6" s="13"/>
    </row>
    <row r="7" spans="2:6" ht="12.75">
      <c r="B7" s="13" t="s">
        <v>128</v>
      </c>
      <c r="C7" s="13" t="s">
        <v>79</v>
      </c>
      <c r="D7" s="13"/>
      <c r="E7" s="13">
        <v>75</v>
      </c>
      <c r="F7" s="13"/>
    </row>
    <row r="8" spans="2:6" ht="12.75">
      <c r="B8" s="13" t="s">
        <v>120</v>
      </c>
      <c r="C8" s="13" t="s">
        <v>34</v>
      </c>
      <c r="D8" s="13"/>
      <c r="E8" s="37">
        <v>856</v>
      </c>
      <c r="F8" s="13"/>
    </row>
    <row r="9" spans="2:6" ht="12.75">
      <c r="B9" s="13" t="s">
        <v>124</v>
      </c>
      <c r="C9" s="13" t="s">
        <v>80</v>
      </c>
      <c r="D9" s="13"/>
      <c r="E9" s="34">
        <v>0.67</v>
      </c>
      <c r="F9" s="13"/>
    </row>
    <row r="10" spans="2:6" ht="12.75">
      <c r="B10" s="13" t="s">
        <v>121</v>
      </c>
      <c r="C10" s="13" t="s">
        <v>81</v>
      </c>
      <c r="D10" s="13"/>
      <c r="E10" s="33">
        <v>20.8</v>
      </c>
      <c r="F10" s="13"/>
    </row>
    <row r="11" spans="2:6" ht="12.75">
      <c r="B11" s="13" t="s">
        <v>122</v>
      </c>
      <c r="C11" s="13" t="s">
        <v>81</v>
      </c>
      <c r="D11" s="13"/>
      <c r="E11" s="13">
        <v>25.6</v>
      </c>
      <c r="F11" s="13"/>
    </row>
    <row r="12" spans="2:6" ht="12.75">
      <c r="B12" s="13" t="s">
        <v>123</v>
      </c>
      <c r="C12" s="13" t="s">
        <v>34</v>
      </c>
      <c r="D12" s="13"/>
      <c r="E12" s="13">
        <v>1083</v>
      </c>
      <c r="F12" s="13"/>
    </row>
    <row r="13" spans="2:6" ht="12.75">
      <c r="B13" s="13" t="s">
        <v>125</v>
      </c>
      <c r="C13" s="13" t="s">
        <v>80</v>
      </c>
      <c r="D13" s="13"/>
      <c r="E13" s="13">
        <v>0.4</v>
      </c>
      <c r="F13" s="13"/>
    </row>
    <row r="14" spans="2:6" ht="12.75">
      <c r="B14" s="13" t="s">
        <v>126</v>
      </c>
      <c r="C14" s="13" t="s">
        <v>81</v>
      </c>
      <c r="D14" s="13"/>
      <c r="E14" s="13">
        <v>18.4</v>
      </c>
      <c r="F14" s="13"/>
    </row>
    <row r="15" spans="2:6" ht="12.75">
      <c r="B15" s="13" t="s">
        <v>127</v>
      </c>
      <c r="C15" s="13" t="s">
        <v>81</v>
      </c>
      <c r="D15" s="13"/>
      <c r="E15" s="13">
        <v>17.1</v>
      </c>
      <c r="F15" s="13"/>
    </row>
    <row r="16" spans="2:6" ht="12.75">
      <c r="B16" s="13"/>
      <c r="C16" s="13"/>
      <c r="D16" s="13"/>
      <c r="E16" s="13"/>
      <c r="F16" s="13"/>
    </row>
    <row r="17" spans="1:7" ht="12.75">
      <c r="A17" t="s">
        <v>75</v>
      </c>
      <c r="B17" s="2" t="s">
        <v>137</v>
      </c>
      <c r="C17" s="13"/>
      <c r="D17" s="13"/>
      <c r="E17" s="41" t="s">
        <v>201</v>
      </c>
      <c r="F17" s="13"/>
      <c r="G17" s="45"/>
    </row>
    <row r="18" spans="2:6" ht="12.75">
      <c r="B18" s="13"/>
      <c r="C18" s="13"/>
      <c r="D18" s="13"/>
      <c r="E18" s="13"/>
      <c r="F18" s="13"/>
    </row>
    <row r="19" spans="2:6" ht="14.25">
      <c r="B19" s="13" t="s">
        <v>118</v>
      </c>
      <c r="C19" s="13" t="s">
        <v>79</v>
      </c>
      <c r="D19" s="3"/>
      <c r="E19" s="13">
        <v>1024</v>
      </c>
      <c r="F19" s="13"/>
    </row>
    <row r="20" spans="2:6" ht="12.75">
      <c r="B20" s="13" t="s">
        <v>119</v>
      </c>
      <c r="C20" s="13" t="s">
        <v>80</v>
      </c>
      <c r="D20" s="13"/>
      <c r="E20" s="13">
        <v>-0.43</v>
      </c>
      <c r="F20" s="13"/>
    </row>
    <row r="21" spans="2:6" ht="12.75">
      <c r="B21" s="13" t="s">
        <v>128</v>
      </c>
      <c r="C21" s="13" t="s">
        <v>79</v>
      </c>
      <c r="D21" s="13"/>
      <c r="E21" s="13">
        <v>75</v>
      </c>
      <c r="F21" s="13"/>
    </row>
    <row r="22" spans="2:6" ht="12.75">
      <c r="B22" s="13" t="s">
        <v>120</v>
      </c>
      <c r="C22" s="13" t="s">
        <v>34</v>
      </c>
      <c r="D22" s="13"/>
      <c r="E22" s="37">
        <v>865</v>
      </c>
      <c r="F22" s="13"/>
    </row>
    <row r="23" spans="2:6" ht="12.75">
      <c r="B23" s="13" t="s">
        <v>124</v>
      </c>
      <c r="C23" s="13" t="s">
        <v>80</v>
      </c>
      <c r="D23" s="13"/>
      <c r="E23" s="34">
        <v>0.7</v>
      </c>
      <c r="F23" s="13"/>
    </row>
    <row r="24" spans="2:6" ht="12.75">
      <c r="B24" s="13" t="s">
        <v>121</v>
      </c>
      <c r="C24" s="13" t="s">
        <v>81</v>
      </c>
      <c r="D24" s="13"/>
      <c r="E24" s="33">
        <v>20.7</v>
      </c>
      <c r="F24" s="13"/>
    </row>
    <row r="25" spans="2:6" ht="12.75">
      <c r="B25" s="13" t="s">
        <v>122</v>
      </c>
      <c r="C25" s="13" t="s">
        <v>81</v>
      </c>
      <c r="D25" s="13"/>
      <c r="E25" s="13">
        <v>25.2</v>
      </c>
      <c r="F25" s="13"/>
    </row>
    <row r="26" spans="2:6" ht="12.75">
      <c r="B26" s="13" t="s">
        <v>123</v>
      </c>
      <c r="C26" s="13" t="s">
        <v>34</v>
      </c>
      <c r="D26" s="13"/>
      <c r="E26" s="13">
        <v>1094</v>
      </c>
      <c r="F26" s="13"/>
    </row>
    <row r="27" spans="2:6" ht="12.75">
      <c r="B27" s="13" t="s">
        <v>125</v>
      </c>
      <c r="C27" s="13" t="s">
        <v>80</v>
      </c>
      <c r="D27" s="13"/>
      <c r="E27" s="13">
        <v>0.38</v>
      </c>
      <c r="F27" s="13"/>
    </row>
    <row r="28" spans="2:6" ht="12.75">
      <c r="B28" s="13" t="s">
        <v>126</v>
      </c>
      <c r="C28" s="13" t="s">
        <v>81</v>
      </c>
      <c r="D28" s="13"/>
      <c r="E28" s="13">
        <v>17.8</v>
      </c>
      <c r="F28" s="13"/>
    </row>
    <row r="29" spans="2:6" ht="12.75">
      <c r="B29" s="13" t="s">
        <v>127</v>
      </c>
      <c r="C29" s="13" t="s">
        <v>81</v>
      </c>
      <c r="D29" s="13"/>
      <c r="E29" s="13">
        <v>15.9</v>
      </c>
      <c r="F29" s="13"/>
    </row>
    <row r="30" spans="2:6" ht="12.75">
      <c r="B30" s="13"/>
      <c r="C30" s="13"/>
      <c r="D30" s="13"/>
      <c r="E30" s="33"/>
      <c r="F30" s="13"/>
    </row>
    <row r="31" spans="2:6" ht="12.75">
      <c r="B31" s="13"/>
      <c r="C31" s="13"/>
      <c r="D31" s="13"/>
      <c r="E31" s="13"/>
      <c r="F31" s="13"/>
    </row>
    <row r="32" spans="2:6" ht="12.75">
      <c r="B32" s="13"/>
      <c r="C32" s="13"/>
      <c r="D32" s="13"/>
      <c r="E32" s="13"/>
      <c r="F32" s="13"/>
    </row>
    <row r="33" spans="2:6" ht="12.75">
      <c r="B33" s="13"/>
      <c r="C33" s="13"/>
      <c r="D33" s="13"/>
      <c r="E33" s="13"/>
      <c r="F33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A1">
      <selection activeCell="C10" sqref="C10"/>
    </sheetView>
  </sheetViews>
  <sheetFormatPr defaultColWidth="9.140625" defaultRowHeight="12.75"/>
  <cols>
    <col min="1" max="1" width="1.7109375" style="64" customWidth="1"/>
    <col min="2" max="2" width="20.00390625" style="64" customWidth="1"/>
    <col min="3" max="3" width="9.421875" style="64" customWidth="1"/>
    <col min="4" max="4" width="3.00390625" style="64" customWidth="1"/>
    <col min="5" max="5" width="7.8515625" style="64" customWidth="1"/>
    <col min="6" max="6" width="8.00390625" style="64" customWidth="1"/>
    <col min="7" max="7" width="7.8515625" style="64" customWidth="1"/>
    <col min="8" max="8" width="7.57421875" style="64" customWidth="1"/>
    <col min="9" max="9" width="2.421875" style="64" customWidth="1"/>
    <col min="10" max="11" width="8.00390625" style="64" customWidth="1"/>
    <col min="12" max="12" width="9.140625" style="64" customWidth="1"/>
    <col min="13" max="13" width="8.00390625" style="64" customWidth="1"/>
    <col min="14" max="14" width="2.8515625" style="64" customWidth="1"/>
    <col min="15" max="15" width="7.28125" style="64" customWidth="1"/>
    <col min="16" max="16" width="9.140625" style="64" customWidth="1"/>
    <col min="17" max="17" width="7.421875" style="64" customWidth="1"/>
    <col min="18" max="18" width="7.57421875" style="64" customWidth="1"/>
    <col min="19" max="19" width="3.140625" style="64" customWidth="1"/>
    <col min="20" max="20" width="7.28125" style="64" customWidth="1"/>
    <col min="21" max="21" width="7.421875" style="64" customWidth="1"/>
    <col min="22" max="22" width="6.8515625" style="64" customWidth="1"/>
    <col min="23" max="23" width="6.28125" style="64" customWidth="1"/>
    <col min="24" max="16384" width="9.140625" style="64" customWidth="1"/>
  </cols>
  <sheetData>
    <row r="1" spans="1:23" ht="12.75">
      <c r="A1" s="61" t="s">
        <v>141</v>
      </c>
      <c r="B1" s="29"/>
      <c r="C1" s="29"/>
      <c r="D1" s="29"/>
      <c r="E1" s="62"/>
      <c r="F1" s="62"/>
      <c r="G1" s="62"/>
      <c r="H1" s="63"/>
      <c r="I1" s="62"/>
      <c r="J1" s="62"/>
      <c r="K1" s="62"/>
      <c r="L1" s="62"/>
      <c r="M1" s="62"/>
      <c r="N1" s="62"/>
      <c r="O1" s="62"/>
      <c r="P1" s="62"/>
      <c r="Q1" s="62"/>
      <c r="R1" s="62"/>
      <c r="T1" s="62"/>
      <c r="U1" s="62"/>
      <c r="V1" s="62"/>
      <c r="W1" s="62"/>
    </row>
    <row r="2" spans="1:23" ht="12.75">
      <c r="A2" s="29"/>
      <c r="B2" s="29"/>
      <c r="C2" s="29"/>
      <c r="D2" s="29"/>
      <c r="E2" s="62"/>
      <c r="F2" s="62"/>
      <c r="G2" s="62"/>
      <c r="H2" s="63"/>
      <c r="I2" s="62"/>
      <c r="J2" s="62"/>
      <c r="K2" s="62"/>
      <c r="L2" s="62"/>
      <c r="M2" s="62"/>
      <c r="N2" s="62"/>
      <c r="O2" s="62"/>
      <c r="P2" s="62"/>
      <c r="Q2" s="62"/>
      <c r="R2" s="62"/>
      <c r="T2" s="62"/>
      <c r="U2" s="62"/>
      <c r="V2" s="62"/>
      <c r="W2" s="62"/>
    </row>
    <row r="3" spans="1:23" ht="12.75">
      <c r="A3" s="29" t="s">
        <v>142</v>
      </c>
      <c r="B3" s="29"/>
      <c r="C3" s="8" t="s">
        <v>183</v>
      </c>
      <c r="D3" s="8"/>
      <c r="E3" s="62"/>
      <c r="F3" s="62"/>
      <c r="G3" s="62"/>
      <c r="H3" s="63"/>
      <c r="I3" s="62"/>
      <c r="J3" s="65"/>
      <c r="K3" s="65"/>
      <c r="L3" s="62"/>
      <c r="M3" s="62"/>
      <c r="N3" s="62"/>
      <c r="O3" s="62"/>
      <c r="P3" s="62"/>
      <c r="Q3" s="62"/>
      <c r="R3" s="62"/>
      <c r="T3" s="62"/>
      <c r="U3" s="62"/>
      <c r="V3" s="62"/>
      <c r="W3" s="62"/>
    </row>
    <row r="4" spans="1:23" ht="12.75">
      <c r="A4" s="29" t="s">
        <v>143</v>
      </c>
      <c r="B4" s="29"/>
      <c r="C4" s="8" t="s">
        <v>184</v>
      </c>
      <c r="D4" s="8"/>
      <c r="E4" s="66"/>
      <c r="F4" s="66"/>
      <c r="G4" s="66"/>
      <c r="H4" s="67"/>
      <c r="I4" s="66"/>
      <c r="J4" s="66"/>
      <c r="K4" s="66"/>
      <c r="L4" s="66"/>
      <c r="M4" s="66"/>
      <c r="N4" s="66"/>
      <c r="O4" s="66"/>
      <c r="P4" s="66"/>
      <c r="Q4" s="66"/>
      <c r="R4" s="66"/>
      <c r="T4" s="66"/>
      <c r="U4" s="66"/>
      <c r="V4" s="66"/>
      <c r="W4" s="66"/>
    </row>
    <row r="5" spans="1:23" ht="12.75">
      <c r="A5" s="29" t="s">
        <v>144</v>
      </c>
      <c r="B5" s="29"/>
      <c r="C5" s="68">
        <v>37012</v>
      </c>
      <c r="D5" s="29"/>
      <c r="E5" s="29"/>
      <c r="F5" s="29"/>
      <c r="G5" s="29"/>
      <c r="H5" s="29"/>
      <c r="I5" s="29"/>
      <c r="J5" s="29"/>
      <c r="K5" s="29"/>
      <c r="L5" s="29"/>
      <c r="M5" s="62"/>
      <c r="N5" s="62"/>
      <c r="O5" s="62"/>
      <c r="P5" s="62"/>
      <c r="Q5" s="62"/>
      <c r="R5" s="62"/>
      <c r="T5" s="62"/>
      <c r="U5" s="62"/>
      <c r="V5" s="62"/>
      <c r="W5" s="62"/>
    </row>
    <row r="6" spans="1:23" ht="12.75">
      <c r="A6" s="29"/>
      <c r="B6" s="29"/>
      <c r="C6" s="31"/>
      <c r="D6" s="31"/>
      <c r="E6" s="35"/>
      <c r="F6" s="35"/>
      <c r="G6" s="35"/>
      <c r="H6" s="63"/>
      <c r="I6" s="62"/>
      <c r="J6" s="35"/>
      <c r="K6" s="35"/>
      <c r="L6" s="35"/>
      <c r="M6" s="62"/>
      <c r="N6" s="62"/>
      <c r="O6" s="35"/>
      <c r="P6" s="35"/>
      <c r="Q6" s="35"/>
      <c r="R6" s="62"/>
      <c r="T6" s="35"/>
      <c r="U6" s="35"/>
      <c r="V6" s="35"/>
      <c r="W6" s="62"/>
    </row>
    <row r="7" spans="1:23" ht="12.75">
      <c r="A7" s="29"/>
      <c r="B7" s="29"/>
      <c r="C7" s="31" t="s">
        <v>145</v>
      </c>
      <c r="D7" s="31"/>
      <c r="E7" s="69" t="s">
        <v>31</v>
      </c>
      <c r="F7" s="69"/>
      <c r="G7" s="69"/>
      <c r="H7" s="69"/>
      <c r="I7" s="12"/>
      <c r="J7" s="69" t="s">
        <v>32</v>
      </c>
      <c r="K7" s="69"/>
      <c r="L7" s="69"/>
      <c r="M7" s="69"/>
      <c r="N7" s="12"/>
      <c r="O7" s="69" t="s">
        <v>33</v>
      </c>
      <c r="P7" s="69"/>
      <c r="Q7" s="69"/>
      <c r="R7" s="69"/>
      <c r="T7" s="69" t="s">
        <v>232</v>
      </c>
      <c r="U7" s="69"/>
      <c r="V7" s="69"/>
      <c r="W7" s="69"/>
    </row>
    <row r="8" spans="1:23" ht="12.75">
      <c r="A8" s="29"/>
      <c r="B8" s="29"/>
      <c r="C8" s="31" t="s">
        <v>146</v>
      </c>
      <c r="D8" s="29"/>
      <c r="E8" s="35" t="s">
        <v>117</v>
      </c>
      <c r="F8" s="35" t="s">
        <v>148</v>
      </c>
      <c r="G8" s="35" t="s">
        <v>117</v>
      </c>
      <c r="H8" s="67" t="s">
        <v>147</v>
      </c>
      <c r="I8" s="62"/>
      <c r="J8" s="35" t="s">
        <v>117</v>
      </c>
      <c r="K8" s="35" t="s">
        <v>148</v>
      </c>
      <c r="L8" s="35" t="s">
        <v>117</v>
      </c>
      <c r="M8" s="35" t="s">
        <v>148</v>
      </c>
      <c r="N8" s="62"/>
      <c r="O8" s="35" t="s">
        <v>117</v>
      </c>
      <c r="P8" s="35" t="s">
        <v>148</v>
      </c>
      <c r="Q8" s="35" t="s">
        <v>117</v>
      </c>
      <c r="R8" s="35" t="s">
        <v>148</v>
      </c>
      <c r="T8" s="35" t="s">
        <v>117</v>
      </c>
      <c r="U8" s="35" t="s">
        <v>148</v>
      </c>
      <c r="V8" s="35" t="s">
        <v>117</v>
      </c>
      <c r="W8" s="35" t="s">
        <v>148</v>
      </c>
    </row>
    <row r="9" spans="1:23" ht="12.75">
      <c r="A9" s="29"/>
      <c r="B9" s="29"/>
      <c r="C9" s="31"/>
      <c r="D9" s="29"/>
      <c r="E9" s="35" t="s">
        <v>231</v>
      </c>
      <c r="F9" s="35" t="s">
        <v>231</v>
      </c>
      <c r="G9" s="35" t="s">
        <v>149</v>
      </c>
      <c r="H9" s="67" t="s">
        <v>149</v>
      </c>
      <c r="I9" s="62"/>
      <c r="J9" s="35" t="s">
        <v>231</v>
      </c>
      <c r="K9" s="35" t="s">
        <v>231</v>
      </c>
      <c r="L9" s="35" t="s">
        <v>149</v>
      </c>
      <c r="M9" s="67" t="s">
        <v>149</v>
      </c>
      <c r="N9" s="62"/>
      <c r="O9" s="35" t="s">
        <v>231</v>
      </c>
      <c r="P9" s="35" t="s">
        <v>231</v>
      </c>
      <c r="Q9" s="35" t="s">
        <v>149</v>
      </c>
      <c r="R9" s="67" t="s">
        <v>149</v>
      </c>
      <c r="T9" s="35" t="s">
        <v>231</v>
      </c>
      <c r="U9" s="35" t="s">
        <v>231</v>
      </c>
      <c r="V9" s="35" t="s">
        <v>149</v>
      </c>
      <c r="W9" s="67" t="s">
        <v>149</v>
      </c>
    </row>
    <row r="10" spans="1:23" ht="12.75">
      <c r="A10" s="29" t="s">
        <v>150</v>
      </c>
      <c r="B10" s="29"/>
      <c r="C10" s="29"/>
      <c r="D10" s="29"/>
      <c r="E10" s="62"/>
      <c r="F10" s="62"/>
      <c r="G10" s="62"/>
      <c r="H10" s="63"/>
      <c r="I10" s="62"/>
      <c r="J10" s="62"/>
      <c r="K10" s="62"/>
      <c r="L10" s="62"/>
      <c r="M10" s="62"/>
      <c r="N10" s="62"/>
      <c r="O10" s="32"/>
      <c r="P10" s="32"/>
      <c r="Q10" s="62"/>
      <c r="R10" s="62"/>
      <c r="T10" s="32"/>
      <c r="U10" s="32"/>
      <c r="V10" s="62"/>
      <c r="W10" s="62"/>
    </row>
    <row r="11" spans="1:23" ht="12.75">
      <c r="A11" s="29"/>
      <c r="B11" s="29" t="s">
        <v>151</v>
      </c>
      <c r="C11" s="31">
        <v>1</v>
      </c>
      <c r="D11"/>
      <c r="E11"/>
      <c r="F11"/>
      <c r="G11" s="70">
        <f aca="true" t="shared" si="0" ref="G11:G35">IF(E11=0,"",IF(D11="nd",E11/2,E11))</f>
      </c>
      <c r="H11" s="70">
        <f aca="true" t="shared" si="1" ref="H11:H35">IF(G11="","",G11*$C11)</f>
      </c>
      <c r="I11"/>
      <c r="J11"/>
      <c r="K11"/>
      <c r="L11" s="70">
        <f aca="true" t="shared" si="2" ref="L11:L35">IF(J11=0,"",IF(I11="nd",J11/2,J11))</f>
      </c>
      <c r="M11" s="70">
        <f aca="true" t="shared" si="3" ref="M11:M35">IF(L11="","",L11*$C11)</f>
      </c>
      <c r="N11"/>
      <c r="O11"/>
      <c r="P11"/>
      <c r="Q11" s="70">
        <f aca="true" t="shared" si="4" ref="Q11:Q35">IF(O11=0,"",IF(N11="nd",O11/2,O11))</f>
      </c>
      <c r="R11" s="70">
        <f aca="true" t="shared" si="5" ref="R11:R35">IF(Q11="","",Q11*$C11)</f>
      </c>
      <c r="T11"/>
      <c r="U11"/>
      <c r="V11" s="70">
        <f aca="true" t="shared" si="6" ref="V11:V35">IF(T11=0,"",IF(S11="nd",T11/2,T11))</f>
      </c>
      <c r="W11" s="70">
        <f aca="true" t="shared" si="7" ref="W11:W35">IF(V11="","",V11*$C11)</f>
      </c>
    </row>
    <row r="12" spans="1:23" ht="12.75">
      <c r="A12" s="29"/>
      <c r="B12" s="29" t="s">
        <v>152</v>
      </c>
      <c r="C12" s="31">
        <v>0.5</v>
      </c>
      <c r="D12"/>
      <c r="E12"/>
      <c r="F12"/>
      <c r="G12" s="70">
        <f t="shared" si="0"/>
      </c>
      <c r="H12" s="70">
        <f t="shared" si="1"/>
      </c>
      <c r="I12"/>
      <c r="J12"/>
      <c r="K12"/>
      <c r="L12" s="70">
        <f t="shared" si="2"/>
      </c>
      <c r="M12" s="70">
        <f t="shared" si="3"/>
      </c>
      <c r="N12"/>
      <c r="O12"/>
      <c r="P12"/>
      <c r="Q12" s="70">
        <f t="shared" si="4"/>
      </c>
      <c r="R12" s="70">
        <f t="shared" si="5"/>
      </c>
      <c r="T12"/>
      <c r="U12"/>
      <c r="V12" s="70">
        <f t="shared" si="6"/>
      </c>
      <c r="W12" s="70">
        <f t="shared" si="7"/>
      </c>
    </row>
    <row r="13" spans="1:23" ht="12.75">
      <c r="A13" s="29"/>
      <c r="B13" s="29" t="s">
        <v>153</v>
      </c>
      <c r="C13" s="31">
        <v>0.1</v>
      </c>
      <c r="D13"/>
      <c r="E13"/>
      <c r="F13"/>
      <c r="G13" s="70">
        <f t="shared" si="0"/>
      </c>
      <c r="H13" s="70">
        <f t="shared" si="1"/>
      </c>
      <c r="I13"/>
      <c r="J13"/>
      <c r="K13"/>
      <c r="L13" s="70">
        <f t="shared" si="2"/>
      </c>
      <c r="M13" s="70">
        <f>IF(L13="","",L13*$C13)</f>
      </c>
      <c r="N13"/>
      <c r="O13"/>
      <c r="P13"/>
      <c r="Q13" s="70">
        <f t="shared" si="4"/>
      </c>
      <c r="R13" s="70">
        <f t="shared" si="5"/>
      </c>
      <c r="T13"/>
      <c r="U13"/>
      <c r="V13" s="70">
        <f t="shared" si="6"/>
      </c>
      <c r="W13" s="70">
        <f t="shared" si="7"/>
      </c>
    </row>
    <row r="14" spans="1:23" ht="12.75">
      <c r="A14" s="29"/>
      <c r="B14" s="29" t="s">
        <v>154</v>
      </c>
      <c r="C14" s="31">
        <v>0.1</v>
      </c>
      <c r="D14"/>
      <c r="E14"/>
      <c r="F14"/>
      <c r="G14" s="70">
        <f t="shared" si="0"/>
      </c>
      <c r="H14" s="70">
        <f t="shared" si="1"/>
      </c>
      <c r="I14"/>
      <c r="J14"/>
      <c r="K14"/>
      <c r="L14" s="70">
        <f t="shared" si="2"/>
      </c>
      <c r="M14" s="70">
        <f t="shared" si="3"/>
      </c>
      <c r="N14"/>
      <c r="O14"/>
      <c r="P14"/>
      <c r="Q14" s="70">
        <f t="shared" si="4"/>
      </c>
      <c r="R14" s="70">
        <f t="shared" si="5"/>
      </c>
      <c r="T14"/>
      <c r="U14"/>
      <c r="V14" s="70">
        <f t="shared" si="6"/>
      </c>
      <c r="W14" s="70">
        <f t="shared" si="7"/>
      </c>
    </row>
    <row r="15" spans="1:23" ht="12.75">
      <c r="A15" s="29"/>
      <c r="B15" s="29" t="s">
        <v>155</v>
      </c>
      <c r="C15" s="31">
        <v>0.1</v>
      </c>
      <c r="D15"/>
      <c r="E15"/>
      <c r="F15"/>
      <c r="G15" s="70">
        <f t="shared" si="0"/>
      </c>
      <c r="H15" s="70">
        <f t="shared" si="1"/>
      </c>
      <c r="I15"/>
      <c r="J15"/>
      <c r="K15"/>
      <c r="L15" s="70">
        <f t="shared" si="2"/>
      </c>
      <c r="M15" s="70">
        <f t="shared" si="3"/>
      </c>
      <c r="N15"/>
      <c r="O15"/>
      <c r="P15"/>
      <c r="Q15" s="70">
        <f t="shared" si="4"/>
      </c>
      <c r="R15" s="70">
        <f t="shared" si="5"/>
      </c>
      <c r="T15"/>
      <c r="U15"/>
      <c r="V15" s="70">
        <f t="shared" si="6"/>
      </c>
      <c r="W15" s="70">
        <f t="shared" si="7"/>
      </c>
    </row>
    <row r="16" spans="1:23" ht="12.75">
      <c r="A16" s="29"/>
      <c r="B16" s="29" t="s">
        <v>156</v>
      </c>
      <c r="C16" s="31">
        <v>0.01</v>
      </c>
      <c r="D16"/>
      <c r="E16"/>
      <c r="F16"/>
      <c r="G16" s="70">
        <f t="shared" si="0"/>
      </c>
      <c r="H16" s="70">
        <f t="shared" si="1"/>
      </c>
      <c r="I16"/>
      <c r="J16"/>
      <c r="K16"/>
      <c r="L16" s="70">
        <f t="shared" si="2"/>
      </c>
      <c r="M16" s="70">
        <f t="shared" si="3"/>
      </c>
      <c r="N16"/>
      <c r="O16"/>
      <c r="P16"/>
      <c r="Q16" s="70">
        <f t="shared" si="4"/>
      </c>
      <c r="R16" s="70">
        <f t="shared" si="5"/>
      </c>
      <c r="T16"/>
      <c r="U16"/>
      <c r="V16" s="70">
        <f t="shared" si="6"/>
      </c>
      <c r="W16" s="70">
        <f t="shared" si="7"/>
      </c>
    </row>
    <row r="17" spans="1:23" ht="12.75">
      <c r="A17" s="29"/>
      <c r="B17" s="29" t="s">
        <v>157</v>
      </c>
      <c r="C17" s="31">
        <v>0.001</v>
      </c>
      <c r="D17"/>
      <c r="E17"/>
      <c r="F17"/>
      <c r="G17" s="70">
        <f t="shared" si="0"/>
      </c>
      <c r="H17" s="70">
        <f t="shared" si="1"/>
      </c>
      <c r="I17"/>
      <c r="J17"/>
      <c r="K17"/>
      <c r="L17" s="70">
        <f t="shared" si="2"/>
      </c>
      <c r="M17" s="70">
        <f t="shared" si="3"/>
      </c>
      <c r="N17"/>
      <c r="O17"/>
      <c r="P17"/>
      <c r="Q17" s="70">
        <f t="shared" si="4"/>
      </c>
      <c r="R17" s="70">
        <f t="shared" si="5"/>
      </c>
      <c r="T17"/>
      <c r="U17"/>
      <c r="V17" s="70">
        <f t="shared" si="6"/>
      </c>
      <c r="W17" s="70">
        <f t="shared" si="7"/>
      </c>
    </row>
    <row r="18" spans="1:23" ht="12.75">
      <c r="A18" s="29"/>
      <c r="B18" s="29" t="s">
        <v>158</v>
      </c>
      <c r="C18" s="31">
        <v>0.1</v>
      </c>
      <c r="D18"/>
      <c r="E18"/>
      <c r="F18"/>
      <c r="G18" s="70">
        <f t="shared" si="0"/>
      </c>
      <c r="H18" s="70">
        <f t="shared" si="1"/>
      </c>
      <c r="I18"/>
      <c r="J18"/>
      <c r="K18"/>
      <c r="L18" s="70">
        <f t="shared" si="2"/>
      </c>
      <c r="M18" s="70">
        <f t="shared" si="3"/>
      </c>
      <c r="N18"/>
      <c r="O18"/>
      <c r="P18"/>
      <c r="Q18" s="70">
        <f t="shared" si="4"/>
      </c>
      <c r="R18" s="70">
        <f t="shared" si="5"/>
      </c>
      <c r="T18"/>
      <c r="U18"/>
      <c r="V18" s="70">
        <f t="shared" si="6"/>
      </c>
      <c r="W18" s="70">
        <f t="shared" si="7"/>
      </c>
    </row>
    <row r="19" spans="1:23" ht="12.75">
      <c r="A19" s="29"/>
      <c r="B19" s="29" t="s">
        <v>159</v>
      </c>
      <c r="C19" s="31">
        <v>0.05</v>
      </c>
      <c r="D19"/>
      <c r="E19"/>
      <c r="F19"/>
      <c r="G19" s="70">
        <f t="shared" si="0"/>
      </c>
      <c r="H19" s="70">
        <f t="shared" si="1"/>
      </c>
      <c r="I19"/>
      <c r="J19"/>
      <c r="K19"/>
      <c r="L19" s="70">
        <f t="shared" si="2"/>
      </c>
      <c r="M19" s="70">
        <f t="shared" si="3"/>
      </c>
      <c r="N19"/>
      <c r="O19"/>
      <c r="P19"/>
      <c r="Q19" s="70">
        <f t="shared" si="4"/>
      </c>
      <c r="R19" s="70">
        <f t="shared" si="5"/>
      </c>
      <c r="T19"/>
      <c r="U19"/>
      <c r="V19" s="70">
        <f t="shared" si="6"/>
      </c>
      <c r="W19" s="70">
        <f t="shared" si="7"/>
      </c>
    </row>
    <row r="20" spans="1:23" ht="12.75">
      <c r="A20" s="29"/>
      <c r="B20" s="29" t="s">
        <v>160</v>
      </c>
      <c r="C20" s="31">
        <v>0.5</v>
      </c>
      <c r="D20"/>
      <c r="E20"/>
      <c r="F20"/>
      <c r="G20" s="70">
        <f t="shared" si="0"/>
      </c>
      <c r="H20" s="70">
        <f t="shared" si="1"/>
      </c>
      <c r="I20"/>
      <c r="J20"/>
      <c r="K20"/>
      <c r="L20" s="70">
        <f t="shared" si="2"/>
      </c>
      <c r="M20" s="70">
        <f t="shared" si="3"/>
      </c>
      <c r="N20"/>
      <c r="O20"/>
      <c r="P20"/>
      <c r="Q20" s="70">
        <f t="shared" si="4"/>
      </c>
      <c r="R20" s="70">
        <f t="shared" si="5"/>
      </c>
      <c r="T20"/>
      <c r="U20"/>
      <c r="V20" s="70">
        <f t="shared" si="6"/>
      </c>
      <c r="W20" s="70">
        <f t="shared" si="7"/>
      </c>
    </row>
    <row r="21" spans="1:23" ht="12.75">
      <c r="A21" s="29"/>
      <c r="B21" s="29" t="s">
        <v>161</v>
      </c>
      <c r="C21" s="31">
        <v>0.1</v>
      </c>
      <c r="D21"/>
      <c r="E21"/>
      <c r="F21"/>
      <c r="G21" s="70">
        <f t="shared" si="0"/>
      </c>
      <c r="H21" s="70">
        <f t="shared" si="1"/>
      </c>
      <c r="I21"/>
      <c r="J21"/>
      <c r="K21"/>
      <c r="L21" s="70">
        <f t="shared" si="2"/>
      </c>
      <c r="M21" s="70">
        <f t="shared" si="3"/>
      </c>
      <c r="N21"/>
      <c r="O21"/>
      <c r="P21"/>
      <c r="Q21" s="70">
        <f t="shared" si="4"/>
      </c>
      <c r="R21" s="70">
        <f t="shared" si="5"/>
      </c>
      <c r="T21"/>
      <c r="U21"/>
      <c r="V21" s="70">
        <f t="shared" si="6"/>
      </c>
      <c r="W21" s="70">
        <f t="shared" si="7"/>
      </c>
    </row>
    <row r="22" spans="1:23" ht="12.75">
      <c r="A22" s="29"/>
      <c r="B22" s="29" t="s">
        <v>162</v>
      </c>
      <c r="C22" s="31">
        <v>0.1</v>
      </c>
      <c r="D22"/>
      <c r="E22"/>
      <c r="F22"/>
      <c r="G22" s="70">
        <f t="shared" si="0"/>
      </c>
      <c r="H22" s="70">
        <f t="shared" si="1"/>
      </c>
      <c r="I22"/>
      <c r="J22"/>
      <c r="K22"/>
      <c r="L22" s="70">
        <f t="shared" si="2"/>
      </c>
      <c r="M22" s="70">
        <f t="shared" si="3"/>
      </c>
      <c r="N22"/>
      <c r="O22"/>
      <c r="P22"/>
      <c r="Q22" s="70">
        <f t="shared" si="4"/>
      </c>
      <c r="R22" s="70">
        <f t="shared" si="5"/>
      </c>
      <c r="T22"/>
      <c r="U22"/>
      <c r="V22" s="70">
        <f t="shared" si="6"/>
      </c>
      <c r="W22" s="70">
        <f t="shared" si="7"/>
      </c>
    </row>
    <row r="23" spans="1:23" ht="12.75">
      <c r="A23" s="29"/>
      <c r="B23" s="29" t="s">
        <v>163</v>
      </c>
      <c r="C23" s="31">
        <v>0.1</v>
      </c>
      <c r="D23"/>
      <c r="E23"/>
      <c r="F23"/>
      <c r="G23" s="70">
        <f t="shared" si="0"/>
      </c>
      <c r="H23" s="70">
        <f t="shared" si="1"/>
      </c>
      <c r="I23"/>
      <c r="J23"/>
      <c r="K23"/>
      <c r="L23" s="70">
        <f t="shared" si="2"/>
      </c>
      <c r="M23" s="70">
        <f t="shared" si="3"/>
      </c>
      <c r="N23"/>
      <c r="O23"/>
      <c r="P23"/>
      <c r="Q23" s="70">
        <f t="shared" si="4"/>
      </c>
      <c r="R23" s="70">
        <f t="shared" si="5"/>
      </c>
      <c r="T23"/>
      <c r="U23"/>
      <c r="V23" s="70">
        <f t="shared" si="6"/>
      </c>
      <c r="W23" s="70">
        <f t="shared" si="7"/>
      </c>
    </row>
    <row r="24" spans="1:23" ht="12.75">
      <c r="A24" s="29"/>
      <c r="B24" s="29" t="s">
        <v>164</v>
      </c>
      <c r="C24" s="31">
        <v>0.1</v>
      </c>
      <c r="D24"/>
      <c r="E24"/>
      <c r="F24"/>
      <c r="G24" s="70">
        <f t="shared" si="0"/>
      </c>
      <c r="H24" s="70">
        <f t="shared" si="1"/>
      </c>
      <c r="I24"/>
      <c r="J24"/>
      <c r="K24"/>
      <c r="L24" s="70">
        <f t="shared" si="2"/>
      </c>
      <c r="M24" s="70">
        <f t="shared" si="3"/>
      </c>
      <c r="N24"/>
      <c r="O24"/>
      <c r="P24"/>
      <c r="Q24" s="70">
        <f t="shared" si="4"/>
      </c>
      <c r="R24" s="70">
        <f t="shared" si="5"/>
      </c>
      <c r="T24"/>
      <c r="U24"/>
      <c r="V24" s="70">
        <f t="shared" si="6"/>
      </c>
      <c r="W24" s="70">
        <f t="shared" si="7"/>
      </c>
    </row>
    <row r="25" spans="1:23" ht="12.75">
      <c r="A25" s="29"/>
      <c r="B25" s="29" t="s">
        <v>165</v>
      </c>
      <c r="C25" s="31">
        <v>0.01</v>
      </c>
      <c r="D25"/>
      <c r="E25"/>
      <c r="F25"/>
      <c r="G25" s="70">
        <f t="shared" si="0"/>
      </c>
      <c r="H25" s="70">
        <f t="shared" si="1"/>
      </c>
      <c r="I25"/>
      <c r="J25"/>
      <c r="K25"/>
      <c r="L25" s="70">
        <f t="shared" si="2"/>
      </c>
      <c r="M25" s="70">
        <f t="shared" si="3"/>
      </c>
      <c r="N25"/>
      <c r="O25"/>
      <c r="P25"/>
      <c r="Q25" s="70">
        <f t="shared" si="4"/>
      </c>
      <c r="R25" s="70">
        <f t="shared" si="5"/>
      </c>
      <c r="T25"/>
      <c r="U25"/>
      <c r="V25" s="70">
        <f t="shared" si="6"/>
      </c>
      <c r="W25" s="70">
        <f t="shared" si="7"/>
      </c>
    </row>
    <row r="26" spans="1:23" ht="12.75">
      <c r="A26" s="29"/>
      <c r="B26" s="29" t="s">
        <v>166</v>
      </c>
      <c r="C26" s="31">
        <v>0.01</v>
      </c>
      <c r="D26"/>
      <c r="E26"/>
      <c r="F26"/>
      <c r="G26" s="70">
        <f t="shared" si="0"/>
      </c>
      <c r="H26" s="70">
        <f t="shared" si="1"/>
      </c>
      <c r="I26"/>
      <c r="J26"/>
      <c r="K26"/>
      <c r="L26" s="70">
        <f t="shared" si="2"/>
      </c>
      <c r="M26" s="70">
        <f t="shared" si="3"/>
      </c>
      <c r="N26"/>
      <c r="O26"/>
      <c r="P26"/>
      <c r="Q26" s="70">
        <f t="shared" si="4"/>
      </c>
      <c r="R26" s="70">
        <f t="shared" si="5"/>
      </c>
      <c r="T26"/>
      <c r="U26"/>
      <c r="V26" s="70">
        <f t="shared" si="6"/>
      </c>
      <c r="W26" s="70">
        <f t="shared" si="7"/>
      </c>
    </row>
    <row r="27" spans="1:23" ht="12.75">
      <c r="A27" s="29"/>
      <c r="B27" s="29" t="s">
        <v>167</v>
      </c>
      <c r="C27" s="31">
        <v>0.001</v>
      </c>
      <c r="D27"/>
      <c r="E27"/>
      <c r="F27"/>
      <c r="G27" s="70">
        <f t="shared" si="0"/>
      </c>
      <c r="H27" s="70">
        <f t="shared" si="1"/>
      </c>
      <c r="I27"/>
      <c r="J27"/>
      <c r="K27"/>
      <c r="L27" s="70">
        <f t="shared" si="2"/>
      </c>
      <c r="M27" s="70">
        <f t="shared" si="3"/>
      </c>
      <c r="N27"/>
      <c r="O27"/>
      <c r="P27"/>
      <c r="Q27" s="70">
        <f t="shared" si="4"/>
      </c>
      <c r="R27" s="70">
        <f t="shared" si="5"/>
      </c>
      <c r="T27"/>
      <c r="U27"/>
      <c r="V27" s="70">
        <f t="shared" si="6"/>
      </c>
      <c r="W27" s="70">
        <f t="shared" si="7"/>
      </c>
    </row>
    <row r="28" spans="1:23" ht="12.75">
      <c r="A28" s="29"/>
      <c r="B28" s="29" t="s">
        <v>168</v>
      </c>
      <c r="C28" s="31">
        <v>0</v>
      </c>
      <c r="D28"/>
      <c r="E28"/>
      <c r="F28"/>
      <c r="G28" s="70">
        <f t="shared" si="0"/>
      </c>
      <c r="H28" s="70">
        <f t="shared" si="1"/>
      </c>
      <c r="I28"/>
      <c r="J28"/>
      <c r="K28"/>
      <c r="L28" s="70">
        <f t="shared" si="2"/>
      </c>
      <c r="M28" s="70">
        <f t="shared" si="3"/>
      </c>
      <c r="N28"/>
      <c r="O28"/>
      <c r="P28"/>
      <c r="Q28" s="70">
        <f t="shared" si="4"/>
      </c>
      <c r="R28" s="70">
        <f t="shared" si="5"/>
      </c>
      <c r="T28"/>
      <c r="U28"/>
      <c r="V28" s="70">
        <f t="shared" si="6"/>
      </c>
      <c r="W28" s="70">
        <f t="shared" si="7"/>
      </c>
    </row>
    <row r="29" spans="1:23" ht="12.75">
      <c r="A29" s="29"/>
      <c r="B29" s="29" t="s">
        <v>169</v>
      </c>
      <c r="C29" s="31">
        <v>0</v>
      </c>
      <c r="D29"/>
      <c r="E29"/>
      <c r="F29"/>
      <c r="G29" s="70">
        <f t="shared" si="0"/>
      </c>
      <c r="H29" s="70">
        <f t="shared" si="1"/>
      </c>
      <c r="I29"/>
      <c r="J29"/>
      <c r="K29"/>
      <c r="L29" s="70">
        <f t="shared" si="2"/>
      </c>
      <c r="M29" s="70">
        <f t="shared" si="3"/>
      </c>
      <c r="N29"/>
      <c r="O29"/>
      <c r="P29"/>
      <c r="Q29" s="70">
        <f t="shared" si="4"/>
      </c>
      <c r="R29" s="70">
        <f t="shared" si="5"/>
      </c>
      <c r="T29"/>
      <c r="U29"/>
      <c r="V29" s="70">
        <f t="shared" si="6"/>
      </c>
      <c r="W29" s="70">
        <f t="shared" si="7"/>
      </c>
    </row>
    <row r="30" spans="1:23" ht="12.75">
      <c r="A30" s="29"/>
      <c r="B30" s="29" t="s">
        <v>170</v>
      </c>
      <c r="C30" s="31">
        <v>0</v>
      </c>
      <c r="D30"/>
      <c r="E30"/>
      <c r="F30"/>
      <c r="G30" s="70">
        <f t="shared" si="0"/>
      </c>
      <c r="H30" s="70">
        <f t="shared" si="1"/>
      </c>
      <c r="I30"/>
      <c r="J30"/>
      <c r="K30"/>
      <c r="L30" s="70">
        <f t="shared" si="2"/>
      </c>
      <c r="M30" s="70">
        <f t="shared" si="3"/>
      </c>
      <c r="N30"/>
      <c r="O30"/>
      <c r="P30"/>
      <c r="Q30" s="70">
        <f t="shared" si="4"/>
      </c>
      <c r="R30" s="70">
        <f t="shared" si="5"/>
      </c>
      <c r="T30"/>
      <c r="U30"/>
      <c r="V30" s="70">
        <f t="shared" si="6"/>
      </c>
      <c r="W30" s="70">
        <f t="shared" si="7"/>
      </c>
    </row>
    <row r="31" spans="1:23" ht="12.75">
      <c r="A31" s="29"/>
      <c r="B31" s="29" t="s">
        <v>171</v>
      </c>
      <c r="C31" s="31">
        <v>0</v>
      </c>
      <c r="D31"/>
      <c r="E31"/>
      <c r="F31"/>
      <c r="G31" s="70">
        <f t="shared" si="0"/>
      </c>
      <c r="H31" s="70">
        <f t="shared" si="1"/>
      </c>
      <c r="I31"/>
      <c r="J31"/>
      <c r="K31"/>
      <c r="L31" s="70">
        <f t="shared" si="2"/>
      </c>
      <c r="M31" s="70">
        <f t="shared" si="3"/>
      </c>
      <c r="N31"/>
      <c r="O31"/>
      <c r="P31"/>
      <c r="Q31" s="70">
        <f t="shared" si="4"/>
      </c>
      <c r="R31" s="70">
        <f t="shared" si="5"/>
      </c>
      <c r="T31"/>
      <c r="U31"/>
      <c r="V31" s="70">
        <f t="shared" si="6"/>
      </c>
      <c r="W31" s="70">
        <f t="shared" si="7"/>
      </c>
    </row>
    <row r="32" spans="1:23" ht="12.75">
      <c r="A32" s="29"/>
      <c r="B32" s="29" t="s">
        <v>172</v>
      </c>
      <c r="C32" s="31">
        <v>0</v>
      </c>
      <c r="D32"/>
      <c r="E32"/>
      <c r="F32"/>
      <c r="G32" s="70">
        <f t="shared" si="0"/>
      </c>
      <c r="H32" s="70">
        <f t="shared" si="1"/>
      </c>
      <c r="I32"/>
      <c r="J32"/>
      <c r="K32"/>
      <c r="L32" s="70">
        <f t="shared" si="2"/>
      </c>
      <c r="M32" s="70">
        <f t="shared" si="3"/>
      </c>
      <c r="N32"/>
      <c r="O32"/>
      <c r="P32"/>
      <c r="Q32" s="70">
        <f t="shared" si="4"/>
      </c>
      <c r="R32" s="70">
        <f t="shared" si="5"/>
      </c>
      <c r="T32"/>
      <c r="U32"/>
      <c r="V32" s="70">
        <f t="shared" si="6"/>
      </c>
      <c r="W32" s="70">
        <f t="shared" si="7"/>
      </c>
    </row>
    <row r="33" spans="1:23" ht="12.75">
      <c r="A33" s="29"/>
      <c r="B33" s="29" t="s">
        <v>173</v>
      </c>
      <c r="C33" s="31">
        <v>0</v>
      </c>
      <c r="D33"/>
      <c r="E33"/>
      <c r="F33"/>
      <c r="G33" s="70">
        <f t="shared" si="0"/>
      </c>
      <c r="H33" s="70">
        <f t="shared" si="1"/>
      </c>
      <c r="I33"/>
      <c r="J33"/>
      <c r="K33"/>
      <c r="L33" s="70">
        <f t="shared" si="2"/>
      </c>
      <c r="M33" s="70">
        <f t="shared" si="3"/>
      </c>
      <c r="N33"/>
      <c r="O33"/>
      <c r="P33"/>
      <c r="Q33" s="70">
        <f t="shared" si="4"/>
      </c>
      <c r="R33" s="70">
        <f t="shared" si="5"/>
      </c>
      <c r="T33"/>
      <c r="U33"/>
      <c r="V33" s="70">
        <f t="shared" si="6"/>
      </c>
      <c r="W33" s="70">
        <f t="shared" si="7"/>
      </c>
    </row>
    <row r="34" spans="1:23" ht="12.75">
      <c r="A34" s="29"/>
      <c r="B34" s="29" t="s">
        <v>174</v>
      </c>
      <c r="C34" s="31">
        <v>0</v>
      </c>
      <c r="D34"/>
      <c r="E34"/>
      <c r="F34"/>
      <c r="G34" s="70">
        <f t="shared" si="0"/>
      </c>
      <c r="H34" s="70">
        <f t="shared" si="1"/>
      </c>
      <c r="I34"/>
      <c r="J34"/>
      <c r="K34"/>
      <c r="L34" s="70">
        <f t="shared" si="2"/>
      </c>
      <c r="M34" s="70">
        <f t="shared" si="3"/>
      </c>
      <c r="N34"/>
      <c r="O34"/>
      <c r="P34"/>
      <c r="Q34" s="70">
        <f t="shared" si="4"/>
      </c>
      <c r="R34" s="70">
        <f t="shared" si="5"/>
      </c>
      <c r="T34"/>
      <c r="U34"/>
      <c r="V34" s="70">
        <f t="shared" si="6"/>
      </c>
      <c r="W34" s="70">
        <f t="shared" si="7"/>
      </c>
    </row>
    <row r="35" spans="1:23" ht="12.75">
      <c r="A35" s="29" t="s">
        <v>175</v>
      </c>
      <c r="B35" s="29" t="s">
        <v>176</v>
      </c>
      <c r="C35" s="31">
        <v>0</v>
      </c>
      <c r="D35"/>
      <c r="E35"/>
      <c r="F35"/>
      <c r="G35" s="70">
        <f t="shared" si="0"/>
      </c>
      <c r="H35" s="70">
        <f t="shared" si="1"/>
      </c>
      <c r="I35"/>
      <c r="J35"/>
      <c r="K35"/>
      <c r="L35" s="70">
        <f t="shared" si="2"/>
      </c>
      <c r="M35" s="70">
        <f t="shared" si="3"/>
      </c>
      <c r="N35"/>
      <c r="O35"/>
      <c r="P35"/>
      <c r="Q35" s="70">
        <f t="shared" si="4"/>
      </c>
      <c r="R35" s="70">
        <f t="shared" si="5"/>
      </c>
      <c r="T35"/>
      <c r="U35"/>
      <c r="V35" s="70">
        <f t="shared" si="6"/>
      </c>
      <c r="W35" s="70">
        <f t="shared" si="7"/>
      </c>
    </row>
    <row r="36" spans="1:23" ht="8.25" customHeight="1">
      <c r="A36" s="29"/>
      <c r="B36" s="29"/>
      <c r="C36" s="29"/>
      <c r="D36" s="29"/>
      <c r="E36" s="71"/>
      <c r="F36" s="71"/>
      <c r="G36" s="71"/>
      <c r="H36" s="63"/>
      <c r="I36" s="71"/>
      <c r="J36" s="29"/>
      <c r="K36" s="29"/>
      <c r="L36" s="32"/>
      <c r="M36" s="32"/>
      <c r="N36" s="71"/>
      <c r="O36" s="29"/>
      <c r="P36" s="29"/>
      <c r="Q36" s="71"/>
      <c r="R36" s="62"/>
      <c r="T36" s="29"/>
      <c r="U36" s="29"/>
      <c r="V36" s="71"/>
      <c r="W36" s="62"/>
    </row>
    <row r="37" spans="1:23" ht="12.75">
      <c r="A37" s="29"/>
      <c r="B37" s="29" t="s">
        <v>177</v>
      </c>
      <c r="C37" s="29"/>
      <c r="D37" s="29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T37" s="71"/>
      <c r="U37" s="71"/>
      <c r="V37" s="71"/>
      <c r="W37" s="71"/>
    </row>
    <row r="38" spans="1:23" ht="12.75">
      <c r="A38" s="29"/>
      <c r="B38" s="29" t="s">
        <v>178</v>
      </c>
      <c r="C38" s="29"/>
      <c r="D38" s="29"/>
      <c r="E38" s="71"/>
      <c r="F38" s="71"/>
      <c r="G38" s="71"/>
      <c r="H38" s="71"/>
      <c r="I38" s="71"/>
      <c r="J38" s="71"/>
      <c r="K38" s="71"/>
      <c r="L38" s="32"/>
      <c r="M38" s="32"/>
      <c r="N38" s="71"/>
      <c r="O38" s="71"/>
      <c r="P38" s="71"/>
      <c r="Q38" s="71"/>
      <c r="R38" s="71"/>
      <c r="T38" s="71"/>
      <c r="U38" s="71"/>
      <c r="V38" s="71"/>
      <c r="W38" s="71"/>
    </row>
    <row r="39" spans="1:23" ht="9" customHeight="1">
      <c r="A39" s="29"/>
      <c r="B39" s="29"/>
      <c r="C39" s="29"/>
      <c r="D39" s="29"/>
      <c r="E39" s="71"/>
      <c r="F39" s="71"/>
      <c r="G39" s="71"/>
      <c r="H39" s="29"/>
      <c r="I39" s="29"/>
      <c r="J39" s="71"/>
      <c r="K39" s="71"/>
      <c r="L39" s="32"/>
      <c r="M39" s="32"/>
      <c r="N39" s="71"/>
      <c r="O39" s="71"/>
      <c r="P39" s="71"/>
      <c r="Q39" s="71"/>
      <c r="R39" s="71"/>
      <c r="T39" s="71"/>
      <c r="U39" s="71"/>
      <c r="V39" s="71"/>
      <c r="W39" s="71"/>
    </row>
    <row r="40" spans="1:23" ht="12.75">
      <c r="A40" s="29"/>
      <c r="B40" s="29" t="s">
        <v>179</v>
      </c>
      <c r="C40" s="63"/>
      <c r="D40" s="63"/>
      <c r="E40" s="32"/>
      <c r="F40" s="32"/>
      <c r="G40" s="32"/>
      <c r="H40" s="70"/>
      <c r="I40" s="63"/>
      <c r="J40" s="32"/>
      <c r="K40" s="32"/>
      <c r="L40" s="32"/>
      <c r="M40" s="70"/>
      <c r="N40" s="63"/>
      <c r="O40" s="71"/>
      <c r="P40" s="71"/>
      <c r="Q40" s="32"/>
      <c r="R40" s="70"/>
      <c r="T40" s="71"/>
      <c r="U40" s="71"/>
      <c r="V40" s="32"/>
      <c r="W40" s="70"/>
    </row>
    <row r="41" spans="1:23" ht="12.75">
      <c r="A41" s="29"/>
      <c r="B41" s="29" t="s">
        <v>180</v>
      </c>
      <c r="C41" s="63"/>
      <c r="D41" s="63"/>
      <c r="E41" s="71"/>
      <c r="F41" s="71"/>
      <c r="G41" s="71"/>
      <c r="H41" s="70"/>
      <c r="I41" s="63"/>
      <c r="J41" s="71"/>
      <c r="K41" s="71"/>
      <c r="L41" s="71"/>
      <c r="M41" s="70"/>
      <c r="N41" s="63"/>
      <c r="O41" s="71"/>
      <c r="P41" s="71"/>
      <c r="Q41" s="71"/>
      <c r="R41" s="70"/>
      <c r="T41" s="71"/>
      <c r="U41" s="71"/>
      <c r="V41" s="71"/>
      <c r="W41" s="70"/>
    </row>
    <row r="42" spans="1:23" ht="9" customHeight="1">
      <c r="A42" s="29"/>
      <c r="B42" s="29"/>
      <c r="C42" s="29"/>
      <c r="D42" s="29"/>
      <c r="E42" s="70"/>
      <c r="F42" s="70"/>
      <c r="G42" s="70"/>
      <c r="H42" s="63"/>
      <c r="I42" s="70"/>
      <c r="J42" s="70"/>
      <c r="K42" s="70"/>
      <c r="L42" s="70"/>
      <c r="M42" s="70"/>
      <c r="N42" s="70"/>
      <c r="O42" s="70"/>
      <c r="P42" s="70"/>
      <c r="Q42" s="70"/>
      <c r="R42" s="62"/>
      <c r="T42" s="70"/>
      <c r="U42" s="70"/>
      <c r="V42" s="70"/>
      <c r="W42" s="62"/>
    </row>
    <row r="43" spans="1:23" ht="12.75">
      <c r="A43" s="29"/>
      <c r="B43" s="29" t="s">
        <v>180</v>
      </c>
      <c r="C43" s="63"/>
      <c r="D43" s="63"/>
      <c r="E43" s="71"/>
      <c r="F43" s="70">
        <v>0.0114</v>
      </c>
      <c r="G43" s="71"/>
      <c r="H43" s="70">
        <v>0.0114</v>
      </c>
      <c r="I43" s="63"/>
      <c r="J43" s="71"/>
      <c r="K43" s="63">
        <v>0.0153</v>
      </c>
      <c r="L43" s="71"/>
      <c r="M43" s="63">
        <v>0.0153</v>
      </c>
      <c r="N43" s="63"/>
      <c r="O43" s="71"/>
      <c r="P43" s="63">
        <v>0.0065</v>
      </c>
      <c r="Q43" s="71"/>
      <c r="R43" s="63">
        <v>0.0065</v>
      </c>
      <c r="T43" s="71"/>
      <c r="U43" s="63">
        <v>0.0048</v>
      </c>
      <c r="V43" s="71"/>
      <c r="W43" s="63">
        <v>0.0048</v>
      </c>
    </row>
    <row r="44" spans="1:23" ht="12.75">
      <c r="A44" s="29"/>
      <c r="B44" s="29"/>
      <c r="C44" s="63"/>
      <c r="D44" s="63"/>
      <c r="E44" s="71"/>
      <c r="F44" s="71"/>
      <c r="G44" s="71"/>
      <c r="H44" s="70"/>
      <c r="I44" s="63"/>
      <c r="J44" s="71"/>
      <c r="K44" s="71"/>
      <c r="L44" s="71"/>
      <c r="M44" s="70"/>
      <c r="N44" s="63"/>
      <c r="O44" s="71"/>
      <c r="P44" s="71"/>
      <c r="Q44" s="71"/>
      <c r="R44" s="70"/>
      <c r="T44" s="71"/>
      <c r="U44" s="71"/>
      <c r="V44" s="71"/>
      <c r="W44" s="70"/>
    </row>
    <row r="45" spans="1:23" ht="12.75">
      <c r="A45" s="71"/>
      <c r="B45" s="29" t="s">
        <v>181</v>
      </c>
      <c r="C45" s="70">
        <f>AVERAGE(H43,M43,P43,W43)</f>
        <v>0.0095</v>
      </c>
      <c r="D45" s="71"/>
      <c r="E45" s="72"/>
      <c r="F45" s="72"/>
      <c r="G45" s="71"/>
      <c r="H45" s="63"/>
      <c r="I45" s="71"/>
      <c r="J45" s="71"/>
      <c r="K45" s="71"/>
      <c r="L45" s="71"/>
      <c r="M45" s="71"/>
      <c r="N45" s="71"/>
      <c r="O45" s="71"/>
      <c r="P45" s="71"/>
      <c r="Q45" s="71"/>
      <c r="R45" s="62"/>
      <c r="T45" s="71"/>
      <c r="U45" s="71"/>
      <c r="V45" s="71"/>
      <c r="W45" s="62"/>
    </row>
    <row r="46" spans="1:23" ht="12.75">
      <c r="A46" s="29"/>
      <c r="B46" s="29" t="s">
        <v>182</v>
      </c>
      <c r="C46" s="71"/>
      <c r="D46" s="29"/>
      <c r="E46" s="62"/>
      <c r="F46" s="62"/>
      <c r="G46" s="62"/>
      <c r="H46" s="63"/>
      <c r="I46" s="62"/>
      <c r="J46" s="62"/>
      <c r="K46" s="62"/>
      <c r="L46" s="62"/>
      <c r="M46" s="62"/>
      <c r="N46" s="62"/>
      <c r="O46" s="62"/>
      <c r="P46" s="62"/>
      <c r="Q46" s="62"/>
      <c r="R46" s="62"/>
      <c r="T46" s="62"/>
      <c r="U46" s="62"/>
      <c r="V46" s="62"/>
      <c r="W46" s="62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2004-02-24T21:05:48Z</cp:lastPrinted>
  <dcterms:created xsi:type="dcterms:W3CDTF">2000-01-10T00:44:42Z</dcterms:created>
  <dcterms:modified xsi:type="dcterms:W3CDTF">2004-02-24T21:06:00Z</dcterms:modified>
  <cp:category/>
  <cp:version/>
  <cp:contentType/>
  <cp:contentStatus/>
</cp:coreProperties>
</file>