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601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  <sheet name="df c2" sheetId="8" r:id="rId8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<sst xmlns="http://schemas.openxmlformats.org/spreadsheetml/2006/main" count="991" uniqueCount="227">
  <si>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</si>
  <si>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</si>
  <si>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</si>
  <si>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</si>
  <si>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</si>
  <si>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</si>
  <si>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</si>
  <si>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</si>
  <si>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</si>
  <si>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</si>
  <si>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</si>
  <si>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</si>
  <si>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</si>
  <si>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</si>
  <si>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</si>
  <si>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</si>
  <si>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</si>
  <si>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</si>
  <si>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</si>
  <si>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</si>
  <si>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</si>
  <si>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</si>
  <si>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</si>
  <si>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</si>
  <si>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</si>
  <si>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</si>
  <si>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</si>
  <si>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</si>
  <si>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</si>
  <si>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nd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</si>
  <si>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</si>
  <si>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</si>
  <si>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</si>
  <si>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</si>
  <si>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</si>
  <si>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</si>
  <si>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</si>
  <si>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</si>
  <si>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</si>
  <si>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</si>
  <si>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</si>
  <si>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</si>
  <si>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</si>
  <si>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</si>
  <si>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</si>
  <si>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</si>
  <si>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</si>
  <si>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</si>
  <si>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Feedrate Calculations</t>
  </si>
  <si>
    <t>Cond Avg</t>
  </si>
  <si>
    <t>Feedstream Description</t>
  </si>
  <si>
    <t>Heating Value</t>
  </si>
  <si>
    <t>Btu/lb</t>
  </si>
  <si>
    <t>Ash</t>
  </si>
  <si>
    <t>Chlorine</t>
  </si>
  <si>
    <t>HCl</t>
  </si>
  <si>
    <t>Cl2</t>
  </si>
  <si>
    <t>DRE</t>
  </si>
  <si>
    <t>lb/hr</t>
  </si>
  <si>
    <t>Density</t>
  </si>
  <si>
    <t>Run 1</t>
  </si>
  <si>
    <t>Run 2</t>
  </si>
  <si>
    <t>Run 3</t>
  </si>
  <si>
    <t>pH</t>
  </si>
  <si>
    <t>gpm</t>
  </si>
  <si>
    <t>psig</t>
  </si>
  <si>
    <t>MM Btu/hr</t>
  </si>
  <si>
    <t>MMBtu/hr</t>
  </si>
  <si>
    <t>Spike</t>
  </si>
  <si>
    <t>ug/dscm</t>
  </si>
  <si>
    <t>SVM</t>
  </si>
  <si>
    <t>LVM</t>
  </si>
  <si>
    <t>O2 (%)</t>
  </si>
  <si>
    <t>TEQ Cond Avg</t>
  </si>
  <si>
    <t>Total Cond Avg</t>
  </si>
  <si>
    <t>Stack Gas Flowrate</t>
  </si>
  <si>
    <t>Oxygen</t>
  </si>
  <si>
    <t>mg/dscm</t>
  </si>
  <si>
    <t>HW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</si>
  <si>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</si>
  <si>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</si>
  <si>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</si>
  <si>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</si>
  <si>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</si>
  <si>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</si>
  <si>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</si>
  <si>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POHC DRE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</si>
  <si>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</si>
  <si>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</si>
  <si>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</si>
  <si>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</si>
  <si>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</si>
  <si>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</si>
  <si>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</si>
  <si>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</si>
  <si>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</si>
  <si>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</si>
  <si>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</si>
  <si>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</si>
  <si>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</si>
  <si>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</si>
  <si>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</si>
  <si>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Mercury</t>
  </si>
  <si>
    <t>Nickel</t>
  </si>
  <si>
    <t>Selenium</t>
  </si>
  <si>
    <t>Silver</t>
  </si>
  <si>
    <t>Thallium</t>
  </si>
  <si>
    <t>Comments</t>
  </si>
  <si>
    <t>Trial Burn</t>
  </si>
  <si>
    <t>PM, HCl/Cl2</t>
  </si>
  <si>
    <t>POHC Feedrate</t>
  </si>
  <si>
    <t>Emission Rate</t>
  </si>
  <si>
    <t xml:space="preserve">   O2</t>
  </si>
  <si>
    <t xml:space="preserve">   Moisture</t>
  </si>
  <si>
    <t>CO (RA)</t>
  </si>
  <si>
    <t>Chromium</t>
  </si>
  <si>
    <t>Total Chlorine</t>
  </si>
  <si>
    <t>Sampling Train</t>
  </si>
  <si>
    <t>Trial burn</t>
  </si>
  <si>
    <t>*</t>
  </si>
  <si>
    <t>Thermal Feedrate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</si>
  <si>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</si>
  <si>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</si>
  <si>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</si>
  <si>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</si>
  <si>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</si>
  <si>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</si>
  <si>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</si>
  <si>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</si>
  <si>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</si>
  <si>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</si>
  <si>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</si>
  <si>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Liq waste</t>
  </si>
  <si>
    <t>Combustion Chamber Temp (min)</t>
  </si>
  <si>
    <t>Squibb Manufacturing, Inc.</t>
  </si>
  <si>
    <t>Humacao</t>
  </si>
  <si>
    <t>Liq</t>
  </si>
  <si>
    <t>Water spent solvent generated during the manufacuring process which are not amenable to recovery or re-use.</t>
  </si>
  <si>
    <t>Caloric 1 unit</t>
  </si>
  <si>
    <t>Trial burn, min oper temp cond</t>
  </si>
  <si>
    <t>Trial burn, elevated oper temp cond</t>
  </si>
  <si>
    <t>PM, DRE, HCl/Cl2, CO, PCDD/F</t>
  </si>
  <si>
    <t>PM, metals,  HCl/Cl2, CO, PCDD/F</t>
  </si>
  <si>
    <t>Puerto Rico</t>
  </si>
  <si>
    <t>Tier I for all metal except Hg, As, Cr (tier III)</t>
  </si>
  <si>
    <t>Kerosene</t>
  </si>
  <si>
    <t>Quench, venturi scrubber. CHEAF to enhance PM removal. Packed bed tower reduces the HCl emissions by treating the effluent gas with caustic soda solution.</t>
  </si>
  <si>
    <t>Caloric 2 unit, Trane incinerator</t>
  </si>
  <si>
    <t>Vertically-fired liquid injection incinerator. Model No. AVS-1600 installed in 1988</t>
  </si>
  <si>
    <t>Final Trial Burn Report for Caloric 1 Incinerator. November 1998</t>
  </si>
  <si>
    <t>3018C1</t>
  </si>
  <si>
    <t>Monochlorobenzene</t>
  </si>
  <si>
    <t>1,2-Dichlorobenzene</t>
  </si>
  <si>
    <t>Methylene Chloride</t>
  </si>
  <si>
    <t>3018C2</t>
  </si>
  <si>
    <t>August 30-31, 1998</t>
  </si>
  <si>
    <t>NOx</t>
  </si>
  <si>
    <t>n</t>
  </si>
  <si>
    <t>metals</t>
  </si>
  <si>
    <t>Detected in sample volume (pg)</t>
  </si>
  <si>
    <t>PCDD/F</t>
  </si>
  <si>
    <t>PRD090021056</t>
  </si>
  <si>
    <t xml:space="preserve">3018C1 </t>
  </si>
  <si>
    <t>g/ml</t>
  </si>
  <si>
    <t>Viscosity</t>
  </si>
  <si>
    <t>cSt</t>
  </si>
  <si>
    <t>3018C1 Trial burn</t>
  </si>
  <si>
    <r>
      <t>o</t>
    </r>
    <r>
      <rPr>
        <sz val="10"/>
        <rFont val="Arial"/>
        <family val="2"/>
      </rPr>
      <t>C</t>
    </r>
  </si>
  <si>
    <t>Quench Tank pH</t>
  </si>
  <si>
    <t>Quench Blowdown Rate</t>
  </si>
  <si>
    <t>Venturi Press. Drop</t>
  </si>
  <si>
    <t>in W.C</t>
  </si>
  <si>
    <t>Incinerator Press.</t>
  </si>
  <si>
    <t>3018C2 Trial burn</t>
  </si>
  <si>
    <t>R1</t>
  </si>
  <si>
    <t>R2</t>
  </si>
  <si>
    <t>R3</t>
  </si>
  <si>
    <t>R2B</t>
  </si>
  <si>
    <t>Cr+6</t>
  </si>
  <si>
    <t>August 31 and September 1, 1998</t>
  </si>
  <si>
    <t>ENSR Corporation</t>
  </si>
  <si>
    <t>Combustor Class</t>
  </si>
  <si>
    <t>Liquid injection</t>
  </si>
  <si>
    <t>Combustor Type</t>
  </si>
  <si>
    <t>Condition Description</t>
  </si>
  <si>
    <t>Report Name/Date</t>
  </si>
  <si>
    <t>Report Prepare</t>
  </si>
  <si>
    <t>Testing Firm</t>
  </si>
  <si>
    <t>Testing Dates</t>
  </si>
  <si>
    <t>Condition Descr</t>
  </si>
  <si>
    <t>Content</t>
  </si>
  <si>
    <t>Stack Gas Emissions 1</t>
  </si>
  <si>
    <t>Phase I ID No.</t>
  </si>
  <si>
    <t>R4</t>
  </si>
  <si>
    <t>E1</t>
  </si>
  <si>
    <t>E2</t>
  </si>
  <si>
    <t>E3</t>
  </si>
  <si>
    <t>Chromium (Hex)</t>
  </si>
  <si>
    <t>E4</t>
  </si>
  <si>
    <t>Cond Dates</t>
  </si>
  <si>
    <t>Number of Sister Facilities</t>
  </si>
  <si>
    <t>APCS Detailed Acronym</t>
  </si>
  <si>
    <t>APCS General Class</t>
  </si>
  <si>
    <t>WQ, HEWS, LEWS</t>
  </si>
  <si>
    <t>Misc fuel</t>
  </si>
  <si>
    <t>source</t>
  </si>
  <si>
    <t>cond</t>
  </si>
  <si>
    <t>emiss</t>
  </si>
  <si>
    <t>feed</t>
  </si>
  <si>
    <t>process</t>
  </si>
  <si>
    <t>df c1</t>
  </si>
  <si>
    <t>df c2</t>
  </si>
  <si>
    <t>Onsite incinerator</t>
  </si>
  <si>
    <t>Q/VS/PT/CHEAF</t>
  </si>
  <si>
    <t>Feedstream Number</t>
  </si>
  <si>
    <t>Feed Class</t>
  </si>
  <si>
    <t>Liq HW</t>
  </si>
  <si>
    <t>Misc. Fuel</t>
  </si>
  <si>
    <t>F1</t>
  </si>
  <si>
    <t>F2</t>
  </si>
  <si>
    <t>F3</t>
  </si>
  <si>
    <t>F4</t>
  </si>
  <si>
    <t>Feed Class 2</t>
  </si>
  <si>
    <t>MF</t>
  </si>
  <si>
    <t>Estimated Firing Rate</t>
  </si>
  <si>
    <t>Full ND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</si>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</sst>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0.000E+00"/>
    <numFmt numFmtId="179" formatCode="0.0%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1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177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205</v>
      </c>
    </row>
    <row r="2" ht="12.75">
      <c r="A2" t="s">
        <v>206</v>
      </c>
    </row>
    <row r="3" ht="12.75">
      <c r="A3" t="s">
        <v>207</v>
      </c>
    </row>
    <row r="4" ht="12.75">
      <c r="A4" t="s">
        <v>208</v>
      </c>
    </row>
    <row r="5" ht="12.75">
      <c r="A5" t="s">
        <v>209</v>
      </c>
    </row>
    <row r="6" ht="12.75">
      <c r="A6" t="s">
        <v>210</v>
      </c>
    </row>
    <row r="7" ht="12.75">
      <c r="A7" t="s">
        <v>211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7"/>
  <sheetViews>
    <sheetView workbookViewId="0" topLeftCell="B6">
      <selection activeCell="C27" sqref="C27"/>
    </sheetView>
  </sheetViews>
  <sheetFormatPr defaultColWidth="9.140625" defaultRowHeight="12.75"/>
  <cols>
    <col min="1" max="1" width="2.421875" style="1" hidden="1" customWidth="1"/>
    <col min="2" max="2" width="25.28125" style="1" customWidth="1"/>
    <col min="3" max="3" width="58.421875" style="1" customWidth="1"/>
    <col min="4" max="16384" width="8.8515625" style="1" customWidth="1"/>
  </cols>
  <sheetData>
    <row r="1" spans="2:12" ht="12.75">
      <c r="B1" s="8" t="s">
        <v>91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2.75">
      <c r="B3" s="19" t="s">
        <v>192</v>
      </c>
      <c r="C3" s="20">
        <v>3018</v>
      </c>
      <c r="D3" s="19"/>
      <c r="E3" s="19"/>
      <c r="F3" s="19"/>
      <c r="G3" s="19"/>
      <c r="H3" s="19"/>
      <c r="I3" s="19"/>
      <c r="J3" s="19"/>
      <c r="K3" s="19"/>
      <c r="L3" s="19"/>
    </row>
    <row r="4" spans="2:12" ht="12.75">
      <c r="B4" s="19" t="s">
        <v>0</v>
      </c>
      <c r="C4" s="19" t="s">
        <v>161</v>
      </c>
      <c r="D4" s="19"/>
      <c r="E4" s="19"/>
      <c r="F4" s="19"/>
      <c r="G4" s="19"/>
      <c r="H4" s="19"/>
      <c r="I4" s="19"/>
      <c r="J4" s="19"/>
      <c r="K4" s="19"/>
      <c r="L4" s="19"/>
    </row>
    <row r="5" spans="2:12" ht="12.75">
      <c r="B5" s="19" t="s">
        <v>1</v>
      </c>
      <c r="C5" s="19" t="s">
        <v>134</v>
      </c>
      <c r="D5" s="19"/>
      <c r="E5" s="19"/>
      <c r="F5" s="19"/>
      <c r="G5" s="19"/>
      <c r="H5" s="19"/>
      <c r="I5" s="19"/>
      <c r="J5" s="19"/>
      <c r="K5" s="19"/>
      <c r="L5" s="19"/>
    </row>
    <row r="6" spans="2:12" ht="12.75">
      <c r="B6" s="19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2" ht="12.75">
      <c r="B7" s="19" t="s">
        <v>3</v>
      </c>
      <c r="C7" s="19" t="s">
        <v>135</v>
      </c>
      <c r="D7" s="19"/>
      <c r="E7" s="19"/>
      <c r="F7" s="19"/>
      <c r="G7" s="19"/>
      <c r="H7" s="19"/>
      <c r="I7" s="19"/>
      <c r="J7" s="19"/>
      <c r="K7" s="19"/>
      <c r="L7" s="19"/>
    </row>
    <row r="8" spans="2:12" ht="12.75">
      <c r="B8" s="19" t="s">
        <v>4</v>
      </c>
      <c r="C8" s="19" t="s">
        <v>143</v>
      </c>
      <c r="D8" s="19"/>
      <c r="E8" s="19"/>
      <c r="F8" s="19"/>
      <c r="G8" s="19"/>
      <c r="H8" s="19"/>
      <c r="I8" s="19"/>
      <c r="J8" s="19"/>
      <c r="K8" s="19"/>
      <c r="L8" s="19"/>
    </row>
    <row r="9" spans="2:12" ht="12.75">
      <c r="B9" s="19" t="s">
        <v>5</v>
      </c>
      <c r="C9" s="19" t="s">
        <v>138</v>
      </c>
      <c r="D9" s="19"/>
      <c r="E9" s="19"/>
      <c r="F9" s="19"/>
      <c r="G9" s="19"/>
      <c r="H9" s="19"/>
      <c r="I9" s="19"/>
      <c r="J9" s="19"/>
      <c r="K9" s="19"/>
      <c r="L9" s="19"/>
    </row>
    <row r="10" spans="2:12" ht="12.75">
      <c r="B10" s="19" t="s">
        <v>6</v>
      </c>
      <c r="C10" s="19" t="s">
        <v>147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2:12" ht="12.75">
      <c r="B11" s="19" t="s">
        <v>200</v>
      </c>
      <c r="C11" s="20">
        <v>2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2:12" ht="12.75">
      <c r="B12" s="19" t="s">
        <v>181</v>
      </c>
      <c r="C12" s="19" t="s">
        <v>212</v>
      </c>
      <c r="D12" s="19"/>
      <c r="E12" s="19"/>
      <c r="F12" s="19"/>
      <c r="G12" s="19"/>
      <c r="H12" s="19"/>
      <c r="I12" s="19"/>
      <c r="J12" s="19"/>
      <c r="K12" s="19"/>
      <c r="L12" s="19"/>
    </row>
    <row r="13" spans="2:12" ht="12.75">
      <c r="B13" s="19" t="s">
        <v>183</v>
      </c>
      <c r="C13" s="19" t="s">
        <v>182</v>
      </c>
      <c r="D13" s="19"/>
      <c r="E13" s="19"/>
      <c r="F13" s="19"/>
      <c r="G13" s="19"/>
      <c r="H13" s="19"/>
      <c r="I13" s="19"/>
      <c r="J13" s="19"/>
      <c r="K13" s="19"/>
      <c r="L13" s="19"/>
    </row>
    <row r="14" spans="2:12" s="58" customFormat="1" ht="25.5">
      <c r="B14" s="57" t="s">
        <v>79</v>
      </c>
      <c r="C14" s="57" t="s">
        <v>148</v>
      </c>
      <c r="D14" s="57"/>
      <c r="E14" s="57"/>
      <c r="F14" s="57"/>
      <c r="G14" s="57"/>
      <c r="H14" s="57"/>
      <c r="I14" s="57"/>
      <c r="J14" s="57"/>
      <c r="K14" s="57"/>
      <c r="L14" s="57"/>
    </row>
    <row r="15" spans="2:12" s="58" customFormat="1" ht="12.75">
      <c r="B15" s="57" t="s">
        <v>87</v>
      </c>
      <c r="C15" s="59"/>
      <c r="D15" s="57"/>
      <c r="E15" s="57"/>
      <c r="F15" s="57"/>
      <c r="G15" s="57"/>
      <c r="H15" s="57"/>
      <c r="I15" s="57"/>
      <c r="J15" s="57"/>
      <c r="K15" s="57"/>
      <c r="L15" s="57"/>
    </row>
    <row r="16" spans="2:12" s="58" customFormat="1" ht="12.75">
      <c r="B16" s="19" t="s">
        <v>92</v>
      </c>
      <c r="C16" s="57"/>
      <c r="F16" s="57"/>
      <c r="G16" s="57"/>
      <c r="H16" s="57"/>
      <c r="I16" s="57"/>
      <c r="J16" s="57"/>
      <c r="K16" s="57"/>
      <c r="L16" s="57"/>
    </row>
    <row r="17" spans="2:12" s="58" customFormat="1" ht="12.75">
      <c r="B17" s="19" t="s">
        <v>201</v>
      </c>
      <c r="C17" s="57" t="s">
        <v>213</v>
      </c>
      <c r="D17" s="57"/>
      <c r="E17" s="57"/>
      <c r="F17" s="57"/>
      <c r="G17" s="57"/>
      <c r="H17" s="57"/>
      <c r="I17" s="57"/>
      <c r="J17" s="57"/>
      <c r="K17" s="57"/>
      <c r="L17" s="57"/>
    </row>
    <row r="18" spans="2:12" s="58" customFormat="1" ht="12.75">
      <c r="B18" s="19" t="s">
        <v>202</v>
      </c>
      <c r="C18" s="57" t="s">
        <v>203</v>
      </c>
      <c r="D18" s="57"/>
      <c r="E18" s="57"/>
      <c r="F18" s="57"/>
      <c r="G18" s="57"/>
      <c r="H18" s="57"/>
      <c r="I18" s="57"/>
      <c r="J18" s="57"/>
      <c r="K18" s="57"/>
      <c r="L18" s="57"/>
    </row>
    <row r="19" spans="2:12" ht="38.25">
      <c r="B19" s="57" t="s">
        <v>7</v>
      </c>
      <c r="C19" s="57" t="s">
        <v>146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2:12" ht="12.75">
      <c r="B20" s="19" t="s">
        <v>84</v>
      </c>
      <c r="C20" s="19" t="s">
        <v>136</v>
      </c>
      <c r="D20" s="19"/>
      <c r="E20" s="19"/>
      <c r="F20" s="19"/>
      <c r="G20" s="19"/>
      <c r="H20" s="19"/>
      <c r="I20" s="19"/>
      <c r="J20" s="19"/>
      <c r="K20" s="19"/>
      <c r="L20" s="19"/>
    </row>
    <row r="21" spans="2:12" ht="25.5">
      <c r="B21" s="19" t="s">
        <v>93</v>
      </c>
      <c r="C21" s="64" t="s">
        <v>137</v>
      </c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12.75">
      <c r="B22" s="19" t="s">
        <v>85</v>
      </c>
      <c r="C22" s="1" t="s">
        <v>204</v>
      </c>
      <c r="D22" s="19"/>
      <c r="E22" s="19"/>
      <c r="F22" s="19"/>
      <c r="G22" s="19"/>
      <c r="H22" s="19"/>
      <c r="I22" s="19"/>
      <c r="J22" s="19"/>
      <c r="K22" s="19"/>
      <c r="L22" s="19"/>
    </row>
    <row r="23" spans="2:12" ht="12.75" customHeight="1">
      <c r="B23" s="19"/>
      <c r="C23" s="57" t="s">
        <v>145</v>
      </c>
      <c r="D23" s="19"/>
      <c r="E23" s="19"/>
      <c r="F23" s="19"/>
      <c r="G23" s="19"/>
      <c r="H23" s="19"/>
      <c r="I23" s="19"/>
      <c r="J23" s="19"/>
      <c r="K23" s="19"/>
      <c r="L23" s="19"/>
    </row>
    <row r="24" spans="2:12" ht="12.75" customHeight="1">
      <c r="B24" s="19"/>
      <c r="C24" s="57"/>
      <c r="D24" s="19"/>
      <c r="E24" s="19"/>
      <c r="F24" s="19"/>
      <c r="G24" s="19"/>
      <c r="H24" s="19"/>
      <c r="I24" s="19"/>
      <c r="J24" s="19"/>
      <c r="K24" s="19"/>
      <c r="L24" s="19"/>
    </row>
    <row r="25" spans="2:12" ht="12.75">
      <c r="B25" s="19" t="s">
        <v>8</v>
      </c>
      <c r="C25" s="20"/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12.75">
      <c r="B26" s="19" t="s">
        <v>9</v>
      </c>
      <c r="C26" s="62">
        <f>20/12</f>
        <v>1.6666666666666667</v>
      </c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2.75">
      <c r="B27" s="19" t="s">
        <v>10</v>
      </c>
      <c r="C27" s="20">
        <v>47.8</v>
      </c>
      <c r="D27" s="19"/>
      <c r="E27" s="19"/>
      <c r="F27" s="19"/>
      <c r="G27" s="19"/>
      <c r="H27" s="19"/>
      <c r="I27" s="19"/>
      <c r="J27" s="19"/>
      <c r="K27" s="19"/>
      <c r="L27" s="19"/>
    </row>
    <row r="28" spans="2:12" ht="12.75">
      <c r="B28" s="19" t="s">
        <v>88</v>
      </c>
      <c r="C28" s="21"/>
      <c r="D28" s="19"/>
      <c r="E28" s="19"/>
      <c r="F28" s="19"/>
      <c r="G28" s="19"/>
      <c r="H28" s="19"/>
      <c r="I28" s="19"/>
      <c r="J28" s="19"/>
      <c r="K28" s="19"/>
      <c r="L28" s="19"/>
    </row>
    <row r="29" spans="2:12" ht="14.25" customHeight="1">
      <c r="B29" s="19" t="s">
        <v>89</v>
      </c>
      <c r="C29" s="20"/>
      <c r="D29" s="19"/>
      <c r="E29" s="19"/>
      <c r="F29" s="19"/>
      <c r="G29" s="19"/>
      <c r="H29" s="19"/>
      <c r="I29" s="19"/>
      <c r="J29" s="19"/>
      <c r="K29" s="19"/>
      <c r="L29" s="19"/>
    </row>
    <row r="30" spans="2:12" ht="12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2:12" ht="12.75">
      <c r="B31" s="19" t="s">
        <v>11</v>
      </c>
      <c r="C31" s="19" t="s">
        <v>144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2:12" ht="12.75">
      <c r="B32" s="19" t="s">
        <v>122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2:12" ht="14.2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51" spans="2:12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2:12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2:12" ht="12.75">
      <c r="B53" s="19"/>
      <c r="C53" s="22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/>
      <c r="C57" s="22"/>
      <c r="D57" s="19"/>
      <c r="E57" s="19"/>
      <c r="F57" s="19"/>
      <c r="G57" s="19"/>
      <c r="H57" s="19"/>
      <c r="I57" s="19"/>
      <c r="J57" s="19"/>
      <c r="K57" s="19"/>
      <c r="L57" s="19"/>
    </row>
    <row r="58" spans="2:12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2:12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2:12" ht="12.75">
      <c r="B60" s="19"/>
      <c r="C60" s="22"/>
      <c r="D60" s="19"/>
      <c r="E60" s="19"/>
      <c r="F60" s="19"/>
      <c r="G60" s="19"/>
      <c r="H60" s="19"/>
      <c r="I60" s="19"/>
      <c r="J60" s="19"/>
      <c r="K60" s="19"/>
      <c r="L60" s="19"/>
    </row>
    <row r="61" spans="2:12" ht="12.75">
      <c r="B61" s="19"/>
      <c r="C61" s="22"/>
      <c r="D61" s="19"/>
      <c r="E61" s="19"/>
      <c r="F61" s="19"/>
      <c r="G61" s="19"/>
      <c r="H61" s="19"/>
      <c r="I61" s="19"/>
      <c r="J61" s="19"/>
      <c r="K61" s="19"/>
      <c r="L61" s="19"/>
    </row>
    <row r="62" spans="2:12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2:12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2:12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2:12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2:12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2:12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2:12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2:12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2:12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2:12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2:12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2:12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2:12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2:12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2:12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2:12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2:12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2:12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2:12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2:12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2:12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2:12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2:12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2:12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2:12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2:12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2:12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2:12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2:12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2:12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2:12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2:12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2:12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2:12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2:12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2:12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2:12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2:12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2:12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2:12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2:12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2:12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2:12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2:12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2:12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2:12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2:12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2:12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2:12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2:12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2:12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2:12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2:12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2:12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2:12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2:12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2:12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2:12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2:12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2:12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2:12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2:12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2:12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2:12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2:12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2:12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2:12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2:12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2:12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2:12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2:12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2:12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2:12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2:12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2:12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2:12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2:12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2:12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2:12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2:12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2:12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2:12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2:12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2:12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2:12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2:12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2:12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2:12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2:12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2:12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2:12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2:12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2:12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2:12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2:12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2:12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2:12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2:12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2:12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2:12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2:12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2:12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2:12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2:12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2:12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2:12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2:12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2:12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2:12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2:12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2:12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2:12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2:12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2:12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2:12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2:12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2:12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2:12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2:12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2:12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2:12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2:12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2:12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2:12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2:12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2:12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2:12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2:12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2:12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2:12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2:12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2:12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2:12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2:12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2:12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2:12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2:12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2:12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2:12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2:12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2:12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2:12" ht="12.7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2:12" ht="12.7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2:12" ht="12.7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2:12" ht="12.7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2:12" ht="12.7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2:12" ht="12.7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2:12" ht="12.7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2:12" ht="12.7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2:12" ht="12.7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2:12" ht="12.7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2:12" ht="12.7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2:12" ht="12.7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2:12" ht="12.7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2:12" ht="12.7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2:12" ht="12.7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2:12" ht="12.7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2:12" ht="12.7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2:12" ht="12.7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2:12" ht="12.7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2:12" ht="12.7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2:12" ht="12.7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2:12" ht="12.7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2:12" ht="12.7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2:12" ht="12.7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2:12" ht="12.7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2:12" ht="12.7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2:12" ht="12.7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2:12" ht="12.7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2:12" ht="12.7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2:12" ht="12.7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2:12" ht="12.7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2:12" ht="12.7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2:12" ht="12.7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2:12" ht="12.7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2:12" ht="12.7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2:12" ht="12.7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2:12" ht="12.7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2:12" ht="12.7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2:12" ht="12.7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2:12" ht="12.7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2:12" ht="12.7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2:12" ht="12.7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2:12" ht="12.7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2:12" ht="12.7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2:12" ht="12.7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2:12" ht="12.7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2:12" ht="12.7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2:12" ht="12.7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2:12" ht="12.7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2:12" ht="12.7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2:12" ht="12.7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2:12" ht="12.7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2:12" ht="12.7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2:12" ht="12.7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2:12" ht="12.7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2:12" ht="12.7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2:12" ht="12.7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2:12" ht="12.7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2:12" ht="12.7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2:12" ht="12.7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2:12" ht="12.7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2:12" ht="12.7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2:12" ht="12.7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2:12" ht="12.7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2:12" ht="12.7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2:12" ht="12.7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2:12" ht="12.7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2:12" ht="12.7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2:12" ht="12.7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2:12" ht="12.7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2:12" ht="12.7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2:12" ht="12.7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2:12" ht="12.7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2:12" ht="12.7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2:12" ht="12.7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2:12" ht="12.7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2:12" ht="12.7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2:12" ht="12.7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2:12" ht="12.7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2:12" ht="12.7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2:12" ht="12.7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2:12" ht="12.7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2:12" ht="12.7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2:12" ht="12.7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2:12" ht="12.7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2:12" ht="12.7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2:12" ht="12.7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2:12" ht="12.7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2:12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2:12" ht="12.7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2:12" ht="12.7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2:12" ht="12.7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2:12" ht="12.7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2:12" ht="12.7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2:12" ht="12.7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2:12" ht="12.7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2:12" ht="12.7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2:12" ht="12.7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2:12" ht="12.7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2:12" ht="12.7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2:12" ht="12.7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2:12" ht="12.7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2:12" ht="12.7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2:12" ht="12.7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2:12" ht="12.7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2:12" ht="12.7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2:12" ht="12.7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2:12" ht="12.7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2:12" ht="12.7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2:12" ht="12.7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2:12" ht="12.7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2:12" ht="12.7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2:12" ht="12.7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2:12" ht="12.7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2:12" ht="12.7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2:12" ht="12.7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2:12" ht="12.7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2:12" ht="12.7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2:12" ht="12.7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2:12" ht="12.7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2:12" ht="12.7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2:12" ht="12.7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2:12" ht="12.7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2:12" ht="12.7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2:12" ht="12.7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2:12" ht="12.7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2:12" ht="12.7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2:12" ht="12.7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2:12" ht="12.7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</row>
    <row r="334" spans="2:12" ht="12.7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2:12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</row>
    <row r="336" spans="2:12" ht="12.7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2:12" ht="12.7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2:12" ht="12.7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2:12" ht="12.7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2:12" ht="12.7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2:12" ht="12.7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2:12" ht="12.7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2:12" ht="12.7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2:12" ht="12.7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2:12" ht="12.7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2:12" ht="12.7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2:12" ht="12.7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2:12" ht="12.7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2:12" ht="12.7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2:12" ht="12.7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2:12" ht="12.7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2:12" ht="12.7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2:12" ht="12.7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</row>
    <row r="354" spans="2:12" ht="12.7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</row>
    <row r="355" spans="2:12" ht="12.7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</row>
    <row r="356" spans="2:12" ht="12.7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2:12" ht="12.7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</row>
    <row r="358" spans="2:12" ht="12.7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2:12" ht="12.7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2:12" ht="12.7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2:12" ht="12.7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2:12" ht="12.7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2:12" ht="12.7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2:12" ht="12.7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</row>
    <row r="365" spans="2:12" ht="12.7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2:12" ht="12.7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2:12" ht="12.7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2:12" ht="12.7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2:12" ht="12.7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2:12" ht="12.7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2:12" ht="12.7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</row>
    <row r="372" spans="2:12" ht="12.7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</row>
    <row r="373" spans="2:12" ht="12.7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</row>
    <row r="374" spans="2:12" ht="12.7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</row>
    <row r="375" spans="2:12" ht="12.7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</row>
    <row r="376" spans="2:12" ht="12.7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2:12" ht="12.7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</row>
    <row r="378" spans="2:12" ht="12.7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2:12" ht="12.7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2:12" ht="12.7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</row>
    <row r="381" spans="2:12" ht="12.7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2:12" ht="12.7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</row>
    <row r="383" spans="2:12" ht="12.7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</row>
    <row r="384" spans="2:12" ht="12.7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2:12" ht="12.7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2:12" ht="12.7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2:12" ht="12.7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2:12" ht="12.7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2:12" ht="12.7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2:12" ht="12.7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2:12" ht="12.7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2:12" ht="12.7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2:12" ht="12.7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2:12" ht="12.7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2:12" ht="12.7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2:12" ht="12.7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2:12" ht="12.7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2:12" ht="12.7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2:12" ht="12.7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2:12" ht="12.7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2:12" ht="12.7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2:12" ht="12.7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2:12" ht="12.7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2:12" ht="12.7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2:12" ht="12.7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2:12" ht="12.7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2:12" ht="12.7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2:12" ht="12.7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2:12" ht="12.7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2:12" ht="12.7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2:12" ht="12.7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2:12" ht="12.7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2:12" ht="12.7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2:12" ht="12.7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2:12" ht="12.7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2:12" ht="12.7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2:12" ht="12.7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</row>
    <row r="418" spans="2:12" ht="12.7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2:12" ht="12.7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2:12" ht="12.7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2:12" ht="12.7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2:12" ht="12.75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2:12" ht="12.75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</row>
    <row r="424" spans="2:12" ht="12.75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</row>
    <row r="425" spans="2:12" ht="12.75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</row>
    <row r="426" spans="2:12" ht="12.75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</row>
    <row r="427" spans="2:12" ht="12.75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</row>
    <row r="428" spans="2:12" ht="12.75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2:12" ht="12.75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2:12" ht="12.75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</row>
    <row r="431" spans="2:12" ht="12.75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</row>
    <row r="432" spans="2:12" ht="12.75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</row>
    <row r="433" spans="2:12" ht="12.75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</row>
    <row r="434" spans="2:12" ht="12.75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</row>
    <row r="435" spans="2:12" ht="12.75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</row>
    <row r="436" spans="2:12" ht="12.75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</row>
    <row r="437" spans="2:12" ht="12.75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</row>
    <row r="438" spans="2:12" ht="12.7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2:12" ht="12.7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2:12" ht="12.7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</row>
    <row r="441" spans="2:12" ht="12.7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2:12" ht="12.7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</row>
    <row r="443" spans="2:12" ht="12.7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</row>
    <row r="444" spans="2:12" ht="12.7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</row>
    <row r="445" spans="2:12" ht="12.7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</row>
    <row r="446" spans="2:12" ht="12.7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</row>
    <row r="447" spans="2:12" ht="12.7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</row>
    <row r="448" spans="2:12" ht="12.7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2:12" ht="12.7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2:12" ht="12.7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2:12" ht="12.7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</row>
    <row r="452" spans="2:12" ht="12.75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2:12" ht="12.75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</row>
    <row r="454" spans="2:12" ht="12.7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2:12" ht="12.7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2:12" ht="12.7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</row>
    <row r="457" spans="2:12" ht="12.7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</row>
    <row r="458" spans="2:12" ht="12.7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2:12" ht="12.7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</row>
    <row r="460" spans="2:12" ht="12.7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</row>
    <row r="461" spans="2:12" ht="12.7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</row>
    <row r="462" spans="2:12" ht="12.7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</row>
    <row r="463" spans="2:12" ht="12.7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</row>
    <row r="464" spans="2:12" ht="12.75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</row>
    <row r="465" spans="2:12" ht="12.75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</row>
    <row r="466" spans="2:12" ht="12.75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</row>
    <row r="467" spans="2:12" ht="12.75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workbookViewId="0" topLeftCell="B1">
      <selection activeCell="C18" sqref="C18"/>
    </sheetView>
  </sheetViews>
  <sheetFormatPr defaultColWidth="9.140625" defaultRowHeight="12.75"/>
  <cols>
    <col min="1" max="1" width="2.28125" style="0" hidden="1" customWidth="1"/>
    <col min="2" max="2" width="22.28125" style="0" customWidth="1"/>
    <col min="3" max="3" width="65.00390625" style="0" customWidth="1"/>
    <col min="4" max="4" width="56.421875" style="0" customWidth="1"/>
  </cols>
  <sheetData>
    <row r="1" ht="12.75">
      <c r="B1" s="8" t="s">
        <v>184</v>
      </c>
    </row>
    <row r="3" spans="2:12" s="1" customFormat="1" ht="12.75">
      <c r="B3" s="8" t="s">
        <v>150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s="1" customFormat="1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s="1" customFormat="1" ht="12.75">
      <c r="B5" s="19" t="s">
        <v>185</v>
      </c>
      <c r="C5" s="64" t="s">
        <v>149</v>
      </c>
      <c r="D5" s="19"/>
      <c r="E5" s="19"/>
      <c r="F5" s="19"/>
      <c r="G5" s="19"/>
      <c r="H5" s="19"/>
      <c r="I5" s="19"/>
      <c r="J5" s="19"/>
      <c r="K5" s="19"/>
      <c r="L5" s="19"/>
    </row>
    <row r="6" spans="2:12" s="1" customFormat="1" ht="12.75">
      <c r="B6" s="19" t="s">
        <v>186</v>
      </c>
      <c r="C6" s="19" t="s">
        <v>180</v>
      </c>
      <c r="D6" s="19"/>
      <c r="E6" s="19"/>
      <c r="F6" s="19"/>
      <c r="G6" s="19"/>
      <c r="H6" s="19"/>
      <c r="I6" s="19"/>
      <c r="J6" s="19"/>
      <c r="K6" s="19"/>
      <c r="L6" s="19"/>
    </row>
    <row r="7" spans="2:12" s="1" customFormat="1" ht="12.75">
      <c r="B7" s="19" t="s">
        <v>187</v>
      </c>
      <c r="C7" s="19" t="s">
        <v>180</v>
      </c>
      <c r="D7" s="19"/>
      <c r="E7" s="19"/>
      <c r="F7" s="19"/>
      <c r="G7" s="19"/>
      <c r="H7" s="19"/>
      <c r="I7" s="19"/>
      <c r="J7" s="19"/>
      <c r="K7" s="19"/>
      <c r="L7" s="19"/>
    </row>
    <row r="8" spans="2:12" s="1" customFormat="1" ht="12.75">
      <c r="B8" s="19" t="s">
        <v>188</v>
      </c>
      <c r="C8" s="22" t="s">
        <v>155</v>
      </c>
      <c r="D8" s="19"/>
      <c r="E8" s="19"/>
      <c r="F8" s="19"/>
      <c r="G8" s="19"/>
      <c r="H8" s="19"/>
      <c r="I8" s="19"/>
      <c r="J8" s="19"/>
      <c r="K8" s="19"/>
      <c r="L8" s="19"/>
    </row>
    <row r="9" spans="2:12" s="1" customFormat="1" ht="12.75">
      <c r="B9" s="19" t="s">
        <v>199</v>
      </c>
      <c r="C9" s="69">
        <v>36008</v>
      </c>
      <c r="D9" s="19"/>
      <c r="E9" s="19"/>
      <c r="F9" s="19"/>
      <c r="G9" s="19"/>
      <c r="H9" s="19"/>
      <c r="I9" s="19"/>
      <c r="J9" s="19"/>
      <c r="K9" s="19"/>
      <c r="L9" s="19"/>
    </row>
    <row r="10" spans="2:12" s="1" customFormat="1" ht="12.75">
      <c r="B10" s="19" t="s">
        <v>189</v>
      </c>
      <c r="C10" s="19" t="s">
        <v>139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2:12" s="1" customFormat="1" ht="12.75">
      <c r="B11" s="19" t="s">
        <v>190</v>
      </c>
      <c r="C11" s="19" t="s">
        <v>141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2:12" s="1" customFormat="1" ht="12.7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2:12" s="1" customFormat="1" ht="12.75">
      <c r="B13" s="8" t="s">
        <v>154</v>
      </c>
      <c r="D13" s="19"/>
      <c r="E13" s="19"/>
      <c r="F13" s="19"/>
      <c r="G13" s="19"/>
      <c r="H13" s="19"/>
      <c r="I13" s="19"/>
      <c r="J13" s="19"/>
      <c r="K13" s="19"/>
      <c r="L13" s="19"/>
    </row>
    <row r="14" spans="2:12" s="1" customFormat="1" ht="12.75">
      <c r="B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2:12" s="1" customFormat="1" ht="12.75">
      <c r="B15" s="19" t="s">
        <v>185</v>
      </c>
      <c r="C15" s="64" t="s">
        <v>149</v>
      </c>
      <c r="D15" s="19"/>
      <c r="E15" s="19"/>
      <c r="F15" s="19"/>
      <c r="G15" s="19"/>
      <c r="H15" s="19"/>
      <c r="I15" s="19"/>
      <c r="J15" s="19"/>
      <c r="K15" s="19"/>
      <c r="L15" s="19"/>
    </row>
    <row r="16" spans="2:12" s="1" customFormat="1" ht="12.75">
      <c r="B16" s="19" t="s">
        <v>186</v>
      </c>
      <c r="C16" s="19" t="s">
        <v>180</v>
      </c>
      <c r="D16" s="19"/>
      <c r="E16" s="19"/>
      <c r="F16" s="19"/>
      <c r="G16" s="19"/>
      <c r="H16" s="19"/>
      <c r="I16" s="19"/>
      <c r="J16" s="19"/>
      <c r="K16" s="19"/>
      <c r="L16" s="19"/>
    </row>
    <row r="17" spans="2:12" s="1" customFormat="1" ht="12.75">
      <c r="B17" s="19" t="s">
        <v>187</v>
      </c>
      <c r="C17" s="19" t="s">
        <v>180</v>
      </c>
      <c r="D17" s="19"/>
      <c r="E17" s="19"/>
      <c r="F17" s="19"/>
      <c r="G17" s="19"/>
      <c r="H17" s="19"/>
      <c r="I17" s="19"/>
      <c r="J17" s="19"/>
      <c r="K17" s="19"/>
      <c r="L17" s="19"/>
    </row>
    <row r="18" spans="2:12" s="1" customFormat="1" ht="12.75">
      <c r="B18" s="19" t="s">
        <v>188</v>
      </c>
      <c r="C18" s="22" t="s">
        <v>179</v>
      </c>
      <c r="D18" s="19"/>
      <c r="E18" s="19"/>
      <c r="F18" s="19"/>
      <c r="G18" s="19"/>
      <c r="H18" s="19"/>
      <c r="I18" s="19"/>
      <c r="J18" s="19"/>
      <c r="K18" s="19"/>
      <c r="L18" s="19"/>
    </row>
    <row r="19" spans="2:12" s="1" customFormat="1" ht="12.75">
      <c r="B19" s="19" t="s">
        <v>199</v>
      </c>
      <c r="C19" s="69">
        <v>36008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2:12" s="1" customFormat="1" ht="12.75">
      <c r="B20" s="19" t="s">
        <v>189</v>
      </c>
      <c r="C20" s="22" t="s">
        <v>140</v>
      </c>
      <c r="D20" s="19"/>
      <c r="E20" s="19"/>
      <c r="F20" s="19"/>
      <c r="G20" s="19"/>
      <c r="H20" s="19"/>
      <c r="I20" s="19"/>
      <c r="J20" s="19"/>
      <c r="K20" s="19"/>
      <c r="L20" s="19"/>
    </row>
    <row r="21" spans="2:12" s="1" customFormat="1" ht="12.75">
      <c r="B21" s="19" t="s">
        <v>190</v>
      </c>
      <c r="C21" s="22" t="s">
        <v>142</v>
      </c>
      <c r="D21" s="19"/>
      <c r="E21" s="19"/>
      <c r="F21" s="19"/>
      <c r="G21" s="19"/>
      <c r="H21" s="19"/>
      <c r="I21" s="19"/>
      <c r="J21" s="19"/>
      <c r="K21" s="19"/>
      <c r="L21" s="1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B1">
      <selection activeCell="I22" sqref="I22"/>
    </sheetView>
  </sheetViews>
  <sheetFormatPr defaultColWidth="9.140625" defaultRowHeight="12.75"/>
  <cols>
    <col min="1" max="1" width="3.28125" style="24" hidden="1" customWidth="1"/>
    <col min="2" max="2" width="19.421875" style="24" customWidth="1"/>
    <col min="3" max="3" width="12.140625" style="24" customWidth="1"/>
    <col min="4" max="4" width="8.8515625" style="10" customWidth="1"/>
    <col min="5" max="5" width="6.140625" style="10" customWidth="1"/>
    <col min="6" max="6" width="4.8515625" style="10" customWidth="1"/>
    <col min="7" max="7" width="10.00390625" style="24" customWidth="1"/>
    <col min="8" max="8" width="5.57421875" style="24" customWidth="1"/>
    <col min="9" max="9" width="9.7109375" style="25" customWidth="1"/>
    <col min="10" max="10" width="2.8515625" style="24" customWidth="1"/>
    <col min="11" max="11" width="9.28125" style="24" customWidth="1"/>
    <col min="12" max="12" width="4.28125" style="24" customWidth="1"/>
    <col min="13" max="13" width="8.8515625" style="24" customWidth="1"/>
    <col min="14" max="14" width="4.140625" style="24" customWidth="1"/>
    <col min="15" max="16384" width="8.8515625" style="24" customWidth="1"/>
  </cols>
  <sheetData>
    <row r="1" spans="2:3" ht="12.75">
      <c r="B1" s="23" t="s">
        <v>191</v>
      </c>
      <c r="C1" s="23"/>
    </row>
    <row r="2" spans="2:12" ht="12.75">
      <c r="B2" s="26"/>
      <c r="C2" s="26"/>
      <c r="G2" s="26"/>
      <c r="H2" s="26"/>
      <c r="I2" s="27"/>
      <c r="J2" s="26"/>
      <c r="K2" s="26"/>
      <c r="L2" s="26"/>
    </row>
    <row r="3" spans="2:5" ht="12.75">
      <c r="B3" s="19"/>
      <c r="C3" s="19" t="s">
        <v>107</v>
      </c>
      <c r="D3" s="10" t="s">
        <v>12</v>
      </c>
      <c r="E3" s="10" t="s">
        <v>80</v>
      </c>
    </row>
    <row r="4" spans="2:12" ht="12.75">
      <c r="B4" s="19"/>
      <c r="C4" s="19"/>
      <c r="G4" s="26"/>
      <c r="H4" s="26"/>
      <c r="I4" s="27"/>
      <c r="J4" s="26"/>
      <c r="K4" s="26"/>
      <c r="L4" s="26"/>
    </row>
    <row r="5" spans="1:13" ht="12.75">
      <c r="A5" s="24">
        <v>1</v>
      </c>
      <c r="B5" s="28" t="s">
        <v>150</v>
      </c>
      <c r="C5" s="28" t="s">
        <v>108</v>
      </c>
      <c r="G5" s="26" t="s">
        <v>174</v>
      </c>
      <c r="H5" s="26"/>
      <c r="I5" s="27" t="s">
        <v>175</v>
      </c>
      <c r="J5" s="26"/>
      <c r="K5" s="26" t="s">
        <v>176</v>
      </c>
      <c r="L5" s="26"/>
      <c r="M5" s="24" t="s">
        <v>49</v>
      </c>
    </row>
    <row r="6" spans="2:12" ht="12.75">
      <c r="B6" s="10"/>
      <c r="C6" s="10"/>
      <c r="D6" s="19"/>
      <c r="E6" s="19"/>
      <c r="F6" s="19"/>
      <c r="G6" s="19"/>
      <c r="H6" s="19"/>
      <c r="I6" s="29"/>
      <c r="J6" s="19"/>
      <c r="K6" s="19"/>
      <c r="L6" s="26"/>
    </row>
    <row r="7" spans="2:13" ht="12.75">
      <c r="B7" s="10" t="s">
        <v>13</v>
      </c>
      <c r="C7" s="10" t="s">
        <v>194</v>
      </c>
      <c r="D7" s="10" t="s">
        <v>14</v>
      </c>
      <c r="E7" s="10" t="s">
        <v>15</v>
      </c>
      <c r="G7" s="19">
        <v>0.0739</v>
      </c>
      <c r="H7" s="19"/>
      <c r="I7" s="29">
        <v>0.0715</v>
      </c>
      <c r="J7" s="19"/>
      <c r="K7" s="19">
        <v>0.0694</v>
      </c>
      <c r="L7" s="26"/>
      <c r="M7" s="30">
        <f>AVERAGE(K7,I7,G7)</f>
        <v>0.0716</v>
      </c>
    </row>
    <row r="8" spans="2:13" ht="12.75">
      <c r="B8" s="10" t="s">
        <v>114</v>
      </c>
      <c r="C8" s="10" t="s">
        <v>194</v>
      </c>
      <c r="D8" s="10" t="s">
        <v>16</v>
      </c>
      <c r="E8" s="10" t="s">
        <v>15</v>
      </c>
      <c r="G8" s="32">
        <v>11</v>
      </c>
      <c r="H8" s="32"/>
      <c r="I8" s="33">
        <v>9</v>
      </c>
      <c r="J8" s="32"/>
      <c r="K8" s="32">
        <v>6.8</v>
      </c>
      <c r="L8" s="26"/>
      <c r="M8" s="35">
        <f>AVERAGE(K8,I8,G8)</f>
        <v>8.933333333333334</v>
      </c>
    </row>
    <row r="10" spans="2:12" ht="12.75">
      <c r="B10" s="10" t="s">
        <v>156</v>
      </c>
      <c r="C10" s="10"/>
      <c r="D10" s="10" t="s">
        <v>16</v>
      </c>
      <c r="E10" s="10" t="s">
        <v>157</v>
      </c>
      <c r="G10" s="32">
        <v>84.5</v>
      </c>
      <c r="H10" s="32"/>
      <c r="I10" s="33">
        <v>86.7</v>
      </c>
      <c r="J10" s="32"/>
      <c r="K10" s="35">
        <v>80.8</v>
      </c>
      <c r="L10" s="26"/>
    </row>
    <row r="11" spans="2:13" ht="12.75">
      <c r="B11" s="10" t="s">
        <v>55</v>
      </c>
      <c r="C11" s="10"/>
      <c r="D11" s="10" t="s">
        <v>58</v>
      </c>
      <c r="G11" s="32">
        <v>0.0183</v>
      </c>
      <c r="H11" s="32"/>
      <c r="I11" s="33">
        <v>0.0232</v>
      </c>
      <c r="J11" s="32"/>
      <c r="K11" s="32">
        <v>0.079</v>
      </c>
      <c r="L11" s="26"/>
      <c r="M11" s="31"/>
    </row>
    <row r="12" spans="2:13" ht="12.75">
      <c r="B12" s="10" t="s">
        <v>56</v>
      </c>
      <c r="C12" s="10"/>
      <c r="D12" s="10" t="s">
        <v>58</v>
      </c>
      <c r="G12" s="32">
        <v>0.0126</v>
      </c>
      <c r="H12" s="32"/>
      <c r="I12" s="33">
        <v>0.0154</v>
      </c>
      <c r="J12" s="32"/>
      <c r="K12" s="32">
        <v>0.0141</v>
      </c>
      <c r="L12" s="26"/>
      <c r="M12" s="34"/>
    </row>
    <row r="13" spans="2:13" ht="12.75">
      <c r="B13" s="10"/>
      <c r="C13" s="10"/>
      <c r="G13" s="32"/>
      <c r="H13" s="32"/>
      <c r="I13" s="33"/>
      <c r="J13" s="32"/>
      <c r="K13" s="32"/>
      <c r="L13" s="26"/>
      <c r="M13" s="34"/>
    </row>
    <row r="14" spans="2:13" ht="12.75">
      <c r="B14" s="10" t="s">
        <v>86</v>
      </c>
      <c r="C14" s="10" t="s">
        <v>151</v>
      </c>
      <c r="G14" s="32"/>
      <c r="H14" s="32"/>
      <c r="I14" s="33"/>
      <c r="J14" s="32"/>
      <c r="K14" s="32"/>
      <c r="L14" s="26"/>
      <c r="M14" s="34"/>
    </row>
    <row r="15" spans="2:13" ht="12.75">
      <c r="B15" s="10" t="s">
        <v>110</v>
      </c>
      <c r="C15" s="10"/>
      <c r="D15" s="10" t="s">
        <v>58</v>
      </c>
      <c r="G15" s="32">
        <v>10.6</v>
      </c>
      <c r="H15" s="32"/>
      <c r="I15" s="33">
        <v>10.6</v>
      </c>
      <c r="J15" s="32"/>
      <c r="K15" s="32">
        <v>10.6</v>
      </c>
      <c r="L15" s="26"/>
      <c r="M15" s="34"/>
    </row>
    <row r="16" spans="2:13" ht="12.75">
      <c r="B16" s="10" t="s">
        <v>111</v>
      </c>
      <c r="C16" s="10" t="s">
        <v>195</v>
      </c>
      <c r="D16" s="10" t="s">
        <v>58</v>
      </c>
      <c r="G16" s="36">
        <v>2.7E-05</v>
      </c>
      <c r="H16" s="32"/>
      <c r="I16" s="36">
        <f>(0.000025+0.000028+0.000043)/3</f>
        <v>3.2E-05</v>
      </c>
      <c r="J16" s="32"/>
      <c r="K16" s="36">
        <f>(0.000053+0.000081+0.000061)/3</f>
        <v>6.5E-05</v>
      </c>
      <c r="L16" s="26"/>
      <c r="M16" s="37"/>
    </row>
    <row r="17" spans="2:13" ht="12.75">
      <c r="B17" s="10" t="s">
        <v>57</v>
      </c>
      <c r="C17" s="10" t="s">
        <v>195</v>
      </c>
      <c r="D17" s="10" t="s">
        <v>18</v>
      </c>
      <c r="G17" s="32">
        <v>99.9998</v>
      </c>
      <c r="H17" s="32"/>
      <c r="I17" s="33">
        <v>99.9997</v>
      </c>
      <c r="J17" s="32"/>
      <c r="K17" s="32">
        <v>99.9994</v>
      </c>
      <c r="L17" s="26"/>
      <c r="M17" s="34"/>
    </row>
    <row r="18" spans="2:13" ht="12.75">
      <c r="B18" s="10"/>
      <c r="C18" s="10"/>
      <c r="G18" s="32"/>
      <c r="H18" s="32"/>
      <c r="I18" s="33"/>
      <c r="J18" s="32"/>
      <c r="K18" s="32"/>
      <c r="L18" s="26"/>
      <c r="M18" s="34"/>
    </row>
    <row r="19" spans="2:13" ht="12.75">
      <c r="B19" s="10" t="s">
        <v>86</v>
      </c>
      <c r="C19" s="10" t="s">
        <v>152</v>
      </c>
      <c r="G19" s="32"/>
      <c r="H19" s="32"/>
      <c r="I19" s="33"/>
      <c r="J19" s="32"/>
      <c r="K19" s="32"/>
      <c r="L19" s="26"/>
      <c r="M19" s="34"/>
    </row>
    <row r="20" spans="2:13" ht="12.75">
      <c r="B20" s="10" t="s">
        <v>110</v>
      </c>
      <c r="C20" s="10"/>
      <c r="D20" s="10" t="s">
        <v>58</v>
      </c>
      <c r="G20" s="32">
        <v>5.3</v>
      </c>
      <c r="H20" s="32"/>
      <c r="I20" s="33">
        <v>5.3</v>
      </c>
      <c r="J20" s="32"/>
      <c r="K20" s="32">
        <v>5.3</v>
      </c>
      <c r="L20" s="26"/>
      <c r="M20" s="34"/>
    </row>
    <row r="21" spans="2:13" ht="12.75">
      <c r="B21" s="10" t="s">
        <v>111</v>
      </c>
      <c r="C21" s="10" t="s">
        <v>195</v>
      </c>
      <c r="D21" s="10" t="s">
        <v>58</v>
      </c>
      <c r="G21" s="36">
        <v>1.4E-05</v>
      </c>
      <c r="H21" s="32"/>
      <c r="I21" s="36">
        <v>2.1E-05</v>
      </c>
      <c r="J21" s="32"/>
      <c r="K21" s="36">
        <v>3.5E-05</v>
      </c>
      <c r="L21" s="26"/>
      <c r="M21" s="37"/>
    </row>
    <row r="22" spans="2:13" ht="12.75">
      <c r="B22" s="10" t="s">
        <v>57</v>
      </c>
      <c r="C22" s="10" t="s">
        <v>195</v>
      </c>
      <c r="D22" s="10" t="s">
        <v>18</v>
      </c>
      <c r="G22" s="32">
        <v>99.9997</v>
      </c>
      <c r="H22" s="32"/>
      <c r="I22" s="33">
        <v>99.9996</v>
      </c>
      <c r="J22" s="32"/>
      <c r="K22" s="33">
        <v>99.9993</v>
      </c>
      <c r="L22" s="32"/>
      <c r="M22" s="33"/>
    </row>
    <row r="23" spans="2:13" ht="12.75">
      <c r="B23" s="10"/>
      <c r="C23" s="10"/>
      <c r="G23" s="32"/>
      <c r="H23" s="32"/>
      <c r="I23" s="33"/>
      <c r="J23" s="32"/>
      <c r="K23" s="32"/>
      <c r="L23" s="26"/>
      <c r="M23" s="34"/>
    </row>
    <row r="24" spans="2:13" ht="12.75">
      <c r="B24" s="10" t="s">
        <v>86</v>
      </c>
      <c r="C24" s="10" t="s">
        <v>153</v>
      </c>
      <c r="G24" s="32"/>
      <c r="H24" s="32"/>
      <c r="I24" s="33"/>
      <c r="J24" s="32"/>
      <c r="K24" s="32"/>
      <c r="L24" s="26"/>
      <c r="M24" s="34"/>
    </row>
    <row r="25" spans="2:13" ht="12.75">
      <c r="B25" s="10" t="s">
        <v>110</v>
      </c>
      <c r="C25" s="10"/>
      <c r="D25" s="10" t="s">
        <v>58</v>
      </c>
      <c r="G25" s="32">
        <v>559.5</v>
      </c>
      <c r="H25" s="32"/>
      <c r="I25" s="33">
        <v>559.02</v>
      </c>
      <c r="J25" s="32"/>
      <c r="K25" s="32">
        <v>557.71</v>
      </c>
      <c r="L25" s="26"/>
      <c r="M25" s="34"/>
    </row>
    <row r="26" spans="2:13" ht="12.75">
      <c r="B26" s="10" t="s">
        <v>111</v>
      </c>
      <c r="C26" s="10" t="s">
        <v>195</v>
      </c>
      <c r="D26" s="10" t="s">
        <v>58</v>
      </c>
      <c r="F26" s="10" t="s">
        <v>29</v>
      </c>
      <c r="G26" s="36">
        <v>0.0068</v>
      </c>
      <c r="H26" s="10" t="s">
        <v>29</v>
      </c>
      <c r="I26" s="36">
        <v>0.0068</v>
      </c>
      <c r="J26" s="10" t="s">
        <v>29</v>
      </c>
      <c r="K26" s="36">
        <v>0.0068</v>
      </c>
      <c r="L26" s="26"/>
      <c r="M26" s="37"/>
    </row>
    <row r="27" spans="2:13" ht="12.75">
      <c r="B27" s="10" t="s">
        <v>57</v>
      </c>
      <c r="C27" s="10" t="s">
        <v>195</v>
      </c>
      <c r="D27" s="10" t="s">
        <v>18</v>
      </c>
      <c r="G27" s="32">
        <v>99.9988</v>
      </c>
      <c r="H27" s="32"/>
      <c r="I27" s="33">
        <v>99.9988</v>
      </c>
      <c r="J27" s="32"/>
      <c r="K27" s="33">
        <v>99.9988</v>
      </c>
      <c r="L27" s="32"/>
      <c r="M27" s="33"/>
    </row>
    <row r="28" spans="2:13" ht="12.75">
      <c r="B28" s="10"/>
      <c r="C28" s="10"/>
      <c r="G28" s="32"/>
      <c r="H28" s="32"/>
      <c r="I28" s="33"/>
      <c r="J28" s="32"/>
      <c r="K28" s="32"/>
      <c r="L28" s="26"/>
      <c r="M28" s="34"/>
    </row>
    <row r="29" spans="2:13" ht="12.75">
      <c r="B29" s="10" t="s">
        <v>117</v>
      </c>
      <c r="C29" s="10" t="s">
        <v>109</v>
      </c>
      <c r="D29" s="10" t="s">
        <v>194</v>
      </c>
      <c r="L29" s="26"/>
      <c r="M29" s="35"/>
    </row>
    <row r="30" spans="2:13" ht="12.75">
      <c r="B30" s="10" t="s">
        <v>95</v>
      </c>
      <c r="C30" s="10"/>
      <c r="D30" s="10" t="s">
        <v>17</v>
      </c>
      <c r="G30" s="32">
        <v>6561</v>
      </c>
      <c r="H30" s="32"/>
      <c r="I30" s="33">
        <v>6369</v>
      </c>
      <c r="J30" s="13"/>
      <c r="K30" s="32">
        <v>6426</v>
      </c>
      <c r="L30" s="26"/>
      <c r="M30" s="31">
        <f>AVERAGE(K30,I30,G30)</f>
        <v>6452</v>
      </c>
    </row>
    <row r="31" spans="2:13" ht="12.75">
      <c r="B31" s="10" t="s">
        <v>112</v>
      </c>
      <c r="C31" s="10"/>
      <c r="D31" s="10" t="s">
        <v>18</v>
      </c>
      <c r="G31" s="32">
        <v>6.8</v>
      </c>
      <c r="H31" s="32"/>
      <c r="I31" s="33">
        <v>6.8</v>
      </c>
      <c r="J31" s="32"/>
      <c r="K31" s="32">
        <v>7</v>
      </c>
      <c r="M31" s="31">
        <f>AVERAGE(K31,I31,G31)</f>
        <v>6.866666666666667</v>
      </c>
    </row>
    <row r="32" spans="2:13" ht="12.75">
      <c r="B32" s="10" t="s">
        <v>113</v>
      </c>
      <c r="C32" s="10"/>
      <c r="D32" s="10" t="s">
        <v>18</v>
      </c>
      <c r="G32" s="32">
        <v>13.3</v>
      </c>
      <c r="H32" s="32"/>
      <c r="I32" s="33">
        <v>13.2</v>
      </c>
      <c r="J32" s="32"/>
      <c r="K32" s="32">
        <v>12.2</v>
      </c>
      <c r="M32" s="31">
        <f>AVERAGE(K32,I32,G32)</f>
        <v>12.9</v>
      </c>
    </row>
    <row r="33" spans="2:13" ht="12.75">
      <c r="B33" s="10" t="s">
        <v>94</v>
      </c>
      <c r="C33" s="10"/>
      <c r="D33" s="10" t="s">
        <v>19</v>
      </c>
      <c r="G33" s="32">
        <v>178</v>
      </c>
      <c r="H33" s="32"/>
      <c r="I33" s="33">
        <v>176</v>
      </c>
      <c r="J33" s="32"/>
      <c r="K33" s="32">
        <v>175</v>
      </c>
      <c r="M33" s="31">
        <f>AVERAGE(K33,I33,G33)</f>
        <v>176.33333333333334</v>
      </c>
    </row>
    <row r="34" spans="2:13" ht="12.75">
      <c r="B34" s="10"/>
      <c r="C34" s="10"/>
      <c r="G34" s="32"/>
      <c r="H34" s="32"/>
      <c r="I34" s="33"/>
      <c r="J34" s="32"/>
      <c r="K34" s="32"/>
      <c r="M34" s="35"/>
    </row>
    <row r="35" spans="2:13" ht="12.75">
      <c r="B35" s="10" t="s">
        <v>117</v>
      </c>
      <c r="C35" s="10" t="s">
        <v>57</v>
      </c>
      <c r="D35" s="10" t="s">
        <v>195</v>
      </c>
      <c r="G35" s="32"/>
      <c r="H35" s="32"/>
      <c r="I35" s="33"/>
      <c r="J35" s="32"/>
      <c r="K35" s="32"/>
      <c r="M35" s="35"/>
    </row>
    <row r="36" spans="2:13" ht="12.75">
      <c r="B36" s="10" t="s">
        <v>95</v>
      </c>
      <c r="C36" s="10"/>
      <c r="D36" s="10" t="s">
        <v>17</v>
      </c>
      <c r="G36" s="32">
        <v>6427</v>
      </c>
      <c r="H36" s="32"/>
      <c r="I36" s="33">
        <v>6405</v>
      </c>
      <c r="J36" s="32"/>
      <c r="K36" s="32">
        <v>6470</v>
      </c>
      <c r="M36" s="34">
        <f>AVERAGE(K36,G36,I36)</f>
        <v>6434</v>
      </c>
    </row>
    <row r="37" spans="2:13" ht="12.75">
      <c r="B37" s="10" t="s">
        <v>112</v>
      </c>
      <c r="C37" s="10"/>
      <c r="D37" s="10" t="s">
        <v>18</v>
      </c>
      <c r="G37" s="32"/>
      <c r="H37" s="32"/>
      <c r="I37" s="33"/>
      <c r="J37" s="32"/>
      <c r="K37" s="32"/>
      <c r="M37" s="35"/>
    </row>
    <row r="38" spans="2:13" ht="12.75">
      <c r="B38" s="10" t="s">
        <v>113</v>
      </c>
      <c r="C38" s="10"/>
      <c r="D38" s="10" t="s">
        <v>18</v>
      </c>
      <c r="G38" s="32"/>
      <c r="H38" s="32"/>
      <c r="I38" s="33"/>
      <c r="J38" s="32"/>
      <c r="K38" s="32"/>
      <c r="M38" s="35"/>
    </row>
    <row r="39" spans="2:13" ht="12.75">
      <c r="B39" s="10" t="s">
        <v>94</v>
      </c>
      <c r="C39" s="10"/>
      <c r="D39" s="10" t="s">
        <v>19</v>
      </c>
      <c r="G39" s="32"/>
      <c r="H39" s="32"/>
      <c r="I39" s="33"/>
      <c r="J39" s="32"/>
      <c r="K39" s="32"/>
      <c r="M39" s="35"/>
    </row>
    <row r="40" spans="2:13" ht="12.75">
      <c r="B40" s="10"/>
      <c r="C40" s="10"/>
      <c r="G40" s="32"/>
      <c r="H40" s="32"/>
      <c r="I40" s="33"/>
      <c r="J40" s="32"/>
      <c r="K40" s="32"/>
      <c r="L40" s="26"/>
      <c r="M40" s="34"/>
    </row>
    <row r="41" spans="2:13" ht="12.75">
      <c r="B41" s="10" t="s">
        <v>117</v>
      </c>
      <c r="C41" s="10" t="s">
        <v>160</v>
      </c>
      <c r="D41" s="10" t="s">
        <v>196</v>
      </c>
      <c r="L41" s="26"/>
      <c r="M41" s="35"/>
    </row>
    <row r="42" spans="2:13" ht="12.75">
      <c r="B42" s="10" t="s">
        <v>95</v>
      </c>
      <c r="C42" s="10"/>
      <c r="D42" s="10" t="s">
        <v>17</v>
      </c>
      <c r="G42" s="32">
        <v>6454</v>
      </c>
      <c r="H42" s="32"/>
      <c r="I42" s="33">
        <v>6481</v>
      </c>
      <c r="J42" s="13"/>
      <c r="K42" s="32">
        <v>6569</v>
      </c>
      <c r="L42" s="26"/>
      <c r="M42" s="31">
        <f>AVERAGE(K42,I42,G42)</f>
        <v>6501.333333333333</v>
      </c>
    </row>
    <row r="43" spans="2:13" ht="12.75">
      <c r="B43" s="10" t="s">
        <v>112</v>
      </c>
      <c r="C43" s="10"/>
      <c r="D43" s="10" t="s">
        <v>18</v>
      </c>
      <c r="G43" s="32">
        <v>6.8</v>
      </c>
      <c r="H43" s="32"/>
      <c r="I43" s="33">
        <v>6.8</v>
      </c>
      <c r="J43" s="32"/>
      <c r="K43" s="32">
        <v>7</v>
      </c>
      <c r="M43" s="31">
        <f>AVERAGE(K43,I43,G43)</f>
        <v>6.866666666666667</v>
      </c>
    </row>
    <row r="44" spans="2:13" ht="12.75">
      <c r="B44" s="10" t="s">
        <v>113</v>
      </c>
      <c r="C44" s="10"/>
      <c r="D44" s="10" t="s">
        <v>18</v>
      </c>
      <c r="G44" s="32">
        <v>13.5</v>
      </c>
      <c r="H44" s="32"/>
      <c r="I44" s="33">
        <v>12.9</v>
      </c>
      <c r="J44" s="32"/>
      <c r="K44" s="32">
        <v>12.1</v>
      </c>
      <c r="M44" s="31">
        <f>AVERAGE(K44,I44,G44)</f>
        <v>12.833333333333334</v>
      </c>
    </row>
    <row r="45" spans="2:13" ht="12.75">
      <c r="B45" s="10" t="s">
        <v>94</v>
      </c>
      <c r="C45" s="10"/>
      <c r="D45" s="10" t="s">
        <v>19</v>
      </c>
      <c r="G45" s="32"/>
      <c r="H45" s="32"/>
      <c r="I45" s="33"/>
      <c r="J45" s="32"/>
      <c r="K45" s="32"/>
      <c r="M45" s="31"/>
    </row>
    <row r="46" spans="2:13" ht="12.75">
      <c r="B46" s="10"/>
      <c r="C46" s="10"/>
      <c r="G46" s="32"/>
      <c r="H46" s="32"/>
      <c r="I46" s="33"/>
      <c r="J46" s="32"/>
      <c r="K46" s="32"/>
      <c r="L46" s="26"/>
      <c r="M46" s="34"/>
    </row>
    <row r="47" spans="2:13" ht="12.75">
      <c r="B47" s="10" t="s">
        <v>156</v>
      </c>
      <c r="C47" s="10" t="s">
        <v>194</v>
      </c>
      <c r="D47" s="10" t="s">
        <v>16</v>
      </c>
      <c r="E47" s="10" t="s">
        <v>15</v>
      </c>
      <c r="G47" s="11">
        <f>G10*(21-7)/(21-G31)</f>
        <v>83.30985915492958</v>
      </c>
      <c r="H47" s="32"/>
      <c r="I47" s="11">
        <f>I10*(21-7)/(21-I31)</f>
        <v>85.47887323943662</v>
      </c>
      <c r="J47" s="32"/>
      <c r="K47" s="11">
        <f>K10*(21-7)/(21-K31)</f>
        <v>80.8</v>
      </c>
      <c r="L47" s="26"/>
      <c r="M47" s="34">
        <f>AVERAGE(K47,G47,I47)</f>
        <v>83.1962441314554</v>
      </c>
    </row>
    <row r="48" spans="2:13" ht="12.75">
      <c r="B48" s="10" t="s">
        <v>55</v>
      </c>
      <c r="C48" s="10" t="s">
        <v>194</v>
      </c>
      <c r="D48" s="10" t="s">
        <v>16</v>
      </c>
      <c r="E48" s="10" t="s">
        <v>15</v>
      </c>
      <c r="G48" s="11">
        <f>G11*454/60/0.0283/G30*(21-7)/(21-G31)*667.8</f>
        <v>0.491004333279605</v>
      </c>
      <c r="H48" s="11"/>
      <c r="I48" s="11">
        <f>I11*454/60/0.0283/I30*(21-7)/(21-I31)*667.8</f>
        <v>0.6412405958079198</v>
      </c>
      <c r="J48" s="11"/>
      <c r="K48" s="11">
        <f>K11*454/60/0.0283/K$30*(21-7)/(21-K$31)*667.8</f>
        <v>2.195083027321647</v>
      </c>
      <c r="L48" s="11"/>
      <c r="M48" s="31">
        <f>AVERAGE(K48,I48,G48)</f>
        <v>1.1091093188030572</v>
      </c>
    </row>
    <row r="49" spans="2:13" ht="12.75">
      <c r="B49" s="10" t="s">
        <v>56</v>
      </c>
      <c r="C49" s="10" t="s">
        <v>194</v>
      </c>
      <c r="D49" s="10" t="s">
        <v>16</v>
      </c>
      <c r="E49" s="10" t="s">
        <v>15</v>
      </c>
      <c r="G49" s="11">
        <f>G12*454/60/0.0283/G$30*(21-7)/(21-G$31)*434.4</f>
        <v>0.2199116222050319</v>
      </c>
      <c r="H49" s="11"/>
      <c r="I49" s="11">
        <f>I12*454/60/0.0283/I$30*(21-7)/(21-I$31)*434.4</f>
        <v>0.2768835450560765</v>
      </c>
      <c r="J49" s="11"/>
      <c r="K49" s="11">
        <f>K12*454/60/0.0283/K$30*(21-7)/(21-K$31)*434.4</f>
        <v>0.2548510193241018</v>
      </c>
      <c r="L49" s="11"/>
      <c r="M49" s="31">
        <f>AVERAGE(K49,I49,G49)</f>
        <v>0.25054872886173674</v>
      </c>
    </row>
    <row r="50" spans="2:13" ht="12.75">
      <c r="B50" s="10" t="s">
        <v>116</v>
      </c>
      <c r="C50" s="10" t="s">
        <v>194</v>
      </c>
      <c r="D50" s="10" t="s">
        <v>16</v>
      </c>
      <c r="E50" s="10" t="s">
        <v>15</v>
      </c>
      <c r="G50" s="12">
        <f>G48+G49*2</f>
        <v>0.9308275776896688</v>
      </c>
      <c r="H50" s="12"/>
      <c r="I50" s="12">
        <f>I48+I49*2</f>
        <v>1.1950076859200727</v>
      </c>
      <c r="J50" s="12"/>
      <c r="K50" s="12">
        <f>K48+K49*2</f>
        <v>2.7047850659698507</v>
      </c>
      <c r="L50" s="12"/>
      <c r="M50" s="31">
        <f>AVERAGE(K50,I50,G50)</f>
        <v>1.6102067765265307</v>
      </c>
    </row>
    <row r="51" spans="2:13" ht="13.5" customHeight="1">
      <c r="B51" s="10"/>
      <c r="C51" s="10"/>
      <c r="G51" s="32"/>
      <c r="H51" s="32"/>
      <c r="I51" s="33"/>
      <c r="J51" s="32"/>
      <c r="K51" s="32"/>
      <c r="M51" s="35"/>
    </row>
    <row r="52" spans="1:15" ht="12.75">
      <c r="A52" s="24">
        <v>2</v>
      </c>
      <c r="B52" s="28" t="s">
        <v>154</v>
      </c>
      <c r="C52" s="28" t="s">
        <v>108</v>
      </c>
      <c r="G52" s="26" t="s">
        <v>174</v>
      </c>
      <c r="H52" s="26"/>
      <c r="I52" s="27" t="s">
        <v>175</v>
      </c>
      <c r="J52" s="26"/>
      <c r="K52" s="26" t="s">
        <v>176</v>
      </c>
      <c r="L52" s="26"/>
      <c r="M52" s="26" t="s">
        <v>193</v>
      </c>
      <c r="O52" s="24" t="s">
        <v>49</v>
      </c>
    </row>
    <row r="53" spans="2:12" ht="12.75">
      <c r="B53" s="10"/>
      <c r="C53" s="10"/>
      <c r="D53" s="19"/>
      <c r="E53" s="19"/>
      <c r="F53" s="19"/>
      <c r="G53" s="19"/>
      <c r="H53" s="19"/>
      <c r="I53" s="29"/>
      <c r="J53" s="19"/>
      <c r="K53" s="19"/>
      <c r="L53" s="26"/>
    </row>
    <row r="54" spans="2:15" ht="12.75">
      <c r="B54" s="10" t="s">
        <v>13</v>
      </c>
      <c r="C54" s="10" t="s">
        <v>194</v>
      </c>
      <c r="D54" s="10" t="s">
        <v>14</v>
      </c>
      <c r="E54" s="10" t="s">
        <v>15</v>
      </c>
      <c r="G54" s="19">
        <v>0.0727</v>
      </c>
      <c r="H54" s="19"/>
      <c r="I54" s="29">
        <v>0.0375</v>
      </c>
      <c r="J54" s="19"/>
      <c r="K54" s="19">
        <v>0.0708</v>
      </c>
      <c r="L54" s="26"/>
      <c r="M54" s="30">
        <v>0.0671</v>
      </c>
      <c r="O54" s="30">
        <f>AVERAGE(G54,I54,K54,M54)</f>
        <v>0.062025</v>
      </c>
    </row>
    <row r="55" spans="2:15" ht="12.75">
      <c r="B55" s="10" t="s">
        <v>114</v>
      </c>
      <c r="C55" s="10" t="s">
        <v>194</v>
      </c>
      <c r="D55" s="10" t="s">
        <v>16</v>
      </c>
      <c r="E55" s="10" t="s">
        <v>15</v>
      </c>
      <c r="G55" s="32">
        <v>5.1</v>
      </c>
      <c r="H55" s="32"/>
      <c r="I55" s="33">
        <v>5.2</v>
      </c>
      <c r="J55" s="32"/>
      <c r="K55" s="32"/>
      <c r="L55" s="26"/>
      <c r="M55" s="35">
        <v>12.1</v>
      </c>
      <c r="O55" s="31">
        <f>AVERAGE(G55,I55,K55,M55)</f>
        <v>7.466666666666666</v>
      </c>
    </row>
    <row r="56" spans="2:13" ht="12.75">
      <c r="B56" s="10"/>
      <c r="C56" s="10"/>
      <c r="G56" s="32"/>
      <c r="H56" s="32"/>
      <c r="I56" s="33"/>
      <c r="J56" s="32"/>
      <c r="K56" s="32"/>
      <c r="L56" s="26"/>
      <c r="M56" s="35"/>
    </row>
    <row r="57" spans="2:13" ht="12.75">
      <c r="B57" s="10" t="s">
        <v>156</v>
      </c>
      <c r="C57" s="10"/>
      <c r="D57" s="10" t="s">
        <v>16</v>
      </c>
      <c r="E57" s="10" t="s">
        <v>157</v>
      </c>
      <c r="G57" s="32">
        <v>97.4</v>
      </c>
      <c r="H57" s="32"/>
      <c r="I57" s="33">
        <v>100.1</v>
      </c>
      <c r="J57" s="32"/>
      <c r="K57" s="32"/>
      <c r="L57" s="26"/>
      <c r="M57" s="35">
        <v>95.5</v>
      </c>
    </row>
    <row r="58" spans="2:13" ht="12.75">
      <c r="B58" s="10" t="s">
        <v>55</v>
      </c>
      <c r="C58" s="10"/>
      <c r="D58" s="10" t="s">
        <v>58</v>
      </c>
      <c r="G58" s="32">
        <v>0.0129</v>
      </c>
      <c r="H58" s="32"/>
      <c r="I58" s="33">
        <v>0.3069</v>
      </c>
      <c r="J58" s="32"/>
      <c r="K58" s="32"/>
      <c r="L58" s="26"/>
      <c r="M58" s="30">
        <v>0.0156</v>
      </c>
    </row>
    <row r="59" spans="2:13" ht="12.75">
      <c r="B59" s="10" t="s">
        <v>56</v>
      </c>
      <c r="C59" s="10"/>
      <c r="D59" s="10" t="s">
        <v>58</v>
      </c>
      <c r="G59" s="32">
        <v>0.0119</v>
      </c>
      <c r="H59" s="32"/>
      <c r="I59" s="33">
        <v>0.0972</v>
      </c>
      <c r="J59" s="32"/>
      <c r="K59" s="32"/>
      <c r="L59" s="26"/>
      <c r="M59" s="30">
        <v>0.0104</v>
      </c>
    </row>
    <row r="60" spans="2:13" ht="12.75">
      <c r="B60" s="10"/>
      <c r="C60" s="10"/>
      <c r="G60" s="32"/>
      <c r="H60" s="32"/>
      <c r="I60" s="33"/>
      <c r="J60" s="32"/>
      <c r="K60" s="32"/>
      <c r="L60" s="26"/>
      <c r="M60" s="34"/>
    </row>
    <row r="61" spans="2:13" ht="12.75">
      <c r="B61" s="68" t="s">
        <v>197</v>
      </c>
      <c r="C61" s="10"/>
      <c r="D61" s="10" t="s">
        <v>69</v>
      </c>
      <c r="E61" s="10" t="s">
        <v>157</v>
      </c>
      <c r="F61" s="10" t="s">
        <v>29</v>
      </c>
      <c r="G61" s="32">
        <v>0.41</v>
      </c>
      <c r="H61" s="32" t="s">
        <v>29</v>
      </c>
      <c r="I61" s="33">
        <v>0.41</v>
      </c>
      <c r="J61" s="32"/>
      <c r="K61" s="32"/>
      <c r="L61" s="26" t="s">
        <v>29</v>
      </c>
      <c r="M61" s="34">
        <v>0.41</v>
      </c>
    </row>
    <row r="62" spans="2:13" ht="12.75">
      <c r="B62" s="10" t="s">
        <v>98</v>
      </c>
      <c r="C62" s="10"/>
      <c r="D62" s="10" t="s">
        <v>69</v>
      </c>
      <c r="E62" s="10" t="s">
        <v>157</v>
      </c>
      <c r="F62" s="10" t="s">
        <v>29</v>
      </c>
      <c r="G62" s="32">
        <v>1.13</v>
      </c>
      <c r="H62" s="10" t="s">
        <v>29</v>
      </c>
      <c r="I62" s="33">
        <v>1.11</v>
      </c>
      <c r="J62" s="32"/>
      <c r="K62" s="32"/>
      <c r="L62" s="10" t="s">
        <v>29</v>
      </c>
      <c r="M62" s="35">
        <v>1.1</v>
      </c>
    </row>
    <row r="63" spans="2:13" ht="12.75">
      <c r="B63" s="10" t="s">
        <v>100</v>
      </c>
      <c r="C63" s="10"/>
      <c r="D63" s="10" t="s">
        <v>69</v>
      </c>
      <c r="E63" s="10" t="s">
        <v>157</v>
      </c>
      <c r="F63" s="10" t="s">
        <v>29</v>
      </c>
      <c r="G63" s="32">
        <v>0.11</v>
      </c>
      <c r="H63" s="10" t="s">
        <v>29</v>
      </c>
      <c r="I63" s="33">
        <v>0.11</v>
      </c>
      <c r="J63" s="32"/>
      <c r="K63" s="32"/>
      <c r="L63" s="10" t="s">
        <v>29</v>
      </c>
      <c r="M63" s="35">
        <v>0.11</v>
      </c>
    </row>
    <row r="64" spans="2:13" ht="12.75">
      <c r="B64" s="10" t="s">
        <v>101</v>
      </c>
      <c r="C64" s="10"/>
      <c r="D64" s="10" t="s">
        <v>69</v>
      </c>
      <c r="E64" s="10" t="s">
        <v>157</v>
      </c>
      <c r="F64" s="10" t="s">
        <v>29</v>
      </c>
      <c r="G64" s="12">
        <v>0.23</v>
      </c>
      <c r="H64" s="10" t="s">
        <v>29</v>
      </c>
      <c r="I64" s="12">
        <v>0.22</v>
      </c>
      <c r="J64" s="32"/>
      <c r="K64" s="36"/>
      <c r="L64" s="10"/>
      <c r="M64" s="35">
        <v>0.36</v>
      </c>
    </row>
    <row r="65" spans="2:13" ht="12.75">
      <c r="B65" s="10" t="s">
        <v>115</v>
      </c>
      <c r="C65" s="10"/>
      <c r="D65" s="10" t="s">
        <v>69</v>
      </c>
      <c r="E65" s="10" t="s">
        <v>157</v>
      </c>
      <c r="F65" s="10" t="s">
        <v>29</v>
      </c>
      <c r="G65" s="32">
        <v>0.79</v>
      </c>
      <c r="H65" s="10"/>
      <c r="I65" s="33">
        <v>5.57</v>
      </c>
      <c r="J65" s="32"/>
      <c r="K65" s="32"/>
      <c r="L65" s="10" t="s">
        <v>29</v>
      </c>
      <c r="M65" s="35">
        <v>3.32</v>
      </c>
    </row>
    <row r="66" spans="2:13" ht="12.75">
      <c r="B66" s="10" t="s">
        <v>102</v>
      </c>
      <c r="C66" s="10"/>
      <c r="D66" s="10" t="s">
        <v>69</v>
      </c>
      <c r="E66" s="10" t="s">
        <v>157</v>
      </c>
      <c r="G66" s="32">
        <v>7.57</v>
      </c>
      <c r="H66" s="10"/>
      <c r="I66" s="33">
        <v>7.14</v>
      </c>
      <c r="J66" s="32"/>
      <c r="K66" s="32"/>
      <c r="L66" s="10"/>
      <c r="M66" s="35">
        <v>7.06</v>
      </c>
    </row>
    <row r="67" spans="2:13" ht="12.75">
      <c r="B67" s="10" t="s">
        <v>97</v>
      </c>
      <c r="C67" s="10"/>
      <c r="D67" s="10" t="s">
        <v>69</v>
      </c>
      <c r="E67" s="10" t="s">
        <v>157</v>
      </c>
      <c r="G67" s="32">
        <v>1.93</v>
      </c>
      <c r="H67" s="10"/>
      <c r="I67" s="33">
        <v>2.62</v>
      </c>
      <c r="J67" s="32"/>
      <c r="K67" s="32"/>
      <c r="L67" s="10"/>
      <c r="M67" s="35">
        <v>3.96</v>
      </c>
    </row>
    <row r="68" spans="2:13" ht="12.75">
      <c r="B68" s="10" t="s">
        <v>99</v>
      </c>
      <c r="C68" s="10"/>
      <c r="D68" s="10" t="s">
        <v>69</v>
      </c>
      <c r="E68" s="10" t="s">
        <v>157</v>
      </c>
      <c r="F68" s="10" t="s">
        <v>29</v>
      </c>
      <c r="G68" s="32">
        <v>1.1</v>
      </c>
      <c r="H68" s="10" t="s">
        <v>29</v>
      </c>
      <c r="I68" s="33">
        <v>1.62</v>
      </c>
      <c r="J68" s="32"/>
      <c r="K68" s="32"/>
      <c r="L68" s="10" t="s">
        <v>29</v>
      </c>
      <c r="M68" s="35">
        <v>1.61</v>
      </c>
    </row>
    <row r="69" spans="2:13" ht="12.75">
      <c r="B69" s="10" t="s">
        <v>96</v>
      </c>
      <c r="C69" s="10"/>
      <c r="D69" s="10" t="s">
        <v>69</v>
      </c>
      <c r="E69" s="10" t="s">
        <v>157</v>
      </c>
      <c r="F69" s="10" t="s">
        <v>29</v>
      </c>
      <c r="G69" s="12">
        <v>2.27</v>
      </c>
      <c r="H69" s="10"/>
      <c r="I69" s="12">
        <v>3.1</v>
      </c>
      <c r="J69" s="32"/>
      <c r="K69" s="36"/>
      <c r="L69" s="10"/>
      <c r="M69" s="35">
        <v>3.07</v>
      </c>
    </row>
    <row r="70" spans="2:13" ht="12.75">
      <c r="B70" s="10" t="s">
        <v>105</v>
      </c>
      <c r="C70" s="10"/>
      <c r="D70" s="10" t="s">
        <v>69</v>
      </c>
      <c r="E70" s="10" t="s">
        <v>157</v>
      </c>
      <c r="F70" s="10" t="s">
        <v>29</v>
      </c>
      <c r="G70" s="32">
        <v>1.13</v>
      </c>
      <c r="H70" s="10" t="s">
        <v>29</v>
      </c>
      <c r="I70" s="33">
        <v>1.11</v>
      </c>
      <c r="J70" s="32"/>
      <c r="K70" s="33"/>
      <c r="L70" s="10" t="s">
        <v>29</v>
      </c>
      <c r="M70" s="12">
        <v>1.07</v>
      </c>
    </row>
    <row r="71" spans="2:13" ht="12.75">
      <c r="B71" s="10" t="s">
        <v>106</v>
      </c>
      <c r="C71" s="10"/>
      <c r="D71" s="10" t="s">
        <v>69</v>
      </c>
      <c r="E71" s="10" t="s">
        <v>157</v>
      </c>
      <c r="F71" s="10" t="s">
        <v>29</v>
      </c>
      <c r="G71" s="32">
        <v>6.8</v>
      </c>
      <c r="H71" s="10" t="s">
        <v>29</v>
      </c>
      <c r="I71" s="33">
        <v>6.64</v>
      </c>
      <c r="J71" s="32"/>
      <c r="K71" s="32"/>
      <c r="L71" s="10" t="s">
        <v>29</v>
      </c>
      <c r="M71" s="35">
        <v>6.43</v>
      </c>
    </row>
    <row r="72" spans="2:13" ht="12.75">
      <c r="B72" s="10" t="s">
        <v>103</v>
      </c>
      <c r="C72" s="10"/>
      <c r="D72" s="10" t="s">
        <v>69</v>
      </c>
      <c r="E72" s="10" t="s">
        <v>157</v>
      </c>
      <c r="F72" s="10" t="s">
        <v>29</v>
      </c>
      <c r="G72" s="32">
        <v>1.13</v>
      </c>
      <c r="H72" s="10"/>
      <c r="I72" s="33">
        <v>1.88</v>
      </c>
      <c r="J72" s="32"/>
      <c r="K72" s="32"/>
      <c r="L72" s="10"/>
      <c r="M72" s="35">
        <v>1.11</v>
      </c>
    </row>
    <row r="73" spans="2:13" ht="12.75">
      <c r="B73" s="10" t="s">
        <v>104</v>
      </c>
      <c r="C73" s="10"/>
      <c r="D73" s="10" t="s">
        <v>69</v>
      </c>
      <c r="E73" s="10" t="s">
        <v>157</v>
      </c>
      <c r="F73" s="10" t="s">
        <v>29</v>
      </c>
      <c r="G73" s="32">
        <v>6.8</v>
      </c>
      <c r="H73" s="10" t="s">
        <v>29</v>
      </c>
      <c r="I73" s="33">
        <v>6.64</v>
      </c>
      <c r="J73" s="32"/>
      <c r="K73" s="32"/>
      <c r="L73" s="10" t="s">
        <v>29</v>
      </c>
      <c r="M73" s="35">
        <v>6.43</v>
      </c>
    </row>
    <row r="74" spans="2:13" ht="12.75">
      <c r="B74" s="10"/>
      <c r="C74" s="10"/>
      <c r="G74" s="36"/>
      <c r="H74" s="10"/>
      <c r="I74" s="36"/>
      <c r="J74" s="10"/>
      <c r="K74" s="36"/>
      <c r="L74" s="26"/>
      <c r="M74" s="37"/>
    </row>
    <row r="75" spans="2:13" ht="12.75">
      <c r="B75" s="10" t="s">
        <v>117</v>
      </c>
      <c r="C75" s="10" t="s">
        <v>109</v>
      </c>
      <c r="D75" s="10" t="s">
        <v>194</v>
      </c>
      <c r="L75" s="26"/>
      <c r="M75" s="35"/>
    </row>
    <row r="76" spans="2:15" ht="12.75">
      <c r="B76" s="10" t="s">
        <v>95</v>
      </c>
      <c r="C76" s="10"/>
      <c r="D76" s="10" t="s">
        <v>17</v>
      </c>
      <c r="G76" s="32">
        <v>6120</v>
      </c>
      <c r="H76" s="32"/>
      <c r="I76" s="33">
        <v>5798</v>
      </c>
      <c r="J76" s="13"/>
      <c r="K76" s="32">
        <v>6166</v>
      </c>
      <c r="L76" s="26"/>
      <c r="M76" s="31">
        <v>6026</v>
      </c>
      <c r="O76" s="31">
        <f>AVERAGE(G76,I76,K76,M76)</f>
        <v>6027.5</v>
      </c>
    </row>
    <row r="77" spans="2:15" ht="12.75">
      <c r="B77" s="10" t="s">
        <v>112</v>
      </c>
      <c r="C77" s="10"/>
      <c r="D77" s="10" t="s">
        <v>18</v>
      </c>
      <c r="G77" s="32">
        <v>6</v>
      </c>
      <c r="H77" s="32"/>
      <c r="I77" s="33">
        <v>6</v>
      </c>
      <c r="J77" s="32"/>
      <c r="K77" s="32">
        <v>6</v>
      </c>
      <c r="M77" s="31">
        <v>6</v>
      </c>
      <c r="O77" s="31">
        <f>AVERAGE(G77,I77,K77,M77)</f>
        <v>6</v>
      </c>
    </row>
    <row r="78" spans="2:15" ht="12.75">
      <c r="B78" s="10" t="s">
        <v>113</v>
      </c>
      <c r="C78" s="10"/>
      <c r="D78" s="10" t="s">
        <v>18</v>
      </c>
      <c r="G78" s="32">
        <v>11.2</v>
      </c>
      <c r="H78" s="32"/>
      <c r="I78" s="33">
        <v>13.6</v>
      </c>
      <c r="J78" s="32"/>
      <c r="K78" s="32">
        <v>15.3</v>
      </c>
      <c r="M78" s="31">
        <v>15.5</v>
      </c>
      <c r="O78" s="31">
        <f>AVERAGE(G78,I78,K78,M78)</f>
        <v>13.899999999999999</v>
      </c>
    </row>
    <row r="79" spans="2:15" ht="12.75">
      <c r="B79" s="10" t="s">
        <v>94</v>
      </c>
      <c r="C79" s="10"/>
      <c r="D79" s="10" t="s">
        <v>19</v>
      </c>
      <c r="G79" s="32">
        <v>178</v>
      </c>
      <c r="H79" s="32"/>
      <c r="I79" s="33">
        <v>176</v>
      </c>
      <c r="J79" s="32"/>
      <c r="K79" s="32">
        <v>182</v>
      </c>
      <c r="M79" s="31">
        <v>182</v>
      </c>
      <c r="O79" s="31">
        <f>AVERAGE(G79,I79,K79,M79)</f>
        <v>179.5</v>
      </c>
    </row>
    <row r="80" spans="2:13" ht="12.75">
      <c r="B80" s="10"/>
      <c r="C80" s="10"/>
      <c r="G80" s="32"/>
      <c r="H80" s="32"/>
      <c r="I80" s="33"/>
      <c r="J80" s="32"/>
      <c r="K80" s="32"/>
      <c r="M80" s="35"/>
    </row>
    <row r="81" spans="2:13" ht="12.75">
      <c r="B81" s="10" t="s">
        <v>117</v>
      </c>
      <c r="C81" s="10" t="s">
        <v>158</v>
      </c>
      <c r="D81" s="10" t="s">
        <v>195</v>
      </c>
      <c r="G81" s="32"/>
      <c r="H81" s="32"/>
      <c r="I81" s="33"/>
      <c r="J81" s="32"/>
      <c r="K81" s="32"/>
      <c r="M81" s="35"/>
    </row>
    <row r="82" spans="2:15" ht="12.75">
      <c r="B82" s="10" t="s">
        <v>95</v>
      </c>
      <c r="C82" s="10"/>
      <c r="D82" s="10" t="s">
        <v>17</v>
      </c>
      <c r="G82" s="32">
        <v>6250</v>
      </c>
      <c r="H82" s="32"/>
      <c r="I82" s="33">
        <v>6182</v>
      </c>
      <c r="J82" s="32"/>
      <c r="K82" s="32"/>
      <c r="M82" s="31">
        <v>6204</v>
      </c>
      <c r="O82" s="31">
        <f>AVERAGE(G82,I82,K82,M82)</f>
        <v>6212</v>
      </c>
    </row>
    <row r="83" spans="2:15" ht="12.75">
      <c r="B83" s="10" t="s">
        <v>112</v>
      </c>
      <c r="C83" s="10"/>
      <c r="D83" s="10" t="s">
        <v>18</v>
      </c>
      <c r="G83" s="32">
        <v>6</v>
      </c>
      <c r="H83" s="32"/>
      <c r="I83" s="33">
        <v>6</v>
      </c>
      <c r="J83" s="32"/>
      <c r="K83" s="32"/>
      <c r="M83" s="31">
        <v>6</v>
      </c>
      <c r="O83" s="31">
        <f>AVERAGE(G83,I83,K83,M83)</f>
        <v>6</v>
      </c>
    </row>
    <row r="84" spans="2:15" ht="12.75">
      <c r="B84" s="10" t="s">
        <v>113</v>
      </c>
      <c r="C84" s="10"/>
      <c r="D84" s="10" t="s">
        <v>18</v>
      </c>
      <c r="G84" s="32">
        <v>52.1</v>
      </c>
      <c r="H84" s="32"/>
      <c r="I84" s="33">
        <v>50.9</v>
      </c>
      <c r="J84" s="32"/>
      <c r="K84" s="32"/>
      <c r="M84" s="31">
        <v>55.6</v>
      </c>
      <c r="O84" s="31">
        <f>AVERAGE(G84,I84,K84,M84)</f>
        <v>52.86666666666667</v>
      </c>
    </row>
    <row r="85" spans="2:15" ht="12.75">
      <c r="B85" s="10" t="s">
        <v>94</v>
      </c>
      <c r="C85" s="10"/>
      <c r="D85" s="10" t="s">
        <v>19</v>
      </c>
      <c r="G85" s="32">
        <v>182</v>
      </c>
      <c r="H85" s="32"/>
      <c r="I85" s="33">
        <v>180</v>
      </c>
      <c r="J85" s="32"/>
      <c r="K85" s="32"/>
      <c r="M85" s="31">
        <v>184</v>
      </c>
      <c r="O85" s="31">
        <f>AVERAGE(G85,I85,K85,M85)</f>
        <v>182</v>
      </c>
    </row>
    <row r="86" spans="2:13" ht="12.75">
      <c r="B86" s="10"/>
      <c r="C86" s="10"/>
      <c r="G86" s="32"/>
      <c r="H86" s="32"/>
      <c r="I86" s="33"/>
      <c r="J86" s="32"/>
      <c r="K86" s="32"/>
      <c r="M86" s="35"/>
    </row>
    <row r="87" spans="2:13" ht="12.75">
      <c r="B87" s="10" t="s">
        <v>117</v>
      </c>
      <c r="C87" s="10" t="s">
        <v>178</v>
      </c>
      <c r="D87" s="10" t="s">
        <v>196</v>
      </c>
      <c r="G87" s="32"/>
      <c r="H87" s="32"/>
      <c r="I87" s="33"/>
      <c r="J87" s="32"/>
      <c r="K87" s="32"/>
      <c r="M87" s="35"/>
    </row>
    <row r="88" spans="2:15" ht="12.75">
      <c r="B88" s="10" t="s">
        <v>95</v>
      </c>
      <c r="C88" s="10"/>
      <c r="D88" s="10" t="s">
        <v>17</v>
      </c>
      <c r="G88" s="32">
        <v>6001</v>
      </c>
      <c r="H88" s="32"/>
      <c r="I88" s="33">
        <v>6097</v>
      </c>
      <c r="J88" s="32"/>
      <c r="K88" s="32"/>
      <c r="M88" s="31">
        <v>6164</v>
      </c>
      <c r="O88" s="31">
        <f>AVERAGE(G88,I88,K88,M88)</f>
        <v>6087.333333333333</v>
      </c>
    </row>
    <row r="89" spans="2:15" ht="12.75">
      <c r="B89" s="10" t="s">
        <v>112</v>
      </c>
      <c r="C89" s="10"/>
      <c r="D89" s="10" t="s">
        <v>18</v>
      </c>
      <c r="G89" s="32">
        <v>6</v>
      </c>
      <c r="H89" s="32"/>
      <c r="I89" s="33">
        <v>6</v>
      </c>
      <c r="J89" s="32"/>
      <c r="K89" s="32"/>
      <c r="M89" s="31">
        <v>6</v>
      </c>
      <c r="O89" s="31">
        <f>AVERAGE(G89,I89,K89,M89)</f>
        <v>6</v>
      </c>
    </row>
    <row r="90" spans="2:15" ht="12.75">
      <c r="B90" s="10" t="s">
        <v>113</v>
      </c>
      <c r="C90" s="10"/>
      <c r="D90" s="10" t="s">
        <v>18</v>
      </c>
      <c r="G90" s="32">
        <v>14.1</v>
      </c>
      <c r="H90" s="32"/>
      <c r="I90" s="33">
        <v>14.2</v>
      </c>
      <c r="J90" s="32"/>
      <c r="K90" s="32"/>
      <c r="M90" s="31">
        <v>10.8</v>
      </c>
      <c r="O90" s="31">
        <f>AVERAGE(G90,I90,K90,M90)</f>
        <v>13.033333333333331</v>
      </c>
    </row>
    <row r="91" spans="2:15" ht="12.75">
      <c r="B91" s="10" t="s">
        <v>94</v>
      </c>
      <c r="C91" s="10"/>
      <c r="D91" s="10" t="s">
        <v>19</v>
      </c>
      <c r="G91" s="32">
        <v>176</v>
      </c>
      <c r="H91" s="32"/>
      <c r="I91" s="33">
        <v>176</v>
      </c>
      <c r="J91" s="32"/>
      <c r="K91" s="32"/>
      <c r="M91" s="31">
        <v>179</v>
      </c>
      <c r="O91" s="31">
        <f>AVERAGE(G91,I91,K91,M91)</f>
        <v>177</v>
      </c>
    </row>
    <row r="92" spans="2:13" ht="12.75">
      <c r="B92" s="10"/>
      <c r="C92" s="10"/>
      <c r="G92" s="32"/>
      <c r="H92" s="32"/>
      <c r="I92" s="33"/>
      <c r="J92" s="32"/>
      <c r="K92" s="32"/>
      <c r="M92" s="35"/>
    </row>
    <row r="93" spans="2:13" ht="12.75">
      <c r="B93" s="10" t="s">
        <v>117</v>
      </c>
      <c r="C93" s="10" t="s">
        <v>160</v>
      </c>
      <c r="D93" s="10" t="s">
        <v>198</v>
      </c>
      <c r="G93" s="32"/>
      <c r="H93" s="32"/>
      <c r="I93" s="33"/>
      <c r="J93" s="32"/>
      <c r="K93" s="32"/>
      <c r="M93" s="35"/>
    </row>
    <row r="94" spans="2:15" ht="12.75">
      <c r="B94" s="10" t="s">
        <v>95</v>
      </c>
      <c r="C94" s="10"/>
      <c r="D94" s="10" t="s">
        <v>17</v>
      </c>
      <c r="G94" s="32">
        <v>6339</v>
      </c>
      <c r="H94" s="32"/>
      <c r="I94" s="33">
        <v>6260</v>
      </c>
      <c r="J94" s="32"/>
      <c r="K94" s="32"/>
      <c r="M94" s="31">
        <v>6311</v>
      </c>
      <c r="O94" s="31">
        <f>AVERAGE(G94,I94,K94,M94)</f>
        <v>6303.333333333333</v>
      </c>
    </row>
    <row r="95" spans="2:15" ht="12.75">
      <c r="B95" s="10" t="s">
        <v>112</v>
      </c>
      <c r="C95" s="10"/>
      <c r="D95" s="10" t="s">
        <v>18</v>
      </c>
      <c r="G95" s="32">
        <v>6</v>
      </c>
      <c r="H95" s="32"/>
      <c r="I95" s="33">
        <v>6</v>
      </c>
      <c r="J95" s="32"/>
      <c r="K95" s="32"/>
      <c r="M95" s="31">
        <v>6</v>
      </c>
      <c r="O95" s="31">
        <f>AVERAGE(G95,I95,K95,M95)</f>
        <v>6</v>
      </c>
    </row>
    <row r="96" spans="2:15" ht="12.75">
      <c r="B96" s="10" t="s">
        <v>113</v>
      </c>
      <c r="C96" s="10"/>
      <c r="D96" s="10" t="s">
        <v>18</v>
      </c>
      <c r="G96" s="32">
        <v>13.2</v>
      </c>
      <c r="H96" s="32"/>
      <c r="I96" s="33">
        <v>14.1</v>
      </c>
      <c r="J96" s="32"/>
      <c r="K96" s="32"/>
      <c r="M96" s="31">
        <v>15.1</v>
      </c>
      <c r="O96" s="31">
        <f>AVERAGE(G96,I96,K96,M96)</f>
        <v>14.133333333333333</v>
      </c>
    </row>
    <row r="97" spans="2:15" ht="12.75">
      <c r="B97" s="10" t="s">
        <v>94</v>
      </c>
      <c r="C97" s="10"/>
      <c r="D97" s="10" t="s">
        <v>19</v>
      </c>
      <c r="G97" s="32"/>
      <c r="H97" s="32"/>
      <c r="I97" s="33"/>
      <c r="J97" s="32"/>
      <c r="K97" s="32"/>
      <c r="M97" s="31"/>
      <c r="O97" s="31"/>
    </row>
    <row r="98" spans="2:13" ht="12.75">
      <c r="B98" s="10"/>
      <c r="C98" s="10"/>
      <c r="G98" s="32"/>
      <c r="H98" s="32"/>
      <c r="I98" s="33"/>
      <c r="J98" s="32"/>
      <c r="K98" s="32"/>
      <c r="M98" s="35"/>
    </row>
    <row r="99" spans="2:15" ht="12.75">
      <c r="B99" s="10" t="s">
        <v>156</v>
      </c>
      <c r="C99" s="10" t="s">
        <v>194</v>
      </c>
      <c r="D99" s="10" t="s">
        <v>16</v>
      </c>
      <c r="E99" s="10" t="s">
        <v>15</v>
      </c>
      <c r="G99" s="11">
        <f>G57*(21-7)/(21-G77)</f>
        <v>90.90666666666668</v>
      </c>
      <c r="H99" s="32"/>
      <c r="I99" s="11">
        <f>I57*(21-7)/(21-I77)</f>
        <v>93.42666666666666</v>
      </c>
      <c r="J99" s="32"/>
      <c r="K99" s="32"/>
      <c r="L99" s="26"/>
      <c r="M99" s="11">
        <f>M57*(21-7)/(21-M77)</f>
        <v>89.13333333333334</v>
      </c>
      <c r="O99" s="31">
        <f>AVERAGE(G99,I99,K99,M99)</f>
        <v>91.15555555555557</v>
      </c>
    </row>
    <row r="100" spans="2:15" ht="12.75">
      <c r="B100" s="10" t="s">
        <v>55</v>
      </c>
      <c r="C100" s="10" t="s">
        <v>194</v>
      </c>
      <c r="D100" s="10" t="s">
        <v>16</v>
      </c>
      <c r="E100" s="10" t="s">
        <v>15</v>
      </c>
      <c r="G100" s="11">
        <f>G58*454/60/0.0283/G76*(21-7)/(21-G77)*667.8</f>
        <v>0.3512688560936742</v>
      </c>
      <c r="H100" s="11"/>
      <c r="I100" s="11">
        <f>I58*454/60/0.0283/I76*(21-7)/(21-I77)*667.8</f>
        <v>8.821044961281887</v>
      </c>
      <c r="J100" s="11"/>
      <c r="K100" s="11"/>
      <c r="L100" s="11"/>
      <c r="M100" s="11">
        <f>M58*454/60/0.0283/M$30*(21-7)/(21-M$31)*667.8</f>
        <v>0.42763993524346133</v>
      </c>
      <c r="O100" s="31">
        <f>AVERAGE(G100,I100,K100,M100)</f>
        <v>3.1999845842063404</v>
      </c>
    </row>
    <row r="101" spans="2:15" ht="12.75">
      <c r="B101" s="10" t="s">
        <v>56</v>
      </c>
      <c r="C101" s="10" t="s">
        <v>194</v>
      </c>
      <c r="D101" s="10" t="s">
        <v>16</v>
      </c>
      <c r="E101" s="10" t="s">
        <v>15</v>
      </c>
      <c r="G101" s="11">
        <f>G59*454/60/0.0283/G$30*(21-7)/(21-G$31)*434.4</f>
        <v>0.20769430986030793</v>
      </c>
      <c r="H101" s="11"/>
      <c r="I101" s="11">
        <f>I59*454/60/0.0283/I$30*(21-7)/(21-I$31)*434.4</f>
        <v>1.747602635029262</v>
      </c>
      <c r="J101" s="11"/>
      <c r="K101" s="11"/>
      <c r="L101" s="11"/>
      <c r="M101" s="11">
        <f>M59*454/60/0.0283/M$30*(21-7)/(21-M$31)*434.4</f>
        <v>0.18545152028527465</v>
      </c>
      <c r="O101" s="31">
        <f>AVERAGE(G101,I101,K101,M101)</f>
        <v>0.7135828217249481</v>
      </c>
    </row>
    <row r="102" spans="2:15" ht="12.75">
      <c r="B102" s="10" t="s">
        <v>116</v>
      </c>
      <c r="C102" s="10" t="s">
        <v>194</v>
      </c>
      <c r="D102" s="10" t="s">
        <v>16</v>
      </c>
      <c r="E102" s="10" t="s">
        <v>15</v>
      </c>
      <c r="G102" s="12">
        <f>G100+G101*2</f>
        <v>0.7666574758142901</v>
      </c>
      <c r="H102" s="12"/>
      <c r="I102" s="12">
        <f>I100+I101*2</f>
        <v>12.31625023134041</v>
      </c>
      <c r="J102" s="12"/>
      <c r="K102" s="12"/>
      <c r="L102" s="12"/>
      <c r="M102" s="12">
        <f>M100+M101*2</f>
        <v>0.7985429758140106</v>
      </c>
      <c r="O102" s="31">
        <f>AVERAGE(G102,I102,K102,M102)</f>
        <v>4.627150227656236</v>
      </c>
    </row>
    <row r="104" spans="2:15" ht="12.75">
      <c r="B104" s="68" t="s">
        <v>197</v>
      </c>
      <c r="C104" s="10" t="s">
        <v>196</v>
      </c>
      <c r="D104" s="10" t="s">
        <v>69</v>
      </c>
      <c r="E104" s="10" t="s">
        <v>15</v>
      </c>
      <c r="F104" s="10" t="s">
        <v>29</v>
      </c>
      <c r="G104" s="35">
        <f>G61*(21-7)/(21-G89)</f>
        <v>0.3826666666666666</v>
      </c>
      <c r="H104" s="10" t="s">
        <v>29</v>
      </c>
      <c r="I104" s="35">
        <f>I61*(21-7)/(21-I89)</f>
        <v>0.3826666666666666</v>
      </c>
      <c r="L104" s="24" t="s">
        <v>29</v>
      </c>
      <c r="M104" s="35">
        <f>M61*(21-7)/(21-M89)</f>
        <v>0.3826666666666666</v>
      </c>
      <c r="N104" s="24">
        <v>100</v>
      </c>
      <c r="O104" s="31">
        <f aca="true" t="shared" si="0" ref="O104:O109">AVERAGE(G104,I104,K104,M104)</f>
        <v>0.38266666666666654</v>
      </c>
    </row>
    <row r="105" spans="2:15" ht="12.75">
      <c r="B105" s="10" t="s">
        <v>98</v>
      </c>
      <c r="C105" s="10" t="s">
        <v>195</v>
      </c>
      <c r="D105" s="10" t="s">
        <v>69</v>
      </c>
      <c r="E105" s="10" t="s">
        <v>15</v>
      </c>
      <c r="F105" s="10" t="s">
        <v>29</v>
      </c>
      <c r="G105" s="35">
        <f>G62*(21-7)/(21-$G$83)</f>
        <v>1.0546666666666666</v>
      </c>
      <c r="H105" s="10" t="s">
        <v>29</v>
      </c>
      <c r="I105" s="35">
        <f>I62*(21-7)/(21-$G$83)</f>
        <v>1.036</v>
      </c>
      <c r="L105" s="10" t="s">
        <v>29</v>
      </c>
      <c r="M105" s="35">
        <f aca="true" t="shared" si="1" ref="M105:M116">M62*(21-7)/(21-$G$83)</f>
        <v>1.0266666666666668</v>
      </c>
      <c r="N105" s="24">
        <v>100</v>
      </c>
      <c r="O105" s="31">
        <f t="shared" si="0"/>
        <v>1.039111111111111</v>
      </c>
    </row>
    <row r="106" spans="2:15" ht="12.75">
      <c r="B106" s="10" t="s">
        <v>100</v>
      </c>
      <c r="C106" s="10" t="s">
        <v>195</v>
      </c>
      <c r="D106" s="10" t="s">
        <v>69</v>
      </c>
      <c r="E106" s="10" t="s">
        <v>15</v>
      </c>
      <c r="F106" s="10" t="s">
        <v>29</v>
      </c>
      <c r="G106" s="35">
        <f aca="true" t="shared" si="2" ref="G106:I116">G63*(21-7)/(21-$G$83)</f>
        <v>0.10266666666666667</v>
      </c>
      <c r="H106" s="10" t="s">
        <v>29</v>
      </c>
      <c r="I106" s="35">
        <f t="shared" si="2"/>
        <v>0.10266666666666667</v>
      </c>
      <c r="L106" s="10" t="s">
        <v>29</v>
      </c>
      <c r="M106" s="35">
        <f t="shared" si="1"/>
        <v>0.10266666666666667</v>
      </c>
      <c r="N106" s="24">
        <v>100</v>
      </c>
      <c r="O106" s="31">
        <f t="shared" si="0"/>
        <v>0.10266666666666667</v>
      </c>
    </row>
    <row r="107" spans="2:15" ht="12.75">
      <c r="B107" s="10" t="s">
        <v>101</v>
      </c>
      <c r="C107" s="10" t="s">
        <v>195</v>
      </c>
      <c r="D107" s="10" t="s">
        <v>69</v>
      </c>
      <c r="E107" s="10" t="s">
        <v>15</v>
      </c>
      <c r="F107" s="10" t="s">
        <v>29</v>
      </c>
      <c r="G107" s="35">
        <f t="shared" si="2"/>
        <v>0.21466666666666667</v>
      </c>
      <c r="H107" s="10" t="s">
        <v>29</v>
      </c>
      <c r="I107" s="35">
        <f t="shared" si="2"/>
        <v>0.20533333333333334</v>
      </c>
      <c r="L107" s="10"/>
      <c r="M107" s="35">
        <f t="shared" si="1"/>
        <v>0.336</v>
      </c>
      <c r="N107" s="24">
        <v>100</v>
      </c>
      <c r="O107" s="31">
        <f t="shared" si="0"/>
        <v>0.252</v>
      </c>
    </row>
    <row r="108" spans="2:15" ht="12.75">
      <c r="B108" s="10" t="s">
        <v>115</v>
      </c>
      <c r="C108" s="10" t="s">
        <v>195</v>
      </c>
      <c r="D108" s="10" t="s">
        <v>69</v>
      </c>
      <c r="E108" s="10" t="s">
        <v>15</v>
      </c>
      <c r="F108" s="10" t="s">
        <v>29</v>
      </c>
      <c r="G108" s="35">
        <f t="shared" si="2"/>
        <v>0.7373333333333334</v>
      </c>
      <c r="H108" s="10"/>
      <c r="I108" s="35">
        <f t="shared" si="2"/>
        <v>5.198666666666667</v>
      </c>
      <c r="L108" s="10" t="s">
        <v>29</v>
      </c>
      <c r="M108" s="35">
        <f t="shared" si="1"/>
        <v>3.0986666666666665</v>
      </c>
      <c r="N108" s="24">
        <v>100</v>
      </c>
      <c r="O108" s="31">
        <f t="shared" si="0"/>
        <v>3.0115555555555553</v>
      </c>
    </row>
    <row r="109" spans="2:15" ht="12.75">
      <c r="B109" s="10" t="s">
        <v>102</v>
      </c>
      <c r="C109" s="10" t="s">
        <v>195</v>
      </c>
      <c r="D109" s="10" t="s">
        <v>69</v>
      </c>
      <c r="E109" s="10" t="s">
        <v>15</v>
      </c>
      <c r="G109" s="35">
        <f t="shared" si="2"/>
        <v>7.065333333333333</v>
      </c>
      <c r="H109" s="10"/>
      <c r="I109" s="35">
        <f t="shared" si="2"/>
        <v>6.664</v>
      </c>
      <c r="L109" s="10"/>
      <c r="M109" s="35">
        <f t="shared" si="1"/>
        <v>6.589333333333332</v>
      </c>
      <c r="O109" s="31">
        <f t="shared" si="0"/>
        <v>6.772888888888889</v>
      </c>
    </row>
    <row r="110" spans="2:15" ht="12.75">
      <c r="B110" s="10" t="s">
        <v>97</v>
      </c>
      <c r="C110" s="10" t="s">
        <v>195</v>
      </c>
      <c r="D110" s="10" t="s">
        <v>69</v>
      </c>
      <c r="E110" s="10" t="s">
        <v>15</v>
      </c>
      <c r="G110" s="35">
        <f t="shared" si="2"/>
        <v>1.8013333333333332</v>
      </c>
      <c r="H110" s="10"/>
      <c r="I110" s="35">
        <f t="shared" si="2"/>
        <v>2.445333333333333</v>
      </c>
      <c r="L110" s="10"/>
      <c r="M110" s="35">
        <f t="shared" si="1"/>
        <v>3.6959999999999997</v>
      </c>
      <c r="O110" s="31">
        <f aca="true" t="shared" si="3" ref="O110:O116">AVERAGE(G110,I110,K110,M110)</f>
        <v>2.6475555555555554</v>
      </c>
    </row>
    <row r="111" spans="2:15" ht="12.75">
      <c r="B111" s="10" t="s">
        <v>99</v>
      </c>
      <c r="C111" s="10" t="s">
        <v>195</v>
      </c>
      <c r="D111" s="10" t="s">
        <v>69</v>
      </c>
      <c r="E111" s="10" t="s">
        <v>15</v>
      </c>
      <c r="F111" s="10" t="s">
        <v>29</v>
      </c>
      <c r="G111" s="35">
        <f t="shared" si="2"/>
        <v>1.0266666666666668</v>
      </c>
      <c r="H111" s="10" t="s">
        <v>29</v>
      </c>
      <c r="I111" s="35">
        <f t="shared" si="2"/>
        <v>1.512</v>
      </c>
      <c r="L111" s="10" t="s">
        <v>29</v>
      </c>
      <c r="M111" s="35">
        <f t="shared" si="1"/>
        <v>1.5026666666666668</v>
      </c>
      <c r="O111" s="31">
        <f t="shared" si="3"/>
        <v>1.3471111111111114</v>
      </c>
    </row>
    <row r="112" spans="2:15" ht="12.75">
      <c r="B112" s="10" t="s">
        <v>96</v>
      </c>
      <c r="C112" s="10" t="s">
        <v>195</v>
      </c>
      <c r="D112" s="10" t="s">
        <v>69</v>
      </c>
      <c r="E112" s="10" t="s">
        <v>15</v>
      </c>
      <c r="F112" s="10" t="s">
        <v>29</v>
      </c>
      <c r="G112" s="35">
        <f t="shared" si="2"/>
        <v>2.118666666666667</v>
      </c>
      <c r="H112" s="10"/>
      <c r="I112" s="35">
        <f t="shared" si="2"/>
        <v>2.893333333333333</v>
      </c>
      <c r="L112" s="10"/>
      <c r="M112" s="35">
        <f t="shared" si="1"/>
        <v>2.865333333333333</v>
      </c>
      <c r="N112" s="24">
        <v>100</v>
      </c>
      <c r="O112" s="31">
        <f t="shared" si="3"/>
        <v>2.625777777777778</v>
      </c>
    </row>
    <row r="113" spans="2:15" ht="12.75">
      <c r="B113" s="10" t="s">
        <v>105</v>
      </c>
      <c r="C113" s="10" t="s">
        <v>195</v>
      </c>
      <c r="D113" s="10" t="s">
        <v>69</v>
      </c>
      <c r="E113" s="10" t="s">
        <v>15</v>
      </c>
      <c r="F113" s="10" t="s">
        <v>29</v>
      </c>
      <c r="G113" s="35">
        <f t="shared" si="2"/>
        <v>1.0546666666666666</v>
      </c>
      <c r="H113" s="10" t="s">
        <v>29</v>
      </c>
      <c r="I113" s="35">
        <f t="shared" si="2"/>
        <v>1.036</v>
      </c>
      <c r="L113" s="10" t="s">
        <v>29</v>
      </c>
      <c r="M113" s="35">
        <f t="shared" si="1"/>
        <v>0.9986666666666667</v>
      </c>
      <c r="N113" s="24">
        <v>100</v>
      </c>
      <c r="O113" s="31">
        <f t="shared" si="3"/>
        <v>1.0297777777777777</v>
      </c>
    </row>
    <row r="114" spans="2:15" ht="12.75">
      <c r="B114" s="10" t="s">
        <v>106</v>
      </c>
      <c r="C114" s="10" t="s">
        <v>195</v>
      </c>
      <c r="D114" s="10" t="s">
        <v>69</v>
      </c>
      <c r="E114" s="10" t="s">
        <v>15</v>
      </c>
      <c r="F114" s="10" t="s">
        <v>29</v>
      </c>
      <c r="G114" s="35">
        <f t="shared" si="2"/>
        <v>6.346666666666667</v>
      </c>
      <c r="H114" s="10" t="s">
        <v>29</v>
      </c>
      <c r="I114" s="35">
        <f t="shared" si="2"/>
        <v>6.197333333333333</v>
      </c>
      <c r="L114" s="10" t="s">
        <v>29</v>
      </c>
      <c r="M114" s="35">
        <f t="shared" si="1"/>
        <v>6.001333333333333</v>
      </c>
      <c r="N114" s="24">
        <v>100</v>
      </c>
      <c r="O114" s="31">
        <f t="shared" si="3"/>
        <v>6.181777777777778</v>
      </c>
    </row>
    <row r="115" spans="2:15" ht="12.75">
      <c r="B115" s="10" t="s">
        <v>103</v>
      </c>
      <c r="C115" s="10" t="s">
        <v>195</v>
      </c>
      <c r="D115" s="10" t="s">
        <v>69</v>
      </c>
      <c r="E115" s="10" t="s">
        <v>15</v>
      </c>
      <c r="F115" s="10" t="s">
        <v>29</v>
      </c>
      <c r="G115" s="35">
        <f t="shared" si="2"/>
        <v>1.0546666666666666</v>
      </c>
      <c r="H115" s="10"/>
      <c r="I115" s="35">
        <f t="shared" si="2"/>
        <v>1.7546666666666666</v>
      </c>
      <c r="L115" s="10"/>
      <c r="M115" s="35">
        <f t="shared" si="1"/>
        <v>1.036</v>
      </c>
      <c r="O115" s="31">
        <f t="shared" si="3"/>
        <v>1.2817777777777777</v>
      </c>
    </row>
    <row r="116" spans="2:15" ht="12.75">
      <c r="B116" s="10" t="s">
        <v>104</v>
      </c>
      <c r="C116" s="10" t="s">
        <v>195</v>
      </c>
      <c r="D116" s="10" t="s">
        <v>69</v>
      </c>
      <c r="E116" s="10" t="s">
        <v>15</v>
      </c>
      <c r="F116" s="10" t="s">
        <v>29</v>
      </c>
      <c r="G116" s="35">
        <f t="shared" si="2"/>
        <v>6.346666666666667</v>
      </c>
      <c r="H116" s="10" t="s">
        <v>29</v>
      </c>
      <c r="I116" s="35">
        <f t="shared" si="2"/>
        <v>6.197333333333333</v>
      </c>
      <c r="L116" s="10" t="s">
        <v>29</v>
      </c>
      <c r="M116" s="35">
        <f t="shared" si="1"/>
        <v>6.001333333333333</v>
      </c>
      <c r="O116" s="31">
        <f t="shared" si="3"/>
        <v>6.181777777777778</v>
      </c>
    </row>
    <row r="117" spans="2:15" ht="12.75">
      <c r="B117" s="10" t="s">
        <v>70</v>
      </c>
      <c r="C117" s="10" t="s">
        <v>195</v>
      </c>
      <c r="D117" s="10" t="s">
        <v>69</v>
      </c>
      <c r="E117" s="10" t="s">
        <v>15</v>
      </c>
      <c r="F117" s="10">
        <v>100</v>
      </c>
      <c r="G117" s="35">
        <f>(G112+G107)</f>
        <v>2.3333333333333335</v>
      </c>
      <c r="H117" s="10">
        <v>100</v>
      </c>
      <c r="I117" s="35">
        <f>(I112+I107)</f>
        <v>3.0986666666666665</v>
      </c>
      <c r="L117" s="10">
        <v>100</v>
      </c>
      <c r="M117" s="35">
        <f>(M112+M107)</f>
        <v>3.201333333333333</v>
      </c>
      <c r="N117" s="10">
        <v>100</v>
      </c>
      <c r="O117" s="31">
        <f>AVERAGE(G117,I117,K117,M117)</f>
        <v>2.8777777777777778</v>
      </c>
    </row>
    <row r="118" spans="2:15" ht="12.75">
      <c r="B118" s="10" t="s">
        <v>71</v>
      </c>
      <c r="C118" s="10" t="s">
        <v>195</v>
      </c>
      <c r="D118" s="10" t="s">
        <v>69</v>
      </c>
      <c r="E118" s="10" t="s">
        <v>15</v>
      </c>
      <c r="F118" s="10">
        <v>100</v>
      </c>
      <c r="G118" s="35">
        <f>G108+G106+G105</f>
        <v>1.8946666666666667</v>
      </c>
      <c r="H118" s="10">
        <f>(I105+I106)/I118*100</f>
        <v>17.96759941089838</v>
      </c>
      <c r="I118" s="35">
        <f>I108+I106+I105</f>
        <v>6.3373333333333335</v>
      </c>
      <c r="L118" s="10">
        <v>100</v>
      </c>
      <c r="M118" s="35">
        <f>M108+M106+M105</f>
        <v>4.228</v>
      </c>
      <c r="N118" s="10">
        <f>(F118*G118+H118*I118+L118*M118)/(3*O118)</f>
        <v>58.27715355805243</v>
      </c>
      <c r="O118" s="31">
        <f>AVERAGE(G118,I118,K118,M118)</f>
        <v>4.153333333333333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80"/>
  <sheetViews>
    <sheetView workbookViewId="0" topLeftCell="B29">
      <pane ySplit="1575" topLeftCell="BM1" activePane="bottomLeft" state="split"/>
      <selection pane="topLeft" activeCell="B29" sqref="A1:IV16384"/>
      <selection pane="bottomLeft" activeCell="F21" sqref="F21"/>
    </sheetView>
  </sheetViews>
  <sheetFormatPr defaultColWidth="9.140625" defaultRowHeight="12.75"/>
  <cols>
    <col min="1" max="1" width="4.28125" style="39" hidden="1" customWidth="1"/>
    <col min="2" max="2" width="20.140625" style="14" customWidth="1"/>
    <col min="3" max="3" width="4.140625" style="14" customWidth="1"/>
    <col min="4" max="4" width="9.28125" style="14" customWidth="1"/>
    <col min="5" max="5" width="4.57421875" style="39" customWidth="1"/>
    <col min="6" max="6" width="9.8515625" style="40" customWidth="1"/>
    <col min="7" max="7" width="3.7109375" style="41" customWidth="1"/>
    <col min="8" max="8" width="9.00390625" style="39" customWidth="1"/>
    <col min="9" max="9" width="4.28125" style="39" customWidth="1"/>
    <col min="10" max="10" width="9.00390625" style="39" customWidth="1"/>
    <col min="11" max="11" width="4.57421875" style="39" customWidth="1"/>
    <col min="12" max="12" width="9.8515625" style="39" customWidth="1"/>
    <col min="13" max="13" width="4.421875" style="39" customWidth="1"/>
    <col min="14" max="14" width="9.421875" style="39" customWidth="1"/>
    <col min="15" max="15" width="1.57421875" style="39" customWidth="1"/>
    <col min="16" max="16" width="10.57421875" style="39" customWidth="1"/>
    <col min="17" max="17" width="2.57421875" style="39" customWidth="1"/>
    <col min="18" max="18" width="10.00390625" style="39" customWidth="1"/>
    <col min="19" max="19" width="2.00390625" style="39" customWidth="1"/>
    <col min="20" max="20" width="10.421875" style="39" bestFit="1" customWidth="1"/>
    <col min="21" max="21" width="2.28125" style="39" customWidth="1"/>
    <col min="22" max="22" width="10.28125" style="39" customWidth="1"/>
    <col min="23" max="23" width="2.140625" style="39" customWidth="1"/>
    <col min="24" max="24" width="10.57421875" style="39" customWidth="1"/>
    <col min="25" max="25" width="2.00390625" style="39" customWidth="1"/>
    <col min="26" max="26" width="8.8515625" style="39" customWidth="1"/>
    <col min="27" max="27" width="1.8515625" style="39" customWidth="1"/>
    <col min="28" max="28" width="8.8515625" style="39" customWidth="1"/>
    <col min="29" max="29" width="2.28125" style="39" customWidth="1"/>
    <col min="30" max="30" width="11.140625" style="39" customWidth="1"/>
    <col min="31" max="31" width="2.421875" style="39" customWidth="1"/>
    <col min="32" max="32" width="11.140625" style="39" customWidth="1"/>
    <col min="33" max="33" width="3.421875" style="39" customWidth="1"/>
    <col min="34" max="34" width="11.140625" style="39" customWidth="1"/>
    <col min="35" max="35" width="3.8515625" style="39" customWidth="1"/>
    <col min="36" max="36" width="11.28125" style="39" customWidth="1"/>
    <col min="37" max="37" width="3.8515625" style="39" customWidth="1"/>
    <col min="38" max="38" width="11.00390625" style="39" customWidth="1"/>
    <col min="39" max="39" width="4.140625" style="39" customWidth="1"/>
    <col min="40" max="40" width="10.28125" style="39" customWidth="1"/>
    <col min="41" max="41" width="3.8515625" style="39" customWidth="1"/>
    <col min="42" max="42" width="10.28125" style="39" customWidth="1"/>
    <col min="43" max="43" width="4.28125" style="39" customWidth="1"/>
    <col min="44" max="44" width="10.57421875" style="39" customWidth="1"/>
    <col min="45" max="16384" width="8.8515625" style="39" customWidth="1"/>
  </cols>
  <sheetData>
    <row r="1" spans="2:3" ht="12.75">
      <c r="B1" s="38" t="s">
        <v>48</v>
      </c>
      <c r="C1" s="38"/>
    </row>
    <row r="4" spans="1:36" ht="12.75">
      <c r="A4" s="39" t="s">
        <v>119</v>
      </c>
      <c r="B4" s="38" t="s">
        <v>162</v>
      </c>
      <c r="C4" s="38" t="s">
        <v>118</v>
      </c>
      <c r="F4" s="41" t="s">
        <v>174</v>
      </c>
      <c r="H4" s="41" t="s">
        <v>175</v>
      </c>
      <c r="I4" s="41"/>
      <c r="J4" s="41" t="s">
        <v>176</v>
      </c>
      <c r="K4" s="41"/>
      <c r="L4" s="41" t="s">
        <v>49</v>
      </c>
      <c r="M4" s="41"/>
      <c r="N4" s="41" t="s">
        <v>174</v>
      </c>
      <c r="O4" s="41"/>
      <c r="P4" s="41" t="s">
        <v>175</v>
      </c>
      <c r="Q4" s="41"/>
      <c r="R4" s="41" t="s">
        <v>176</v>
      </c>
      <c r="S4" s="41"/>
      <c r="T4" s="41" t="s">
        <v>49</v>
      </c>
      <c r="U4" s="41"/>
      <c r="V4" s="41" t="s">
        <v>174</v>
      </c>
      <c r="W4" s="41"/>
      <c r="X4" s="41" t="s">
        <v>175</v>
      </c>
      <c r="Y4" s="41"/>
      <c r="Z4" s="41" t="s">
        <v>176</v>
      </c>
      <c r="AA4" s="41"/>
      <c r="AB4" s="41" t="s">
        <v>49</v>
      </c>
      <c r="AC4" s="41"/>
      <c r="AD4" s="41" t="s">
        <v>174</v>
      </c>
      <c r="AE4" s="41"/>
      <c r="AF4" s="41" t="s">
        <v>175</v>
      </c>
      <c r="AG4" s="41"/>
      <c r="AH4" s="41" t="s">
        <v>176</v>
      </c>
      <c r="AI4" s="41"/>
      <c r="AJ4" s="41" t="s">
        <v>49</v>
      </c>
    </row>
    <row r="5" spans="2:36" ht="12.75">
      <c r="B5" s="38"/>
      <c r="C5" s="38"/>
      <c r="F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</row>
    <row r="6" spans="2:36" ht="12.75">
      <c r="B6" s="14" t="s">
        <v>214</v>
      </c>
      <c r="C6" s="38"/>
      <c r="F6" s="41" t="s">
        <v>218</v>
      </c>
      <c r="H6" s="41" t="s">
        <v>218</v>
      </c>
      <c r="I6" s="41"/>
      <c r="J6" s="41" t="s">
        <v>218</v>
      </c>
      <c r="K6" s="41"/>
      <c r="L6" s="41" t="s">
        <v>218</v>
      </c>
      <c r="M6" s="41"/>
      <c r="N6" s="41" t="s">
        <v>219</v>
      </c>
      <c r="O6" s="41"/>
      <c r="P6" s="41" t="s">
        <v>219</v>
      </c>
      <c r="Q6" s="41"/>
      <c r="R6" s="41" t="s">
        <v>219</v>
      </c>
      <c r="S6" s="41"/>
      <c r="T6" s="41" t="s">
        <v>219</v>
      </c>
      <c r="U6" s="41"/>
      <c r="V6" s="41" t="s">
        <v>220</v>
      </c>
      <c r="W6" s="41"/>
      <c r="X6" s="41" t="s">
        <v>220</v>
      </c>
      <c r="Y6" s="41"/>
      <c r="Z6" s="41" t="s">
        <v>220</v>
      </c>
      <c r="AA6" s="41"/>
      <c r="AB6" s="41" t="s">
        <v>220</v>
      </c>
      <c r="AC6" s="41"/>
      <c r="AD6" s="41" t="s">
        <v>221</v>
      </c>
      <c r="AE6" s="41"/>
      <c r="AF6" s="41" t="s">
        <v>221</v>
      </c>
      <c r="AG6" s="41"/>
      <c r="AH6" s="41" t="s">
        <v>221</v>
      </c>
      <c r="AI6" s="41"/>
      <c r="AJ6" s="41" t="s">
        <v>221</v>
      </c>
    </row>
    <row r="7" spans="2:36" ht="12.75">
      <c r="B7" s="14" t="s">
        <v>215</v>
      </c>
      <c r="F7" s="40" t="s">
        <v>216</v>
      </c>
      <c r="H7" s="40" t="s">
        <v>216</v>
      </c>
      <c r="J7" s="40" t="s">
        <v>216</v>
      </c>
      <c r="L7" s="40" t="s">
        <v>216</v>
      </c>
      <c r="N7" s="39" t="s">
        <v>68</v>
      </c>
      <c r="O7" s="40"/>
      <c r="P7" s="39" t="s">
        <v>68</v>
      </c>
      <c r="R7" s="39" t="s">
        <v>68</v>
      </c>
      <c r="T7" s="39" t="s">
        <v>68</v>
      </c>
      <c r="V7" s="39" t="s">
        <v>217</v>
      </c>
      <c r="X7" s="39" t="s">
        <v>217</v>
      </c>
      <c r="Z7" s="39" t="s">
        <v>217</v>
      </c>
      <c r="AB7" s="39" t="s">
        <v>217</v>
      </c>
      <c r="AD7" s="39" t="s">
        <v>25</v>
      </c>
      <c r="AF7" s="39" t="s">
        <v>25</v>
      </c>
      <c r="AH7" s="39" t="s">
        <v>25</v>
      </c>
      <c r="AJ7" s="39" t="s">
        <v>25</v>
      </c>
    </row>
    <row r="8" spans="2:36" ht="12.75">
      <c r="B8" s="14" t="s">
        <v>222</v>
      </c>
      <c r="F8" s="40" t="s">
        <v>78</v>
      </c>
      <c r="H8" s="40" t="s">
        <v>78</v>
      </c>
      <c r="J8" s="40" t="s">
        <v>78</v>
      </c>
      <c r="K8" s="41"/>
      <c r="L8" s="40" t="s">
        <v>78</v>
      </c>
      <c r="N8" s="39" t="s">
        <v>68</v>
      </c>
      <c r="O8" s="40"/>
      <c r="P8" s="39" t="s">
        <v>68</v>
      </c>
      <c r="R8" s="39" t="s">
        <v>68</v>
      </c>
      <c r="T8" s="39" t="s">
        <v>68</v>
      </c>
      <c r="V8" s="39" t="s">
        <v>223</v>
      </c>
      <c r="X8" s="39" t="s">
        <v>223</v>
      </c>
      <c r="Z8" s="39" t="s">
        <v>223</v>
      </c>
      <c r="AB8" s="39" t="s">
        <v>223</v>
      </c>
      <c r="AD8" s="39" t="s">
        <v>25</v>
      </c>
      <c r="AF8" s="39" t="s">
        <v>25</v>
      </c>
      <c r="AH8" s="39" t="s">
        <v>25</v>
      </c>
      <c r="AJ8" s="39" t="s">
        <v>25</v>
      </c>
    </row>
    <row r="9" spans="2:36" ht="12.75">
      <c r="B9" s="14" t="s">
        <v>50</v>
      </c>
      <c r="F9" s="40" t="s">
        <v>132</v>
      </c>
      <c r="G9" s="40"/>
      <c r="H9" s="40" t="s">
        <v>132</v>
      </c>
      <c r="I9" s="40"/>
      <c r="J9" s="40" t="s">
        <v>132</v>
      </c>
      <c r="K9" s="40"/>
      <c r="L9" s="40" t="s">
        <v>132</v>
      </c>
      <c r="M9" s="40"/>
      <c r="N9" s="39" t="s">
        <v>68</v>
      </c>
      <c r="O9" s="40"/>
      <c r="P9" s="39" t="s">
        <v>68</v>
      </c>
      <c r="R9" s="39" t="s">
        <v>68</v>
      </c>
      <c r="T9" s="39" t="s">
        <v>68</v>
      </c>
      <c r="V9" s="39" t="s">
        <v>145</v>
      </c>
      <c r="X9" s="39" t="s">
        <v>145</v>
      </c>
      <c r="Z9" s="39" t="s">
        <v>145</v>
      </c>
      <c r="AB9" s="39" t="s">
        <v>145</v>
      </c>
      <c r="AD9" s="39" t="s">
        <v>25</v>
      </c>
      <c r="AF9" s="39" t="s">
        <v>25</v>
      </c>
      <c r="AH9" s="39" t="s">
        <v>25</v>
      </c>
      <c r="AJ9" s="39" t="s">
        <v>25</v>
      </c>
    </row>
    <row r="10" spans="2:36" ht="12.75">
      <c r="B10" s="14" t="s">
        <v>121</v>
      </c>
      <c r="D10" s="14" t="s">
        <v>58</v>
      </c>
      <c r="F10" s="16">
        <v>4567</v>
      </c>
      <c r="H10" s="39">
        <v>4549</v>
      </c>
      <c r="J10" s="39">
        <v>4516</v>
      </c>
      <c r="L10" s="43">
        <f>AVERAGE(F10,H10,J10)</f>
        <v>4544</v>
      </c>
      <c r="M10" s="43"/>
      <c r="N10" s="39">
        <v>562</v>
      </c>
      <c r="P10" s="39">
        <v>562</v>
      </c>
      <c r="R10" s="39">
        <v>562</v>
      </c>
      <c r="T10" s="43">
        <f>AVERAGE(N10,P10,R10)</f>
        <v>562</v>
      </c>
      <c r="AD10" s="43">
        <f>SUM(V10,N10,F10)</f>
        <v>5129</v>
      </c>
      <c r="AF10" s="43">
        <f>SUM(X10,P10,H10)</f>
        <v>5111</v>
      </c>
      <c r="AH10" s="43">
        <f>SUM(Z10,R10,J10)</f>
        <v>5078</v>
      </c>
      <c r="AJ10" s="43">
        <f>SUM(AB10,T10,L10)</f>
        <v>5106</v>
      </c>
    </row>
    <row r="11" spans="2:28" ht="12.75">
      <c r="B11" s="14" t="s">
        <v>121</v>
      </c>
      <c r="D11" s="14" t="s">
        <v>64</v>
      </c>
      <c r="F11" s="42"/>
      <c r="L11" s="43"/>
      <c r="M11" s="43"/>
      <c r="V11" s="39">
        <v>2.1</v>
      </c>
      <c r="X11" s="39">
        <v>2.07</v>
      </c>
      <c r="Z11" s="39">
        <v>2</v>
      </c>
      <c r="AB11" s="43">
        <f>AVERAGE(V11,X11,Z11)</f>
        <v>2.0566666666666666</v>
      </c>
    </row>
    <row r="12" spans="2:13" ht="12.75">
      <c r="B12" s="14" t="s">
        <v>120</v>
      </c>
      <c r="D12" s="14" t="s">
        <v>66</v>
      </c>
      <c r="F12" s="42"/>
      <c r="H12" s="43"/>
      <c r="I12" s="43"/>
      <c r="L12" s="43"/>
      <c r="M12" s="43"/>
    </row>
    <row r="13" spans="2:12" ht="12.75">
      <c r="B13" s="14" t="s">
        <v>51</v>
      </c>
      <c r="D13" s="14" t="s">
        <v>52</v>
      </c>
      <c r="F13" s="15">
        <v>851</v>
      </c>
      <c r="H13" s="39">
        <v>760</v>
      </c>
      <c r="J13" s="39">
        <v>755</v>
      </c>
      <c r="L13" s="43">
        <f>AVERAGE(F13,H13,J13)</f>
        <v>788.6666666666666</v>
      </c>
    </row>
    <row r="14" spans="2:26" ht="12.75">
      <c r="B14" s="14" t="s">
        <v>59</v>
      </c>
      <c r="D14" s="14" t="s">
        <v>163</v>
      </c>
      <c r="F14" s="40">
        <v>1.014</v>
      </c>
      <c r="H14" s="39">
        <v>1.01</v>
      </c>
      <c r="J14" s="24">
        <v>1.014</v>
      </c>
      <c r="V14" s="39">
        <v>0.965</v>
      </c>
      <c r="X14" s="39">
        <v>0.965</v>
      </c>
      <c r="Z14" s="39">
        <v>0.965</v>
      </c>
    </row>
    <row r="15" spans="2:10" ht="12.75">
      <c r="B15" s="14" t="s">
        <v>164</v>
      </c>
      <c r="D15" s="14" t="s">
        <v>165</v>
      </c>
      <c r="F15" s="40">
        <v>1.22</v>
      </c>
      <c r="H15" s="39">
        <v>1.219</v>
      </c>
      <c r="J15" s="24">
        <v>1.22</v>
      </c>
    </row>
    <row r="16" spans="2:28" ht="12.75">
      <c r="B16" s="14" t="s">
        <v>53</v>
      </c>
      <c r="D16" s="14" t="s">
        <v>18</v>
      </c>
      <c r="E16" s="41"/>
      <c r="F16" s="15">
        <v>3.87</v>
      </c>
      <c r="H16" s="15">
        <v>3.89</v>
      </c>
      <c r="I16" s="15"/>
      <c r="J16" s="40">
        <v>3.86</v>
      </c>
      <c r="K16" s="40"/>
      <c r="L16" s="43">
        <f>AVERAGE(F16,H16,J16)</f>
        <v>3.873333333333333</v>
      </c>
      <c r="M16" s="40"/>
      <c r="N16" s="40"/>
      <c r="O16" s="40"/>
      <c r="V16" s="39">
        <v>0.0062</v>
      </c>
      <c r="X16" s="39">
        <v>0.0062</v>
      </c>
      <c r="Z16" s="39">
        <v>0.0062</v>
      </c>
      <c r="AB16" s="43">
        <f>AVERAGE(V16,X16,Z16)</f>
        <v>0.0062</v>
      </c>
    </row>
    <row r="17" spans="2:20" ht="12.75">
      <c r="B17" s="14" t="s">
        <v>54</v>
      </c>
      <c r="D17" s="14" t="s">
        <v>58</v>
      </c>
      <c r="E17" s="41"/>
      <c r="F17" s="16">
        <v>106.7</v>
      </c>
      <c r="H17" s="40">
        <v>110.6</v>
      </c>
      <c r="I17" s="40"/>
      <c r="J17" s="40">
        <v>108</v>
      </c>
      <c r="K17" s="40"/>
      <c r="L17" s="43">
        <f>AVERAGE(F17,H17,J17)</f>
        <v>108.43333333333334</v>
      </c>
      <c r="M17" s="40"/>
      <c r="N17" s="40">
        <v>462.4</v>
      </c>
      <c r="O17" s="40"/>
      <c r="P17" s="39">
        <v>460</v>
      </c>
      <c r="R17" s="39">
        <v>472.3</v>
      </c>
      <c r="T17" s="39">
        <v>472.3</v>
      </c>
    </row>
    <row r="18" spans="5:11" ht="12.75">
      <c r="E18" s="41"/>
      <c r="H18" s="40"/>
      <c r="I18" s="40"/>
      <c r="J18" s="41"/>
      <c r="K18" s="41"/>
    </row>
    <row r="19" spans="2:28" ht="12.75">
      <c r="B19" s="14" t="s">
        <v>75</v>
      </c>
      <c r="D19" s="14" t="s">
        <v>17</v>
      </c>
      <c r="E19" s="41"/>
      <c r="F19" s="34">
        <f>emiss!$G$30</f>
        <v>6561</v>
      </c>
      <c r="H19" s="34">
        <f>emiss!$I$30</f>
        <v>6369</v>
      </c>
      <c r="I19" s="40"/>
      <c r="J19" s="34">
        <f>emiss!$K$30</f>
        <v>6426</v>
      </c>
      <c r="K19" s="41"/>
      <c r="L19" s="34">
        <f>emiss!$M$30</f>
        <v>6452</v>
      </c>
      <c r="N19" s="34">
        <f>emiss!$G$30</f>
        <v>6561</v>
      </c>
      <c r="O19" s="41"/>
      <c r="P19" s="34">
        <f>emiss!$I$30</f>
        <v>6369</v>
      </c>
      <c r="Q19" s="40"/>
      <c r="R19" s="34">
        <f>emiss!$K$30</f>
        <v>6426</v>
      </c>
      <c r="S19" s="41"/>
      <c r="T19" s="34">
        <f>emiss!$M$30</f>
        <v>6452</v>
      </c>
      <c r="V19" s="34">
        <f>emiss!$G$30</f>
        <v>6561</v>
      </c>
      <c r="W19" s="41"/>
      <c r="X19" s="34">
        <f>emiss!$I$30</f>
        <v>6369</v>
      </c>
      <c r="Y19" s="40"/>
      <c r="Z19" s="34">
        <f>emiss!$K$30</f>
        <v>6426</v>
      </c>
      <c r="AA19" s="41"/>
      <c r="AB19" s="34">
        <f>emiss!$M$30</f>
        <v>6452</v>
      </c>
    </row>
    <row r="20" spans="2:28" ht="12.75">
      <c r="B20" s="14" t="s">
        <v>76</v>
      </c>
      <c r="D20" s="14" t="s">
        <v>18</v>
      </c>
      <c r="E20" s="41"/>
      <c r="F20" s="34">
        <f>emiss!$G$31</f>
        <v>6.8</v>
      </c>
      <c r="H20" s="34">
        <f>emiss!$I$31</f>
        <v>6.8</v>
      </c>
      <c r="I20" s="40"/>
      <c r="J20" s="34">
        <f>emiss!$K$31</f>
        <v>7</v>
      </c>
      <c r="K20" s="41"/>
      <c r="L20" s="34">
        <f>emiss!$M$31</f>
        <v>6.866666666666667</v>
      </c>
      <c r="N20" s="34">
        <f>emiss!$G$31</f>
        <v>6.8</v>
      </c>
      <c r="O20" s="41"/>
      <c r="P20" s="34">
        <f>emiss!$I$31</f>
        <v>6.8</v>
      </c>
      <c r="Q20" s="40"/>
      <c r="R20" s="34">
        <f>emiss!$K$31</f>
        <v>7</v>
      </c>
      <c r="S20" s="41"/>
      <c r="T20" s="34">
        <f>emiss!$M$31</f>
        <v>6.866666666666667</v>
      </c>
      <c r="V20" s="34">
        <f>emiss!$G$31</f>
        <v>6.8</v>
      </c>
      <c r="W20" s="41"/>
      <c r="X20" s="34">
        <f>emiss!$I$31</f>
        <v>6.8</v>
      </c>
      <c r="Y20" s="40"/>
      <c r="Z20" s="34">
        <f>emiss!$K$31</f>
        <v>7</v>
      </c>
      <c r="AA20" s="41"/>
      <c r="AB20" s="34">
        <f>emiss!$M$31</f>
        <v>6.866666666666667</v>
      </c>
    </row>
    <row r="21" spans="5:11" ht="12.75">
      <c r="E21" s="41"/>
      <c r="H21" s="40"/>
      <c r="I21" s="40"/>
      <c r="J21" s="41"/>
      <c r="K21" s="41"/>
    </row>
    <row r="22" spans="2:36" ht="12.75">
      <c r="B22" s="14" t="s">
        <v>120</v>
      </c>
      <c r="D22" s="14" t="s">
        <v>67</v>
      </c>
      <c r="E22" s="41"/>
      <c r="F22" s="15">
        <f>F10*F13/1000000</f>
        <v>3.886517</v>
      </c>
      <c r="G22" s="17"/>
      <c r="H22" s="15">
        <f>H10*H13/1000000</f>
        <v>3.45724</v>
      </c>
      <c r="I22" s="15"/>
      <c r="J22" s="15">
        <f>J10*J13/1000000</f>
        <v>3.40958</v>
      </c>
      <c r="K22" s="41"/>
      <c r="L22" s="15">
        <f>L10*L13/1000000</f>
        <v>3.583701333333333</v>
      </c>
      <c r="P22" s="43"/>
      <c r="AD22" s="43">
        <f>SUM(V22,N22,F22)</f>
        <v>3.886517</v>
      </c>
      <c r="AF22" s="43">
        <f>SUM(X22,P22,H22)</f>
        <v>3.45724</v>
      </c>
      <c r="AH22" s="43">
        <f>SUM(Z22,R22,J22)</f>
        <v>3.40958</v>
      </c>
      <c r="AJ22" s="43">
        <f>SUM(AB22,T22,L22)</f>
        <v>3.583701333333333</v>
      </c>
    </row>
    <row r="23" spans="2:36" ht="12.75">
      <c r="B23" s="14" t="s">
        <v>224</v>
      </c>
      <c r="D23" s="14" t="s">
        <v>67</v>
      </c>
      <c r="E23" s="41"/>
      <c r="F23" s="43">
        <f>$F$19/9000*(21-$F$20)/21*60</f>
        <v>29.576571428571423</v>
      </c>
      <c r="G23" s="17"/>
      <c r="H23" s="43">
        <f>$F$19/9000*(21-$F$20)/21*60</f>
        <v>29.576571428571423</v>
      </c>
      <c r="I23" s="15"/>
      <c r="J23" s="43">
        <f>$F$19/9000*(21-$F$20)/21*60</f>
        <v>29.576571428571423</v>
      </c>
      <c r="K23" s="41"/>
      <c r="L23" s="43">
        <f>$F$19/9000*(21-$F$20)/21*60</f>
        <v>29.576571428571423</v>
      </c>
      <c r="P23" s="15"/>
      <c r="AD23" s="43">
        <f>SUM(V23,N23,F23)</f>
        <v>29.576571428571423</v>
      </c>
      <c r="AF23" s="43">
        <f>SUM(X23,P23,H23)</f>
        <v>29.576571428571423</v>
      </c>
      <c r="AH23" s="43">
        <f>SUM(Z23,R23,J23)</f>
        <v>29.576571428571423</v>
      </c>
      <c r="AJ23" s="43">
        <f>SUM(AB23,T23,L23)</f>
        <v>29.576571428571423</v>
      </c>
    </row>
    <row r="24" spans="5:16" ht="12.75">
      <c r="E24" s="41"/>
      <c r="F24" s="39"/>
      <c r="G24" s="17"/>
      <c r="H24" s="15"/>
      <c r="I24" s="15"/>
      <c r="J24" s="41"/>
      <c r="K24" s="41"/>
      <c r="P24" s="15"/>
    </row>
    <row r="25" spans="2:16" ht="12.75">
      <c r="B25" s="60" t="s">
        <v>90</v>
      </c>
      <c r="C25" s="60"/>
      <c r="E25" s="41"/>
      <c r="F25" s="39"/>
      <c r="G25" s="17"/>
      <c r="H25" s="15"/>
      <c r="I25" s="15"/>
      <c r="J25" s="41"/>
      <c r="K25" s="41"/>
      <c r="P25" s="15"/>
    </row>
    <row r="26" spans="2:44" ht="12.75">
      <c r="B26" s="14" t="s">
        <v>53</v>
      </c>
      <c r="D26" s="14" t="s">
        <v>77</v>
      </c>
      <c r="E26" s="41"/>
      <c r="F26" s="15">
        <f>F10*F16/100*454/60/0.0283/F$19*(21-7)/(21-F$20)*1000</f>
        <v>7101.16815973533</v>
      </c>
      <c r="G26" s="17"/>
      <c r="H26" s="15">
        <f>H10*H16/100*454/60/0.0283/H$19*(21-7)/(21-H$20)*1000</f>
        <v>7324.064284413427</v>
      </c>
      <c r="I26" s="15"/>
      <c r="J26" s="15">
        <f>J10*J16/100*454/60/0.0283/J$19*(21-7)/(21-J$20)*1000</f>
        <v>7253.016804156553</v>
      </c>
      <c r="K26" s="41"/>
      <c r="L26" s="43">
        <f>AVERAGE(F26,H26,J26)</f>
        <v>7226.083082768437</v>
      </c>
      <c r="N26" s="15"/>
      <c r="O26" s="15"/>
      <c r="V26" s="43">
        <f>V11*V14*10^6/264.17*V16/100/0.0283/V$19*(21-7)/(21-V$20)*1000</f>
        <v>2.5254456085976194</v>
      </c>
      <c r="X26" s="43">
        <f>X11*X14*10^6/264.17*X16/100/0.0283/X$19*(21-7)/(21-X$20)*1000</f>
        <v>2.564412345563599</v>
      </c>
      <c r="Z26" s="43">
        <f>Z11*Z14*10^6/264.17*Z16/100/0.0283/Z$19*(21-7)/(21-Z$20)*1000</f>
        <v>2.490797066548603</v>
      </c>
      <c r="AB26" s="43">
        <f>AVERAGE(V26,X26,Z26)</f>
        <v>2.5268850069032736</v>
      </c>
      <c r="AJ26" s="43">
        <f>SUM(V26,N26,F26)</f>
        <v>7103.693605343928</v>
      </c>
      <c r="AL26" s="43">
        <f>SUM(X26,P26,H26)</f>
        <v>7326.628696758991</v>
      </c>
      <c r="AN26" s="43">
        <f>SUM(Z26,R26,J26)</f>
        <v>7255.507601223102</v>
      </c>
      <c r="AP26" s="43">
        <f>SUM(AB26,T26,L26)</f>
        <v>7228.60996777534</v>
      </c>
      <c r="AR26" s="43">
        <f>AVERAGE(AJ26,AL26,AN26,AP26)</f>
        <v>7228.60996777534</v>
      </c>
    </row>
    <row r="27" spans="2:44" ht="12.75">
      <c r="B27" s="14" t="s">
        <v>54</v>
      </c>
      <c r="D27" s="14" t="s">
        <v>69</v>
      </c>
      <c r="E27" s="41"/>
      <c r="F27" s="16">
        <f>F17*454/F$19/60/0.0283*(21-7)/(21-F$20)*1000000</f>
        <v>4286987.724224056</v>
      </c>
      <c r="G27" s="18"/>
      <c r="H27" s="16">
        <f>H17*454/H$19/60/0.0283*(21-7)/(21-H$20)*1000000</f>
        <v>4577641.063835183</v>
      </c>
      <c r="I27" s="16"/>
      <c r="J27" s="16">
        <f>J17*454/J$19/60/0.0283*(21-7)/(21-J$20)*1000000</f>
        <v>4493670.259623284</v>
      </c>
      <c r="K27" s="16"/>
      <c r="L27" s="43">
        <f>AVERAGE(F27,H27,J27)</f>
        <v>4452766.349227508</v>
      </c>
      <c r="N27" s="16">
        <f>N17*454/N$19/60/0.0283*(21-7)/(21-N$20)*1000000</f>
        <v>18578286.07011436</v>
      </c>
      <c r="O27" s="18"/>
      <c r="P27" s="16">
        <f>P17*454/P$19/60/0.0283*(21-7)/(21-P$20)*1000000</f>
        <v>19039013.466222282</v>
      </c>
      <c r="Q27" s="16"/>
      <c r="R27" s="16">
        <f>R17*454/R$19/60/0.0283*(21-7)/(21-R$20)*1000000</f>
        <v>19651485.774259973</v>
      </c>
      <c r="S27" s="16"/>
      <c r="T27" s="43">
        <f>AVERAGE(N27,P27,R27)</f>
        <v>19089595.103532206</v>
      </c>
      <c r="AJ27" s="43">
        <f>SUM(V27,N27,F27)</f>
        <v>22865273.794338416</v>
      </c>
      <c r="AL27" s="43">
        <f>SUM(X27,P27,H27)</f>
        <v>23616654.530057468</v>
      </c>
      <c r="AN27" s="43">
        <f>SUM(Z27,R27,J27)</f>
        <v>24145156.03388326</v>
      </c>
      <c r="AP27" s="43">
        <f>SUM(AB27,T27,L27)</f>
        <v>23542361.452759713</v>
      </c>
      <c r="AR27" s="43">
        <f>AVERAGE(AJ27,AL27,AN27,AP27)</f>
        <v>23542361.452759713</v>
      </c>
    </row>
    <row r="29" spans="1:44" ht="12.75">
      <c r="A29" s="39" t="s">
        <v>119</v>
      </c>
      <c r="B29" s="38" t="s">
        <v>154</v>
      </c>
      <c r="C29" s="38" t="s">
        <v>118</v>
      </c>
      <c r="F29" s="41" t="s">
        <v>174</v>
      </c>
      <c r="H29" s="41" t="s">
        <v>175</v>
      </c>
      <c r="I29" s="41"/>
      <c r="J29" s="41" t="s">
        <v>176</v>
      </c>
      <c r="K29" s="41"/>
      <c r="L29" s="41" t="s">
        <v>193</v>
      </c>
      <c r="M29" s="41"/>
      <c r="N29" s="41" t="s">
        <v>49</v>
      </c>
      <c r="O29" s="41"/>
      <c r="P29" s="41" t="s">
        <v>174</v>
      </c>
      <c r="Q29" s="41"/>
      <c r="R29" s="41" t="s">
        <v>175</v>
      </c>
      <c r="S29" s="41"/>
      <c r="T29" s="41" t="s">
        <v>176</v>
      </c>
      <c r="U29" s="41"/>
      <c r="V29" s="41" t="s">
        <v>193</v>
      </c>
      <c r="W29" s="41"/>
      <c r="X29" s="41" t="s">
        <v>49</v>
      </c>
      <c r="Y29" s="41"/>
      <c r="Z29" s="41" t="s">
        <v>174</v>
      </c>
      <c r="AA29" s="41"/>
      <c r="AB29" s="41" t="s">
        <v>175</v>
      </c>
      <c r="AC29" s="41"/>
      <c r="AD29" s="41" t="s">
        <v>176</v>
      </c>
      <c r="AE29" s="41"/>
      <c r="AF29" s="41" t="s">
        <v>193</v>
      </c>
      <c r="AG29" s="41"/>
      <c r="AH29" s="41" t="s">
        <v>49</v>
      </c>
      <c r="AI29" s="41"/>
      <c r="AJ29" s="41" t="s">
        <v>174</v>
      </c>
      <c r="AK29" s="41"/>
      <c r="AL29" s="41" t="s">
        <v>175</v>
      </c>
      <c r="AM29" s="41"/>
      <c r="AN29" s="41" t="s">
        <v>176</v>
      </c>
      <c r="AO29" s="41"/>
      <c r="AP29" s="41" t="s">
        <v>193</v>
      </c>
      <c r="AQ29" s="41"/>
      <c r="AR29" s="41" t="s">
        <v>49</v>
      </c>
    </row>
    <row r="30" spans="2:44" ht="12.75">
      <c r="B30" s="38"/>
      <c r="C30" s="38"/>
      <c r="F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</row>
    <row r="31" spans="2:44" ht="12.75">
      <c r="B31" s="14" t="s">
        <v>214</v>
      </c>
      <c r="C31" s="38"/>
      <c r="F31" s="41" t="s">
        <v>218</v>
      </c>
      <c r="H31" s="41" t="s">
        <v>218</v>
      </c>
      <c r="I31" s="41"/>
      <c r="J31" s="41" t="s">
        <v>218</v>
      </c>
      <c r="K31" s="41"/>
      <c r="L31" s="41" t="s">
        <v>218</v>
      </c>
      <c r="M31" s="41"/>
      <c r="N31" s="41" t="s">
        <v>218</v>
      </c>
      <c r="O31" s="41"/>
      <c r="P31" s="41" t="s">
        <v>219</v>
      </c>
      <c r="Q31" s="41"/>
      <c r="R31" s="41" t="s">
        <v>219</v>
      </c>
      <c r="S31" s="41"/>
      <c r="T31" s="41" t="s">
        <v>219</v>
      </c>
      <c r="U31" s="41"/>
      <c r="V31" s="41" t="s">
        <v>219</v>
      </c>
      <c r="W31" s="41"/>
      <c r="X31" s="41" t="s">
        <v>219</v>
      </c>
      <c r="Y31" s="41"/>
      <c r="Z31" s="41" t="s">
        <v>220</v>
      </c>
      <c r="AA31" s="41"/>
      <c r="AB31" s="41" t="s">
        <v>220</v>
      </c>
      <c r="AC31" s="41"/>
      <c r="AD31" s="41" t="s">
        <v>220</v>
      </c>
      <c r="AE31" s="41"/>
      <c r="AF31" s="41" t="s">
        <v>220</v>
      </c>
      <c r="AG31" s="41"/>
      <c r="AH31" s="41" t="s">
        <v>220</v>
      </c>
      <c r="AI31" s="41"/>
      <c r="AJ31" s="41" t="s">
        <v>221</v>
      </c>
      <c r="AK31" s="41"/>
      <c r="AL31" s="41" t="s">
        <v>221</v>
      </c>
      <c r="AM31" s="41"/>
      <c r="AN31" s="41" t="s">
        <v>221</v>
      </c>
      <c r="AO31" s="41"/>
      <c r="AP31" s="41" t="s">
        <v>221</v>
      </c>
      <c r="AQ31" s="41"/>
      <c r="AR31" s="41" t="s">
        <v>221</v>
      </c>
    </row>
    <row r="32" spans="2:44" ht="12.75">
      <c r="B32" s="14" t="s">
        <v>215</v>
      </c>
      <c r="F32" s="40" t="s">
        <v>216</v>
      </c>
      <c r="H32" s="40" t="s">
        <v>216</v>
      </c>
      <c r="J32" s="40" t="s">
        <v>216</v>
      </c>
      <c r="L32" s="40" t="s">
        <v>216</v>
      </c>
      <c r="N32" s="40" t="s">
        <v>216</v>
      </c>
      <c r="P32" s="39" t="s">
        <v>68</v>
      </c>
      <c r="Q32" s="40"/>
      <c r="R32" s="39" t="s">
        <v>68</v>
      </c>
      <c r="T32" s="39" t="s">
        <v>68</v>
      </c>
      <c r="V32" s="39" t="s">
        <v>68</v>
      </c>
      <c r="X32" s="39" t="s">
        <v>68</v>
      </c>
      <c r="Z32" s="39" t="s">
        <v>217</v>
      </c>
      <c r="AB32" s="39" t="s">
        <v>217</v>
      </c>
      <c r="AD32" s="39" t="s">
        <v>217</v>
      </c>
      <c r="AF32" s="39" t="s">
        <v>217</v>
      </c>
      <c r="AH32" s="39" t="s">
        <v>217</v>
      </c>
      <c r="AJ32" s="39" t="s">
        <v>25</v>
      </c>
      <c r="AL32" s="39" t="s">
        <v>25</v>
      </c>
      <c r="AN32" s="39" t="s">
        <v>25</v>
      </c>
      <c r="AP32" s="39" t="s">
        <v>25</v>
      </c>
      <c r="AR32" s="39" t="s">
        <v>25</v>
      </c>
    </row>
    <row r="33" spans="2:44" ht="12.75">
      <c r="B33" s="14" t="s">
        <v>222</v>
      </c>
      <c r="F33" s="40" t="s">
        <v>78</v>
      </c>
      <c r="H33" s="40" t="s">
        <v>78</v>
      </c>
      <c r="J33" s="40" t="s">
        <v>78</v>
      </c>
      <c r="K33" s="41"/>
      <c r="L33" s="40" t="s">
        <v>78</v>
      </c>
      <c r="N33" s="39" t="s">
        <v>78</v>
      </c>
      <c r="P33" s="39" t="s">
        <v>68</v>
      </c>
      <c r="Q33" s="40"/>
      <c r="R33" s="39" t="s">
        <v>68</v>
      </c>
      <c r="T33" s="39" t="s">
        <v>68</v>
      </c>
      <c r="V33" s="39" t="s">
        <v>68</v>
      </c>
      <c r="X33" s="39" t="s">
        <v>68</v>
      </c>
      <c r="Z33" s="39" t="s">
        <v>223</v>
      </c>
      <c r="AB33" s="39" t="s">
        <v>223</v>
      </c>
      <c r="AD33" s="39" t="s">
        <v>223</v>
      </c>
      <c r="AF33" s="39" t="s">
        <v>223</v>
      </c>
      <c r="AH33" s="39" t="s">
        <v>223</v>
      </c>
      <c r="AJ33" s="39" t="s">
        <v>25</v>
      </c>
      <c r="AL33" s="39" t="s">
        <v>25</v>
      </c>
      <c r="AN33" s="39" t="s">
        <v>25</v>
      </c>
      <c r="AP33" s="39" t="s">
        <v>25</v>
      </c>
      <c r="AR33" s="39" t="s">
        <v>25</v>
      </c>
    </row>
    <row r="34" spans="2:44" ht="12.75">
      <c r="B34" s="14" t="s">
        <v>50</v>
      </c>
      <c r="F34" s="40" t="s">
        <v>132</v>
      </c>
      <c r="G34" s="40"/>
      <c r="H34" s="40" t="s">
        <v>132</v>
      </c>
      <c r="I34" s="40"/>
      <c r="J34" s="40" t="s">
        <v>132</v>
      </c>
      <c r="L34" s="40" t="s">
        <v>132</v>
      </c>
      <c r="M34" s="40"/>
      <c r="N34" s="40" t="s">
        <v>132</v>
      </c>
      <c r="O34" s="40"/>
      <c r="P34" s="39" t="s">
        <v>68</v>
      </c>
      <c r="Q34" s="40"/>
      <c r="R34" s="39" t="s">
        <v>68</v>
      </c>
      <c r="T34" s="39" t="s">
        <v>68</v>
      </c>
      <c r="V34" s="39" t="s">
        <v>68</v>
      </c>
      <c r="X34" s="39" t="s">
        <v>68</v>
      </c>
      <c r="Z34" s="39" t="s">
        <v>145</v>
      </c>
      <c r="AB34" s="39" t="s">
        <v>145</v>
      </c>
      <c r="AD34" s="39" t="s">
        <v>145</v>
      </c>
      <c r="AF34" s="39" t="s">
        <v>145</v>
      </c>
      <c r="AH34" s="39" t="s">
        <v>145</v>
      </c>
      <c r="AJ34" s="39" t="s">
        <v>25</v>
      </c>
      <c r="AL34" s="39" t="s">
        <v>25</v>
      </c>
      <c r="AN34" s="39" t="s">
        <v>25</v>
      </c>
      <c r="AP34" s="39" t="s">
        <v>25</v>
      </c>
      <c r="AR34" s="39" t="s">
        <v>25</v>
      </c>
    </row>
    <row r="35" spans="2:42" ht="12.75">
      <c r="B35" s="14" t="s">
        <v>121</v>
      </c>
      <c r="D35" s="14" t="s">
        <v>58</v>
      </c>
      <c r="F35" s="16">
        <v>4458</v>
      </c>
      <c r="H35" s="39">
        <v>4313</v>
      </c>
      <c r="J35" s="39">
        <v>4489</v>
      </c>
      <c r="L35" s="39">
        <v>4520</v>
      </c>
      <c r="N35" s="43">
        <f>AVERAGE(F35,H35,J35,L35)</f>
        <v>4445</v>
      </c>
      <c r="O35" s="43"/>
      <c r="P35" s="39">
        <v>562</v>
      </c>
      <c r="R35" s="39">
        <v>562</v>
      </c>
      <c r="T35" s="39">
        <v>561</v>
      </c>
      <c r="V35" s="39">
        <v>562</v>
      </c>
      <c r="X35" s="43">
        <f>AVERAGE(P35,R35,T35,V35)</f>
        <v>561.75</v>
      </c>
      <c r="Z35" s="65"/>
      <c r="AJ35" s="55">
        <f>SUM(AB35,R35,H35)</f>
        <v>4875</v>
      </c>
      <c r="AK35" s="55"/>
      <c r="AL35" s="55">
        <f>SUM(AD35,T35,J35)</f>
        <v>5050</v>
      </c>
      <c r="AM35" s="55"/>
      <c r="AN35" s="55">
        <f>SUM(AF35,V35,L35)</f>
        <v>5082</v>
      </c>
      <c r="AO35" s="55"/>
      <c r="AP35" s="55">
        <f>SUM(AH35,X35,N35)</f>
        <v>5006.75</v>
      </c>
    </row>
    <row r="36" spans="2:42" ht="12.75">
      <c r="B36" s="14" t="s">
        <v>121</v>
      </c>
      <c r="D36" s="14" t="s">
        <v>64</v>
      </c>
      <c r="F36" s="42"/>
      <c r="N36" s="43"/>
      <c r="O36" s="43"/>
      <c r="X36" s="43"/>
      <c r="Z36" s="43">
        <v>2.2</v>
      </c>
      <c r="AB36" s="39">
        <v>2.2</v>
      </c>
      <c r="AD36" s="39">
        <v>2</v>
      </c>
      <c r="AF36" s="39">
        <v>2.1</v>
      </c>
      <c r="AH36" s="43">
        <f>AVERAGE(Z36,AB36,AD36,AF36)</f>
        <v>2.125</v>
      </c>
      <c r="AJ36" s="43">
        <f>SUM(AB36,R36,H36)</f>
        <v>2.2</v>
      </c>
      <c r="AK36" s="43"/>
      <c r="AL36" s="43">
        <f>SUM(AD36,T36,J36)</f>
        <v>2</v>
      </c>
      <c r="AM36" s="43"/>
      <c r="AN36" s="43">
        <f>SUM(AF36,V36,L36)</f>
        <v>2.1</v>
      </c>
      <c r="AO36" s="43"/>
      <c r="AP36" s="43">
        <f>SUM(AH36,X36,N36)</f>
        <v>2.125</v>
      </c>
    </row>
    <row r="37" spans="2:15" ht="12.75">
      <c r="B37" s="14" t="s">
        <v>120</v>
      </c>
      <c r="D37" s="14" t="s">
        <v>66</v>
      </c>
      <c r="F37" s="42"/>
      <c r="H37" s="43"/>
      <c r="I37" s="43"/>
      <c r="N37" s="43"/>
      <c r="O37" s="43"/>
    </row>
    <row r="38" spans="2:14" ht="12.75">
      <c r="B38" s="14" t="s">
        <v>51</v>
      </c>
      <c r="D38" s="14" t="s">
        <v>52</v>
      </c>
      <c r="F38" s="15">
        <v>849</v>
      </c>
      <c r="H38" s="39">
        <v>598</v>
      </c>
      <c r="J38" s="39">
        <v>1327</v>
      </c>
      <c r="L38" s="39">
        <v>1010</v>
      </c>
      <c r="N38" s="43">
        <f>AVERAGE(F38,H38,J38,L38)</f>
        <v>946</v>
      </c>
    </row>
    <row r="39" spans="2:32" ht="12.75">
      <c r="B39" s="14" t="s">
        <v>59</v>
      </c>
      <c r="D39" s="14" t="s">
        <v>163</v>
      </c>
      <c r="F39" s="40">
        <v>1.024</v>
      </c>
      <c r="H39" s="39">
        <v>1.014</v>
      </c>
      <c r="J39" s="39">
        <v>1.008</v>
      </c>
      <c r="L39" s="24">
        <v>1.015</v>
      </c>
      <c r="P39" s="39">
        <v>1</v>
      </c>
      <c r="R39" s="39">
        <v>1</v>
      </c>
      <c r="T39" s="39">
        <v>1</v>
      </c>
      <c r="V39" s="39">
        <v>1</v>
      </c>
      <c r="Z39" s="39">
        <v>0.965</v>
      </c>
      <c r="AB39" s="39">
        <v>0.965</v>
      </c>
      <c r="AD39" s="39">
        <v>0.965</v>
      </c>
      <c r="AF39" s="39">
        <v>0.965</v>
      </c>
    </row>
    <row r="40" spans="2:12" ht="12.75">
      <c r="B40" s="14" t="s">
        <v>164</v>
      </c>
      <c r="D40" s="14" t="s">
        <v>165</v>
      </c>
      <c r="F40" s="40">
        <v>1.224</v>
      </c>
      <c r="H40" s="39">
        <v>1.223</v>
      </c>
      <c r="J40" s="39">
        <v>1.384</v>
      </c>
      <c r="L40" s="24">
        <v>1.318</v>
      </c>
    </row>
    <row r="41" spans="2:42" ht="12.75">
      <c r="B41" s="14" t="s">
        <v>53</v>
      </c>
      <c r="D41" s="14" t="s">
        <v>18</v>
      </c>
      <c r="E41" s="41"/>
      <c r="F41" s="15">
        <v>3.62</v>
      </c>
      <c r="H41" s="15">
        <v>3.5</v>
      </c>
      <c r="I41" s="15"/>
      <c r="J41" s="39">
        <v>3.46</v>
      </c>
      <c r="L41" s="40">
        <v>3.3</v>
      </c>
      <c r="M41" s="40"/>
      <c r="N41" s="43">
        <f>AVERAGE(F41,H41,J41,L41)</f>
        <v>3.4699999999999998</v>
      </c>
      <c r="O41" s="40"/>
      <c r="P41" s="40"/>
      <c r="Q41" s="40"/>
      <c r="Z41" s="39">
        <v>0.019</v>
      </c>
      <c r="AB41" s="39">
        <v>0.019</v>
      </c>
      <c r="AD41" s="39">
        <v>0.019</v>
      </c>
      <c r="AF41" s="39">
        <v>0.019</v>
      </c>
      <c r="AJ41" s="55">
        <f>SUM(AB41,R41,H41)</f>
        <v>3.519</v>
      </c>
      <c r="AK41" s="55"/>
      <c r="AL41" s="55">
        <f>SUM(AD41,T41,J41)</f>
        <v>3.479</v>
      </c>
      <c r="AM41" s="55"/>
      <c r="AN41" s="55">
        <f>SUM(AF41,V41,L41)</f>
        <v>3.319</v>
      </c>
      <c r="AO41" s="55"/>
      <c r="AP41" s="55">
        <f>SUM(AH41,X41,N41)</f>
        <v>3.4699999999999998</v>
      </c>
    </row>
    <row r="42" spans="2:42" ht="12.75">
      <c r="B42" s="14" t="s">
        <v>54</v>
      </c>
      <c r="D42" s="14" t="s">
        <v>58</v>
      </c>
      <c r="E42" s="41"/>
      <c r="F42" s="16">
        <v>109.6</v>
      </c>
      <c r="H42" s="40">
        <v>104.6</v>
      </c>
      <c r="I42" s="40"/>
      <c r="J42" s="39">
        <v>105.4</v>
      </c>
      <c r="L42" s="40">
        <v>103.3</v>
      </c>
      <c r="M42" s="40"/>
      <c r="N42" s="43">
        <f>AVERAGE(F42,H42,J42,L42)</f>
        <v>105.72500000000001</v>
      </c>
      <c r="O42" s="40"/>
      <c r="P42" s="40">
        <v>461.7</v>
      </c>
      <c r="Q42" s="40"/>
      <c r="R42" s="39">
        <v>461.9</v>
      </c>
      <c r="T42" s="39">
        <v>461.9</v>
      </c>
      <c r="V42" s="39">
        <v>462.9</v>
      </c>
      <c r="X42" s="43">
        <f>AVERAGE(P42,R42,T42,V42)</f>
        <v>462.1</v>
      </c>
      <c r="AJ42" s="55">
        <f>SUM(AB42,R42,H42)</f>
        <v>566.5</v>
      </c>
      <c r="AK42" s="55"/>
      <c r="AL42" s="55">
        <f>SUM(AD42,T42,J42)</f>
        <v>567.3</v>
      </c>
      <c r="AM42" s="55"/>
      <c r="AN42" s="55">
        <f>SUM(AF42,V42,L42)</f>
        <v>566.1999999999999</v>
      </c>
      <c r="AO42" s="55"/>
      <c r="AP42" s="55">
        <f>SUM(AH42,X42,N42)</f>
        <v>567.825</v>
      </c>
    </row>
    <row r="43" spans="2:42" ht="12.75">
      <c r="B43" s="14" t="s">
        <v>102</v>
      </c>
      <c r="D43" s="14" t="s">
        <v>58</v>
      </c>
      <c r="E43" s="41"/>
      <c r="F43" s="63">
        <v>2.22029296875E-05</v>
      </c>
      <c r="H43" s="63">
        <v>1.956587771203156E-05</v>
      </c>
      <c r="I43" s="44"/>
      <c r="J43" s="49">
        <v>1.157876984126984E-05</v>
      </c>
      <c r="L43" s="49">
        <v>1.4250246305418722E-05</v>
      </c>
      <c r="P43" s="66">
        <f>0.09/454</f>
        <v>0.00019823788546255506</v>
      </c>
      <c r="Q43" s="66"/>
      <c r="R43" s="66">
        <f>0.09/454</f>
        <v>0.00019823788546255506</v>
      </c>
      <c r="S43" s="66"/>
      <c r="T43" s="66">
        <f>0.09/454</f>
        <v>0.00019823788546255506</v>
      </c>
      <c r="V43" s="66">
        <f>0.09/454</f>
        <v>0.00019823788546255506</v>
      </c>
      <c r="X43" s="43">
        <f>AVERAGE(P43,R43,T43,V43)</f>
        <v>0.00019823788546255506</v>
      </c>
      <c r="AJ43" s="65">
        <f>SUM(AB43,R43,H43)</f>
        <v>0.00021780376317458662</v>
      </c>
      <c r="AL43" s="65">
        <f>SUM(AD43,T43,J43)</f>
        <v>0.00020981665530382491</v>
      </c>
      <c r="AN43" s="65">
        <f>SUM(AF43,V43,L43)</f>
        <v>0.0002124881317679738</v>
      </c>
      <c r="AP43" s="65">
        <f>SUM(AH43,X43,N43)</f>
        <v>0.00019823788546255506</v>
      </c>
    </row>
    <row r="44" spans="2:13" ht="12.75">
      <c r="B44" s="14" t="s">
        <v>105</v>
      </c>
      <c r="D44" s="14" t="s">
        <v>58</v>
      </c>
      <c r="E44" s="41"/>
      <c r="F44" s="63">
        <v>6.5302734375E-05</v>
      </c>
      <c r="H44" s="63">
        <v>6.380177514792899E-05</v>
      </c>
      <c r="I44" s="40"/>
      <c r="J44" s="49">
        <v>4.008035714285714E-05</v>
      </c>
      <c r="L44" s="63">
        <v>4.898522167487685E-05</v>
      </c>
      <c r="M44" s="40"/>
    </row>
    <row r="45" spans="2:22" ht="12.75">
      <c r="B45" s="14" t="s">
        <v>98</v>
      </c>
      <c r="D45" s="14" t="s">
        <v>58</v>
      </c>
      <c r="E45" s="41" t="s">
        <v>29</v>
      </c>
      <c r="F45" s="63">
        <v>0.000870703125</v>
      </c>
      <c r="G45" s="41" t="s">
        <v>29</v>
      </c>
      <c r="H45" s="49">
        <v>0.00085069033530572</v>
      </c>
      <c r="I45" s="41" t="s">
        <v>29</v>
      </c>
      <c r="J45" s="49">
        <v>0.0008906746031746033</v>
      </c>
      <c r="K45" s="41" t="s">
        <v>29</v>
      </c>
      <c r="L45" s="63">
        <v>0.0008906403940886702</v>
      </c>
      <c r="M45" s="40"/>
      <c r="N45" s="49"/>
      <c r="P45" s="66">
        <f>0.15/454</f>
        <v>0.0003303964757709251</v>
      </c>
      <c r="R45" s="66">
        <f>0.15/454</f>
        <v>0.0003303964757709251</v>
      </c>
      <c r="T45" s="66">
        <f>0.15/454</f>
        <v>0.0003303964757709251</v>
      </c>
      <c r="V45" s="66">
        <f>0.15/454</f>
        <v>0.0003303964757709251</v>
      </c>
    </row>
    <row r="46" spans="2:13" ht="12.75">
      <c r="B46" s="14" t="s">
        <v>99</v>
      </c>
      <c r="D46" s="14" t="s">
        <v>58</v>
      </c>
      <c r="E46" s="41"/>
      <c r="F46" s="63">
        <v>0.00013060546875</v>
      </c>
      <c r="H46" s="63">
        <v>9.35759368836292E-05</v>
      </c>
      <c r="I46" s="41"/>
      <c r="J46" s="49">
        <v>9.797420634920634E-05</v>
      </c>
      <c r="K46" s="41"/>
      <c r="L46" s="63">
        <v>8.906403940886701E-05</v>
      </c>
      <c r="M46" s="40"/>
    </row>
    <row r="47" spans="2:13" ht="12.75">
      <c r="B47" s="14" t="s">
        <v>100</v>
      </c>
      <c r="D47" s="14" t="s">
        <v>58</v>
      </c>
      <c r="E47" s="41" t="s">
        <v>29</v>
      </c>
      <c r="F47" s="63">
        <v>4.353515625E-06</v>
      </c>
      <c r="G47" s="41" t="s">
        <v>29</v>
      </c>
      <c r="H47" s="63">
        <v>4.2534516765286E-06</v>
      </c>
      <c r="I47" s="41" t="s">
        <v>29</v>
      </c>
      <c r="J47" s="49">
        <v>4.453373015873015E-06</v>
      </c>
      <c r="K47" s="41" t="s">
        <v>29</v>
      </c>
      <c r="L47" s="63">
        <v>4.453201970443351E-06</v>
      </c>
      <c r="M47" s="40"/>
    </row>
    <row r="48" spans="2:17" ht="12.75">
      <c r="B48" s="14" t="s">
        <v>101</v>
      </c>
      <c r="D48" s="14" t="s">
        <v>58</v>
      </c>
      <c r="E48" s="41" t="s">
        <v>29</v>
      </c>
      <c r="F48" s="63">
        <v>8.70703125E-06</v>
      </c>
      <c r="G48" s="41" t="s">
        <v>29</v>
      </c>
      <c r="H48" s="63">
        <v>8.5069033530572E-06</v>
      </c>
      <c r="I48" s="41" t="s">
        <v>29</v>
      </c>
      <c r="J48" s="49">
        <v>8.90674603174603E-06</v>
      </c>
      <c r="K48" s="41" t="s">
        <v>29</v>
      </c>
      <c r="L48" s="63">
        <v>8.906403940886701E-06</v>
      </c>
      <c r="M48" s="40"/>
      <c r="P48" s="43"/>
      <c r="Q48" s="43"/>
    </row>
    <row r="49" spans="2:17" ht="12.75">
      <c r="B49" s="14" t="s">
        <v>115</v>
      </c>
      <c r="D49" s="14" t="s">
        <v>58</v>
      </c>
      <c r="E49" s="41"/>
      <c r="F49" s="63">
        <v>0.00161080078125</v>
      </c>
      <c r="H49" s="63">
        <v>0.0015737771203155817</v>
      </c>
      <c r="I49" s="41"/>
      <c r="J49" s="49">
        <v>0.0012024107142857145</v>
      </c>
      <c r="K49" s="41"/>
      <c r="L49" s="63">
        <v>0.0012914285714285714</v>
      </c>
      <c r="M49" s="40"/>
      <c r="N49" s="40"/>
      <c r="O49" s="40"/>
      <c r="P49" s="43"/>
      <c r="Q49" s="43"/>
    </row>
    <row r="50" spans="2:13" ht="12.75">
      <c r="B50" s="14" t="s">
        <v>103</v>
      </c>
      <c r="D50" s="14" t="s">
        <v>58</v>
      </c>
      <c r="E50" s="41"/>
      <c r="F50" s="63">
        <v>0.0009577734375000001</v>
      </c>
      <c r="H50" s="63">
        <v>0.0009782938856015778</v>
      </c>
      <c r="I50" s="41"/>
      <c r="J50" s="49">
        <v>0.0008461408730158729</v>
      </c>
      <c r="K50" s="41"/>
      <c r="L50" s="53">
        <v>0.0008906403940886702</v>
      </c>
      <c r="M50" s="41"/>
    </row>
    <row r="51" spans="2:13" ht="12.75">
      <c r="B51" s="14" t="s">
        <v>96</v>
      </c>
      <c r="D51" s="14" t="s">
        <v>58</v>
      </c>
      <c r="E51" s="41"/>
      <c r="F51" s="63">
        <v>0.00018284765625</v>
      </c>
      <c r="H51" s="63">
        <v>0.00010208284023668638</v>
      </c>
      <c r="I51" s="41"/>
      <c r="J51" s="49">
        <v>0.00023157539682539682</v>
      </c>
      <c r="K51" s="41"/>
      <c r="L51" s="53">
        <v>0.00018258128078817737</v>
      </c>
      <c r="M51" s="41"/>
    </row>
    <row r="52" spans="2:13" ht="12.75">
      <c r="B52" s="14" t="s">
        <v>97</v>
      </c>
      <c r="D52" s="14" t="s">
        <v>58</v>
      </c>
      <c r="E52" s="41" t="s">
        <v>29</v>
      </c>
      <c r="F52" s="63">
        <v>0.00013060546875</v>
      </c>
      <c r="G52" s="41" t="s">
        <v>29</v>
      </c>
      <c r="H52" s="63">
        <v>0.00012760355029585799</v>
      </c>
      <c r="I52" s="41" t="s">
        <v>29</v>
      </c>
      <c r="J52" s="49">
        <v>0.00013360119047619047</v>
      </c>
      <c r="K52" s="41" t="s">
        <v>29</v>
      </c>
      <c r="L52" s="53">
        <v>0.0001335960591133005</v>
      </c>
      <c r="M52" s="41"/>
    </row>
    <row r="53" spans="2:13" ht="12.75">
      <c r="B53" s="14" t="s">
        <v>104</v>
      </c>
      <c r="D53" s="14" t="s">
        <v>58</v>
      </c>
      <c r="E53" s="41" t="s">
        <v>29</v>
      </c>
      <c r="F53" s="63">
        <v>0.0002612109375</v>
      </c>
      <c r="G53" s="41" t="s">
        <v>29</v>
      </c>
      <c r="H53" s="63">
        <v>0.00025520710059171597</v>
      </c>
      <c r="I53" s="41" t="s">
        <v>29</v>
      </c>
      <c r="J53" s="49">
        <v>0.00026720238095238094</v>
      </c>
      <c r="K53" s="41" t="s">
        <v>29</v>
      </c>
      <c r="L53" s="53">
        <v>0.000267192118226601</v>
      </c>
      <c r="M53" s="41"/>
    </row>
    <row r="54" spans="2:13" ht="12.75">
      <c r="B54" s="14" t="s">
        <v>106</v>
      </c>
      <c r="D54" s="14" t="s">
        <v>58</v>
      </c>
      <c r="E54" s="41" t="s">
        <v>29</v>
      </c>
      <c r="F54" s="63">
        <v>0.0002612109375</v>
      </c>
      <c r="G54" s="41" t="s">
        <v>29</v>
      </c>
      <c r="H54" s="63">
        <v>0.00025520710059171597</v>
      </c>
      <c r="I54" s="41" t="s">
        <v>29</v>
      </c>
      <c r="J54" s="49">
        <v>0.00026720238095238094</v>
      </c>
      <c r="K54" s="41" t="s">
        <v>29</v>
      </c>
      <c r="L54" s="53">
        <v>0.000267192118226601</v>
      </c>
      <c r="M54" s="41"/>
    </row>
    <row r="55" spans="2:22" ht="12.75">
      <c r="B55" s="14" t="s">
        <v>197</v>
      </c>
      <c r="D55" s="14" t="s">
        <v>58</v>
      </c>
      <c r="E55" s="41"/>
      <c r="H55" s="40"/>
      <c r="I55" s="40"/>
      <c r="L55" s="41"/>
      <c r="M55" s="41"/>
      <c r="P55" s="50">
        <f>4.09/454</f>
        <v>0.009008810572687225</v>
      </c>
      <c r="R55" s="50">
        <f>4.09/454</f>
        <v>0.009008810572687225</v>
      </c>
      <c r="T55" s="50">
        <f>4.09/454</f>
        <v>0.009008810572687225</v>
      </c>
      <c r="V55" s="50">
        <f>4.09/454</f>
        <v>0.009008810572687225</v>
      </c>
    </row>
    <row r="56" spans="5:13" ht="12.75">
      <c r="E56" s="41"/>
      <c r="H56" s="40"/>
      <c r="I56" s="40"/>
      <c r="L56" s="41"/>
      <c r="M56" s="41"/>
    </row>
    <row r="57" spans="2:44" ht="12.75">
      <c r="B57" s="14" t="s">
        <v>75</v>
      </c>
      <c r="D57" s="14" t="s">
        <v>17</v>
      </c>
      <c r="E57" s="41"/>
      <c r="F57" s="34">
        <f>emiss!$G$76</f>
        <v>6120</v>
      </c>
      <c r="H57" s="34">
        <f>emiss!$I$76</f>
        <v>5798</v>
      </c>
      <c r="I57" s="40"/>
      <c r="J57" s="34">
        <f>emiss!$K$76</f>
        <v>6166</v>
      </c>
      <c r="L57" s="34">
        <f>emiss!$M$76</f>
        <v>6026</v>
      </c>
      <c r="M57" s="41"/>
      <c r="N57" s="39">
        <f>emiss!$O$76</f>
        <v>6027.5</v>
      </c>
      <c r="P57" s="34">
        <f>emiss!$G$76</f>
        <v>6120</v>
      </c>
      <c r="Q57" s="41"/>
      <c r="R57" s="34">
        <f>emiss!$I$76</f>
        <v>5798</v>
      </c>
      <c r="S57" s="40"/>
      <c r="T57" s="34">
        <f>emiss!$K$76</f>
        <v>6166</v>
      </c>
      <c r="V57" s="34">
        <f>emiss!$M$76</f>
        <v>6026</v>
      </c>
      <c r="W57" s="41"/>
      <c r="X57" s="39">
        <f>emiss!$O$76</f>
        <v>6027.5</v>
      </c>
      <c r="Z57" s="34">
        <f>emiss!$G$76</f>
        <v>6120</v>
      </c>
      <c r="AA57" s="41"/>
      <c r="AB57" s="34">
        <f>emiss!$I$76</f>
        <v>5798</v>
      </c>
      <c r="AC57" s="40"/>
      <c r="AD57" s="34">
        <f>emiss!$K$76</f>
        <v>6166</v>
      </c>
      <c r="AF57" s="34">
        <f>emiss!$M$76</f>
        <v>6026</v>
      </c>
      <c r="AG57" s="41"/>
      <c r="AH57" s="39">
        <f>emiss!$O$76</f>
        <v>6027.5</v>
      </c>
      <c r="AJ57" s="34">
        <f>emiss!$G$76</f>
        <v>6120</v>
      </c>
      <c r="AK57" s="41"/>
      <c r="AL57" s="34">
        <f>emiss!$I$76</f>
        <v>5798</v>
      </c>
      <c r="AM57" s="40"/>
      <c r="AN57" s="34">
        <f>emiss!$K$76</f>
        <v>6166</v>
      </c>
      <c r="AP57" s="34">
        <f>emiss!$M$76</f>
        <v>6026</v>
      </c>
      <c r="AQ57" s="41"/>
      <c r="AR57" s="39">
        <f>emiss!$O$76</f>
        <v>6027.5</v>
      </c>
    </row>
    <row r="58" spans="2:44" ht="12.75">
      <c r="B58" s="14" t="s">
        <v>76</v>
      </c>
      <c r="D58" s="14" t="s">
        <v>18</v>
      </c>
      <c r="E58" s="41"/>
      <c r="F58" s="34">
        <f>emiss!$G$77</f>
        <v>6</v>
      </c>
      <c r="H58" s="34">
        <f>emiss!$I$77</f>
        <v>6</v>
      </c>
      <c r="I58" s="40"/>
      <c r="J58" s="34">
        <f>emiss!$K$77</f>
        <v>6</v>
      </c>
      <c r="L58" s="34">
        <f>emiss!$M$77</f>
        <v>6</v>
      </c>
      <c r="M58" s="41"/>
      <c r="N58" s="39">
        <f>emiss!$O$77</f>
        <v>6</v>
      </c>
      <c r="P58" s="34">
        <f>emiss!$G$77</f>
        <v>6</v>
      </c>
      <c r="Q58" s="41"/>
      <c r="R58" s="34">
        <f>emiss!$I$77</f>
        <v>6</v>
      </c>
      <c r="S58" s="40"/>
      <c r="T58" s="34">
        <f>emiss!$K$77</f>
        <v>6</v>
      </c>
      <c r="V58" s="34">
        <f>emiss!$M$77</f>
        <v>6</v>
      </c>
      <c r="W58" s="41"/>
      <c r="X58" s="39">
        <f>emiss!$O$77</f>
        <v>6</v>
      </c>
      <c r="Z58" s="34">
        <f>emiss!$G$77</f>
        <v>6</v>
      </c>
      <c r="AA58" s="41"/>
      <c r="AB58" s="34">
        <f>emiss!$I$77</f>
        <v>6</v>
      </c>
      <c r="AC58" s="40"/>
      <c r="AD58" s="34">
        <f>emiss!$K$77</f>
        <v>6</v>
      </c>
      <c r="AF58" s="34">
        <f>emiss!$M$77</f>
        <v>6</v>
      </c>
      <c r="AG58" s="41"/>
      <c r="AH58" s="39">
        <f>emiss!$O$77</f>
        <v>6</v>
      </c>
      <c r="AJ58" s="34">
        <f>emiss!$G$77</f>
        <v>6</v>
      </c>
      <c r="AK58" s="41"/>
      <c r="AL58" s="34">
        <f>emiss!$I$77</f>
        <v>6</v>
      </c>
      <c r="AM58" s="40"/>
      <c r="AN58" s="34">
        <f>emiss!$K$77</f>
        <v>6</v>
      </c>
      <c r="AP58" s="34">
        <f>emiss!$M$77</f>
        <v>6</v>
      </c>
      <c r="AQ58" s="41"/>
      <c r="AR58" s="39">
        <f>emiss!$O$77</f>
        <v>6</v>
      </c>
    </row>
    <row r="59" spans="5:13" ht="12.75">
      <c r="E59" s="41"/>
      <c r="H59" s="40"/>
      <c r="I59" s="40"/>
      <c r="L59" s="41"/>
      <c r="M59" s="41"/>
    </row>
    <row r="60" spans="2:42" ht="12.75">
      <c r="B60" s="14" t="s">
        <v>120</v>
      </c>
      <c r="D60" s="14" t="s">
        <v>67</v>
      </c>
      <c r="E60" s="41"/>
      <c r="F60" s="15">
        <f>F35*F38/1000000</f>
        <v>3.784842</v>
      </c>
      <c r="G60" s="17"/>
      <c r="H60" s="15">
        <f>H35*H38/1000000</f>
        <v>2.579174</v>
      </c>
      <c r="I60" s="15"/>
      <c r="J60" s="15">
        <f>J35*J38/1000000</f>
        <v>5.956903</v>
      </c>
      <c r="L60" s="15">
        <f>L35*L38/1000000</f>
        <v>4.5652</v>
      </c>
      <c r="M60" s="41"/>
      <c r="N60" s="15">
        <f>N35*N38/1000000</f>
        <v>4.20497</v>
      </c>
      <c r="R60" s="43"/>
      <c r="AJ60" s="43">
        <f>SUM(AB60,R60,H60)</f>
        <v>2.579174</v>
      </c>
      <c r="AK60" s="43"/>
      <c r="AL60" s="43">
        <f>SUM(AD60,T60,J60)</f>
        <v>5.956903</v>
      </c>
      <c r="AM60" s="43"/>
      <c r="AN60" s="43">
        <f>SUM(AF60,V60,L60)</f>
        <v>4.5652</v>
      </c>
      <c r="AO60" s="43"/>
      <c r="AP60" s="43">
        <f>SUM(AH60,X60,N60)</f>
        <v>4.20497</v>
      </c>
    </row>
    <row r="61" spans="2:42" ht="12.75">
      <c r="B61" s="14" t="s">
        <v>224</v>
      </c>
      <c r="D61" s="14" t="s">
        <v>67</v>
      </c>
      <c r="E61" s="41"/>
      <c r="F61" s="43">
        <f>$F$57/9000*(21-$F$58)/21*60</f>
        <v>29.142857142857146</v>
      </c>
      <c r="G61" s="17"/>
      <c r="H61" s="43">
        <f>$F$57/9000*(21-$F$58)/21*60</f>
        <v>29.142857142857146</v>
      </c>
      <c r="I61" s="15"/>
      <c r="J61" s="43">
        <f>$F$57/9000*(21-$F$58)/21*60</f>
        <v>29.142857142857146</v>
      </c>
      <c r="L61" s="43">
        <f>$F$57/9000*(21-$F$58)/21*60</f>
        <v>29.142857142857146</v>
      </c>
      <c r="M61" s="41"/>
      <c r="N61" s="43">
        <f>$F$57/9000*(21-$F$58)/21*60</f>
        <v>29.142857142857146</v>
      </c>
      <c r="R61" s="15"/>
      <c r="AJ61" s="43">
        <f>SUM(AB61,R61,H61)</f>
        <v>29.142857142857146</v>
      </c>
      <c r="AK61" s="43"/>
      <c r="AL61" s="43">
        <f>SUM(AD61,T61,J61)</f>
        <v>29.142857142857146</v>
      </c>
      <c r="AM61" s="43"/>
      <c r="AN61" s="43">
        <f>SUM(AF61,V61,L61)</f>
        <v>29.142857142857146</v>
      </c>
      <c r="AO61" s="43"/>
      <c r="AP61" s="43">
        <f>SUM(AH61,X61,N61)</f>
        <v>29.142857142857146</v>
      </c>
    </row>
    <row r="62" spans="5:18" ht="12.75">
      <c r="E62" s="41"/>
      <c r="F62" s="39"/>
      <c r="G62" s="17"/>
      <c r="H62" s="15"/>
      <c r="I62" s="15"/>
      <c r="L62" s="41"/>
      <c r="M62" s="41"/>
      <c r="R62" s="15"/>
    </row>
    <row r="63" spans="2:18" ht="12.75">
      <c r="B63" s="60" t="s">
        <v>90</v>
      </c>
      <c r="C63" s="60"/>
      <c r="E63" s="41"/>
      <c r="F63" s="39"/>
      <c r="G63" s="17"/>
      <c r="H63" s="15"/>
      <c r="I63" s="15"/>
      <c r="L63" s="41"/>
      <c r="M63" s="41"/>
      <c r="R63" s="15"/>
    </row>
    <row r="64" spans="2:44" ht="12.75">
      <c r="B64" s="14" t="s">
        <v>53</v>
      </c>
      <c r="D64" s="14" t="s">
        <v>77</v>
      </c>
      <c r="E64" s="41"/>
      <c r="F64" s="15">
        <f>F35*F41/100*454/60/0.0283/F$57*(21-7)/(21-F$58)*1000</f>
        <v>6580.397915271332</v>
      </c>
      <c r="G64" s="17"/>
      <c r="H64" s="15">
        <f>H35*H41/100*454/60/0.0283/H$57*(21-7)/(21-H$58)*1000</f>
        <v>6497.17007055897</v>
      </c>
      <c r="I64" s="15"/>
      <c r="J64" s="15">
        <f>J35*J41/100*454/60/0.0283/J$57*(21-7)/(21-J$58)*1000</f>
        <v>6286.039813809813</v>
      </c>
      <c r="L64" s="15">
        <f>L35*L41/100*454/60/0.0283/L$57*(21-7)/(21-L$58)*1000</f>
        <v>6177.008385727025</v>
      </c>
      <c r="M64" s="41"/>
      <c r="N64" s="43">
        <f>AVERAGE(F64,H64,J64,L64)</f>
        <v>6385.154046341785</v>
      </c>
      <c r="P64" s="15"/>
      <c r="Q64" s="15"/>
      <c r="Y64" s="65"/>
      <c r="Z64" s="43">
        <f>Z36*Z39*10^6/264.17*Z41/100/0.0283/Z$57*(21-7)/(21-Z$58)*1000</f>
        <v>8.228468631782015</v>
      </c>
      <c r="AB64" s="43">
        <f>AB36*AB39*10^6/264.17*AB41/100/0.0283/AB$57*(21-7)/(21-AB$58)*1000</f>
        <v>8.685448090118305</v>
      </c>
      <c r="AD64" s="43">
        <f>AD36*AD39*10^6/264.17*AD41/100/0.0283/AD$57*(21-7)/(21-AD$58)*1000</f>
        <v>7.424620061113133</v>
      </c>
      <c r="AF64" s="43">
        <f>AF36*AF39*10^6/264.17*AF41/100/0.0283/AF$57*(21-7)/(21-AF$58)*1000</f>
        <v>7.976969409502946</v>
      </c>
      <c r="AH64" s="65">
        <f>AVERAGE(Z64,AB64,AD64,AF64)</f>
        <v>8.078876548129099</v>
      </c>
      <c r="AJ64" s="43">
        <f>SUM(Z64,P64,F64)</f>
        <v>6588.6263839031135</v>
      </c>
      <c r="AL64" s="43">
        <f>SUM(AB64,R64,H64)</f>
        <v>6505.8555186490885</v>
      </c>
      <c r="AN64" s="43">
        <f>SUM(AD64,T64,J64)</f>
        <v>6293.464433870926</v>
      </c>
      <c r="AP64" s="43">
        <f>SUM(AF64,V64,L64)</f>
        <v>6184.985355136528</v>
      </c>
      <c r="AR64" s="55">
        <f>AVERAGE(AP64,AN64,AL64,AJ64)</f>
        <v>6393.232922889913</v>
      </c>
    </row>
    <row r="65" spans="2:44" ht="12.75">
      <c r="B65" s="14" t="s">
        <v>54</v>
      </c>
      <c r="D65" s="14" t="s">
        <v>69</v>
      </c>
      <c r="E65" s="41"/>
      <c r="F65" s="16">
        <f>F42*454/F$57/60/0.0283*(21-7)/(21-F$58)*1000000</f>
        <v>4469038.289311275</v>
      </c>
      <c r="G65" s="18"/>
      <c r="H65" s="16">
        <f>H42*454/H$57/60/0.0283*(21-7)/(21-H$58)*1000000</f>
        <v>4502030.336063516</v>
      </c>
      <c r="I65" s="16"/>
      <c r="J65" s="16">
        <f>J42*454/J$57/60/0.0283*(21-7)/(21-J$58)*1000000</f>
        <v>4265716.944409742</v>
      </c>
      <c r="K65" s="55"/>
      <c r="L65" s="16">
        <f>L42*454/L$57/60/0.0283*(21-7)/(21-L$58)*1000000</f>
        <v>4277855.767267373</v>
      </c>
      <c r="M65" s="16"/>
      <c r="N65" s="43">
        <f aca="true" t="shared" si="0" ref="N65:N77">AVERAGE(F65,H65,J65,L65)</f>
        <v>4378660.334262976</v>
      </c>
      <c r="P65" s="16">
        <f>P42*454/P$57/60/0.0283*(21-7)/(21-P$58)*1000000</f>
        <v>18826231.552691747</v>
      </c>
      <c r="Q65" s="18"/>
      <c r="R65" s="16">
        <f>R42*454/R$57/60/0.0283*(21-7)/(21-R$58)*1000000</f>
        <v>19880380.614031915</v>
      </c>
      <c r="S65" s="16"/>
      <c r="T65" s="16">
        <f>T42*454/T$57/60/0.0283*(21-7)/(21-T$58)*1000000</f>
        <v>18693877.197560336</v>
      </c>
      <c r="U65" s="55"/>
      <c r="V65" s="16">
        <f>V42*454/V$57/60/0.0283*(21-7)/(21-V$58)*1000000</f>
        <v>19169597.625053898</v>
      </c>
      <c r="W65" s="16"/>
      <c r="X65" s="43">
        <f>AVERAGE(P65,R65,T65,V65)</f>
        <v>19142521.747334473</v>
      </c>
      <c r="Y65" s="65"/>
      <c r="AJ65" s="43">
        <f aca="true" t="shared" si="1" ref="AJ65:AP78">SUM(Z65,P65,F65)</f>
        <v>23295269.84200302</v>
      </c>
      <c r="AL65" s="43">
        <f t="shared" si="1"/>
        <v>24382410.95009543</v>
      </c>
      <c r="AN65" s="43">
        <f t="shared" si="1"/>
        <v>22959594.14197008</v>
      </c>
      <c r="AP65" s="43">
        <f t="shared" si="1"/>
        <v>23447453.39232127</v>
      </c>
      <c r="AR65" s="55">
        <f aca="true" t="shared" si="2" ref="AR65:AR80">AVERAGE(AP65,AN65,AL65,AJ65)</f>
        <v>23521182.081597447</v>
      </c>
    </row>
    <row r="66" spans="2:44" ht="12.75">
      <c r="B66" s="14" t="s">
        <v>102</v>
      </c>
      <c r="D66" s="14" t="s">
        <v>69</v>
      </c>
      <c r="E66" s="41"/>
      <c r="F66" s="44">
        <f>F43*454/60/0.0283/F$57*(21-7)/(21-F$58)*1000000</f>
        <v>0.905344369601492</v>
      </c>
      <c r="H66" s="44">
        <f>H43*454/60/0.0283/H$57*(21-7)/(21-H$58)*1000000</f>
        <v>0.8421240440848482</v>
      </c>
      <c r="I66" s="15"/>
      <c r="J66" s="44">
        <f aca="true" t="shared" si="3" ref="J66:J77">J43*454/60/0.0283/J$57*(21-7)/(21-J$58)*1000000</f>
        <v>0.4686124735040347</v>
      </c>
      <c r="L66" s="44">
        <f aca="true" t="shared" si="4" ref="L66:L77">L43*454/60/0.0283/L$57*(21-7)/(21-L$58)*1000000</f>
        <v>0.590130671274115</v>
      </c>
      <c r="M66" s="41"/>
      <c r="N66" s="43">
        <f t="shared" si="0"/>
        <v>0.7015528896161225</v>
      </c>
      <c r="P66" s="44">
        <f>P43*454/60/0.0283/P$57*(21-7)/(21-P$58)*1000000</f>
        <v>8.083327559527934</v>
      </c>
      <c r="Q66" s="41"/>
      <c r="R66" s="44">
        <f>R43*454/60/0.0283/R$57*(21-7)/(21-R$58)*1000000</f>
        <v>8.532246406400649</v>
      </c>
      <c r="S66" s="15"/>
      <c r="T66" s="44">
        <f>T43*454/60/0.0283/T$57*(21-7)/(21-T$58)*1000000</f>
        <v>8.023023785973233</v>
      </c>
      <c r="V66" s="44">
        <f>V43*454/60/0.0283/V$57*(21-7)/(21-V$58)*1000000</f>
        <v>8.209419957569027</v>
      </c>
      <c r="W66" s="41"/>
      <c r="X66" s="43">
        <f>AVERAGE(P66,R66,T66,V66)</f>
        <v>8.212004427367711</v>
      </c>
      <c r="Y66" s="65"/>
      <c r="AJ66" s="43">
        <f t="shared" si="1"/>
        <v>8.988671929129426</v>
      </c>
      <c r="AK66" s="46"/>
      <c r="AL66" s="43">
        <f t="shared" si="1"/>
        <v>9.374370450485497</v>
      </c>
      <c r="AM66" s="46"/>
      <c r="AN66" s="43">
        <f t="shared" si="1"/>
        <v>8.491636259477268</v>
      </c>
      <c r="AO66" s="46"/>
      <c r="AP66" s="43">
        <f t="shared" si="1"/>
        <v>8.799550628843143</v>
      </c>
      <c r="AR66" s="43">
        <f t="shared" si="2"/>
        <v>8.913557316983834</v>
      </c>
    </row>
    <row r="67" spans="2:44" ht="12.75">
      <c r="B67" s="14" t="s">
        <v>105</v>
      </c>
      <c r="D67" s="14" t="s">
        <v>69</v>
      </c>
      <c r="E67" s="41"/>
      <c r="F67" s="44">
        <f aca="true" t="shared" si="5" ref="F67:H77">F44*454/60/0.0283/F$57*(21-7)/(21-F$58)*1000000</f>
        <v>2.662777557651447</v>
      </c>
      <c r="H67" s="44">
        <f t="shared" si="5"/>
        <v>2.7460566654940703</v>
      </c>
      <c r="I67" s="15"/>
      <c r="J67" s="44">
        <f t="shared" si="3"/>
        <v>1.6221201005908894</v>
      </c>
      <c r="L67" s="44">
        <f t="shared" si="4"/>
        <v>2.0285741825047703</v>
      </c>
      <c r="M67" s="41"/>
      <c r="N67" s="43">
        <f t="shared" si="0"/>
        <v>2.264882126560294</v>
      </c>
      <c r="P67" s="49"/>
      <c r="Q67" s="49"/>
      <c r="R67" s="49"/>
      <c r="S67" s="49"/>
      <c r="T67" s="49"/>
      <c r="U67" s="49"/>
      <c r="V67" s="49"/>
      <c r="AJ67" s="43">
        <f t="shared" si="1"/>
        <v>2.662777557651447</v>
      </c>
      <c r="AL67" s="43">
        <f t="shared" si="1"/>
        <v>2.7460566654940703</v>
      </c>
      <c r="AN67" s="43">
        <f t="shared" si="1"/>
        <v>1.6221201005908894</v>
      </c>
      <c r="AP67" s="43">
        <f t="shared" si="1"/>
        <v>2.0285741825047703</v>
      </c>
      <c r="AR67" s="43">
        <f t="shared" si="2"/>
        <v>2.2648821265602943</v>
      </c>
    </row>
    <row r="68" spans="2:44" ht="12.75">
      <c r="B68" s="14" t="s">
        <v>98</v>
      </c>
      <c r="D68" s="14" t="s">
        <v>69</v>
      </c>
      <c r="E68" s="41">
        <v>100</v>
      </c>
      <c r="F68" s="44">
        <f t="shared" si="5"/>
        <v>35.50370076868595</v>
      </c>
      <c r="G68" s="41">
        <v>100</v>
      </c>
      <c r="H68" s="44">
        <f t="shared" si="5"/>
        <v>36.614088873254275</v>
      </c>
      <c r="I68" s="41">
        <v>100</v>
      </c>
      <c r="J68" s="44">
        <f t="shared" si="3"/>
        <v>36.047113346464215</v>
      </c>
      <c r="K68" s="41">
        <v>100</v>
      </c>
      <c r="L68" s="44">
        <f t="shared" si="4"/>
        <v>36.88316695463219</v>
      </c>
      <c r="M68" s="41">
        <v>100</v>
      </c>
      <c r="N68" s="43">
        <f t="shared" si="0"/>
        <v>36.26201748575916</v>
      </c>
      <c r="P68" s="44">
        <f>P45*454/60/0.0283/P$57*(21-7)/(21-P$58)*1000000</f>
        <v>13.472212599213222</v>
      </c>
      <c r="Q68" s="41"/>
      <c r="R68" s="44">
        <f>R45*454/60/0.0283/R$57*(21-7)/(21-R$58)*1000000</f>
        <v>14.220410677334412</v>
      </c>
      <c r="S68" s="15"/>
      <c r="T68" s="44">
        <f>T45*454/60/0.0283/T$57*(21-7)/(21-T$58)*1000000</f>
        <v>13.371706309955387</v>
      </c>
      <c r="V68" s="44">
        <f>V45*454/60/0.0283/V$57*(21-7)/(21-V$58)*1000000</f>
        <v>13.68236659594838</v>
      </c>
      <c r="W68" s="41"/>
      <c r="X68" s="43">
        <f>AVERAGE(P68,R68,T68,V68)</f>
        <v>13.68667404561285</v>
      </c>
      <c r="AI68" s="39">
        <f>(F68*E68/100)/AJ68*100</f>
        <v>72.4921667146621</v>
      </c>
      <c r="AJ68" s="43">
        <f t="shared" si="1"/>
        <v>48.975913367899174</v>
      </c>
      <c r="AK68" s="39">
        <f>(H68*G68/100)/AL68*100</f>
        <v>72.02606339581888</v>
      </c>
      <c r="AL68" s="43">
        <f t="shared" si="1"/>
        <v>50.83449955058869</v>
      </c>
      <c r="AM68" s="39">
        <f>(J68*I68/100)/AN68*100</f>
        <v>72.94207671708651</v>
      </c>
      <c r="AN68" s="43">
        <f t="shared" si="1"/>
        <v>49.4188196564196</v>
      </c>
      <c r="AO68" s="39">
        <f>(L68*K68/100)/AP68*100</f>
        <v>72.94131865085149</v>
      </c>
      <c r="AP68" s="43">
        <f t="shared" si="1"/>
        <v>50.56553355058057</v>
      </c>
      <c r="AQ68" s="55">
        <f aca="true" t="shared" si="6" ref="AQ68:AQ80">SUM((AP68*AO68/100),(AN68*AM68/100),(AL68*AK68/100),(AJ68*AI68/100))/AR68*100/4</f>
        <v>72.59853336294815</v>
      </c>
      <c r="AR68" s="43">
        <f t="shared" si="2"/>
        <v>49.948691531372006</v>
      </c>
    </row>
    <row r="69" spans="2:44" ht="12.75">
      <c r="B69" s="14" t="s">
        <v>99</v>
      </c>
      <c r="D69" s="14" t="s">
        <v>69</v>
      </c>
      <c r="E69" s="41"/>
      <c r="F69" s="44">
        <f t="shared" si="5"/>
        <v>5.325555115302894</v>
      </c>
      <c r="H69" s="44">
        <f t="shared" si="5"/>
        <v>4.02754977605797</v>
      </c>
      <c r="I69" s="41"/>
      <c r="J69" s="44">
        <f t="shared" si="3"/>
        <v>3.9651824681110623</v>
      </c>
      <c r="K69" s="41"/>
      <c r="L69" s="44">
        <f t="shared" si="4"/>
        <v>3.6883166954632185</v>
      </c>
      <c r="M69" s="41"/>
      <c r="N69" s="43">
        <f t="shared" si="0"/>
        <v>4.251651013733786</v>
      </c>
      <c r="P69" s="49"/>
      <c r="Q69" s="49"/>
      <c r="R69" s="49"/>
      <c r="S69" s="49"/>
      <c r="T69" s="49"/>
      <c r="U69" s="49"/>
      <c r="V69" s="49"/>
      <c r="AJ69" s="43">
        <f t="shared" si="1"/>
        <v>5.325555115302894</v>
      </c>
      <c r="AL69" s="43">
        <f t="shared" si="1"/>
        <v>4.02754977605797</v>
      </c>
      <c r="AN69" s="43">
        <f t="shared" si="1"/>
        <v>3.9651824681110623</v>
      </c>
      <c r="AP69" s="43">
        <f t="shared" si="1"/>
        <v>3.6883166954632185</v>
      </c>
      <c r="AQ69" s="55"/>
      <c r="AR69" s="43">
        <f t="shared" si="2"/>
        <v>4.251651013733786</v>
      </c>
    </row>
    <row r="70" spans="2:44" ht="12.75">
      <c r="B70" s="14" t="s">
        <v>100</v>
      </c>
      <c r="D70" s="14" t="s">
        <v>69</v>
      </c>
      <c r="E70" s="41">
        <v>100</v>
      </c>
      <c r="F70" s="44">
        <f t="shared" si="5"/>
        <v>0.17751850384342982</v>
      </c>
      <c r="G70" s="41">
        <v>100</v>
      </c>
      <c r="H70" s="44">
        <f t="shared" si="5"/>
        <v>0.18307044436627132</v>
      </c>
      <c r="I70" s="41">
        <v>100</v>
      </c>
      <c r="J70" s="44">
        <f t="shared" si="3"/>
        <v>0.18023556673232102</v>
      </c>
      <c r="K70" s="41">
        <v>100</v>
      </c>
      <c r="L70" s="44">
        <f t="shared" si="4"/>
        <v>0.18441583477316095</v>
      </c>
      <c r="M70" s="41">
        <v>100</v>
      </c>
      <c r="N70" s="43">
        <f t="shared" si="0"/>
        <v>0.18131008742879576</v>
      </c>
      <c r="P70" s="49"/>
      <c r="Q70" s="49"/>
      <c r="R70" s="49"/>
      <c r="S70" s="49"/>
      <c r="T70" s="49"/>
      <c r="U70" s="49"/>
      <c r="V70" s="49"/>
      <c r="AI70" s="39">
        <f>(F70*E70/100)/AJ70*100</f>
        <v>100</v>
      </c>
      <c r="AJ70" s="43">
        <f t="shared" si="1"/>
        <v>0.17751850384342982</v>
      </c>
      <c r="AK70" s="39">
        <f>(H70*G70/100)/AL70*100</f>
        <v>99.99999999999999</v>
      </c>
      <c r="AL70" s="43">
        <f t="shared" si="1"/>
        <v>0.18307044436627132</v>
      </c>
      <c r="AM70" s="39">
        <f>(J70*I70/100)/AN70*100</f>
        <v>100.00000000000003</v>
      </c>
      <c r="AN70" s="43">
        <f t="shared" si="1"/>
        <v>0.18023556673232102</v>
      </c>
      <c r="AO70" s="39">
        <f>(L70*K70/100)/AP70*100</f>
        <v>99.99999999999999</v>
      </c>
      <c r="AP70" s="43">
        <f t="shared" si="1"/>
        <v>0.18441583477316095</v>
      </c>
      <c r="AQ70" s="55">
        <f t="shared" si="6"/>
        <v>100</v>
      </c>
      <c r="AR70" s="43">
        <f t="shared" si="2"/>
        <v>0.18131008742879579</v>
      </c>
    </row>
    <row r="71" spans="2:44" ht="12.75">
      <c r="B71" s="14" t="s">
        <v>101</v>
      </c>
      <c r="D71" s="14" t="s">
        <v>69</v>
      </c>
      <c r="E71" s="41">
        <v>100</v>
      </c>
      <c r="F71" s="44">
        <f t="shared" si="5"/>
        <v>0.35503700768685964</v>
      </c>
      <c r="G71" s="41">
        <v>100</v>
      </c>
      <c r="H71" s="44">
        <f t="shared" si="5"/>
        <v>0.36614088873254264</v>
      </c>
      <c r="I71" s="41">
        <v>100</v>
      </c>
      <c r="J71" s="44">
        <f t="shared" si="3"/>
        <v>0.36047113346464205</v>
      </c>
      <c r="K71" s="41">
        <v>100</v>
      </c>
      <c r="L71" s="44">
        <f t="shared" si="4"/>
        <v>0.3688316695463219</v>
      </c>
      <c r="M71" s="41">
        <v>100</v>
      </c>
      <c r="N71" s="43">
        <f t="shared" si="0"/>
        <v>0.3626201748575915</v>
      </c>
      <c r="P71" s="63"/>
      <c r="Q71" s="63"/>
      <c r="R71" s="49"/>
      <c r="S71" s="49"/>
      <c r="T71" s="49"/>
      <c r="U71" s="49"/>
      <c r="V71" s="49"/>
      <c r="AI71" s="39">
        <f>(F71*E71/100)/AJ71*100</f>
        <v>100</v>
      </c>
      <c r="AJ71" s="43">
        <f t="shared" si="1"/>
        <v>0.35503700768685964</v>
      </c>
      <c r="AK71" s="39">
        <f>(H71*G71/100)/AL71*100</f>
        <v>99.99999999999999</v>
      </c>
      <c r="AL71" s="43">
        <f t="shared" si="1"/>
        <v>0.36614088873254264</v>
      </c>
      <c r="AM71" s="39">
        <f>(J71*I71/100)/AN71*100</f>
        <v>100.00000000000003</v>
      </c>
      <c r="AN71" s="43">
        <f t="shared" si="1"/>
        <v>0.36047113346464205</v>
      </c>
      <c r="AO71" s="39">
        <f>(L71*K71/100)/AP71*100</f>
        <v>99.99999999999999</v>
      </c>
      <c r="AP71" s="43">
        <f t="shared" si="1"/>
        <v>0.3688316695463219</v>
      </c>
      <c r="AQ71" s="55">
        <f t="shared" si="6"/>
        <v>100</v>
      </c>
      <c r="AR71" s="43">
        <f t="shared" si="2"/>
        <v>0.36262017485759157</v>
      </c>
    </row>
    <row r="72" spans="2:44" ht="12.75">
      <c r="B72" s="14" t="s">
        <v>115</v>
      </c>
      <c r="D72" s="14" t="s">
        <v>69</v>
      </c>
      <c r="E72" s="41"/>
      <c r="F72" s="44">
        <f t="shared" si="5"/>
        <v>65.68184642206903</v>
      </c>
      <c r="H72" s="44">
        <f t="shared" si="5"/>
        <v>67.73606441552037</v>
      </c>
      <c r="I72" s="41"/>
      <c r="J72" s="44">
        <f t="shared" si="3"/>
        <v>48.663603017726686</v>
      </c>
      <c r="K72" s="41"/>
      <c r="L72" s="44">
        <f t="shared" si="4"/>
        <v>53.48059208421666</v>
      </c>
      <c r="M72" s="41"/>
      <c r="N72" s="43">
        <f t="shared" si="0"/>
        <v>58.89052648488318</v>
      </c>
      <c r="O72" s="15"/>
      <c r="P72" s="49"/>
      <c r="Q72" s="49"/>
      <c r="R72" s="49"/>
      <c r="S72" s="49"/>
      <c r="T72" s="49"/>
      <c r="U72" s="49"/>
      <c r="V72" s="49"/>
      <c r="AJ72" s="43">
        <f t="shared" si="1"/>
        <v>65.68184642206903</v>
      </c>
      <c r="AL72" s="43">
        <f t="shared" si="1"/>
        <v>67.73606441552037</v>
      </c>
      <c r="AN72" s="43">
        <f t="shared" si="1"/>
        <v>48.663603017726686</v>
      </c>
      <c r="AP72" s="43">
        <f t="shared" si="1"/>
        <v>53.48059208421666</v>
      </c>
      <c r="AQ72" s="55"/>
      <c r="AR72" s="43">
        <f t="shared" si="2"/>
        <v>58.890526484883196</v>
      </c>
    </row>
    <row r="73" spans="2:44" ht="12.75">
      <c r="B73" s="14" t="s">
        <v>103</v>
      </c>
      <c r="D73" s="14" t="s">
        <v>69</v>
      </c>
      <c r="E73" s="41"/>
      <c r="F73" s="44">
        <f t="shared" si="5"/>
        <v>39.054070845554556</v>
      </c>
      <c r="H73" s="44">
        <f t="shared" si="5"/>
        <v>42.1062022042424</v>
      </c>
      <c r="I73" s="41"/>
      <c r="J73" s="44">
        <f t="shared" si="3"/>
        <v>34.24475767914099</v>
      </c>
      <c r="K73" s="41"/>
      <c r="L73" s="44">
        <f t="shared" si="4"/>
        <v>36.88316695463219</v>
      </c>
      <c r="M73" s="41"/>
      <c r="N73" s="43">
        <f t="shared" si="0"/>
        <v>38.07204942089253</v>
      </c>
      <c r="P73" s="49"/>
      <c r="Q73" s="49"/>
      <c r="R73" s="49"/>
      <c r="S73" s="49"/>
      <c r="T73" s="49"/>
      <c r="U73" s="49"/>
      <c r="V73" s="49"/>
      <c r="AJ73" s="43">
        <f t="shared" si="1"/>
        <v>39.054070845554556</v>
      </c>
      <c r="AL73" s="43">
        <f t="shared" si="1"/>
        <v>42.1062022042424</v>
      </c>
      <c r="AN73" s="43">
        <f t="shared" si="1"/>
        <v>34.24475767914099</v>
      </c>
      <c r="AP73" s="43">
        <f t="shared" si="1"/>
        <v>36.88316695463219</v>
      </c>
      <c r="AQ73" s="55"/>
      <c r="AR73" s="43">
        <f t="shared" si="2"/>
        <v>38.07204942089253</v>
      </c>
    </row>
    <row r="74" spans="2:44" ht="12.75">
      <c r="B74" s="14" t="s">
        <v>96</v>
      </c>
      <c r="D74" s="14" t="s">
        <v>69</v>
      </c>
      <c r="E74" s="41"/>
      <c r="F74" s="44">
        <f t="shared" si="5"/>
        <v>7.455777161424052</v>
      </c>
      <c r="H74" s="44">
        <f t="shared" si="5"/>
        <v>4.393690664790512</v>
      </c>
      <c r="I74" s="41"/>
      <c r="J74" s="44">
        <f t="shared" si="3"/>
        <v>9.372249470080694</v>
      </c>
      <c r="K74" s="41"/>
      <c r="L74" s="44">
        <f t="shared" si="4"/>
        <v>7.561049225699598</v>
      </c>
      <c r="M74" s="41"/>
      <c r="N74" s="43">
        <f t="shared" si="0"/>
        <v>7.195691630498715</v>
      </c>
      <c r="P74" s="49"/>
      <c r="Q74" s="49"/>
      <c r="R74" s="49"/>
      <c r="S74" s="49"/>
      <c r="T74" s="49"/>
      <c r="U74" s="49"/>
      <c r="V74" s="49"/>
      <c r="AJ74" s="43">
        <f t="shared" si="1"/>
        <v>7.455777161424052</v>
      </c>
      <c r="AL74" s="43">
        <f t="shared" si="1"/>
        <v>4.393690664790512</v>
      </c>
      <c r="AN74" s="43">
        <f t="shared" si="1"/>
        <v>9.372249470080694</v>
      </c>
      <c r="AP74" s="43">
        <f t="shared" si="1"/>
        <v>7.561049225699598</v>
      </c>
      <c r="AQ74" s="55"/>
      <c r="AR74" s="43">
        <f t="shared" si="2"/>
        <v>7.195691630498715</v>
      </c>
    </row>
    <row r="75" spans="2:44" ht="12.75">
      <c r="B75" s="14" t="s">
        <v>97</v>
      </c>
      <c r="D75" s="14" t="s">
        <v>69</v>
      </c>
      <c r="E75" s="41">
        <v>100</v>
      </c>
      <c r="F75" s="44">
        <f t="shared" si="5"/>
        <v>5.325555115302894</v>
      </c>
      <c r="G75" s="41">
        <v>100</v>
      </c>
      <c r="H75" s="44">
        <f t="shared" si="5"/>
        <v>5.492113330988141</v>
      </c>
      <c r="I75" s="41">
        <v>100</v>
      </c>
      <c r="J75" s="44">
        <f t="shared" si="3"/>
        <v>5.407067001969631</v>
      </c>
      <c r="K75" s="41">
        <v>100</v>
      </c>
      <c r="L75" s="44">
        <f t="shared" si="4"/>
        <v>5.532475043194827</v>
      </c>
      <c r="M75" s="41">
        <v>100</v>
      </c>
      <c r="N75" s="43">
        <f t="shared" si="0"/>
        <v>5.439302622863874</v>
      </c>
      <c r="P75" s="49"/>
      <c r="Q75" s="49"/>
      <c r="R75" s="49"/>
      <c r="S75" s="49"/>
      <c r="T75" s="49"/>
      <c r="U75" s="49"/>
      <c r="V75" s="49"/>
      <c r="AI75" s="39">
        <f>(F75*E75/100)/AJ75*100</f>
        <v>100</v>
      </c>
      <c r="AJ75" s="43">
        <f t="shared" si="1"/>
        <v>5.325555115302894</v>
      </c>
      <c r="AK75" s="39">
        <f>(H75*G75/100)/AL75*100</f>
        <v>100</v>
      </c>
      <c r="AL75" s="43">
        <f t="shared" si="1"/>
        <v>5.492113330988141</v>
      </c>
      <c r="AM75" s="39">
        <f>(J75*I75/100)/AN75*100</f>
        <v>100</v>
      </c>
      <c r="AN75" s="43">
        <f t="shared" si="1"/>
        <v>5.407067001969631</v>
      </c>
      <c r="AO75" s="39">
        <f>(L75*K75/100)/AP75*100</f>
        <v>100</v>
      </c>
      <c r="AP75" s="43">
        <f t="shared" si="1"/>
        <v>5.532475043194827</v>
      </c>
      <c r="AQ75" s="55">
        <f t="shared" si="6"/>
        <v>100</v>
      </c>
      <c r="AR75" s="43">
        <f t="shared" si="2"/>
        <v>5.439302622863873</v>
      </c>
    </row>
    <row r="76" spans="2:44" ht="12.75">
      <c r="B76" s="14" t="s">
        <v>104</v>
      </c>
      <c r="D76" s="14" t="s">
        <v>69</v>
      </c>
      <c r="E76" s="41">
        <v>100</v>
      </c>
      <c r="F76" s="44">
        <f t="shared" si="5"/>
        <v>10.651110230605788</v>
      </c>
      <c r="G76" s="41">
        <v>100</v>
      </c>
      <c r="H76" s="44">
        <f t="shared" si="5"/>
        <v>10.984226661976281</v>
      </c>
      <c r="I76" s="41">
        <v>100</v>
      </c>
      <c r="J76" s="44">
        <f t="shared" si="3"/>
        <v>10.814134003939262</v>
      </c>
      <c r="K76" s="41">
        <v>100</v>
      </c>
      <c r="L76" s="44">
        <f t="shared" si="4"/>
        <v>11.064950086389654</v>
      </c>
      <c r="M76" s="41">
        <v>100</v>
      </c>
      <c r="N76" s="43">
        <f t="shared" si="0"/>
        <v>10.878605245727748</v>
      </c>
      <c r="O76" s="43"/>
      <c r="P76" s="49"/>
      <c r="Q76" s="49"/>
      <c r="R76" s="49"/>
      <c r="S76" s="49"/>
      <c r="T76" s="49"/>
      <c r="U76" s="49"/>
      <c r="V76" s="49"/>
      <c r="AI76" s="39">
        <f>(F76*E76/100)/AJ76*100</f>
        <v>100</v>
      </c>
      <c r="AJ76" s="43">
        <f t="shared" si="1"/>
        <v>10.651110230605788</v>
      </c>
      <c r="AK76" s="39">
        <f>(H76*G76/100)/AL76*100</f>
        <v>100</v>
      </c>
      <c r="AL76" s="43">
        <f t="shared" si="1"/>
        <v>10.984226661976281</v>
      </c>
      <c r="AM76" s="39">
        <f>(J76*I76/100)/AN76*100</f>
        <v>100</v>
      </c>
      <c r="AN76" s="43">
        <f t="shared" si="1"/>
        <v>10.814134003939262</v>
      </c>
      <c r="AO76" s="39">
        <f>(L76*K76/100)/AP76*100</f>
        <v>100</v>
      </c>
      <c r="AP76" s="43">
        <f t="shared" si="1"/>
        <v>11.064950086389654</v>
      </c>
      <c r="AQ76" s="55">
        <f t="shared" si="6"/>
        <v>100</v>
      </c>
      <c r="AR76" s="43">
        <f t="shared" si="2"/>
        <v>10.878605245727746</v>
      </c>
    </row>
    <row r="77" spans="2:44" ht="12.75">
      <c r="B77" s="14" t="s">
        <v>106</v>
      </c>
      <c r="D77" s="14" t="s">
        <v>69</v>
      </c>
      <c r="E77" s="41">
        <v>100</v>
      </c>
      <c r="F77" s="44">
        <f t="shared" si="5"/>
        <v>10.651110230605788</v>
      </c>
      <c r="G77" s="41">
        <v>100</v>
      </c>
      <c r="H77" s="44">
        <f t="shared" si="5"/>
        <v>10.984226661976281</v>
      </c>
      <c r="I77" s="41">
        <v>100</v>
      </c>
      <c r="J77" s="44">
        <f t="shared" si="3"/>
        <v>10.814134003939262</v>
      </c>
      <c r="K77" s="41">
        <v>100</v>
      </c>
      <c r="L77" s="44">
        <f t="shared" si="4"/>
        <v>11.064950086389654</v>
      </c>
      <c r="M77" s="41">
        <v>100</v>
      </c>
      <c r="N77" s="43">
        <f t="shared" si="0"/>
        <v>10.878605245727748</v>
      </c>
      <c r="O77" s="15"/>
      <c r="P77" s="49"/>
      <c r="Q77" s="49"/>
      <c r="R77" s="49"/>
      <c r="S77" s="49"/>
      <c r="T77" s="49"/>
      <c r="U77" s="49"/>
      <c r="V77" s="49"/>
      <c r="AI77" s="39">
        <f>(F77*E77/100)/AJ77*100</f>
        <v>100</v>
      </c>
      <c r="AJ77" s="43">
        <f t="shared" si="1"/>
        <v>10.651110230605788</v>
      </c>
      <c r="AK77" s="39">
        <f>(H77*G77/100)/AL77*100</f>
        <v>100</v>
      </c>
      <c r="AL77" s="43">
        <f t="shared" si="1"/>
        <v>10.984226661976281</v>
      </c>
      <c r="AM77" s="39">
        <f>(J77*I77/100)/AN77*100</f>
        <v>100</v>
      </c>
      <c r="AN77" s="43">
        <f t="shared" si="1"/>
        <v>10.814134003939262</v>
      </c>
      <c r="AO77" s="39">
        <f>(L77*K77/100)/AP77*100</f>
        <v>100</v>
      </c>
      <c r="AP77" s="43">
        <f t="shared" si="1"/>
        <v>11.064950086389654</v>
      </c>
      <c r="AQ77" s="55">
        <f t="shared" si="6"/>
        <v>100</v>
      </c>
      <c r="AR77" s="43">
        <f t="shared" si="2"/>
        <v>10.878605245727746</v>
      </c>
    </row>
    <row r="78" spans="2:44" ht="12.75">
      <c r="B78" s="14" t="s">
        <v>197</v>
      </c>
      <c r="D78" s="14" t="s">
        <v>69</v>
      </c>
      <c r="E78" s="41"/>
      <c r="F78" s="44"/>
      <c r="H78" s="15"/>
      <c r="I78" s="41"/>
      <c r="J78" s="41"/>
      <c r="K78" s="41"/>
      <c r="N78" s="15"/>
      <c r="O78" s="15"/>
      <c r="P78" s="44">
        <f>P55*454/60/0.0283/P$57*(21-7)/(21-P$58)*1000000</f>
        <v>367.34233020521384</v>
      </c>
      <c r="Q78" s="41"/>
      <c r="R78" s="44">
        <f>R55*454/60/0.0283/R$57*(21-7)/(21-R$58)*1000000</f>
        <v>387.743197801985</v>
      </c>
      <c r="S78" s="15"/>
      <c r="T78" s="44">
        <f>T55*454/60/0.0283/T$57*(21-7)/(21-T$58)*1000000</f>
        <v>364.60185871811694</v>
      </c>
      <c r="V78" s="44">
        <f>V55*454/60/0.0283/V$57*(21-7)/(21-V$58)*1000000</f>
        <v>373.0725291828591</v>
      </c>
      <c r="W78" s="41"/>
      <c r="X78" s="43">
        <f>AVERAGE(P78,R78,T78,V78)</f>
        <v>373.1899789770437</v>
      </c>
      <c r="AJ78" s="43">
        <f t="shared" si="1"/>
        <v>367.34233020521384</v>
      </c>
      <c r="AL78" s="43">
        <f t="shared" si="1"/>
        <v>387.743197801985</v>
      </c>
      <c r="AN78" s="43">
        <f t="shared" si="1"/>
        <v>364.60185871811694</v>
      </c>
      <c r="AP78" s="43">
        <f t="shared" si="1"/>
        <v>373.0725291828591</v>
      </c>
      <c r="AQ78" s="55"/>
      <c r="AR78" s="55">
        <f>AVERAGE(AP78,AN78,AL78,AJ78)</f>
        <v>373.1899789770437</v>
      </c>
    </row>
    <row r="79" spans="2:44" ht="12.75">
      <c r="B79" s="14" t="s">
        <v>70</v>
      </c>
      <c r="D79" s="14" t="s">
        <v>69</v>
      </c>
      <c r="E79" s="41">
        <f>F71/F79*100</f>
        <v>4.545454545454546</v>
      </c>
      <c r="F79" s="44">
        <f>F74+F71</f>
        <v>7.810814169110912</v>
      </c>
      <c r="G79" s="41">
        <f>H71/H79*100</f>
        <v>7.6923076923076925</v>
      </c>
      <c r="H79" s="44">
        <f>H74+H71</f>
        <v>4.759831553523054</v>
      </c>
      <c r="I79" s="41">
        <f>J71/J79*100</f>
        <v>3.703703703703703</v>
      </c>
      <c r="J79" s="44">
        <f>J74+J71</f>
        <v>9.732720603545337</v>
      </c>
      <c r="K79" s="41">
        <f>L71/L79*100</f>
        <v>4.651162790697675</v>
      </c>
      <c r="L79" s="44">
        <f>L74+L71</f>
        <v>7.92988089524592</v>
      </c>
      <c r="M79" s="55">
        <f>SUM((L79*K79/100),(J79*I79/100),(H79*G79/100),(F79*E79/100))/N79*100/4</f>
        <v>4.7976345008764465</v>
      </c>
      <c r="N79" s="43">
        <f>AVERAGE(F79,H79,J79,L79)</f>
        <v>7.558311805356305</v>
      </c>
      <c r="O79" s="15"/>
      <c r="P79" s="63"/>
      <c r="Q79" s="53"/>
      <c r="R79" s="63"/>
      <c r="S79" s="63"/>
      <c r="T79" s="63"/>
      <c r="U79" s="53"/>
      <c r="V79" s="63"/>
      <c r="X79" s="65"/>
      <c r="Y79" s="65"/>
      <c r="AI79" s="39">
        <f>(F79*E79/100)/AJ79*100</f>
        <v>4.545454545454546</v>
      </c>
      <c r="AJ79" s="46">
        <f aca="true" t="shared" si="7" ref="AJ79:AP80">SUM(Z79,P79,F79)</f>
        <v>7.810814169110912</v>
      </c>
      <c r="AK79" s="39">
        <f>(H79*G79/100)/AL79*100</f>
        <v>7.692307692307692</v>
      </c>
      <c r="AL79" s="46">
        <f t="shared" si="7"/>
        <v>4.759831553523054</v>
      </c>
      <c r="AM79" s="39">
        <f>(J79*I79/100)/AN79*100</f>
        <v>3.703703703703703</v>
      </c>
      <c r="AN79" s="46">
        <f t="shared" si="7"/>
        <v>9.732720603545337</v>
      </c>
      <c r="AO79" s="39">
        <f>(L79*K79/100)/AP79*100</f>
        <v>4.651162790697675</v>
      </c>
      <c r="AP79" s="46">
        <f t="shared" si="7"/>
        <v>7.92988089524592</v>
      </c>
      <c r="AQ79" s="55">
        <f t="shared" si="6"/>
        <v>4.7976345008764465</v>
      </c>
      <c r="AR79" s="43">
        <f t="shared" si="2"/>
        <v>7.558311805356306</v>
      </c>
    </row>
    <row r="80" spans="2:44" ht="12.75">
      <c r="B80" s="14" t="s">
        <v>71</v>
      </c>
      <c r="D80" s="14" t="s">
        <v>69</v>
      </c>
      <c r="E80" s="41">
        <f>SUM(F68,F70)/F80*100</f>
        <v>35.201401050788085</v>
      </c>
      <c r="F80" s="44">
        <f>F72+F68+F70</f>
        <v>101.36306569459842</v>
      </c>
      <c r="G80" s="41">
        <f>SUM(H68,H70)/H80*100</f>
        <v>35.20140105078811</v>
      </c>
      <c r="H80" s="44">
        <f>H72+H68+H70</f>
        <v>104.53322373314091</v>
      </c>
      <c r="I80" s="41">
        <f>SUM(J68,J70)/J80*100</f>
        <v>42.675159235668794</v>
      </c>
      <c r="J80" s="44">
        <f>J72+J68+J70</f>
        <v>84.89095193092322</v>
      </c>
      <c r="K80" s="41">
        <f>SUM(L68,L70)/L80*100</f>
        <v>40.936863543788185</v>
      </c>
      <c r="L80" s="44">
        <f>L72+L68+L70</f>
        <v>90.54817487362202</v>
      </c>
      <c r="M80" s="55">
        <f>SUM((L80*K80/100),(J80*I80/100),(H80*G80/100),(F80*E80/100))/N80*100/4</f>
        <v>38.22705788332974</v>
      </c>
      <c r="N80" s="43">
        <f>AVERAGE(F80,H80,J80,L80)</f>
        <v>95.33385405807114</v>
      </c>
      <c r="O80" s="15"/>
      <c r="P80" s="46">
        <f>P78+P68</f>
        <v>380.81454280442705</v>
      </c>
      <c r="R80" s="46">
        <f>R78+R68</f>
        <v>401.9636084793194</v>
      </c>
      <c r="T80" s="46">
        <f>T78+T68</f>
        <v>377.97356502807236</v>
      </c>
      <c r="V80" s="46">
        <f>V78+V68</f>
        <v>386.7548957788075</v>
      </c>
      <c r="X80" s="43">
        <f>AVERAGE(P80,R80,T80,V80)</f>
        <v>386.87665302265657</v>
      </c>
      <c r="Y80" s="65"/>
      <c r="AI80" s="39">
        <f>(F80*E80/100)/AJ80*100</f>
        <v>7.400015812348013</v>
      </c>
      <c r="AJ80" s="46">
        <f t="shared" si="7"/>
        <v>482.1776084990255</v>
      </c>
      <c r="AK80" s="39">
        <f>(H80*G80/100)/AL80*100</f>
        <v>7.265032469578257</v>
      </c>
      <c r="AL80" s="46">
        <f t="shared" si="7"/>
        <v>506.49683221246033</v>
      </c>
      <c r="AM80" s="39">
        <f>(J80*I80/100)/AN80*100</f>
        <v>7.826771676344735</v>
      </c>
      <c r="AN80" s="46">
        <f t="shared" si="7"/>
        <v>462.8645169589956</v>
      </c>
      <c r="AO80" s="39">
        <f>(L80*K80/100)/AP80*100</f>
        <v>7.766047416945665</v>
      </c>
      <c r="AP80" s="46">
        <f t="shared" si="7"/>
        <v>477.30307065242954</v>
      </c>
      <c r="AQ80" s="55">
        <f t="shared" si="6"/>
        <v>7.557555681192758</v>
      </c>
      <c r="AR80" s="55">
        <f t="shared" si="2"/>
        <v>482.2105070807278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B1">
      <selection activeCell="E23" sqref="E23"/>
    </sheetView>
  </sheetViews>
  <sheetFormatPr defaultColWidth="9.140625" defaultRowHeight="12.75"/>
  <cols>
    <col min="1" max="1" width="9.140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8" t="s">
        <v>81</v>
      </c>
      <c r="C1" s="19"/>
      <c r="D1" s="19"/>
      <c r="E1" s="19"/>
      <c r="F1" s="19"/>
    </row>
    <row r="2" spans="2:6" ht="12.75">
      <c r="B2" s="19"/>
      <c r="C2" s="19"/>
      <c r="D2" s="19"/>
      <c r="E2" s="19"/>
      <c r="F2" s="19"/>
    </row>
    <row r="3" spans="1:7" ht="12.75">
      <c r="A3" t="s">
        <v>119</v>
      </c>
      <c r="B3" s="8" t="s">
        <v>166</v>
      </c>
      <c r="C3" s="19"/>
      <c r="D3" s="19"/>
      <c r="E3" s="61" t="s">
        <v>174</v>
      </c>
      <c r="F3" s="61" t="s">
        <v>175</v>
      </c>
      <c r="G3" s="61" t="s">
        <v>176</v>
      </c>
    </row>
    <row r="4" spans="2:6" ht="12.75">
      <c r="B4" s="19"/>
      <c r="C4" s="19"/>
      <c r="D4" s="19"/>
      <c r="E4" s="19"/>
      <c r="F4" s="19"/>
    </row>
    <row r="5" spans="2:7" ht="14.25">
      <c r="B5" s="19" t="s">
        <v>133</v>
      </c>
      <c r="C5" s="9" t="s">
        <v>167</v>
      </c>
      <c r="D5" s="9"/>
      <c r="E5" s="19">
        <v>1072</v>
      </c>
      <c r="F5" s="19">
        <v>1076</v>
      </c>
      <c r="G5">
        <v>1074</v>
      </c>
    </row>
    <row r="6" spans="2:7" ht="12.75">
      <c r="B6" s="19" t="s">
        <v>168</v>
      </c>
      <c r="C6" s="19" t="s">
        <v>63</v>
      </c>
      <c r="D6" s="19"/>
      <c r="E6" s="19">
        <v>7.6</v>
      </c>
      <c r="F6" s="19">
        <v>7.4</v>
      </c>
      <c r="G6">
        <v>7.3</v>
      </c>
    </row>
    <row r="7" spans="2:7" ht="12.75">
      <c r="B7" s="19" t="s">
        <v>169</v>
      </c>
      <c r="C7" s="19" t="s">
        <v>64</v>
      </c>
      <c r="D7" s="19"/>
      <c r="E7" s="47">
        <v>29.8</v>
      </c>
      <c r="F7" s="19">
        <v>29.8</v>
      </c>
      <c r="G7">
        <v>30.8</v>
      </c>
    </row>
    <row r="8" spans="2:7" ht="12.75">
      <c r="B8" s="19" t="s">
        <v>170</v>
      </c>
      <c r="C8" s="19" t="s">
        <v>171</v>
      </c>
      <c r="D8" s="19"/>
      <c r="E8" s="48">
        <v>81.9</v>
      </c>
      <c r="F8" s="19">
        <v>81.8</v>
      </c>
      <c r="G8">
        <v>81.6</v>
      </c>
    </row>
    <row r="9" spans="2:7" ht="12.75">
      <c r="B9" s="19" t="s">
        <v>172</v>
      </c>
      <c r="C9" s="19" t="s">
        <v>65</v>
      </c>
      <c r="D9" s="19"/>
      <c r="E9" s="19">
        <v>0</v>
      </c>
      <c r="F9" s="19">
        <v>0</v>
      </c>
      <c r="G9">
        <v>0.06</v>
      </c>
    </row>
    <row r="10" spans="2:6" ht="12.75">
      <c r="B10" s="19"/>
      <c r="C10" s="19"/>
      <c r="D10" s="19"/>
      <c r="E10" s="19"/>
      <c r="F10" s="19"/>
    </row>
    <row r="11" spans="1:8" ht="12.75">
      <c r="A11" t="s">
        <v>119</v>
      </c>
      <c r="B11" s="8" t="s">
        <v>173</v>
      </c>
      <c r="C11" s="19"/>
      <c r="D11" s="19"/>
      <c r="E11" s="61" t="s">
        <v>174</v>
      </c>
      <c r="F11" s="61" t="s">
        <v>175</v>
      </c>
      <c r="G11" s="67" t="s">
        <v>177</v>
      </c>
      <c r="H11" s="67" t="s">
        <v>176</v>
      </c>
    </row>
    <row r="12" spans="2:4" ht="12.75">
      <c r="B12" s="19"/>
      <c r="C12" s="19"/>
      <c r="D12" s="19"/>
    </row>
    <row r="13" spans="2:8" ht="14.25">
      <c r="B13" s="19" t="s">
        <v>133</v>
      </c>
      <c r="C13" s="9" t="s">
        <v>167</v>
      </c>
      <c r="D13" s="9"/>
      <c r="E13" s="47">
        <v>1144</v>
      </c>
      <c r="F13" s="19">
        <v>1144</v>
      </c>
      <c r="G13">
        <v>1146</v>
      </c>
      <c r="H13">
        <v>1147</v>
      </c>
    </row>
    <row r="14" spans="2:8" ht="12.75">
      <c r="B14" s="19" t="s">
        <v>168</v>
      </c>
      <c r="C14" s="19" t="s">
        <v>63</v>
      </c>
      <c r="D14" s="19"/>
      <c r="E14" s="48">
        <v>7.6</v>
      </c>
      <c r="F14" s="19">
        <v>7.6</v>
      </c>
      <c r="G14">
        <v>7.6</v>
      </c>
      <c r="H14">
        <v>7.6</v>
      </c>
    </row>
    <row r="15" spans="2:8" ht="12.75">
      <c r="B15" s="19" t="s">
        <v>169</v>
      </c>
      <c r="C15" s="19" t="s">
        <v>64</v>
      </c>
      <c r="E15">
        <v>30.1</v>
      </c>
      <c r="F15" s="19">
        <v>29.9</v>
      </c>
      <c r="G15">
        <v>29.8</v>
      </c>
      <c r="H15">
        <v>32.3</v>
      </c>
    </row>
    <row r="16" spans="2:8" ht="12.75">
      <c r="B16" s="19" t="s">
        <v>170</v>
      </c>
      <c r="C16" s="19" t="s">
        <v>171</v>
      </c>
      <c r="E16">
        <v>81.5</v>
      </c>
      <c r="F16" s="19">
        <v>81.5</v>
      </c>
      <c r="G16">
        <v>82</v>
      </c>
      <c r="H16">
        <v>82</v>
      </c>
    </row>
    <row r="17" spans="2:8" ht="12.75">
      <c r="B17" s="19" t="s">
        <v>172</v>
      </c>
      <c r="C17" s="19" t="s">
        <v>65</v>
      </c>
      <c r="D17" s="19"/>
      <c r="E17" s="47">
        <v>0.1</v>
      </c>
      <c r="F17" s="19">
        <v>0.2</v>
      </c>
      <c r="G17">
        <v>0.3</v>
      </c>
      <c r="H17">
        <v>0.2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zoomScale="75" zoomScaleNormal="75" workbookViewId="0" topLeftCell="A17">
      <selection activeCell="E44" sqref="E44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8.28125" style="0" customWidth="1"/>
    <col min="4" max="4" width="4.8515625" style="0" customWidth="1"/>
    <col min="5" max="5" width="9.421875" style="0" customWidth="1"/>
    <col min="6" max="6" width="9.8515625" style="0" customWidth="1"/>
    <col min="7" max="7" width="9.421875" style="0" bestFit="1" customWidth="1"/>
    <col min="8" max="8" width="9.8515625" style="0" customWidth="1"/>
    <col min="9" max="9" width="6.8515625" style="0" customWidth="1"/>
    <col min="10" max="10" width="9.421875" style="0" bestFit="1" customWidth="1"/>
    <col min="11" max="11" width="9.28125" style="0" customWidth="1"/>
    <col min="13" max="13" width="9.28125" style="0" customWidth="1"/>
    <col min="14" max="14" width="6.28125" style="0" customWidth="1"/>
    <col min="16" max="16" width="9.00390625" style="0" customWidth="1"/>
    <col min="18" max="18" width="9.00390625" style="0" customWidth="1"/>
  </cols>
  <sheetData>
    <row r="1" spans="1:18" ht="12.75">
      <c r="A1" s="56" t="s">
        <v>83</v>
      </c>
      <c r="B1" s="39"/>
      <c r="C1" s="39"/>
      <c r="D1" s="39"/>
      <c r="E1" s="49"/>
      <c r="F1" s="50"/>
      <c r="G1" s="49"/>
      <c r="H1" s="50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39" t="s">
        <v>226</v>
      </c>
      <c r="B2" s="39"/>
      <c r="C2" s="39"/>
      <c r="D2" s="39"/>
      <c r="E2" s="49"/>
      <c r="F2" s="50"/>
      <c r="G2" s="49"/>
      <c r="H2" s="50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39" t="s">
        <v>20</v>
      </c>
      <c r="B3" s="39"/>
      <c r="C3" s="14" t="str">
        <f>source!C5</f>
        <v>Squibb Manufacturing, Inc.</v>
      </c>
      <c r="D3" s="14"/>
      <c r="E3" s="49"/>
      <c r="F3" s="50"/>
      <c r="G3" s="49"/>
      <c r="H3" s="50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39" t="s">
        <v>21</v>
      </c>
      <c r="B4" s="39"/>
      <c r="C4" s="14" t="s">
        <v>150</v>
      </c>
      <c r="D4" s="14"/>
      <c r="E4" s="51"/>
      <c r="F4" s="52"/>
      <c r="G4" s="51"/>
      <c r="H4" s="52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>
      <c r="A5" s="39" t="s">
        <v>22</v>
      </c>
      <c r="B5" s="39"/>
      <c r="C5" s="19" t="str">
        <f>cond!C10</f>
        <v>Trial burn, min oper temp cond</v>
      </c>
      <c r="D5" s="19"/>
      <c r="E5" s="19"/>
      <c r="F5" s="19"/>
      <c r="G5" s="19"/>
      <c r="H5" s="19"/>
      <c r="I5" s="19"/>
      <c r="J5" s="19"/>
      <c r="K5" s="49"/>
      <c r="L5" s="19"/>
      <c r="M5" s="49"/>
      <c r="N5" s="49"/>
      <c r="O5" s="49"/>
      <c r="P5" s="49"/>
      <c r="Q5" s="49"/>
      <c r="R5" s="49"/>
    </row>
    <row r="6" spans="1:18" ht="12.75">
      <c r="A6" s="39"/>
      <c r="B6" s="39"/>
      <c r="C6" s="41"/>
      <c r="D6" s="41"/>
      <c r="E6" s="53"/>
      <c r="F6" s="50"/>
      <c r="G6" s="53"/>
      <c r="H6" s="50"/>
      <c r="I6" s="49"/>
      <c r="J6" s="53"/>
      <c r="K6" s="49"/>
      <c r="L6" s="53"/>
      <c r="M6" s="49"/>
      <c r="N6" s="49"/>
      <c r="O6" s="53"/>
      <c r="P6" s="49"/>
      <c r="Q6" s="53"/>
      <c r="R6" s="49"/>
    </row>
    <row r="7" spans="1:18" ht="12.75">
      <c r="A7" s="39"/>
      <c r="B7" s="39"/>
      <c r="C7" s="41" t="s">
        <v>23</v>
      </c>
      <c r="D7" s="41"/>
      <c r="E7" s="54" t="s">
        <v>60</v>
      </c>
      <c r="F7" s="54"/>
      <c r="G7" s="54"/>
      <c r="H7" s="54"/>
      <c r="I7" s="18"/>
      <c r="J7" s="54" t="s">
        <v>61</v>
      </c>
      <c r="K7" s="54"/>
      <c r="L7" s="54"/>
      <c r="M7" s="54"/>
      <c r="N7" s="18"/>
      <c r="O7" s="54" t="s">
        <v>62</v>
      </c>
      <c r="P7" s="54"/>
      <c r="Q7" s="54"/>
      <c r="R7" s="54"/>
    </row>
    <row r="8" spans="1:18" ht="12.75">
      <c r="A8" s="39"/>
      <c r="B8" s="39"/>
      <c r="C8" s="41" t="s">
        <v>24</v>
      </c>
      <c r="D8" s="39"/>
      <c r="E8" s="53" t="s">
        <v>25</v>
      </c>
      <c r="F8" s="52" t="s">
        <v>26</v>
      </c>
      <c r="G8" s="53" t="s">
        <v>25</v>
      </c>
      <c r="H8" s="52" t="s">
        <v>26</v>
      </c>
      <c r="I8" s="49"/>
      <c r="J8" s="53" t="s">
        <v>25</v>
      </c>
      <c r="K8" s="53" t="s">
        <v>27</v>
      </c>
      <c r="L8" s="53" t="s">
        <v>25</v>
      </c>
      <c r="M8" s="53" t="s">
        <v>27</v>
      </c>
      <c r="N8" s="49"/>
      <c r="O8" s="53" t="s">
        <v>25</v>
      </c>
      <c r="P8" s="53" t="s">
        <v>27</v>
      </c>
      <c r="Q8" s="53" t="s">
        <v>25</v>
      </c>
      <c r="R8" s="53" t="s">
        <v>27</v>
      </c>
    </row>
    <row r="9" spans="1:18" ht="12.75">
      <c r="A9" s="39"/>
      <c r="B9" s="39"/>
      <c r="C9" s="41"/>
      <c r="D9" s="39"/>
      <c r="E9" s="53" t="s">
        <v>225</v>
      </c>
      <c r="F9" s="53" t="s">
        <v>225</v>
      </c>
      <c r="G9" s="53" t="s">
        <v>82</v>
      </c>
      <c r="H9" s="52" t="s">
        <v>82</v>
      </c>
      <c r="I9" s="49"/>
      <c r="J9" s="53" t="s">
        <v>225</v>
      </c>
      <c r="K9" s="53" t="s">
        <v>225</v>
      </c>
      <c r="L9" s="53" t="s">
        <v>82</v>
      </c>
      <c r="M9" s="52" t="s">
        <v>82</v>
      </c>
      <c r="N9" s="49"/>
      <c r="O9" s="53" t="s">
        <v>225</v>
      </c>
      <c r="P9" s="53" t="s">
        <v>225</v>
      </c>
      <c r="Q9" s="53" t="s">
        <v>82</v>
      </c>
      <c r="R9" s="52" t="s">
        <v>82</v>
      </c>
    </row>
    <row r="10" spans="1:18" ht="12.75">
      <c r="A10" s="39" t="s">
        <v>159</v>
      </c>
      <c r="B10" s="39"/>
      <c r="C10" s="39"/>
      <c r="D10" s="39"/>
      <c r="E10" s="49"/>
      <c r="F10" s="50"/>
      <c r="G10" s="49"/>
      <c r="H10" s="50"/>
      <c r="I10" s="49"/>
      <c r="J10" s="49"/>
      <c r="K10" s="49"/>
      <c r="L10" s="49"/>
      <c r="M10" s="49"/>
      <c r="N10" s="49"/>
      <c r="O10" s="43"/>
      <c r="P10" s="55">
        <f aca="true" t="shared" si="0" ref="P10:R35">IF(O10="","",O10*$C10)</f>
      </c>
      <c r="Q10" s="55">
        <f aca="true" t="shared" si="1" ref="Q10:Q35">IF(O10=0,"",IF(N10="nd",O10/2,O10))</f>
      </c>
      <c r="R10" s="55">
        <f t="shared" si="0"/>
      </c>
    </row>
    <row r="11" spans="1:18" ht="12.75">
      <c r="A11" s="39"/>
      <c r="B11" s="39" t="s">
        <v>28</v>
      </c>
      <c r="C11" s="41">
        <v>1</v>
      </c>
      <c r="D11" s="41" t="s">
        <v>29</v>
      </c>
      <c r="E11" s="55">
        <v>3.8</v>
      </c>
      <c r="F11" s="55">
        <f aca="true" t="shared" si="2" ref="F11:H35">IF(E11="","",E11*$C11)</f>
        <v>3.8</v>
      </c>
      <c r="G11" s="55">
        <f aca="true" t="shared" si="3" ref="G11:G26">IF(E11=0,"",IF(D11="nd",E11/2,E11))</f>
        <v>1.9</v>
      </c>
      <c r="H11" s="55">
        <f t="shared" si="2"/>
        <v>1.9</v>
      </c>
      <c r="I11" s="50" t="s">
        <v>29</v>
      </c>
      <c r="J11" s="55">
        <v>4.2</v>
      </c>
      <c r="K11" s="55">
        <f aca="true" t="shared" si="4" ref="K11:M35">IF(J11="","",J11*$C11)</f>
        <v>4.2</v>
      </c>
      <c r="L11" s="55">
        <f aca="true" t="shared" si="5" ref="L11:L35">IF(J11=0,"",IF(I11="nd",J11/2,J11))</f>
        <v>2.1</v>
      </c>
      <c r="M11" s="55">
        <f t="shared" si="4"/>
        <v>2.1</v>
      </c>
      <c r="N11" s="50" t="s">
        <v>29</v>
      </c>
      <c r="O11" s="55">
        <v>3.9</v>
      </c>
      <c r="P11" s="55">
        <f t="shared" si="0"/>
        <v>3.9</v>
      </c>
      <c r="Q11" s="55">
        <f t="shared" si="1"/>
        <v>1.95</v>
      </c>
      <c r="R11" s="55">
        <f t="shared" si="0"/>
        <v>1.95</v>
      </c>
    </row>
    <row r="12" spans="1:18" ht="12.75">
      <c r="A12" s="39"/>
      <c r="B12" s="39" t="s">
        <v>123</v>
      </c>
      <c r="C12" s="41">
        <v>0</v>
      </c>
      <c r="D12" s="41"/>
      <c r="E12" s="43">
        <v>5.7</v>
      </c>
      <c r="F12" s="46">
        <f t="shared" si="2"/>
        <v>0</v>
      </c>
      <c r="G12" s="46">
        <f t="shared" si="3"/>
        <v>5.7</v>
      </c>
      <c r="H12" s="46">
        <f t="shared" si="2"/>
        <v>0</v>
      </c>
      <c r="I12" s="50" t="s">
        <v>29</v>
      </c>
      <c r="J12" s="43">
        <v>4.2</v>
      </c>
      <c r="K12" s="46">
        <f t="shared" si="4"/>
        <v>0</v>
      </c>
      <c r="L12" s="46">
        <f t="shared" si="5"/>
        <v>2.1</v>
      </c>
      <c r="M12" s="46">
        <f t="shared" si="4"/>
        <v>0</v>
      </c>
      <c r="N12" s="50" t="s">
        <v>29</v>
      </c>
      <c r="O12" s="43">
        <v>3.9</v>
      </c>
      <c r="P12" s="46">
        <f t="shared" si="0"/>
        <v>0</v>
      </c>
      <c r="Q12" s="46">
        <f t="shared" si="1"/>
        <v>1.95</v>
      </c>
      <c r="R12" s="46">
        <f t="shared" si="0"/>
        <v>0</v>
      </c>
    </row>
    <row r="13" spans="1:18" ht="12.75">
      <c r="A13" s="39"/>
      <c r="B13" s="39" t="s">
        <v>30</v>
      </c>
      <c r="C13" s="41">
        <v>0.5</v>
      </c>
      <c r="D13" s="41" t="s">
        <v>29</v>
      </c>
      <c r="E13" s="43">
        <v>3.1</v>
      </c>
      <c r="F13" s="46">
        <f t="shared" si="2"/>
        <v>1.55</v>
      </c>
      <c r="G13" s="46">
        <f t="shared" si="3"/>
        <v>1.55</v>
      </c>
      <c r="H13" s="46">
        <f t="shared" si="2"/>
        <v>0.775</v>
      </c>
      <c r="I13" s="50" t="s">
        <v>29</v>
      </c>
      <c r="J13" s="43">
        <v>3.2</v>
      </c>
      <c r="K13" s="46">
        <f t="shared" si="4"/>
        <v>1.6</v>
      </c>
      <c r="L13" s="46">
        <f t="shared" si="5"/>
        <v>1.6</v>
      </c>
      <c r="M13" s="46">
        <f t="shared" si="4"/>
        <v>0.8</v>
      </c>
      <c r="N13" s="50" t="s">
        <v>29</v>
      </c>
      <c r="O13" s="43">
        <v>2.3</v>
      </c>
      <c r="P13" s="46">
        <f t="shared" si="0"/>
        <v>1.15</v>
      </c>
      <c r="Q13" s="46">
        <f t="shared" si="1"/>
        <v>1.15</v>
      </c>
      <c r="R13" s="46">
        <f t="shared" si="0"/>
        <v>0.575</v>
      </c>
    </row>
    <row r="14" spans="1:18" ht="12.75">
      <c r="A14" s="39"/>
      <c r="B14" s="39" t="s">
        <v>124</v>
      </c>
      <c r="C14" s="41">
        <v>0</v>
      </c>
      <c r="D14" s="41"/>
      <c r="E14" s="43">
        <v>4.6</v>
      </c>
      <c r="F14" s="46">
        <f t="shared" si="2"/>
        <v>0</v>
      </c>
      <c r="G14" s="46">
        <f t="shared" si="3"/>
        <v>4.6</v>
      </c>
      <c r="H14" s="46">
        <f t="shared" si="2"/>
        <v>0</v>
      </c>
      <c r="I14" s="50" t="s">
        <v>29</v>
      </c>
      <c r="J14" s="43">
        <v>3.2</v>
      </c>
      <c r="K14" s="46">
        <f t="shared" si="4"/>
        <v>0</v>
      </c>
      <c r="L14" s="46">
        <f t="shared" si="5"/>
        <v>1.6</v>
      </c>
      <c r="M14" s="46">
        <f t="shared" si="4"/>
        <v>0</v>
      </c>
      <c r="N14" s="50" t="s">
        <v>29</v>
      </c>
      <c r="O14" s="43">
        <v>2.5</v>
      </c>
      <c r="P14" s="46">
        <f t="shared" si="0"/>
        <v>0</v>
      </c>
      <c r="Q14" s="46">
        <f t="shared" si="1"/>
        <v>1.25</v>
      </c>
      <c r="R14" s="46">
        <f t="shared" si="0"/>
        <v>0</v>
      </c>
    </row>
    <row r="15" spans="1:18" ht="12.75">
      <c r="A15" s="39"/>
      <c r="B15" s="39" t="s">
        <v>31</v>
      </c>
      <c r="C15" s="41">
        <v>0.1</v>
      </c>
      <c r="D15" s="41" t="s">
        <v>29</v>
      </c>
      <c r="E15" s="43">
        <v>3.7</v>
      </c>
      <c r="F15" s="46">
        <f t="shared" si="2"/>
        <v>0.37000000000000005</v>
      </c>
      <c r="G15" s="46">
        <f t="shared" si="3"/>
        <v>1.85</v>
      </c>
      <c r="H15" s="46">
        <f t="shared" si="2"/>
        <v>0.18500000000000003</v>
      </c>
      <c r="I15" s="50" t="s">
        <v>29</v>
      </c>
      <c r="J15" s="43">
        <v>6.6</v>
      </c>
      <c r="K15" s="46">
        <f t="shared" si="4"/>
        <v>0.66</v>
      </c>
      <c r="L15" s="46">
        <f t="shared" si="5"/>
        <v>3.3</v>
      </c>
      <c r="M15" s="46">
        <f t="shared" si="4"/>
        <v>0.33</v>
      </c>
      <c r="N15" s="50" t="s">
        <v>29</v>
      </c>
      <c r="O15" s="43">
        <v>3.6</v>
      </c>
      <c r="P15" s="46">
        <f t="shared" si="0"/>
        <v>0.36000000000000004</v>
      </c>
      <c r="Q15" s="46">
        <f t="shared" si="1"/>
        <v>1.8</v>
      </c>
      <c r="R15" s="46">
        <f t="shared" si="0"/>
        <v>0.18000000000000002</v>
      </c>
    </row>
    <row r="16" spans="1:18" ht="12.75">
      <c r="A16" s="39"/>
      <c r="B16" s="39" t="s">
        <v>32</v>
      </c>
      <c r="C16" s="41">
        <v>0.1</v>
      </c>
      <c r="D16" s="41" t="s">
        <v>29</v>
      </c>
      <c r="E16" s="43">
        <v>3</v>
      </c>
      <c r="F16" s="46">
        <f t="shared" si="2"/>
        <v>0.30000000000000004</v>
      </c>
      <c r="G16" s="46">
        <f t="shared" si="3"/>
        <v>1.5</v>
      </c>
      <c r="H16" s="46">
        <f t="shared" si="2"/>
        <v>0.15000000000000002</v>
      </c>
      <c r="I16" s="50" t="s">
        <v>29</v>
      </c>
      <c r="J16" s="43">
        <v>5.4</v>
      </c>
      <c r="K16" s="46">
        <f t="shared" si="4"/>
        <v>0.54</v>
      </c>
      <c r="L16" s="46">
        <f t="shared" si="5"/>
        <v>2.7</v>
      </c>
      <c r="M16" s="46">
        <f t="shared" si="4"/>
        <v>0.27</v>
      </c>
      <c r="N16" s="50" t="s">
        <v>29</v>
      </c>
      <c r="O16" s="43">
        <v>3</v>
      </c>
      <c r="P16" s="46">
        <f t="shared" si="0"/>
        <v>0.30000000000000004</v>
      </c>
      <c r="Q16" s="46">
        <f t="shared" si="1"/>
        <v>1.5</v>
      </c>
      <c r="R16" s="46">
        <f t="shared" si="0"/>
        <v>0.15000000000000002</v>
      </c>
    </row>
    <row r="17" spans="1:18" ht="12.75">
      <c r="A17" s="39"/>
      <c r="B17" s="39" t="s">
        <v>33</v>
      </c>
      <c r="C17" s="41">
        <v>0.1</v>
      </c>
      <c r="D17" s="41" t="s">
        <v>29</v>
      </c>
      <c r="E17" s="43">
        <v>3</v>
      </c>
      <c r="F17" s="46">
        <f t="shared" si="2"/>
        <v>0.30000000000000004</v>
      </c>
      <c r="G17" s="46">
        <f t="shared" si="3"/>
        <v>1.5</v>
      </c>
      <c r="H17" s="46">
        <f t="shared" si="2"/>
        <v>0.15000000000000002</v>
      </c>
      <c r="I17" s="50" t="s">
        <v>29</v>
      </c>
      <c r="J17" s="43">
        <v>5.3</v>
      </c>
      <c r="K17" s="46">
        <f t="shared" si="4"/>
        <v>0.53</v>
      </c>
      <c r="L17" s="46">
        <f t="shared" si="5"/>
        <v>2.65</v>
      </c>
      <c r="M17" s="46">
        <f t="shared" si="4"/>
        <v>0.265</v>
      </c>
      <c r="N17" s="50" t="s">
        <v>29</v>
      </c>
      <c r="O17" s="43">
        <v>2.9</v>
      </c>
      <c r="P17" s="46">
        <f t="shared" si="0"/>
        <v>0.29</v>
      </c>
      <c r="Q17" s="46">
        <f t="shared" si="1"/>
        <v>1.45</v>
      </c>
      <c r="R17" s="46">
        <f t="shared" si="0"/>
        <v>0.145</v>
      </c>
    </row>
    <row r="18" spans="1:18" ht="12.75">
      <c r="A18" s="39"/>
      <c r="B18" s="39" t="s">
        <v>125</v>
      </c>
      <c r="C18" s="41">
        <v>0</v>
      </c>
      <c r="D18" s="41"/>
      <c r="E18" s="43">
        <v>13</v>
      </c>
      <c r="F18" s="46">
        <f t="shared" si="2"/>
        <v>0</v>
      </c>
      <c r="G18" s="46">
        <f t="shared" si="3"/>
        <v>13</v>
      </c>
      <c r="H18" s="46">
        <f t="shared" si="2"/>
        <v>0</v>
      </c>
      <c r="I18" s="50" t="s">
        <v>29</v>
      </c>
      <c r="J18" s="43">
        <v>6.6</v>
      </c>
      <c r="K18" s="46">
        <f t="shared" si="4"/>
        <v>0</v>
      </c>
      <c r="L18" s="46">
        <f t="shared" si="5"/>
        <v>3.3</v>
      </c>
      <c r="M18" s="46">
        <f t="shared" si="4"/>
        <v>0</v>
      </c>
      <c r="N18" s="50"/>
      <c r="O18" s="43">
        <v>6.2</v>
      </c>
      <c r="P18" s="46">
        <f t="shared" si="0"/>
        <v>0</v>
      </c>
      <c r="Q18" s="46">
        <f t="shared" si="1"/>
        <v>6.2</v>
      </c>
      <c r="R18" s="46">
        <f t="shared" si="0"/>
        <v>0</v>
      </c>
    </row>
    <row r="19" spans="1:18" ht="12.75">
      <c r="A19" s="39"/>
      <c r="B19" s="39" t="s">
        <v>34</v>
      </c>
      <c r="C19" s="41">
        <v>0.01</v>
      </c>
      <c r="D19" s="41"/>
      <c r="E19" s="43">
        <v>8.8</v>
      </c>
      <c r="F19" s="46">
        <f t="shared" si="2"/>
        <v>0.08800000000000001</v>
      </c>
      <c r="G19" s="46">
        <f t="shared" si="3"/>
        <v>8.8</v>
      </c>
      <c r="H19" s="46">
        <f t="shared" si="2"/>
        <v>0.08800000000000001</v>
      </c>
      <c r="I19" s="50"/>
      <c r="J19" s="43">
        <v>18</v>
      </c>
      <c r="K19" s="46">
        <f t="shared" si="4"/>
        <v>0.18</v>
      </c>
      <c r="L19" s="46">
        <f t="shared" si="5"/>
        <v>18</v>
      </c>
      <c r="M19" s="46">
        <f t="shared" si="4"/>
        <v>0.18</v>
      </c>
      <c r="N19" s="50"/>
      <c r="O19" s="43">
        <v>5.1</v>
      </c>
      <c r="P19" s="46">
        <f t="shared" si="0"/>
        <v>0.051</v>
      </c>
      <c r="Q19" s="46">
        <f t="shared" si="1"/>
        <v>5.1</v>
      </c>
      <c r="R19" s="46">
        <f t="shared" si="0"/>
        <v>0.051</v>
      </c>
    </row>
    <row r="20" spans="1:18" ht="12.75">
      <c r="A20" s="39"/>
      <c r="B20" s="39" t="s">
        <v>126</v>
      </c>
      <c r="C20" s="41">
        <v>0</v>
      </c>
      <c r="D20" s="41"/>
      <c r="E20" s="43">
        <v>13</v>
      </c>
      <c r="F20" s="46">
        <f t="shared" si="2"/>
        <v>0</v>
      </c>
      <c r="G20" s="46">
        <f t="shared" si="3"/>
        <v>13</v>
      </c>
      <c r="H20" s="46">
        <f t="shared" si="2"/>
        <v>0</v>
      </c>
      <c r="I20" s="50"/>
      <c r="J20" s="43">
        <v>28</v>
      </c>
      <c r="K20" s="46">
        <f t="shared" si="4"/>
        <v>0</v>
      </c>
      <c r="L20" s="46">
        <f t="shared" si="5"/>
        <v>28</v>
      </c>
      <c r="M20" s="46">
        <f t="shared" si="4"/>
        <v>0</v>
      </c>
      <c r="N20" s="50"/>
      <c r="O20" s="43">
        <v>11</v>
      </c>
      <c r="P20" s="46">
        <f t="shared" si="0"/>
        <v>0</v>
      </c>
      <c r="Q20" s="46">
        <f t="shared" si="1"/>
        <v>11</v>
      </c>
      <c r="R20" s="46">
        <f t="shared" si="0"/>
        <v>0</v>
      </c>
    </row>
    <row r="21" spans="1:18" ht="12.75">
      <c r="A21" s="39"/>
      <c r="B21" s="39" t="s">
        <v>35</v>
      </c>
      <c r="C21" s="41">
        <v>0.001</v>
      </c>
      <c r="D21" s="41"/>
      <c r="E21" s="43">
        <v>22</v>
      </c>
      <c r="F21" s="46">
        <f t="shared" si="2"/>
        <v>0.022</v>
      </c>
      <c r="G21" s="46">
        <f t="shared" si="3"/>
        <v>22</v>
      </c>
      <c r="H21" s="46">
        <f t="shared" si="2"/>
        <v>0.022</v>
      </c>
      <c r="I21" s="50"/>
      <c r="J21" s="43">
        <v>35</v>
      </c>
      <c r="K21" s="46">
        <f t="shared" si="4"/>
        <v>0.035</v>
      </c>
      <c r="L21" s="46">
        <f t="shared" si="5"/>
        <v>35</v>
      </c>
      <c r="M21" s="46">
        <f t="shared" si="4"/>
        <v>0.035</v>
      </c>
      <c r="N21" s="50"/>
      <c r="O21" s="43">
        <v>21</v>
      </c>
      <c r="P21" s="46">
        <f t="shared" si="0"/>
        <v>0.021</v>
      </c>
      <c r="Q21" s="46">
        <f t="shared" si="1"/>
        <v>21</v>
      </c>
      <c r="R21" s="46">
        <f t="shared" si="0"/>
        <v>0.021</v>
      </c>
    </row>
    <row r="22" spans="1:18" ht="12.75">
      <c r="A22" s="39"/>
      <c r="B22" s="39" t="s">
        <v>36</v>
      </c>
      <c r="C22" s="41">
        <v>0.1</v>
      </c>
      <c r="D22" s="41" t="s">
        <v>29</v>
      </c>
      <c r="E22" s="43">
        <v>2.4</v>
      </c>
      <c r="F22" s="46">
        <f t="shared" si="2"/>
        <v>0.24</v>
      </c>
      <c r="G22" s="46">
        <f t="shared" si="3"/>
        <v>1.2</v>
      </c>
      <c r="H22" s="46">
        <f t="shared" si="2"/>
        <v>0.12</v>
      </c>
      <c r="I22" s="50"/>
      <c r="J22" s="43">
        <v>2.5</v>
      </c>
      <c r="K22" s="46">
        <f t="shared" si="4"/>
        <v>0.25</v>
      </c>
      <c r="L22" s="46">
        <f t="shared" si="5"/>
        <v>2.5</v>
      </c>
      <c r="M22" s="46">
        <f t="shared" si="4"/>
        <v>0.25</v>
      </c>
      <c r="N22" s="50" t="s">
        <v>29</v>
      </c>
      <c r="O22" s="43">
        <v>1.7</v>
      </c>
      <c r="P22" s="46">
        <f t="shared" si="0"/>
        <v>0.17</v>
      </c>
      <c r="Q22" s="46">
        <f t="shared" si="1"/>
        <v>0.85</v>
      </c>
      <c r="R22" s="46">
        <f t="shared" si="0"/>
        <v>0.085</v>
      </c>
    </row>
    <row r="23" spans="1:18" ht="12.75">
      <c r="A23" s="39"/>
      <c r="B23" s="39" t="s">
        <v>127</v>
      </c>
      <c r="C23" s="41">
        <v>0</v>
      </c>
      <c r="D23" s="41"/>
      <c r="E23" s="43">
        <v>98</v>
      </c>
      <c r="F23" s="46">
        <f t="shared" si="2"/>
        <v>0</v>
      </c>
      <c r="G23" s="46">
        <f t="shared" si="3"/>
        <v>98</v>
      </c>
      <c r="H23" s="46">
        <f t="shared" si="2"/>
        <v>0</v>
      </c>
      <c r="I23" s="50"/>
      <c r="J23" s="43">
        <v>90</v>
      </c>
      <c r="K23" s="46">
        <f t="shared" si="4"/>
        <v>0</v>
      </c>
      <c r="L23" s="46">
        <f t="shared" si="5"/>
        <v>90</v>
      </c>
      <c r="M23" s="46">
        <f t="shared" si="4"/>
        <v>0</v>
      </c>
      <c r="N23" s="50"/>
      <c r="O23" s="43">
        <v>110</v>
      </c>
      <c r="P23" s="46">
        <f t="shared" si="0"/>
        <v>0</v>
      </c>
      <c r="Q23" s="46">
        <f t="shared" si="1"/>
        <v>110</v>
      </c>
      <c r="R23" s="46">
        <f t="shared" si="0"/>
        <v>0</v>
      </c>
    </row>
    <row r="24" spans="1:18" ht="12.75">
      <c r="A24" s="39"/>
      <c r="B24" s="39" t="s">
        <v>37</v>
      </c>
      <c r="C24" s="41">
        <v>0.05</v>
      </c>
      <c r="D24" s="41" t="s">
        <v>29</v>
      </c>
      <c r="E24" s="43">
        <v>4.6</v>
      </c>
      <c r="F24" s="46">
        <f t="shared" si="2"/>
        <v>0.22999999999999998</v>
      </c>
      <c r="G24" s="46">
        <f t="shared" si="3"/>
        <v>2.3</v>
      </c>
      <c r="H24" s="46">
        <f t="shared" si="2"/>
        <v>0.11499999999999999</v>
      </c>
      <c r="I24" s="50"/>
      <c r="J24" s="43">
        <v>4.2</v>
      </c>
      <c r="K24" s="46">
        <f t="shared" si="4"/>
        <v>0.21000000000000002</v>
      </c>
      <c r="L24" s="46">
        <f t="shared" si="5"/>
        <v>4.2</v>
      </c>
      <c r="M24" s="46">
        <f t="shared" si="4"/>
        <v>0.21000000000000002</v>
      </c>
      <c r="N24" s="50" t="s">
        <v>29</v>
      </c>
      <c r="O24" s="43">
        <v>3.6</v>
      </c>
      <c r="P24" s="46">
        <f t="shared" si="0"/>
        <v>0.18000000000000002</v>
      </c>
      <c r="Q24" s="46">
        <f t="shared" si="1"/>
        <v>1.8</v>
      </c>
      <c r="R24" s="46">
        <f t="shared" si="0"/>
        <v>0.09000000000000001</v>
      </c>
    </row>
    <row r="25" spans="1:18" ht="12.75">
      <c r="A25" s="39"/>
      <c r="B25" s="39" t="s">
        <v>38</v>
      </c>
      <c r="C25" s="41">
        <v>0.5</v>
      </c>
      <c r="D25" s="41" t="s">
        <v>29</v>
      </c>
      <c r="E25" s="43">
        <v>4.3</v>
      </c>
      <c r="F25" s="46">
        <f t="shared" si="2"/>
        <v>2.15</v>
      </c>
      <c r="G25" s="46">
        <f t="shared" si="3"/>
        <v>2.15</v>
      </c>
      <c r="H25" s="46">
        <f t="shared" si="2"/>
        <v>1.075</v>
      </c>
      <c r="I25" s="50"/>
      <c r="J25" s="43">
        <v>6.3</v>
      </c>
      <c r="K25" s="46">
        <f t="shared" si="4"/>
        <v>3.15</v>
      </c>
      <c r="L25" s="46">
        <f t="shared" si="5"/>
        <v>6.3</v>
      </c>
      <c r="M25" s="46">
        <f t="shared" si="4"/>
        <v>3.15</v>
      </c>
      <c r="N25" s="50" t="s">
        <v>29</v>
      </c>
      <c r="O25" s="43">
        <v>3.4</v>
      </c>
      <c r="P25" s="46">
        <f t="shared" si="0"/>
        <v>1.7</v>
      </c>
      <c r="Q25" s="46">
        <f t="shared" si="1"/>
        <v>1.7</v>
      </c>
      <c r="R25" s="46">
        <f t="shared" si="0"/>
        <v>0.85</v>
      </c>
    </row>
    <row r="26" spans="1:18" ht="12.75">
      <c r="A26" s="39"/>
      <c r="B26" s="39" t="s">
        <v>128</v>
      </c>
      <c r="C26" s="41">
        <v>0</v>
      </c>
      <c r="D26" s="41"/>
      <c r="E26" s="43">
        <v>18</v>
      </c>
      <c r="F26" s="46">
        <f t="shared" si="2"/>
        <v>0</v>
      </c>
      <c r="G26" s="46">
        <f t="shared" si="3"/>
        <v>18</v>
      </c>
      <c r="H26" s="46">
        <f t="shared" si="2"/>
        <v>0</v>
      </c>
      <c r="I26" s="50"/>
      <c r="J26" s="43">
        <v>47</v>
      </c>
      <c r="K26" s="46">
        <f t="shared" si="4"/>
        <v>0</v>
      </c>
      <c r="L26" s="46">
        <f t="shared" si="5"/>
        <v>47</v>
      </c>
      <c r="M26" s="46">
        <f t="shared" si="4"/>
        <v>0</v>
      </c>
      <c r="N26" s="50"/>
      <c r="O26" s="43">
        <v>20</v>
      </c>
      <c r="P26" s="46">
        <f t="shared" si="0"/>
        <v>0</v>
      </c>
      <c r="Q26" s="46">
        <f t="shared" si="1"/>
        <v>20</v>
      </c>
      <c r="R26" s="46">
        <f t="shared" si="0"/>
        <v>0</v>
      </c>
    </row>
    <row r="27" spans="1:18" ht="12.75">
      <c r="A27" s="39"/>
      <c r="B27" s="39" t="s">
        <v>39</v>
      </c>
      <c r="C27" s="41">
        <v>0.1</v>
      </c>
      <c r="D27" s="41"/>
      <c r="E27" s="43">
        <v>7.4</v>
      </c>
      <c r="F27" s="46">
        <f t="shared" si="2"/>
        <v>0.7400000000000001</v>
      </c>
      <c r="G27" s="46">
        <f aca="true" t="shared" si="6" ref="G27:G35">IF(E27=0,"",IF(D27="nd",E27/2,E27))</f>
        <v>7.4</v>
      </c>
      <c r="H27" s="46">
        <f t="shared" si="2"/>
        <v>0.7400000000000001</v>
      </c>
      <c r="I27" s="50"/>
      <c r="J27" s="43">
        <v>8.2</v>
      </c>
      <c r="K27" s="46">
        <f t="shared" si="4"/>
        <v>0.82</v>
      </c>
      <c r="L27" s="46">
        <f t="shared" si="5"/>
        <v>8.2</v>
      </c>
      <c r="M27" s="46">
        <f t="shared" si="4"/>
        <v>0.82</v>
      </c>
      <c r="N27" s="50"/>
      <c r="O27" s="43">
        <v>4</v>
      </c>
      <c r="P27" s="46">
        <f t="shared" si="0"/>
        <v>0.4</v>
      </c>
      <c r="Q27" s="46">
        <f t="shared" si="1"/>
        <v>4</v>
      </c>
      <c r="R27" s="46">
        <f t="shared" si="0"/>
        <v>0.4</v>
      </c>
    </row>
    <row r="28" spans="1:18" ht="12.75">
      <c r="A28" s="39"/>
      <c r="B28" s="39" t="s">
        <v>40</v>
      </c>
      <c r="C28" s="41">
        <v>0.1</v>
      </c>
      <c r="D28" s="41"/>
      <c r="E28" s="43">
        <v>5.1</v>
      </c>
      <c r="F28" s="46">
        <f t="shared" si="2"/>
        <v>0.51</v>
      </c>
      <c r="G28" s="46">
        <f t="shared" si="6"/>
        <v>5.1</v>
      </c>
      <c r="H28" s="46">
        <f t="shared" si="2"/>
        <v>0.51</v>
      </c>
      <c r="I28" s="50"/>
      <c r="J28" s="43">
        <v>6.2</v>
      </c>
      <c r="K28" s="46">
        <f t="shared" si="4"/>
        <v>0.6200000000000001</v>
      </c>
      <c r="L28" s="46">
        <f t="shared" si="5"/>
        <v>6.2</v>
      </c>
      <c r="M28" s="46">
        <f t="shared" si="4"/>
        <v>0.6200000000000001</v>
      </c>
      <c r="N28" s="50" t="s">
        <v>29</v>
      </c>
      <c r="O28" s="43">
        <v>2.3</v>
      </c>
      <c r="P28" s="46">
        <f t="shared" si="0"/>
        <v>0.22999999999999998</v>
      </c>
      <c r="Q28" s="46">
        <f t="shared" si="1"/>
        <v>1.15</v>
      </c>
      <c r="R28" s="46">
        <f t="shared" si="0"/>
        <v>0.11499999999999999</v>
      </c>
    </row>
    <row r="29" spans="1:18" ht="12.75">
      <c r="A29" s="39"/>
      <c r="B29" s="39" t="s">
        <v>41</v>
      </c>
      <c r="C29" s="41">
        <v>0.1</v>
      </c>
      <c r="D29" s="41"/>
      <c r="E29" s="43">
        <v>7.1</v>
      </c>
      <c r="F29" s="46">
        <f t="shared" si="2"/>
        <v>0.71</v>
      </c>
      <c r="G29" s="46">
        <f t="shared" si="6"/>
        <v>7.1</v>
      </c>
      <c r="H29" s="46">
        <f t="shared" si="2"/>
        <v>0.71</v>
      </c>
      <c r="I29" s="50"/>
      <c r="J29" s="43">
        <v>6.2</v>
      </c>
      <c r="K29" s="46">
        <f t="shared" si="4"/>
        <v>0.6200000000000001</v>
      </c>
      <c r="L29" s="46">
        <f t="shared" si="5"/>
        <v>6.2</v>
      </c>
      <c r="M29" s="46">
        <f t="shared" si="4"/>
        <v>0.6200000000000001</v>
      </c>
      <c r="N29" s="50" t="s">
        <v>29</v>
      </c>
      <c r="O29" s="43">
        <v>3</v>
      </c>
      <c r="P29" s="46">
        <f t="shared" si="0"/>
        <v>0.30000000000000004</v>
      </c>
      <c r="Q29" s="46">
        <f t="shared" si="1"/>
        <v>1.5</v>
      </c>
      <c r="R29" s="46">
        <f t="shared" si="0"/>
        <v>0.15000000000000002</v>
      </c>
    </row>
    <row r="30" spans="1:18" ht="12.75">
      <c r="A30" s="39"/>
      <c r="B30" s="39" t="s">
        <v>42</v>
      </c>
      <c r="C30" s="41">
        <v>0.1</v>
      </c>
      <c r="D30" s="41" t="s">
        <v>29</v>
      </c>
      <c r="E30" s="43">
        <v>2.3</v>
      </c>
      <c r="F30" s="46">
        <f t="shared" si="2"/>
        <v>0.22999999999999998</v>
      </c>
      <c r="G30" s="46">
        <f t="shared" si="6"/>
        <v>1.15</v>
      </c>
      <c r="H30" s="46">
        <f t="shared" si="2"/>
        <v>0.11499999999999999</v>
      </c>
      <c r="I30" s="50" t="s">
        <v>29</v>
      </c>
      <c r="J30" s="43">
        <v>5.2</v>
      </c>
      <c r="K30" s="46">
        <f t="shared" si="4"/>
        <v>0.52</v>
      </c>
      <c r="L30" s="46">
        <f t="shared" si="5"/>
        <v>2.6</v>
      </c>
      <c r="M30" s="46">
        <f t="shared" si="4"/>
        <v>0.26</v>
      </c>
      <c r="N30" s="50" t="s">
        <v>29</v>
      </c>
      <c r="O30" s="43">
        <v>1.8</v>
      </c>
      <c r="P30" s="46">
        <f t="shared" si="0"/>
        <v>0.18000000000000002</v>
      </c>
      <c r="Q30" s="46">
        <f t="shared" si="1"/>
        <v>0.9</v>
      </c>
      <c r="R30" s="46">
        <f t="shared" si="0"/>
        <v>0.09000000000000001</v>
      </c>
    </row>
    <row r="31" spans="1:18" ht="12.75">
      <c r="A31" s="39"/>
      <c r="B31" s="39" t="s">
        <v>129</v>
      </c>
      <c r="C31" s="41">
        <v>0</v>
      </c>
      <c r="D31" s="41"/>
      <c r="E31" s="43">
        <v>44</v>
      </c>
      <c r="F31" s="46">
        <f t="shared" si="2"/>
        <v>0</v>
      </c>
      <c r="G31" s="46">
        <f t="shared" si="6"/>
        <v>44</v>
      </c>
      <c r="H31" s="46">
        <f t="shared" si="2"/>
        <v>0</v>
      </c>
      <c r="I31" s="50"/>
      <c r="J31" s="43">
        <v>37</v>
      </c>
      <c r="K31" s="46">
        <f t="shared" si="4"/>
        <v>0</v>
      </c>
      <c r="L31" s="46">
        <f t="shared" si="5"/>
        <v>37</v>
      </c>
      <c r="M31" s="46">
        <f t="shared" si="4"/>
        <v>0</v>
      </c>
      <c r="N31" s="50"/>
      <c r="O31" s="43">
        <v>14</v>
      </c>
      <c r="P31" s="46">
        <f t="shared" si="0"/>
        <v>0</v>
      </c>
      <c r="Q31" s="46">
        <f t="shared" si="1"/>
        <v>14</v>
      </c>
      <c r="R31" s="46">
        <f t="shared" si="0"/>
        <v>0</v>
      </c>
    </row>
    <row r="32" spans="1:18" ht="12.75">
      <c r="A32" s="39"/>
      <c r="B32" s="39" t="s">
        <v>43</v>
      </c>
      <c r="C32" s="41">
        <v>0.01</v>
      </c>
      <c r="D32" s="41"/>
      <c r="E32" s="43">
        <v>23</v>
      </c>
      <c r="F32" s="46">
        <f t="shared" si="2"/>
        <v>0.23</v>
      </c>
      <c r="G32" s="46">
        <f t="shared" si="6"/>
        <v>23</v>
      </c>
      <c r="H32" s="46">
        <f t="shared" si="2"/>
        <v>0.23</v>
      </c>
      <c r="I32" s="50"/>
      <c r="J32" s="43">
        <v>28</v>
      </c>
      <c r="K32" s="46">
        <f t="shared" si="4"/>
        <v>0.28</v>
      </c>
      <c r="L32" s="46">
        <f t="shared" si="5"/>
        <v>28</v>
      </c>
      <c r="M32" s="46">
        <f t="shared" si="4"/>
        <v>0.28</v>
      </c>
      <c r="N32" s="50"/>
      <c r="O32" s="43">
        <v>11</v>
      </c>
      <c r="P32" s="46">
        <f t="shared" si="0"/>
        <v>0.11</v>
      </c>
      <c r="Q32" s="46">
        <f t="shared" si="1"/>
        <v>11</v>
      </c>
      <c r="R32" s="46">
        <f t="shared" si="0"/>
        <v>0.11</v>
      </c>
    </row>
    <row r="33" spans="1:18" ht="12.75">
      <c r="A33" s="39"/>
      <c r="B33" s="39" t="s">
        <v>44</v>
      </c>
      <c r="C33" s="41">
        <v>0.01</v>
      </c>
      <c r="D33" s="41" t="s">
        <v>29</v>
      </c>
      <c r="E33" s="43">
        <v>2.1</v>
      </c>
      <c r="F33" s="46">
        <f t="shared" si="2"/>
        <v>0.021</v>
      </c>
      <c r="G33" s="46">
        <f t="shared" si="6"/>
        <v>1.05</v>
      </c>
      <c r="H33" s="46">
        <f t="shared" si="2"/>
        <v>0.0105</v>
      </c>
      <c r="I33" s="50" t="s">
        <v>29</v>
      </c>
      <c r="J33" s="43">
        <v>3.9</v>
      </c>
      <c r="K33" s="46">
        <f t="shared" si="4"/>
        <v>0.039</v>
      </c>
      <c r="L33" s="46">
        <f t="shared" si="5"/>
        <v>1.95</v>
      </c>
      <c r="M33" s="46">
        <f t="shared" si="4"/>
        <v>0.0195</v>
      </c>
      <c r="N33" s="50" t="s">
        <v>29</v>
      </c>
      <c r="O33" s="43">
        <v>1.5</v>
      </c>
      <c r="P33" s="46">
        <f t="shared" si="0"/>
        <v>0.015</v>
      </c>
      <c r="Q33" s="46">
        <f t="shared" si="1"/>
        <v>0.75</v>
      </c>
      <c r="R33" s="46">
        <f t="shared" si="0"/>
        <v>0.0075</v>
      </c>
    </row>
    <row r="34" spans="1:18" ht="12.75">
      <c r="A34" s="39"/>
      <c r="B34" s="39" t="s">
        <v>130</v>
      </c>
      <c r="C34" s="41">
        <v>0</v>
      </c>
      <c r="D34" s="41"/>
      <c r="E34" s="43">
        <v>23</v>
      </c>
      <c r="F34" s="46">
        <f t="shared" si="2"/>
        <v>0</v>
      </c>
      <c r="G34" s="46">
        <f t="shared" si="6"/>
        <v>23</v>
      </c>
      <c r="H34" s="46">
        <f t="shared" si="2"/>
        <v>0</v>
      </c>
      <c r="I34" s="50"/>
      <c r="J34" s="43">
        <v>28</v>
      </c>
      <c r="K34" s="46">
        <f t="shared" si="4"/>
        <v>0</v>
      </c>
      <c r="L34" s="46">
        <f t="shared" si="5"/>
        <v>28</v>
      </c>
      <c r="M34" s="46">
        <f t="shared" si="4"/>
        <v>0</v>
      </c>
      <c r="N34" s="50"/>
      <c r="O34" s="43">
        <v>11</v>
      </c>
      <c r="P34" s="46">
        <f t="shared" si="0"/>
        <v>0</v>
      </c>
      <c r="Q34" s="46">
        <f t="shared" si="1"/>
        <v>11</v>
      </c>
      <c r="R34" s="46">
        <f t="shared" si="0"/>
        <v>0</v>
      </c>
    </row>
    <row r="35" spans="1:18" ht="12.75">
      <c r="A35" s="39"/>
      <c r="B35" s="39" t="s">
        <v>45</v>
      </c>
      <c r="C35" s="41">
        <v>0.001</v>
      </c>
      <c r="D35" s="41"/>
      <c r="E35" s="43">
        <v>17</v>
      </c>
      <c r="F35" s="46">
        <f t="shared" si="2"/>
        <v>0.017</v>
      </c>
      <c r="G35" s="46">
        <f t="shared" si="6"/>
        <v>17</v>
      </c>
      <c r="H35" s="46">
        <f t="shared" si="2"/>
        <v>0.017</v>
      </c>
      <c r="I35" s="50"/>
      <c r="J35" s="43">
        <v>49</v>
      </c>
      <c r="K35" s="46">
        <f t="shared" si="4"/>
        <v>0.049</v>
      </c>
      <c r="L35" s="46">
        <f t="shared" si="5"/>
        <v>49</v>
      </c>
      <c r="M35" s="46">
        <f t="shared" si="4"/>
        <v>0.049</v>
      </c>
      <c r="N35" s="50"/>
      <c r="O35" s="43">
        <v>21</v>
      </c>
      <c r="P35" s="46">
        <f t="shared" si="0"/>
        <v>0.021</v>
      </c>
      <c r="Q35" s="46">
        <f t="shared" si="1"/>
        <v>21</v>
      </c>
      <c r="R35" s="46">
        <f t="shared" si="0"/>
        <v>0.021</v>
      </c>
    </row>
    <row r="36" spans="1:18" ht="12.75">
      <c r="A36" s="39"/>
      <c r="B36" s="39"/>
      <c r="C36" s="39"/>
      <c r="D36" s="39"/>
      <c r="E36" s="46"/>
      <c r="F36" s="50"/>
      <c r="G36" s="50"/>
      <c r="H36" s="50"/>
      <c r="I36" s="46"/>
      <c r="J36" s="46"/>
      <c r="K36" s="50"/>
      <c r="L36" s="50"/>
      <c r="M36" s="50"/>
      <c r="N36" s="46"/>
      <c r="O36" s="46"/>
      <c r="P36" s="50"/>
      <c r="Q36" s="50"/>
      <c r="R36" s="50"/>
    </row>
    <row r="37" spans="1:18" ht="12.75">
      <c r="A37" s="39"/>
      <c r="B37" s="39" t="s">
        <v>46</v>
      </c>
      <c r="C37" s="39"/>
      <c r="D37" s="39"/>
      <c r="E37" s="46"/>
      <c r="F37" s="46">
        <v>126.226</v>
      </c>
      <c r="G37" s="46">
        <v>126.226</v>
      </c>
      <c r="H37" s="46">
        <v>126.226</v>
      </c>
      <c r="I37" s="46"/>
      <c r="J37" s="46"/>
      <c r="K37" s="46">
        <v>128.343</v>
      </c>
      <c r="L37" s="46">
        <v>128.343</v>
      </c>
      <c r="M37" s="46">
        <v>128.343</v>
      </c>
      <c r="N37" s="46"/>
      <c r="O37" s="46"/>
      <c r="P37" s="46">
        <v>129.821</v>
      </c>
      <c r="Q37" s="46">
        <v>129.821</v>
      </c>
      <c r="R37" s="46">
        <v>129.821</v>
      </c>
    </row>
    <row r="38" spans="1:18" ht="12.75">
      <c r="A38" s="39"/>
      <c r="B38" s="39" t="s">
        <v>72</v>
      </c>
      <c r="C38" s="39"/>
      <c r="D38" s="39"/>
      <c r="E38" s="49"/>
      <c r="F38" s="46">
        <v>6.8</v>
      </c>
      <c r="G38" s="46">
        <v>6.8</v>
      </c>
      <c r="H38" s="46">
        <v>6.8</v>
      </c>
      <c r="I38" s="46"/>
      <c r="J38" s="49"/>
      <c r="K38" s="46">
        <v>6.8</v>
      </c>
      <c r="L38" s="46">
        <v>6.8</v>
      </c>
      <c r="M38" s="46">
        <v>6.8</v>
      </c>
      <c r="N38" s="46"/>
      <c r="O38" s="49"/>
      <c r="P38" s="46">
        <v>7</v>
      </c>
      <c r="Q38" s="46">
        <v>7</v>
      </c>
      <c r="R38" s="46">
        <v>7</v>
      </c>
    </row>
    <row r="39" spans="1:18" ht="12.75">
      <c r="A39" s="39"/>
      <c r="B39" s="39"/>
      <c r="C39" s="39"/>
      <c r="D39" s="39"/>
      <c r="E39" s="46"/>
      <c r="F39" s="19"/>
      <c r="G39" s="19"/>
      <c r="H39" s="19"/>
      <c r="I39" s="19"/>
      <c r="J39" s="46"/>
      <c r="K39" s="19"/>
      <c r="L39" s="19"/>
      <c r="M39" s="19"/>
      <c r="N39" s="19"/>
      <c r="O39" s="46"/>
      <c r="P39" s="19"/>
      <c r="Q39" s="19"/>
      <c r="R39" s="19"/>
    </row>
    <row r="40" spans="1:18" ht="12.75">
      <c r="A40" s="39"/>
      <c r="B40" s="39" t="s">
        <v>131</v>
      </c>
      <c r="C40" s="50"/>
      <c r="D40" s="50"/>
      <c r="E40" s="43"/>
      <c r="F40" s="50">
        <f>SUM(F11:F35)/1000</f>
        <v>0.011508000000000003</v>
      </c>
      <c r="G40" s="50">
        <f>SUM(G35,G34,G31,G26,G23,G21,G20,G18,G14,G12)/1000</f>
        <v>0.25830000000000003</v>
      </c>
      <c r="H40" s="50">
        <f>SUM(H11:H35)/1000</f>
        <v>0.006912500000000001</v>
      </c>
      <c r="I40" s="50"/>
      <c r="J40" s="50"/>
      <c r="K40" s="50">
        <f>SUM(K11:K35)/1000</f>
        <v>0.014303000000000001</v>
      </c>
      <c r="L40" s="50">
        <f>SUM(L35,L34,L31,L26,L23,L21,L20,L18,L14,L12)/1000</f>
        <v>0.32100000000000006</v>
      </c>
      <c r="M40" s="50">
        <f>SUM(M11:M35)/1000</f>
        <v>0.010258500000000002</v>
      </c>
      <c r="N40" s="50"/>
      <c r="O40" s="50"/>
      <c r="P40" s="50">
        <f>SUM(P11:P35)/1000</f>
        <v>0.009378000000000003</v>
      </c>
      <c r="Q40" s="50">
        <f>SUM(Q35,Q34,Q31,Q26,Q23,Q21,Q20,Q18,Q14,Q12)/1000</f>
        <v>0.21739999999999998</v>
      </c>
      <c r="R40" s="50">
        <f>SUM(R11:R35)/1000</f>
        <v>0.004990500000000001</v>
      </c>
    </row>
    <row r="41" spans="1:18" ht="12.75">
      <c r="A41" s="39"/>
      <c r="B41" s="39" t="s">
        <v>47</v>
      </c>
      <c r="C41" s="50"/>
      <c r="D41" s="43">
        <f>(F41-H41)*2/F41*100</f>
        <v>79.86618004866182</v>
      </c>
      <c r="E41" s="46"/>
      <c r="F41" s="50">
        <f>(F40/F37/0.0283*(21-7)/(21-F38))</f>
        <v>0.0031761740196205794</v>
      </c>
      <c r="G41" s="50">
        <f>(G40/G37/0.0283*(21-7)/(21-G38))</f>
        <v>0.07129003730170276</v>
      </c>
      <c r="H41" s="50">
        <f>(H40/H37/0.0283*(21-7)/(21-H38))</f>
        <v>0.0019078295890360838</v>
      </c>
      <c r="I41" s="43">
        <f>(K41-M41)*2/K41*100</f>
        <v>56.55456897154442</v>
      </c>
      <c r="J41" s="50"/>
      <c r="K41" s="50">
        <f>(K40/K37/0.0283*(21-7)/(21-K38))</f>
        <v>0.0038824708864639004</v>
      </c>
      <c r="L41" s="50">
        <f>(L40/L37/0.0283*(21-7)/(21-L38))</f>
        <v>0.08713368905508721</v>
      </c>
      <c r="M41" s="50">
        <f>(M40/M37/0.0283*(21-7)/(21-M38))</f>
        <v>0.002784613548821221</v>
      </c>
      <c r="N41" s="43">
        <f>(P41-R41)*2/P41*100</f>
        <v>93.5700575815739</v>
      </c>
      <c r="O41" s="50"/>
      <c r="P41" s="50">
        <f>(P40/P37/0.0283*(21-7)/(21-P38))</f>
        <v>0.0025525769472796514</v>
      </c>
      <c r="Q41" s="50">
        <f>(Q40/Q37/0.0283*(21-7)/(21-Q38))</f>
        <v>0.059173622130368524</v>
      </c>
      <c r="R41" s="50">
        <f>(R40/R37/0.0283*(21-7)/(21-R38))</f>
        <v>0.0013583530875878758</v>
      </c>
    </row>
    <row r="42" spans="1:18" ht="12.75">
      <c r="A42" s="39"/>
      <c r="B42" s="39"/>
      <c r="C42" s="39"/>
      <c r="D42" s="39"/>
      <c r="E42" s="45"/>
      <c r="F42" s="50"/>
      <c r="G42" s="45"/>
      <c r="H42" s="50"/>
      <c r="I42" s="45"/>
      <c r="J42" s="45"/>
      <c r="K42" s="45"/>
      <c r="L42" s="45"/>
      <c r="M42" s="45"/>
      <c r="N42" s="45"/>
      <c r="O42" s="45"/>
      <c r="P42" s="49"/>
      <c r="Q42" s="45"/>
      <c r="R42" s="49"/>
    </row>
    <row r="43" spans="1:18" ht="12.75">
      <c r="A43" s="46"/>
      <c r="B43" s="39" t="s">
        <v>73</v>
      </c>
      <c r="C43" s="50">
        <f>AVERAGE(H41,M41,R41)</f>
        <v>0.0020169320751483935</v>
      </c>
      <c r="D43" s="46"/>
      <c r="E43" s="46"/>
      <c r="F43" s="50"/>
      <c r="G43" s="46"/>
      <c r="H43" s="50"/>
      <c r="I43" s="46"/>
      <c r="J43" s="46"/>
      <c r="K43" s="46"/>
      <c r="L43" s="46"/>
      <c r="M43" s="46"/>
      <c r="N43" s="46"/>
      <c r="O43" s="46"/>
      <c r="P43" s="49"/>
      <c r="Q43" s="46"/>
      <c r="R43" s="49"/>
    </row>
    <row r="44" spans="1:18" ht="12.75">
      <c r="A44" s="39"/>
      <c r="B44" s="39" t="s">
        <v>74</v>
      </c>
      <c r="C44" s="45">
        <f>AVERAGE(G41,L41,Q41)</f>
        <v>0.0725324494957195</v>
      </c>
      <c r="D44" s="39"/>
      <c r="E44" s="49"/>
      <c r="F44" s="50"/>
      <c r="G44" s="49"/>
      <c r="H44" s="50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85" spans="1:18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7"/>
      <c r="G86" s="4"/>
      <c r="H86" s="7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7"/>
      <c r="F87" s="3"/>
      <c r="G87" s="5"/>
      <c r="H87" s="3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7"/>
  <sheetViews>
    <sheetView zoomScale="75" zoomScaleNormal="75" workbookViewId="0" topLeftCell="A10">
      <selection activeCell="G48" sqref="G48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8.421875" style="0" customWidth="1"/>
    <col min="4" max="4" width="4.7109375" style="0" customWidth="1"/>
    <col min="5" max="5" width="9.421875" style="0" customWidth="1"/>
    <col min="6" max="6" width="9.8515625" style="0" customWidth="1"/>
    <col min="7" max="7" width="9.421875" style="0" bestFit="1" customWidth="1"/>
    <col min="8" max="8" width="9.8515625" style="0" customWidth="1"/>
    <col min="9" max="9" width="5.140625" style="0" customWidth="1"/>
    <col min="10" max="10" width="9.421875" style="0" bestFit="1" customWidth="1"/>
    <col min="11" max="11" width="9.28125" style="0" customWidth="1"/>
    <col min="13" max="13" width="9.28125" style="0" customWidth="1"/>
    <col min="14" max="14" width="4.7109375" style="0" customWidth="1"/>
    <col min="16" max="16" width="9.00390625" style="0" customWidth="1"/>
    <col min="18" max="18" width="9.00390625" style="0" customWidth="1"/>
  </cols>
  <sheetData>
    <row r="1" spans="1:18" ht="12.75">
      <c r="A1" s="56" t="s">
        <v>83</v>
      </c>
      <c r="B1" s="39"/>
      <c r="C1" s="39"/>
      <c r="D1" s="39"/>
      <c r="E1" s="49"/>
      <c r="F1" s="50"/>
      <c r="G1" s="49"/>
      <c r="H1" s="50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39" t="s">
        <v>226</v>
      </c>
      <c r="B2" s="39"/>
      <c r="C2" s="39"/>
      <c r="D2" s="39"/>
      <c r="E2" s="49"/>
      <c r="F2" s="50"/>
      <c r="G2" s="49"/>
      <c r="H2" s="50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39" t="s">
        <v>20</v>
      </c>
      <c r="B3" s="39"/>
      <c r="C3" s="14" t="str">
        <f>source!C5</f>
        <v>Squibb Manufacturing, Inc.</v>
      </c>
      <c r="D3" s="14"/>
      <c r="E3" s="49"/>
      <c r="F3" s="50"/>
      <c r="G3" s="49"/>
      <c r="H3" s="50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39" t="s">
        <v>21</v>
      </c>
      <c r="B4" s="39"/>
      <c r="C4" s="14" t="s">
        <v>154</v>
      </c>
      <c r="D4" s="14"/>
      <c r="E4" s="51"/>
      <c r="F4" s="52"/>
      <c r="G4" s="51"/>
      <c r="H4" s="52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>
      <c r="A5" s="39" t="s">
        <v>22</v>
      </c>
      <c r="B5" s="39"/>
      <c r="C5" s="19" t="str">
        <f>cond!C20</f>
        <v>Trial burn, elevated oper temp cond</v>
      </c>
      <c r="D5" s="19"/>
      <c r="E5" s="19"/>
      <c r="F5" s="19"/>
      <c r="G5" s="19"/>
      <c r="H5" s="19"/>
      <c r="I5" s="19"/>
      <c r="J5" s="19"/>
      <c r="K5" s="49"/>
      <c r="L5" s="19"/>
      <c r="M5" s="49"/>
      <c r="N5" s="49"/>
      <c r="O5" s="49"/>
      <c r="P5" s="49"/>
      <c r="Q5" s="49"/>
      <c r="R5" s="49"/>
    </row>
    <row r="6" spans="1:18" ht="12.75">
      <c r="A6" s="39"/>
      <c r="B6" s="39"/>
      <c r="C6" s="41"/>
      <c r="D6" s="41"/>
      <c r="E6" s="53"/>
      <c r="F6" s="50"/>
      <c r="G6" s="53"/>
      <c r="H6" s="50"/>
      <c r="I6" s="49"/>
      <c r="J6" s="53"/>
      <c r="K6" s="49"/>
      <c r="L6" s="53"/>
      <c r="M6" s="49"/>
      <c r="N6" s="49"/>
      <c r="O6" s="53"/>
      <c r="P6" s="49"/>
      <c r="Q6" s="53"/>
      <c r="R6" s="49"/>
    </row>
    <row r="7" spans="1:18" ht="12.75">
      <c r="A7" s="39"/>
      <c r="B7" s="39"/>
      <c r="C7" s="41" t="s">
        <v>23</v>
      </c>
      <c r="D7" s="41"/>
      <c r="E7" s="54" t="s">
        <v>60</v>
      </c>
      <c r="F7" s="54"/>
      <c r="G7" s="54"/>
      <c r="H7" s="54"/>
      <c r="I7" s="18"/>
      <c r="J7" s="54" t="s">
        <v>61</v>
      </c>
      <c r="K7" s="54"/>
      <c r="L7" s="54"/>
      <c r="M7" s="54"/>
      <c r="N7" s="18"/>
      <c r="O7" s="54" t="s">
        <v>62</v>
      </c>
      <c r="P7" s="54"/>
      <c r="Q7" s="54"/>
      <c r="R7" s="54"/>
    </row>
    <row r="8" spans="1:18" ht="12.75">
      <c r="A8" s="39"/>
      <c r="B8" s="39"/>
      <c r="C8" s="41" t="s">
        <v>24</v>
      </c>
      <c r="D8" s="39"/>
      <c r="E8" s="53" t="s">
        <v>25</v>
      </c>
      <c r="F8" s="52" t="s">
        <v>26</v>
      </c>
      <c r="G8" s="53" t="s">
        <v>25</v>
      </c>
      <c r="H8" s="52" t="s">
        <v>26</v>
      </c>
      <c r="I8" s="49"/>
      <c r="J8" s="53" t="s">
        <v>25</v>
      </c>
      <c r="K8" s="53" t="s">
        <v>27</v>
      </c>
      <c r="L8" s="53" t="s">
        <v>25</v>
      </c>
      <c r="M8" s="53" t="s">
        <v>27</v>
      </c>
      <c r="N8" s="49"/>
      <c r="O8" s="53" t="s">
        <v>25</v>
      </c>
      <c r="P8" s="53" t="s">
        <v>27</v>
      </c>
      <c r="Q8" s="53" t="s">
        <v>25</v>
      </c>
      <c r="R8" s="53" t="s">
        <v>27</v>
      </c>
    </row>
    <row r="9" spans="1:18" ht="12.75">
      <c r="A9" s="39"/>
      <c r="B9" s="39"/>
      <c r="C9" s="41"/>
      <c r="D9" s="39"/>
      <c r="E9" s="53" t="s">
        <v>225</v>
      </c>
      <c r="F9" s="53" t="s">
        <v>225</v>
      </c>
      <c r="G9" s="53" t="s">
        <v>82</v>
      </c>
      <c r="H9" s="52" t="s">
        <v>82</v>
      </c>
      <c r="I9" s="49"/>
      <c r="J9" s="53" t="s">
        <v>225</v>
      </c>
      <c r="K9" s="53" t="s">
        <v>225</v>
      </c>
      <c r="L9" s="53" t="s">
        <v>82</v>
      </c>
      <c r="M9" s="52" t="s">
        <v>82</v>
      </c>
      <c r="N9" s="49"/>
      <c r="O9" s="53" t="s">
        <v>225</v>
      </c>
      <c r="P9" s="53" t="s">
        <v>225</v>
      </c>
      <c r="Q9" s="53" t="s">
        <v>82</v>
      </c>
      <c r="R9" s="52" t="s">
        <v>82</v>
      </c>
    </row>
    <row r="10" spans="1:18" ht="12.75">
      <c r="A10" s="39" t="s">
        <v>159</v>
      </c>
      <c r="B10" s="39"/>
      <c r="C10" s="39"/>
      <c r="D10" s="39"/>
      <c r="E10" s="49"/>
      <c r="F10" s="50"/>
      <c r="G10" s="49"/>
      <c r="H10" s="50"/>
      <c r="I10" s="49"/>
      <c r="J10" s="49"/>
      <c r="K10" s="49"/>
      <c r="L10" s="49"/>
      <c r="M10" s="49"/>
      <c r="N10" s="49"/>
      <c r="O10" s="43"/>
      <c r="P10" s="55">
        <f aca="true" t="shared" si="0" ref="P10:R35">IF(O10="","",O10*$C10)</f>
      </c>
      <c r="Q10" s="55">
        <f aca="true" t="shared" si="1" ref="Q10:Q35">IF(O10=0,"",IF(N10="nd",O10/2,O10))</f>
      </c>
      <c r="R10" s="55">
        <f t="shared" si="0"/>
      </c>
    </row>
    <row r="11" spans="1:18" ht="12.75">
      <c r="A11" s="39"/>
      <c r="B11" s="39" t="s">
        <v>28</v>
      </c>
      <c r="C11" s="41">
        <v>1</v>
      </c>
      <c r="D11" s="50" t="s">
        <v>29</v>
      </c>
      <c r="E11" s="55">
        <v>4.4</v>
      </c>
      <c r="F11" s="55">
        <f aca="true" t="shared" si="2" ref="F11:H35">IF(E11="","",E11*$C11)</f>
        <v>4.4</v>
      </c>
      <c r="G11" s="55">
        <f aca="true" t="shared" si="3" ref="G11:G35">IF(E11=0,"",IF(D11="nd",E11/2,E11))</f>
        <v>2.2</v>
      </c>
      <c r="H11" s="55">
        <f t="shared" si="2"/>
        <v>2.2</v>
      </c>
      <c r="I11" s="50" t="s">
        <v>29</v>
      </c>
      <c r="J11" s="55">
        <v>3.3</v>
      </c>
      <c r="K11" s="55">
        <f aca="true" t="shared" si="4" ref="K11:M35">IF(J11="","",J11*$C11)</f>
        <v>3.3</v>
      </c>
      <c r="L11" s="55">
        <f aca="true" t="shared" si="5" ref="L11:L35">IF(J11=0,"",IF(I11="nd",J11/2,J11))</f>
        <v>1.65</v>
      </c>
      <c r="M11" s="55">
        <f t="shared" si="4"/>
        <v>1.65</v>
      </c>
      <c r="N11" s="50" t="s">
        <v>29</v>
      </c>
      <c r="O11" s="55">
        <v>3.7</v>
      </c>
      <c r="P11" s="55">
        <f t="shared" si="0"/>
        <v>3.7</v>
      </c>
      <c r="Q11" s="55">
        <f t="shared" si="1"/>
        <v>1.85</v>
      </c>
      <c r="R11" s="55">
        <f t="shared" si="0"/>
        <v>1.85</v>
      </c>
    </row>
    <row r="12" spans="1:18" ht="12.75">
      <c r="A12" s="39"/>
      <c r="B12" s="39" t="s">
        <v>123</v>
      </c>
      <c r="C12" s="41">
        <v>0</v>
      </c>
      <c r="D12" s="50" t="s">
        <v>29</v>
      </c>
      <c r="E12" s="43">
        <v>4.4</v>
      </c>
      <c r="F12" s="46">
        <f t="shared" si="2"/>
        <v>0</v>
      </c>
      <c r="G12" s="46">
        <f t="shared" si="3"/>
        <v>2.2</v>
      </c>
      <c r="H12" s="46">
        <f t="shared" si="2"/>
        <v>0</v>
      </c>
      <c r="I12" s="50"/>
      <c r="J12" s="43">
        <v>4</v>
      </c>
      <c r="K12" s="46">
        <f t="shared" si="4"/>
        <v>0</v>
      </c>
      <c r="L12" s="46">
        <f t="shared" si="5"/>
        <v>4</v>
      </c>
      <c r="M12" s="46">
        <f t="shared" si="4"/>
        <v>0</v>
      </c>
      <c r="N12" s="50" t="s">
        <v>29</v>
      </c>
      <c r="O12" s="43">
        <v>3.7</v>
      </c>
      <c r="P12" s="46">
        <f t="shared" si="0"/>
        <v>0</v>
      </c>
      <c r="Q12" s="46">
        <f t="shared" si="1"/>
        <v>1.85</v>
      </c>
      <c r="R12" s="46">
        <f t="shared" si="0"/>
        <v>0</v>
      </c>
    </row>
    <row r="13" spans="1:18" ht="12.75">
      <c r="A13" s="39"/>
      <c r="B13" s="39" t="s">
        <v>30</v>
      </c>
      <c r="C13" s="41">
        <v>0.5</v>
      </c>
      <c r="D13" s="50" t="s">
        <v>29</v>
      </c>
      <c r="E13" s="43">
        <v>3.8</v>
      </c>
      <c r="F13" s="46">
        <f t="shared" si="2"/>
        <v>1.9</v>
      </c>
      <c r="G13" s="46">
        <f t="shared" si="3"/>
        <v>1.9</v>
      </c>
      <c r="H13" s="46">
        <f t="shared" si="2"/>
        <v>0.95</v>
      </c>
      <c r="I13" s="50" t="s">
        <v>29</v>
      </c>
      <c r="J13" s="43">
        <v>3.4</v>
      </c>
      <c r="K13" s="46">
        <f t="shared" si="4"/>
        <v>1.7</v>
      </c>
      <c r="L13" s="46">
        <f t="shared" si="5"/>
        <v>1.7</v>
      </c>
      <c r="M13" s="46">
        <f t="shared" si="4"/>
        <v>0.85</v>
      </c>
      <c r="N13" s="50" t="s">
        <v>29</v>
      </c>
      <c r="O13" s="43">
        <v>2.5</v>
      </c>
      <c r="P13" s="46">
        <f t="shared" si="0"/>
        <v>1.25</v>
      </c>
      <c r="Q13" s="46">
        <f t="shared" si="1"/>
        <v>1.25</v>
      </c>
      <c r="R13" s="46">
        <f t="shared" si="0"/>
        <v>0.625</v>
      </c>
    </row>
    <row r="14" spans="1:18" ht="12.75">
      <c r="A14" s="39"/>
      <c r="B14" s="39" t="s">
        <v>124</v>
      </c>
      <c r="C14" s="41">
        <v>0</v>
      </c>
      <c r="D14" s="50" t="s">
        <v>29</v>
      </c>
      <c r="E14" s="43">
        <v>3.8</v>
      </c>
      <c r="F14" s="46">
        <f t="shared" si="2"/>
        <v>0</v>
      </c>
      <c r="G14" s="46">
        <f t="shared" si="3"/>
        <v>1.9</v>
      </c>
      <c r="H14" s="46">
        <f t="shared" si="2"/>
        <v>0</v>
      </c>
      <c r="I14" s="50" t="s">
        <v>29</v>
      </c>
      <c r="J14" s="43">
        <v>6.9</v>
      </c>
      <c r="K14" s="46">
        <f t="shared" si="4"/>
        <v>0</v>
      </c>
      <c r="L14" s="46">
        <f t="shared" si="5"/>
        <v>3.45</v>
      </c>
      <c r="M14" s="46">
        <f t="shared" si="4"/>
        <v>0</v>
      </c>
      <c r="N14" s="50" t="s">
        <v>29</v>
      </c>
      <c r="O14" s="43">
        <v>2.5</v>
      </c>
      <c r="P14" s="46">
        <f t="shared" si="0"/>
        <v>0</v>
      </c>
      <c r="Q14" s="46">
        <f t="shared" si="1"/>
        <v>1.25</v>
      </c>
      <c r="R14" s="46">
        <f t="shared" si="0"/>
        <v>0</v>
      </c>
    </row>
    <row r="15" spans="1:18" ht="12.75">
      <c r="A15" s="39"/>
      <c r="B15" s="39" t="s">
        <v>31</v>
      </c>
      <c r="C15" s="41">
        <v>0.1</v>
      </c>
      <c r="D15" s="50" t="s">
        <v>29</v>
      </c>
      <c r="E15" s="43">
        <v>4.9</v>
      </c>
      <c r="F15" s="46">
        <f t="shared" si="2"/>
        <v>0.49000000000000005</v>
      </c>
      <c r="G15" s="46">
        <f t="shared" si="3"/>
        <v>2.45</v>
      </c>
      <c r="H15" s="46">
        <f t="shared" si="2"/>
        <v>0.24500000000000002</v>
      </c>
      <c r="I15" s="50" t="s">
        <v>29</v>
      </c>
      <c r="J15" s="43">
        <v>5.7</v>
      </c>
      <c r="K15" s="46">
        <f t="shared" si="4"/>
        <v>0.5700000000000001</v>
      </c>
      <c r="L15" s="46">
        <f t="shared" si="5"/>
        <v>2.85</v>
      </c>
      <c r="M15" s="46">
        <f t="shared" si="4"/>
        <v>0.28500000000000003</v>
      </c>
      <c r="N15" s="50" t="s">
        <v>29</v>
      </c>
      <c r="O15" s="43">
        <v>5.5</v>
      </c>
      <c r="P15" s="46">
        <f t="shared" si="0"/>
        <v>0.55</v>
      </c>
      <c r="Q15" s="46">
        <f t="shared" si="1"/>
        <v>2.75</v>
      </c>
      <c r="R15" s="46">
        <f t="shared" si="0"/>
        <v>0.275</v>
      </c>
    </row>
    <row r="16" spans="1:18" ht="12.75">
      <c r="A16" s="39"/>
      <c r="B16" s="39" t="s">
        <v>32</v>
      </c>
      <c r="C16" s="41">
        <v>0.1</v>
      </c>
      <c r="D16" s="50" t="s">
        <v>29</v>
      </c>
      <c r="E16" s="43">
        <v>4</v>
      </c>
      <c r="F16" s="46">
        <f t="shared" si="2"/>
        <v>0.4</v>
      </c>
      <c r="G16" s="46">
        <f t="shared" si="3"/>
        <v>2</v>
      </c>
      <c r="H16" s="46">
        <f t="shared" si="2"/>
        <v>0.2</v>
      </c>
      <c r="I16" s="50" t="s">
        <v>29</v>
      </c>
      <c r="J16" s="43">
        <v>4.6</v>
      </c>
      <c r="K16" s="46">
        <f t="shared" si="4"/>
        <v>0.45999999999999996</v>
      </c>
      <c r="L16" s="46">
        <f t="shared" si="5"/>
        <v>2.3</v>
      </c>
      <c r="M16" s="46">
        <f t="shared" si="4"/>
        <v>0.22999999999999998</v>
      </c>
      <c r="N16" s="50" t="s">
        <v>29</v>
      </c>
      <c r="O16" s="43">
        <v>4.5</v>
      </c>
      <c r="P16" s="46">
        <f t="shared" si="0"/>
        <v>0.45</v>
      </c>
      <c r="Q16" s="46">
        <f t="shared" si="1"/>
        <v>2.25</v>
      </c>
      <c r="R16" s="46">
        <f t="shared" si="0"/>
        <v>0.225</v>
      </c>
    </row>
    <row r="17" spans="1:18" ht="12.75">
      <c r="A17" s="39"/>
      <c r="B17" s="39" t="s">
        <v>33</v>
      </c>
      <c r="C17" s="41">
        <v>0.1</v>
      </c>
      <c r="D17" s="50" t="s">
        <v>29</v>
      </c>
      <c r="E17" s="43">
        <v>4</v>
      </c>
      <c r="F17" s="46">
        <f t="shared" si="2"/>
        <v>0.4</v>
      </c>
      <c r="G17" s="46">
        <f t="shared" si="3"/>
        <v>2</v>
      </c>
      <c r="H17" s="46">
        <f t="shared" si="2"/>
        <v>0.2</v>
      </c>
      <c r="I17" s="50" t="s">
        <v>29</v>
      </c>
      <c r="J17" s="43">
        <v>4.6</v>
      </c>
      <c r="K17" s="46">
        <f t="shared" si="4"/>
        <v>0.45999999999999996</v>
      </c>
      <c r="L17" s="46">
        <f t="shared" si="5"/>
        <v>2.3</v>
      </c>
      <c r="M17" s="46">
        <f t="shared" si="4"/>
        <v>0.22999999999999998</v>
      </c>
      <c r="N17" s="50" t="s">
        <v>29</v>
      </c>
      <c r="O17" s="43">
        <v>4.4</v>
      </c>
      <c r="P17" s="46">
        <f t="shared" si="0"/>
        <v>0.44000000000000006</v>
      </c>
      <c r="Q17" s="46">
        <f t="shared" si="1"/>
        <v>2.2</v>
      </c>
      <c r="R17" s="46">
        <f t="shared" si="0"/>
        <v>0.22000000000000003</v>
      </c>
    </row>
    <row r="18" spans="1:18" ht="12.75">
      <c r="A18" s="39"/>
      <c r="B18" s="39" t="s">
        <v>125</v>
      </c>
      <c r="C18" s="41">
        <v>0</v>
      </c>
      <c r="D18" s="50"/>
      <c r="E18" s="43">
        <v>8.3</v>
      </c>
      <c r="F18" s="46">
        <f t="shared" si="2"/>
        <v>0</v>
      </c>
      <c r="G18" s="46">
        <f t="shared" si="3"/>
        <v>8.3</v>
      </c>
      <c r="H18" s="46">
        <f t="shared" si="2"/>
        <v>0</v>
      </c>
      <c r="I18" s="50"/>
      <c r="J18" s="43">
        <v>11</v>
      </c>
      <c r="K18" s="46">
        <f t="shared" si="4"/>
        <v>0</v>
      </c>
      <c r="L18" s="46">
        <f t="shared" si="5"/>
        <v>11</v>
      </c>
      <c r="M18" s="46">
        <f t="shared" si="4"/>
        <v>0</v>
      </c>
      <c r="N18" s="50" t="s">
        <v>29</v>
      </c>
      <c r="O18" s="43">
        <v>5.5</v>
      </c>
      <c r="P18" s="46">
        <f t="shared" si="0"/>
        <v>0</v>
      </c>
      <c r="Q18" s="46">
        <f t="shared" si="1"/>
        <v>2.75</v>
      </c>
      <c r="R18" s="46">
        <f t="shared" si="0"/>
        <v>0</v>
      </c>
    </row>
    <row r="19" spans="1:18" ht="12.75">
      <c r="A19" s="39"/>
      <c r="B19" s="39" t="s">
        <v>34</v>
      </c>
      <c r="C19" s="41">
        <v>0.01</v>
      </c>
      <c r="D19" s="50"/>
      <c r="E19" s="43">
        <v>3.2</v>
      </c>
      <c r="F19" s="46">
        <f t="shared" si="2"/>
        <v>0.032</v>
      </c>
      <c r="G19" s="46">
        <f t="shared" si="3"/>
        <v>3.2</v>
      </c>
      <c r="H19" s="46">
        <f t="shared" si="2"/>
        <v>0.032</v>
      </c>
      <c r="I19" s="50"/>
      <c r="J19" s="43">
        <v>3.8</v>
      </c>
      <c r="K19" s="46">
        <f t="shared" si="4"/>
        <v>0.038</v>
      </c>
      <c r="L19" s="46">
        <f t="shared" si="5"/>
        <v>3.8</v>
      </c>
      <c r="M19" s="46">
        <f t="shared" si="4"/>
        <v>0.038</v>
      </c>
      <c r="N19" s="50"/>
      <c r="O19" s="43">
        <v>3.8</v>
      </c>
      <c r="P19" s="46">
        <f t="shared" si="0"/>
        <v>0.038</v>
      </c>
      <c r="Q19" s="46">
        <f t="shared" si="1"/>
        <v>3.8</v>
      </c>
      <c r="R19" s="46">
        <f t="shared" si="0"/>
        <v>0.038</v>
      </c>
    </row>
    <row r="20" spans="1:18" ht="12.75">
      <c r="A20" s="39"/>
      <c r="B20" s="39" t="s">
        <v>126</v>
      </c>
      <c r="C20" s="41">
        <v>0</v>
      </c>
      <c r="D20" s="50"/>
      <c r="E20" s="43">
        <v>9.2</v>
      </c>
      <c r="F20" s="46">
        <f t="shared" si="2"/>
        <v>0</v>
      </c>
      <c r="G20" s="46">
        <f t="shared" si="3"/>
        <v>9.2</v>
      </c>
      <c r="H20" s="46">
        <f t="shared" si="2"/>
        <v>0</v>
      </c>
      <c r="I20" s="50"/>
      <c r="J20" s="43">
        <v>9.1</v>
      </c>
      <c r="K20" s="46">
        <f t="shared" si="4"/>
        <v>0</v>
      </c>
      <c r="L20" s="46">
        <f t="shared" si="5"/>
        <v>9.1</v>
      </c>
      <c r="M20" s="46">
        <f t="shared" si="4"/>
        <v>0</v>
      </c>
      <c r="N20" s="50"/>
      <c r="O20" s="43">
        <v>7.3</v>
      </c>
      <c r="P20" s="46">
        <f t="shared" si="0"/>
        <v>0</v>
      </c>
      <c r="Q20" s="46">
        <f t="shared" si="1"/>
        <v>7.3</v>
      </c>
      <c r="R20" s="46">
        <f t="shared" si="0"/>
        <v>0</v>
      </c>
    </row>
    <row r="21" spans="1:18" ht="12.75">
      <c r="A21" s="39"/>
      <c r="B21" s="39" t="s">
        <v>35</v>
      </c>
      <c r="C21" s="41">
        <v>0.001</v>
      </c>
      <c r="D21" s="50"/>
      <c r="E21" s="43">
        <v>20</v>
      </c>
      <c r="F21" s="46">
        <f t="shared" si="2"/>
        <v>0.02</v>
      </c>
      <c r="G21" s="46">
        <f t="shared" si="3"/>
        <v>20</v>
      </c>
      <c r="H21" s="46">
        <f t="shared" si="2"/>
        <v>0.02</v>
      </c>
      <c r="I21" s="50"/>
      <c r="J21" s="43">
        <v>23</v>
      </c>
      <c r="K21" s="46">
        <f t="shared" si="4"/>
        <v>0.023</v>
      </c>
      <c r="L21" s="46">
        <f t="shared" si="5"/>
        <v>23</v>
      </c>
      <c r="M21" s="46">
        <f t="shared" si="4"/>
        <v>0.023</v>
      </c>
      <c r="N21" s="50"/>
      <c r="O21" s="43">
        <v>16</v>
      </c>
      <c r="P21" s="46">
        <f t="shared" si="0"/>
        <v>0.016</v>
      </c>
      <c r="Q21" s="46">
        <f t="shared" si="1"/>
        <v>16</v>
      </c>
      <c r="R21" s="46">
        <f t="shared" si="0"/>
        <v>0.016</v>
      </c>
    </row>
    <row r="22" spans="1:18" ht="12.75">
      <c r="A22" s="39"/>
      <c r="B22" s="39" t="s">
        <v>36</v>
      </c>
      <c r="C22" s="41">
        <v>0.1</v>
      </c>
      <c r="D22" s="50" t="s">
        <v>29</v>
      </c>
      <c r="E22" s="43">
        <v>2.2</v>
      </c>
      <c r="F22" s="46">
        <f t="shared" si="2"/>
        <v>0.22000000000000003</v>
      </c>
      <c r="G22" s="46">
        <f t="shared" si="3"/>
        <v>1.1</v>
      </c>
      <c r="H22" s="46">
        <f t="shared" si="2"/>
        <v>0.11000000000000001</v>
      </c>
      <c r="I22" s="50" t="s">
        <v>29</v>
      </c>
      <c r="J22" s="43">
        <v>4.1</v>
      </c>
      <c r="K22" s="46">
        <f t="shared" si="4"/>
        <v>0.41</v>
      </c>
      <c r="L22" s="46">
        <f t="shared" si="5"/>
        <v>2.05</v>
      </c>
      <c r="M22" s="46">
        <f t="shared" si="4"/>
        <v>0.205</v>
      </c>
      <c r="N22" s="50" t="s">
        <v>29</v>
      </c>
      <c r="O22" s="43">
        <v>3.6</v>
      </c>
      <c r="P22" s="46">
        <f t="shared" si="0"/>
        <v>0.36000000000000004</v>
      </c>
      <c r="Q22" s="46">
        <f t="shared" si="1"/>
        <v>1.8</v>
      </c>
      <c r="R22" s="46">
        <f t="shared" si="0"/>
        <v>0.18000000000000002</v>
      </c>
    </row>
    <row r="23" spans="1:18" ht="12.75">
      <c r="A23" s="39"/>
      <c r="B23" s="39" t="s">
        <v>127</v>
      </c>
      <c r="C23" s="41">
        <v>0</v>
      </c>
      <c r="D23" s="50"/>
      <c r="E23" s="43">
        <v>50</v>
      </c>
      <c r="F23" s="46">
        <f t="shared" si="2"/>
        <v>0</v>
      </c>
      <c r="G23" s="46">
        <f t="shared" si="3"/>
        <v>50</v>
      </c>
      <c r="H23" s="46">
        <f t="shared" si="2"/>
        <v>0</v>
      </c>
      <c r="I23" s="50"/>
      <c r="J23" s="43">
        <v>100</v>
      </c>
      <c r="K23" s="46">
        <f t="shared" si="4"/>
        <v>0</v>
      </c>
      <c r="L23" s="46">
        <f t="shared" si="5"/>
        <v>100</v>
      </c>
      <c r="M23" s="46">
        <f t="shared" si="4"/>
        <v>0</v>
      </c>
      <c r="N23" s="50"/>
      <c r="O23" s="43">
        <v>61</v>
      </c>
      <c r="P23" s="46">
        <f t="shared" si="0"/>
        <v>0</v>
      </c>
      <c r="Q23" s="46">
        <f t="shared" si="1"/>
        <v>61</v>
      </c>
      <c r="R23" s="46">
        <f t="shared" si="0"/>
        <v>0</v>
      </c>
    </row>
    <row r="24" spans="1:18" ht="12.75">
      <c r="A24" s="39"/>
      <c r="B24" s="39" t="s">
        <v>37</v>
      </c>
      <c r="C24" s="41">
        <v>0.05</v>
      </c>
      <c r="D24" s="50" t="s">
        <v>29</v>
      </c>
      <c r="E24" s="43">
        <v>4.6</v>
      </c>
      <c r="F24" s="46">
        <f t="shared" si="2"/>
        <v>0.22999999999999998</v>
      </c>
      <c r="G24" s="46">
        <f t="shared" si="3"/>
        <v>2.3</v>
      </c>
      <c r="H24" s="46">
        <f t="shared" si="2"/>
        <v>0.11499999999999999</v>
      </c>
      <c r="I24" s="50" t="s">
        <v>29</v>
      </c>
      <c r="J24" s="43">
        <v>4.9</v>
      </c>
      <c r="K24" s="46">
        <f t="shared" si="4"/>
        <v>0.24500000000000002</v>
      </c>
      <c r="L24" s="46">
        <f t="shared" si="5"/>
        <v>2.45</v>
      </c>
      <c r="M24" s="46">
        <f t="shared" si="4"/>
        <v>0.12250000000000001</v>
      </c>
      <c r="N24" s="50" t="s">
        <v>29</v>
      </c>
      <c r="O24" s="43">
        <v>3.8</v>
      </c>
      <c r="P24" s="46">
        <f t="shared" si="0"/>
        <v>0.19</v>
      </c>
      <c r="Q24" s="46">
        <f t="shared" si="1"/>
        <v>1.9</v>
      </c>
      <c r="R24" s="46">
        <f t="shared" si="0"/>
        <v>0.095</v>
      </c>
    </row>
    <row r="25" spans="1:18" ht="12.75">
      <c r="A25" s="39"/>
      <c r="B25" s="39" t="s">
        <v>38</v>
      </c>
      <c r="C25" s="41">
        <v>0.5</v>
      </c>
      <c r="D25" s="50" t="s">
        <v>29</v>
      </c>
      <c r="E25" s="43">
        <v>4.3</v>
      </c>
      <c r="F25" s="46">
        <f t="shared" si="2"/>
        <v>2.15</v>
      </c>
      <c r="G25" s="46">
        <f t="shared" si="3"/>
        <v>2.15</v>
      </c>
      <c r="H25" s="46">
        <f t="shared" si="2"/>
        <v>1.075</v>
      </c>
      <c r="I25" s="50"/>
      <c r="J25" s="43">
        <v>5.3</v>
      </c>
      <c r="K25" s="46">
        <f t="shared" si="4"/>
        <v>2.65</v>
      </c>
      <c r="L25" s="46">
        <f t="shared" si="5"/>
        <v>5.3</v>
      </c>
      <c r="M25" s="46">
        <f t="shared" si="4"/>
        <v>2.65</v>
      </c>
      <c r="N25" s="50"/>
      <c r="O25" s="43">
        <v>6</v>
      </c>
      <c r="P25" s="46">
        <f t="shared" si="0"/>
        <v>3</v>
      </c>
      <c r="Q25" s="46">
        <f t="shared" si="1"/>
        <v>6</v>
      </c>
      <c r="R25" s="46">
        <f t="shared" si="0"/>
        <v>3</v>
      </c>
    </row>
    <row r="26" spans="1:18" ht="12.75">
      <c r="A26" s="39"/>
      <c r="B26" s="39" t="s">
        <v>128</v>
      </c>
      <c r="C26" s="41">
        <v>0</v>
      </c>
      <c r="D26" s="50" t="s">
        <v>29</v>
      </c>
      <c r="E26" s="43">
        <v>4.6</v>
      </c>
      <c r="F26" s="46">
        <f t="shared" si="2"/>
        <v>0</v>
      </c>
      <c r="G26" s="46">
        <f t="shared" si="3"/>
        <v>2.3</v>
      </c>
      <c r="H26" s="46">
        <f t="shared" si="2"/>
        <v>0</v>
      </c>
      <c r="I26" s="50"/>
      <c r="J26" s="43">
        <v>22</v>
      </c>
      <c r="K26" s="46">
        <f t="shared" si="4"/>
        <v>0</v>
      </c>
      <c r="L26" s="46">
        <f t="shared" si="5"/>
        <v>22</v>
      </c>
      <c r="M26" s="46">
        <f t="shared" si="4"/>
        <v>0</v>
      </c>
      <c r="N26" s="50"/>
      <c r="O26" s="43">
        <v>37</v>
      </c>
      <c r="P26" s="46">
        <f t="shared" si="0"/>
        <v>0</v>
      </c>
      <c r="Q26" s="46">
        <f t="shared" si="1"/>
        <v>37</v>
      </c>
      <c r="R26" s="46">
        <f t="shared" si="0"/>
        <v>0</v>
      </c>
    </row>
    <row r="27" spans="1:18" ht="12.75">
      <c r="A27" s="39"/>
      <c r="B27" s="39" t="s">
        <v>39</v>
      </c>
      <c r="C27" s="41">
        <v>0.1</v>
      </c>
      <c r="D27" s="50"/>
      <c r="E27" s="43">
        <v>6.6</v>
      </c>
      <c r="F27" s="46">
        <f t="shared" si="2"/>
        <v>0.66</v>
      </c>
      <c r="G27" s="46">
        <f t="shared" si="3"/>
        <v>6.6</v>
      </c>
      <c r="H27" s="46">
        <f t="shared" si="2"/>
        <v>0.66</v>
      </c>
      <c r="I27" s="50"/>
      <c r="J27" s="43">
        <v>8.1</v>
      </c>
      <c r="K27" s="46">
        <f t="shared" si="4"/>
        <v>0.81</v>
      </c>
      <c r="L27" s="46">
        <f t="shared" si="5"/>
        <v>8.1</v>
      </c>
      <c r="M27" s="46">
        <f t="shared" si="4"/>
        <v>0.81</v>
      </c>
      <c r="N27" s="50"/>
      <c r="O27" s="43">
        <v>9.2</v>
      </c>
      <c r="P27" s="46">
        <f t="shared" si="0"/>
        <v>0.9199999999999999</v>
      </c>
      <c r="Q27" s="46">
        <f t="shared" si="1"/>
        <v>9.2</v>
      </c>
      <c r="R27" s="46">
        <f t="shared" si="0"/>
        <v>0.9199999999999999</v>
      </c>
    </row>
    <row r="28" spans="1:18" ht="12.75">
      <c r="A28" s="39"/>
      <c r="B28" s="39" t="s">
        <v>40</v>
      </c>
      <c r="C28" s="41">
        <v>0.1</v>
      </c>
      <c r="D28" s="50"/>
      <c r="E28" s="43">
        <v>4.1</v>
      </c>
      <c r="F28" s="46">
        <f t="shared" si="2"/>
        <v>0.41</v>
      </c>
      <c r="G28" s="46">
        <f t="shared" si="3"/>
        <v>4.1</v>
      </c>
      <c r="H28" s="46">
        <f t="shared" si="2"/>
        <v>0.41</v>
      </c>
      <c r="I28" s="50"/>
      <c r="J28" s="43">
        <v>4.9</v>
      </c>
      <c r="K28" s="46">
        <f t="shared" si="4"/>
        <v>0.49000000000000005</v>
      </c>
      <c r="L28" s="46">
        <f t="shared" si="5"/>
        <v>4.9</v>
      </c>
      <c r="M28" s="46">
        <f t="shared" si="4"/>
        <v>0.49000000000000005</v>
      </c>
      <c r="N28" s="50"/>
      <c r="O28" s="43">
        <v>6.3</v>
      </c>
      <c r="P28" s="46">
        <f t="shared" si="0"/>
        <v>0.63</v>
      </c>
      <c r="Q28" s="46">
        <f t="shared" si="1"/>
        <v>6.3</v>
      </c>
      <c r="R28" s="46">
        <f t="shared" si="0"/>
        <v>0.63</v>
      </c>
    </row>
    <row r="29" spans="1:18" ht="12.75">
      <c r="A29" s="39"/>
      <c r="B29" s="39" t="s">
        <v>41</v>
      </c>
      <c r="C29" s="41">
        <v>0.1</v>
      </c>
      <c r="D29" s="50"/>
      <c r="E29" s="43">
        <v>5.9</v>
      </c>
      <c r="F29" s="46">
        <f t="shared" si="2"/>
        <v>0.5900000000000001</v>
      </c>
      <c r="G29" s="46">
        <f t="shared" si="3"/>
        <v>5.9</v>
      </c>
      <c r="H29" s="46">
        <f t="shared" si="2"/>
        <v>0.5900000000000001</v>
      </c>
      <c r="I29" s="50"/>
      <c r="J29" s="43">
        <v>7.2</v>
      </c>
      <c r="K29" s="46">
        <f t="shared" si="4"/>
        <v>0.7200000000000001</v>
      </c>
      <c r="L29" s="46">
        <f t="shared" si="5"/>
        <v>7.2</v>
      </c>
      <c r="M29" s="46">
        <f t="shared" si="4"/>
        <v>0.7200000000000001</v>
      </c>
      <c r="N29" s="50"/>
      <c r="O29" s="43">
        <v>13</v>
      </c>
      <c r="P29" s="46">
        <f t="shared" si="0"/>
        <v>1.3</v>
      </c>
      <c r="Q29" s="46">
        <f t="shared" si="1"/>
        <v>13</v>
      </c>
      <c r="R29" s="46">
        <f t="shared" si="0"/>
        <v>1.3</v>
      </c>
    </row>
    <row r="30" spans="1:18" ht="12.75">
      <c r="A30" s="39"/>
      <c r="B30" s="39" t="s">
        <v>42</v>
      </c>
      <c r="C30" s="41">
        <v>0.1</v>
      </c>
      <c r="D30" s="50" t="s">
        <v>29</v>
      </c>
      <c r="E30" s="43">
        <v>2.4</v>
      </c>
      <c r="F30" s="46">
        <f t="shared" si="2"/>
        <v>0.24</v>
      </c>
      <c r="G30" s="46">
        <f t="shared" si="3"/>
        <v>1.2</v>
      </c>
      <c r="H30" s="46">
        <f t="shared" si="2"/>
        <v>0.12</v>
      </c>
      <c r="I30" s="50" t="s">
        <v>29</v>
      </c>
      <c r="J30" s="43">
        <v>3.3</v>
      </c>
      <c r="K30" s="46">
        <f t="shared" si="4"/>
        <v>0.33</v>
      </c>
      <c r="L30" s="46">
        <f t="shared" si="5"/>
        <v>1.65</v>
      </c>
      <c r="M30" s="46">
        <f t="shared" si="4"/>
        <v>0.165</v>
      </c>
      <c r="N30" s="50" t="s">
        <v>29</v>
      </c>
      <c r="O30" s="43">
        <v>2.9</v>
      </c>
      <c r="P30" s="46">
        <f t="shared" si="0"/>
        <v>0.29</v>
      </c>
      <c r="Q30" s="46">
        <f t="shared" si="1"/>
        <v>1.45</v>
      </c>
      <c r="R30" s="46">
        <f t="shared" si="0"/>
        <v>0.145</v>
      </c>
    </row>
    <row r="31" spans="1:18" ht="12.75">
      <c r="A31" s="39"/>
      <c r="B31" s="39" t="s">
        <v>129</v>
      </c>
      <c r="C31" s="41">
        <v>0</v>
      </c>
      <c r="D31" s="50"/>
      <c r="E31" s="43">
        <v>30</v>
      </c>
      <c r="F31" s="46">
        <f t="shared" si="2"/>
        <v>0</v>
      </c>
      <c r="G31" s="46">
        <f t="shared" si="3"/>
        <v>30</v>
      </c>
      <c r="H31" s="46">
        <f t="shared" si="2"/>
        <v>0</v>
      </c>
      <c r="I31" s="50"/>
      <c r="J31" s="43">
        <v>40</v>
      </c>
      <c r="K31" s="46">
        <f t="shared" si="4"/>
        <v>0</v>
      </c>
      <c r="L31" s="46">
        <f t="shared" si="5"/>
        <v>40</v>
      </c>
      <c r="M31" s="46">
        <f t="shared" si="4"/>
        <v>0</v>
      </c>
      <c r="N31" s="50"/>
      <c r="O31" s="43">
        <v>56</v>
      </c>
      <c r="P31" s="46">
        <f t="shared" si="0"/>
        <v>0</v>
      </c>
      <c r="Q31" s="46">
        <f t="shared" si="1"/>
        <v>56</v>
      </c>
      <c r="R31" s="46">
        <f t="shared" si="0"/>
        <v>0</v>
      </c>
    </row>
    <row r="32" spans="1:18" ht="12.75">
      <c r="A32" s="39"/>
      <c r="B32" s="39" t="s">
        <v>43</v>
      </c>
      <c r="C32" s="41">
        <v>0.01</v>
      </c>
      <c r="D32" s="50"/>
      <c r="E32" s="43">
        <v>21</v>
      </c>
      <c r="F32" s="46">
        <f t="shared" si="2"/>
        <v>0.21</v>
      </c>
      <c r="G32" s="46">
        <f t="shared" si="3"/>
        <v>21</v>
      </c>
      <c r="H32" s="46">
        <f t="shared" si="2"/>
        <v>0.21</v>
      </c>
      <c r="I32" s="50"/>
      <c r="J32" s="43">
        <v>29</v>
      </c>
      <c r="K32" s="46">
        <f t="shared" si="4"/>
        <v>0.29</v>
      </c>
      <c r="L32" s="46">
        <f t="shared" si="5"/>
        <v>29</v>
      </c>
      <c r="M32" s="46">
        <f t="shared" si="4"/>
        <v>0.29</v>
      </c>
      <c r="N32" s="50"/>
      <c r="O32" s="43">
        <v>27</v>
      </c>
      <c r="P32" s="46">
        <f t="shared" si="0"/>
        <v>0.27</v>
      </c>
      <c r="Q32" s="46">
        <f t="shared" si="1"/>
        <v>27</v>
      </c>
      <c r="R32" s="46">
        <f t="shared" si="0"/>
        <v>0.27</v>
      </c>
    </row>
    <row r="33" spans="1:18" ht="12.75">
      <c r="A33" s="39"/>
      <c r="B33" s="39" t="s">
        <v>44</v>
      </c>
      <c r="C33" s="41">
        <v>0.01</v>
      </c>
      <c r="D33" s="50" t="s">
        <v>29</v>
      </c>
      <c r="E33" s="43">
        <v>1.4</v>
      </c>
      <c r="F33" s="46">
        <f t="shared" si="2"/>
        <v>0.013999999999999999</v>
      </c>
      <c r="G33" s="46">
        <f t="shared" si="3"/>
        <v>0.7</v>
      </c>
      <c r="H33" s="46">
        <f t="shared" si="2"/>
        <v>0.006999999999999999</v>
      </c>
      <c r="I33" s="50" t="s">
        <v>29</v>
      </c>
      <c r="J33" s="43">
        <v>3.1</v>
      </c>
      <c r="K33" s="46">
        <f t="shared" si="4"/>
        <v>0.031000000000000003</v>
      </c>
      <c r="L33" s="46">
        <f t="shared" si="5"/>
        <v>1.55</v>
      </c>
      <c r="M33" s="46">
        <f t="shared" si="4"/>
        <v>0.015500000000000002</v>
      </c>
      <c r="N33" s="50" t="s">
        <v>29</v>
      </c>
      <c r="O33" s="43">
        <v>1.9</v>
      </c>
      <c r="P33" s="46">
        <f t="shared" si="0"/>
        <v>0.019</v>
      </c>
      <c r="Q33" s="46">
        <f t="shared" si="1"/>
        <v>0.95</v>
      </c>
      <c r="R33" s="46">
        <f t="shared" si="0"/>
        <v>0.0095</v>
      </c>
    </row>
    <row r="34" spans="1:18" ht="12.75">
      <c r="A34" s="39"/>
      <c r="B34" s="39" t="s">
        <v>130</v>
      </c>
      <c r="C34" s="41">
        <v>0</v>
      </c>
      <c r="D34" s="41"/>
      <c r="E34" s="43">
        <v>21</v>
      </c>
      <c r="F34" s="46">
        <f t="shared" si="2"/>
        <v>0</v>
      </c>
      <c r="G34" s="46">
        <f t="shared" si="3"/>
        <v>21</v>
      </c>
      <c r="H34" s="46">
        <f t="shared" si="2"/>
        <v>0</v>
      </c>
      <c r="I34" s="50"/>
      <c r="J34" s="43">
        <v>29</v>
      </c>
      <c r="K34" s="46">
        <f t="shared" si="4"/>
        <v>0</v>
      </c>
      <c r="L34" s="46">
        <f t="shared" si="5"/>
        <v>29</v>
      </c>
      <c r="M34" s="46">
        <f t="shared" si="4"/>
        <v>0</v>
      </c>
      <c r="N34" s="50"/>
      <c r="O34" s="43">
        <v>27</v>
      </c>
      <c r="P34" s="46">
        <f t="shared" si="0"/>
        <v>0</v>
      </c>
      <c r="Q34" s="46">
        <f t="shared" si="1"/>
        <v>27</v>
      </c>
      <c r="R34" s="46">
        <f t="shared" si="0"/>
        <v>0</v>
      </c>
    </row>
    <row r="35" spans="1:18" ht="12.75">
      <c r="A35" s="39"/>
      <c r="B35" s="39" t="s">
        <v>45</v>
      </c>
      <c r="C35" s="41">
        <v>0.001</v>
      </c>
      <c r="D35" s="41"/>
      <c r="E35" s="43">
        <v>18</v>
      </c>
      <c r="F35" s="46">
        <f t="shared" si="2"/>
        <v>0.018000000000000002</v>
      </c>
      <c r="G35" s="46">
        <f t="shared" si="3"/>
        <v>18</v>
      </c>
      <c r="H35" s="46">
        <f t="shared" si="2"/>
        <v>0.018000000000000002</v>
      </c>
      <c r="I35" s="50"/>
      <c r="J35" s="43">
        <v>31</v>
      </c>
      <c r="K35" s="46">
        <f t="shared" si="4"/>
        <v>0.031</v>
      </c>
      <c r="L35" s="46">
        <f t="shared" si="5"/>
        <v>31</v>
      </c>
      <c r="M35" s="46">
        <f t="shared" si="4"/>
        <v>0.031</v>
      </c>
      <c r="N35" s="50"/>
      <c r="O35" s="43">
        <v>17</v>
      </c>
      <c r="P35" s="46">
        <f t="shared" si="0"/>
        <v>0.017</v>
      </c>
      <c r="Q35" s="46">
        <f t="shared" si="1"/>
        <v>17</v>
      </c>
      <c r="R35" s="46">
        <f t="shared" si="0"/>
        <v>0.017</v>
      </c>
    </row>
    <row r="36" spans="1:18" ht="12.75">
      <c r="A36" s="39"/>
      <c r="B36" s="39"/>
      <c r="C36" s="39"/>
      <c r="D36" s="39"/>
      <c r="E36" s="46"/>
      <c r="F36" s="50"/>
      <c r="G36" s="50"/>
      <c r="H36" s="50"/>
      <c r="I36" s="46"/>
      <c r="J36" s="46"/>
      <c r="K36" s="50"/>
      <c r="L36" s="50"/>
      <c r="M36" s="50"/>
      <c r="N36" s="46"/>
      <c r="O36" s="46"/>
      <c r="P36" s="50"/>
      <c r="Q36" s="50"/>
      <c r="R36" s="50"/>
    </row>
    <row r="37" spans="1:18" ht="12.75">
      <c r="A37" s="39"/>
      <c r="B37" s="39" t="s">
        <v>46</v>
      </c>
      <c r="C37" s="39"/>
      <c r="D37" s="39"/>
      <c r="E37" s="46"/>
      <c r="F37" s="46">
        <v>125.414</v>
      </c>
      <c r="G37" s="46">
        <v>125.414</v>
      </c>
      <c r="H37" s="46">
        <v>125.414</v>
      </c>
      <c r="I37" s="46"/>
      <c r="J37" s="46"/>
      <c r="K37" s="46">
        <v>123.594</v>
      </c>
      <c r="L37" s="46">
        <v>123.594</v>
      </c>
      <c r="M37" s="46">
        <v>123.594</v>
      </c>
      <c r="N37" s="46"/>
      <c r="O37" s="46"/>
      <c r="P37" s="46">
        <v>125.127</v>
      </c>
      <c r="Q37" s="46">
        <v>125.127</v>
      </c>
      <c r="R37" s="46">
        <v>125.127</v>
      </c>
    </row>
    <row r="38" spans="1:18" ht="12.75">
      <c r="A38" s="39"/>
      <c r="B38" s="39" t="s">
        <v>72</v>
      </c>
      <c r="C38" s="39"/>
      <c r="D38" s="39"/>
      <c r="E38" s="49"/>
      <c r="F38" s="46">
        <v>6</v>
      </c>
      <c r="G38" s="46">
        <v>6</v>
      </c>
      <c r="H38" s="46">
        <v>6</v>
      </c>
      <c r="I38" s="46"/>
      <c r="J38" s="49"/>
      <c r="K38" s="46">
        <v>6</v>
      </c>
      <c r="L38" s="46">
        <v>6</v>
      </c>
      <c r="M38" s="46">
        <v>6</v>
      </c>
      <c r="N38" s="46"/>
      <c r="O38" s="49"/>
      <c r="P38" s="46">
        <v>6</v>
      </c>
      <c r="Q38" s="46">
        <v>6</v>
      </c>
      <c r="R38" s="46">
        <v>6</v>
      </c>
    </row>
    <row r="39" spans="1:18" ht="12.75">
      <c r="A39" s="39"/>
      <c r="B39" s="39"/>
      <c r="C39" s="39"/>
      <c r="D39" s="39"/>
      <c r="E39" s="46"/>
      <c r="F39" s="19"/>
      <c r="G39" s="19"/>
      <c r="H39" s="19"/>
      <c r="I39" s="19"/>
      <c r="J39" s="46"/>
      <c r="K39" s="19"/>
      <c r="L39" s="19"/>
      <c r="M39" s="19"/>
      <c r="N39" s="19"/>
      <c r="O39" s="46"/>
      <c r="P39" s="19"/>
      <c r="Q39" s="19"/>
      <c r="R39" s="19"/>
    </row>
    <row r="40" spans="1:18" ht="12.75">
      <c r="A40" s="39"/>
      <c r="B40" s="39" t="s">
        <v>131</v>
      </c>
      <c r="C40" s="50"/>
      <c r="D40" s="50"/>
      <c r="E40" s="43"/>
      <c r="F40" s="50">
        <f>SUM(F11:F35)/1000</f>
        <v>0.012384000000000003</v>
      </c>
      <c r="G40" s="50">
        <f>SUM(G35,G34,G31,G26,G23,G21,G20,G18,G14,G12)/1000</f>
        <v>0.16290000000000002</v>
      </c>
      <c r="H40" s="50">
        <f>SUM(H11:H35)/1000</f>
        <v>0.007162000000000001</v>
      </c>
      <c r="I40" s="50"/>
      <c r="J40" s="50"/>
      <c r="K40" s="50">
        <f>SUM(K11:K35)/1000</f>
        <v>0.012558000000000001</v>
      </c>
      <c r="L40" s="50">
        <f>SUM(L35,L34,L31,L26,L23,L21,L20,L18,L14,L12)/1000</f>
        <v>0.27255</v>
      </c>
      <c r="M40" s="50">
        <f>SUM(M11:M35)/1000</f>
        <v>0.008805</v>
      </c>
      <c r="N40" s="50"/>
      <c r="O40" s="50"/>
      <c r="P40" s="50">
        <f>SUM(P11:P35)/1000</f>
        <v>0.01344</v>
      </c>
      <c r="Q40" s="50">
        <f>SUM(Q35,Q34,Q31,Q26,Q23,Q21,Q20,Q18,Q14,Q12)/1000</f>
        <v>0.22715000000000002</v>
      </c>
      <c r="R40" s="50">
        <f>SUM(R11:R35)/1000</f>
        <v>0.0098155</v>
      </c>
    </row>
    <row r="41" spans="1:18" ht="12.75">
      <c r="A41" s="39"/>
      <c r="B41" s="39" t="s">
        <v>47</v>
      </c>
      <c r="C41" s="50"/>
      <c r="D41" s="43">
        <f>(F41-H41)*2/F41*100</f>
        <v>84.3346253229974</v>
      </c>
      <c r="E41" s="46"/>
      <c r="F41" s="50">
        <f>(F40/F37/0.0283*(21-7)/(21-F38))</f>
        <v>0.003256606345930688</v>
      </c>
      <c r="G41" s="50">
        <f>(G40/G37/0.0283*(21-7)/(21-G38))</f>
        <v>0.04283762707946617</v>
      </c>
      <c r="H41" s="50">
        <f>(H40/H37/0.0283*(21-7)/(21-H38))</f>
        <v>0.0018833829658878869</v>
      </c>
      <c r="I41" s="43">
        <f>(K41-M41)*2/K41*100</f>
        <v>59.770664118490224</v>
      </c>
      <c r="J41" s="50"/>
      <c r="K41" s="50">
        <f>(K40/K37/0.0283*(21-7)/(21-K38))</f>
        <v>0.0033509923149150555</v>
      </c>
      <c r="L41" s="50">
        <f>(L40/L37/0.0283*(21-7)/(21-L38))</f>
        <v>0.07272758046106852</v>
      </c>
      <c r="M41" s="50">
        <f>(M40/M37/0.0283*(21-7)/(21-M38))</f>
        <v>0.0023495371343229066</v>
      </c>
      <c r="N41" s="43">
        <f>(P41-R41)*2/P41*100</f>
        <v>53.93601190476195</v>
      </c>
      <c r="O41" s="50"/>
      <c r="P41" s="50">
        <f>(P40/P37/0.0283*(21-7)/(21-P38))</f>
        <v>0.0035424079806294904</v>
      </c>
      <c r="Q41" s="50">
        <f>(Q40/Q37/0.0283*(21-7)/(21-Q38))</f>
        <v>0.05987038488095154</v>
      </c>
      <c r="R41" s="50">
        <f>(R40/R37/0.0283*(21-7)/(21-R38))</f>
        <v>0.0025870911855557107</v>
      </c>
    </row>
    <row r="42" spans="1:18" ht="12.75">
      <c r="A42" s="39"/>
      <c r="B42" s="39"/>
      <c r="C42" s="39"/>
      <c r="D42" s="39"/>
      <c r="E42" s="45"/>
      <c r="F42" s="50"/>
      <c r="G42" s="45"/>
      <c r="H42" s="50"/>
      <c r="I42" s="45"/>
      <c r="J42" s="45"/>
      <c r="K42" s="45"/>
      <c r="L42" s="45"/>
      <c r="M42" s="45"/>
      <c r="N42" s="45"/>
      <c r="O42" s="45"/>
      <c r="P42" s="49"/>
      <c r="Q42" s="45"/>
      <c r="R42" s="49"/>
    </row>
    <row r="43" spans="1:18" ht="12.75">
      <c r="A43" s="46"/>
      <c r="B43" s="39" t="s">
        <v>73</v>
      </c>
      <c r="C43" s="50">
        <f>AVERAGE(H41,M41,R41)</f>
        <v>0.0022733370952555017</v>
      </c>
      <c r="D43" s="46"/>
      <c r="E43" s="46"/>
      <c r="F43" s="50"/>
      <c r="G43" s="46"/>
      <c r="H43" s="50"/>
      <c r="I43" s="46"/>
      <c r="J43" s="46"/>
      <c r="K43" s="46"/>
      <c r="L43" s="46"/>
      <c r="M43" s="46"/>
      <c r="N43" s="46"/>
      <c r="O43" s="46"/>
      <c r="P43" s="49"/>
      <c r="Q43" s="46"/>
      <c r="R43" s="49"/>
    </row>
    <row r="44" spans="1:18" ht="12.75">
      <c r="A44" s="39"/>
      <c r="B44" s="39" t="s">
        <v>74</v>
      </c>
      <c r="C44" s="50">
        <f>AVERAGE(G41,L41,Q41)</f>
        <v>0.05847853080716208</v>
      </c>
      <c r="D44" s="39"/>
      <c r="E44" s="49"/>
      <c r="F44" s="50"/>
      <c r="G44" s="49"/>
      <c r="H44" s="50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85" spans="1:18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7"/>
      <c r="G86" s="4"/>
      <c r="H86" s="7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7"/>
      <c r="F87" s="3"/>
      <c r="G87" s="5"/>
      <c r="H87" s="3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2004-02-24T18:01:53Z</cp:lastPrinted>
  <dcterms:created xsi:type="dcterms:W3CDTF">2000-01-10T00:44:42Z</dcterms:created>
  <dcterms:modified xsi:type="dcterms:W3CDTF">2004-02-24T18:02:35Z</dcterms:modified>
  <cp:category/>
  <cp:version/>
  <cp:contentType/>
  <cp:contentStatus/>
</cp:coreProperties>
</file>