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829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2" sheetId="7" r:id="rId7"/>
    <sheet name="df c4" sheetId="8" r:id="rId8"/>
    <sheet name="df c9" sheetId="9" r:id="rId9"/>
    <sheet name="df c11" sheetId="10" r:id="rId10"/>
    <sheet name="df c13" sheetId="11" r:id="rId11"/>
    <sheet name="df c14" sheetId="12" r:id="rId12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<sst xmlns="http://schemas.openxmlformats.org/spreadsheetml/2006/main" count="4097" uniqueCount="337">
  <si>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</si>
  <si>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</si>
  <si>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</si>
  <si>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</si>
  <si>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</si>
  <si>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</si>
  <si>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</si>
  <si>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</si>
  <si>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</si>
  <si>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</si>
  <si>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</si>
  <si>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</si>
  <si>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</si>
  <si>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</si>
  <si>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</si>
  <si>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</si>
  <si>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</si>
  <si>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</si>
  <si>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</si>
  <si>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</si>
  <si>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</si>
  <si>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</si>
  <si>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</si>
  <si>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</si>
  <si>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</si>
  <si>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</si>
  <si>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</si>
  <si>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</si>
  <si>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</si>
  <si>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</si>
  <si>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</si>
  <si>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</si>
  <si>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</si>
  <si>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</si>
  <si>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</si>
  <si>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</si>
  <si>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</si>
  <si>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</si>
  <si>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</si>
  <si>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</si>
  <si>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</si>
  <si>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</si>
  <si>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</si>
  <si>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</si>
  <si>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</si>
  <si>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</si>
  <si>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</si>
  <si>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</si>
  <si>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</si>
  <si>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</si>
  <si>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g/hr</t>
  </si>
  <si>
    <t>Heating Value</t>
  </si>
  <si>
    <t>Btu/lb</t>
  </si>
  <si>
    <t>Ash</t>
  </si>
  <si>
    <t>Chlorine</t>
  </si>
  <si>
    <t>HCl</t>
  </si>
  <si>
    <t>Cl2</t>
  </si>
  <si>
    <t>DRE</t>
  </si>
  <si>
    <t>Chlorobenzene</t>
  </si>
  <si>
    <t>lb/hr</t>
  </si>
  <si>
    <t>Detected in sample volume (pg)</t>
  </si>
  <si>
    <t>PCDD/PCDF (pg in sample)</t>
  </si>
  <si>
    <t>Run 1</t>
  </si>
  <si>
    <t>Run 2</t>
  </si>
  <si>
    <t>Run 3</t>
  </si>
  <si>
    <r>
      <t>o</t>
    </r>
    <r>
      <rPr>
        <sz val="10"/>
        <rFont val="Arial"/>
        <family val="2"/>
      </rPr>
      <t>F</t>
    </r>
  </si>
  <si>
    <t>pH</t>
  </si>
  <si>
    <t>gpm</t>
  </si>
  <si>
    <t>MM Btu/hr</t>
  </si>
  <si>
    <t>MMBtu/hr</t>
  </si>
  <si>
    <t>Spike</t>
  </si>
  <si>
    <t>ug/dscm</t>
  </si>
  <si>
    <t>SVM</t>
  </si>
  <si>
    <t>LVM</t>
  </si>
  <si>
    <t>O2 (%)</t>
  </si>
  <si>
    <t>TEQ Cond Avg</t>
  </si>
  <si>
    <t>Total Cond Avg</t>
  </si>
  <si>
    <t>Stack Gas Flowrate</t>
  </si>
  <si>
    <t>Oxygen</t>
  </si>
  <si>
    <t>mg/dscm</t>
  </si>
  <si>
    <t>HW</t>
  </si>
  <si>
    <t>Moisture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</si>
  <si>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</si>
  <si>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</si>
  <si>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</si>
  <si>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</si>
  <si>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</si>
  <si>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</si>
  <si>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</si>
  <si>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</si>
  <si>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</si>
  <si>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</si>
  <si>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</si>
  <si>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</si>
  <si>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</si>
  <si>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</si>
  <si>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</si>
  <si>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</si>
  <si>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</si>
  <si>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</si>
  <si>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</si>
  <si>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</si>
  <si>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</si>
  <si>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</si>
  <si>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</si>
  <si>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</si>
  <si>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</si>
  <si>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Silver</t>
  </si>
  <si>
    <t>Thallium</t>
  </si>
  <si>
    <t>Comments</t>
  </si>
  <si>
    <t>Trial Burn</t>
  </si>
  <si>
    <t>PM, HCl/Cl2</t>
  </si>
  <si>
    <t>POHC Feedrate</t>
  </si>
  <si>
    <t>Emission Rate</t>
  </si>
  <si>
    <t xml:space="preserve">   O2</t>
  </si>
  <si>
    <t xml:space="preserve">   Moisture</t>
  </si>
  <si>
    <t>Cobalt</t>
  </si>
  <si>
    <t>Copper</t>
  </si>
  <si>
    <t>Manganese</t>
  </si>
  <si>
    <t>Vanadium</t>
  </si>
  <si>
    <t>CO (RA)</t>
  </si>
  <si>
    <t>Chromium</t>
  </si>
  <si>
    <t>Total Chlorine</t>
  </si>
  <si>
    <t>Sampling Train</t>
  </si>
  <si>
    <t>Zinc</t>
  </si>
  <si>
    <t>Trial burn</t>
  </si>
  <si>
    <t>*</t>
  </si>
  <si>
    <t>Thermal Feedrate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</si>
  <si>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</si>
  <si>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</si>
  <si>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</si>
  <si>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</si>
  <si>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</si>
  <si>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</si>
  <si>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</si>
  <si>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</si>
  <si>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</si>
  <si>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</si>
  <si>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Eastman Kodak Company</t>
  </si>
  <si>
    <t>Rochester</t>
  </si>
  <si>
    <t>First Mini Burn Test Report, March 1995</t>
  </si>
  <si>
    <t>NOx</t>
  </si>
  <si>
    <t>SO2</t>
  </si>
  <si>
    <t>Toluene</t>
  </si>
  <si>
    <t>3016C1</t>
  </si>
  <si>
    <t>3016C2</t>
  </si>
  <si>
    <t>Waste Feed</t>
  </si>
  <si>
    <t>MHI Draft</t>
  </si>
  <si>
    <t>Hearth #3 Temp</t>
  </si>
  <si>
    <t>Hearth #6 Temp</t>
  </si>
  <si>
    <t>SCC Exit Temp</t>
  </si>
  <si>
    <t>Venturi Diff. Press</t>
  </si>
  <si>
    <t>Condenser Water Flow</t>
  </si>
  <si>
    <t>Quench Recycle Flow</t>
  </si>
  <si>
    <t>Venturi Approach Water Flow</t>
  </si>
  <si>
    <t>Venturi Throat Water Flow</t>
  </si>
  <si>
    <t>WESP</t>
  </si>
  <si>
    <t>in. W.C</t>
  </si>
  <si>
    <t>KVDC</t>
  </si>
  <si>
    <t>in H2O</t>
  </si>
  <si>
    <t>TRC Environmental Corporation</t>
  </si>
  <si>
    <t>PM, metals</t>
  </si>
  <si>
    <t>PM, HCl/Cl2, DRE, PCDD/F</t>
  </si>
  <si>
    <t>PM, HCl/Cl2, metals</t>
  </si>
  <si>
    <t>3016C3</t>
  </si>
  <si>
    <t>Sludge</t>
  </si>
  <si>
    <t>Stack Velocity</t>
  </si>
  <si>
    <t>ft/sec</t>
  </si>
  <si>
    <t>Nozzle Diameter</t>
  </si>
  <si>
    <t>in.</t>
  </si>
  <si>
    <t>Static Press</t>
  </si>
  <si>
    <t>in W.C</t>
  </si>
  <si>
    <t>Second Mini Burn Report. October 1995</t>
  </si>
  <si>
    <t>3016C4</t>
  </si>
  <si>
    <t>R1</t>
  </si>
  <si>
    <t>R2</t>
  </si>
  <si>
    <t>R3</t>
  </si>
  <si>
    <t>Cond Avg.</t>
  </si>
  <si>
    <t>Maganese</t>
  </si>
  <si>
    <t>Detected in sample volume (ng)</t>
  </si>
  <si>
    <t>PCDD/PCDF (ng in sample)</t>
  </si>
  <si>
    <t>PCDD/F</t>
  </si>
  <si>
    <t>PM, metals, PCDD/F</t>
  </si>
  <si>
    <t>Third and Fourth Mini Burn Report. October 1995</t>
  </si>
  <si>
    <t>July 26-27, 2000</t>
  </si>
  <si>
    <t>July 27-28, 2000</t>
  </si>
  <si>
    <t>PM, metals, HCl/Cl2, PCDD/F</t>
  </si>
  <si>
    <t>3016C9</t>
  </si>
  <si>
    <t>Dry Sludge</t>
  </si>
  <si>
    <t>Hearth #4 Temp</t>
  </si>
  <si>
    <t>Hearth #5 Temp</t>
  </si>
  <si>
    <t>SCC Temp</t>
  </si>
  <si>
    <t>Scrubber Blowdown</t>
  </si>
  <si>
    <t>Condenser Flowrate</t>
  </si>
  <si>
    <t>Scrubber pH</t>
  </si>
  <si>
    <t>inch H2O</t>
  </si>
  <si>
    <t>KV</t>
  </si>
  <si>
    <t>Venturi Flowrate</t>
  </si>
  <si>
    <t>Quech Recycle Flowrate</t>
  </si>
  <si>
    <t>Venturi Diff. Press.</t>
  </si>
  <si>
    <t>Inch. H2O</t>
  </si>
  <si>
    <t>Selenium</t>
  </si>
  <si>
    <t>3016C10</t>
  </si>
  <si>
    <t>3016C5</t>
  </si>
  <si>
    <t>3016C6</t>
  </si>
  <si>
    <t>3016C7</t>
  </si>
  <si>
    <t>3016C8</t>
  </si>
  <si>
    <t>Sixth Mini Burn Report. May 2001</t>
  </si>
  <si>
    <t>3016C11</t>
  </si>
  <si>
    <t>3016C12</t>
  </si>
  <si>
    <t>Wet Sludge</t>
  </si>
  <si>
    <t>R4</t>
  </si>
  <si>
    <t>R5</t>
  </si>
  <si>
    <t>R6</t>
  </si>
  <si>
    <t>R7</t>
  </si>
  <si>
    <t>R8</t>
  </si>
  <si>
    <t>R9</t>
  </si>
  <si>
    <t>R10</t>
  </si>
  <si>
    <t>R11</t>
  </si>
  <si>
    <t>Venturi Press. Drop</t>
  </si>
  <si>
    <t>KVA</t>
  </si>
  <si>
    <t>May 9-11, 2001</t>
  </si>
  <si>
    <t>Trial burn, max feedrate, max #3 hearth temp</t>
  </si>
  <si>
    <t>Fifth Mini Burn Report. January 2001</t>
  </si>
  <si>
    <t>MHI Emission Test Results, February 1995</t>
  </si>
  <si>
    <t>Mini-burn, max feedrate</t>
  </si>
  <si>
    <t>Mini-burn, low temp</t>
  </si>
  <si>
    <t>Mini-burn, high temp</t>
  </si>
  <si>
    <t>Mini-burn, max feedrate, max #3 hearth temp</t>
  </si>
  <si>
    <t>Mini-burn, max feedrate, low temp</t>
  </si>
  <si>
    <t>Mini-burn, max feedrate, high temp</t>
  </si>
  <si>
    <t>HC (RA)</t>
  </si>
  <si>
    <t>Q/PBS/VS/WESP</t>
  </si>
  <si>
    <t>Quench, packed bed scrubber/absorber, variable throat venturi scrubber, wet electrostatic precipitator</t>
  </si>
  <si>
    <t>Sludge is obtained from a wastewater purification plant and consists of insoluble solids removed by dedimentation in the primary clarifiers, and excess sludge, produced during the biological treatment stage.</t>
  </si>
  <si>
    <t>TRC Environmental Corp</t>
  </si>
  <si>
    <t>Trial Burn Test Report for the Eastman Kodak B-95 Multiple Hearth Incinerator, March 2002</t>
  </si>
  <si>
    <t>Nov 29-30, 2001</t>
  </si>
  <si>
    <t>Dec 3-4, 2001</t>
  </si>
  <si>
    <t>Nov 27-28, 2001</t>
  </si>
  <si>
    <t>HBr</t>
  </si>
  <si>
    <t>Br2</t>
  </si>
  <si>
    <t>HF</t>
  </si>
  <si>
    <t>F2</t>
  </si>
  <si>
    <t>HI</t>
  </si>
  <si>
    <t>I2</t>
  </si>
  <si>
    <t>Feedrate</t>
  </si>
  <si>
    <t>&gt;</t>
  </si>
  <si>
    <t>PCCD/F</t>
  </si>
  <si>
    <t>PM, HCl/Cl2, CO, HC, Metals, D/F</t>
  </si>
  <si>
    <t>Aluminum</t>
  </si>
  <si>
    <t>Metals</t>
  </si>
  <si>
    <t>Heating Value(dry)</t>
  </si>
  <si>
    <t>Bromine</t>
  </si>
  <si>
    <t>Flourine</t>
  </si>
  <si>
    <t>Iodine</t>
  </si>
  <si>
    <t>Trial Burn, min secondary comb chamber (SCC) operating temp</t>
  </si>
  <si>
    <t>Trial Burn, max waste feed, max SCC operating temp</t>
  </si>
  <si>
    <t>Hearth #0 Temp</t>
  </si>
  <si>
    <t>Hearth # 7 Temp</t>
  </si>
  <si>
    <t>Hearth # 3&amp;4 Hottest Temp</t>
  </si>
  <si>
    <t>Quench Flow Rate</t>
  </si>
  <si>
    <t>GPM</t>
  </si>
  <si>
    <t>Venturi Blow Down pH</t>
  </si>
  <si>
    <t>WESP Secondary KVA</t>
  </si>
  <si>
    <t>Trial Burn, Max SCC Temp, Nov 29-30, 2001</t>
  </si>
  <si>
    <t>Trial Burn, Min SCC Temp, Nov 29-30, 2001</t>
  </si>
  <si>
    <t>NY</t>
  </si>
  <si>
    <t>3016C13</t>
  </si>
  <si>
    <t>3016C14</t>
  </si>
  <si>
    <t>3016C15</t>
  </si>
  <si>
    <t>Mini-burn, max feedrate, max temp at 1685 °F</t>
  </si>
  <si>
    <t>Mini-burn, max feedrate, max temp at 1615 °F</t>
  </si>
  <si>
    <t>Mini-burn, max feedrate, max temp at 1600 °F</t>
  </si>
  <si>
    <t>Mini-burn, max feedrate, max temp at 1505 °F</t>
  </si>
  <si>
    <t>NYD980592497</t>
  </si>
  <si>
    <t>B-95, Unit No. 32</t>
  </si>
  <si>
    <t>Trial Burn, low waste feed</t>
  </si>
  <si>
    <t>The MHI is a eighth hearth unit manufactured by Envirotech.The sludge is fed to hearth 1 by a screw conveyor system. Drying of the feed occurs on hearths 1 and 2. Combustion takes place on hearth levels 3-5. Ash cools down on levels 6-7 and is discharged from the bottom of the unit.The residence time for the waste at maximum feed is about one hour. Flue gas leaving the MHI is routed to a Secondary Combustion Chamber (SCC) for organics destruction</t>
  </si>
  <si>
    <t>PM, HCl/Cl2, CO, HC, VOC/SVOC, POHC DRE, D/F</t>
  </si>
  <si>
    <t>PM, CO, HC, POHC DRE</t>
  </si>
  <si>
    <t>Tier III for As, Cr, Cd, Pb?</t>
  </si>
  <si>
    <t>Combustor Class</t>
  </si>
  <si>
    <t>Combustor Type</t>
  </si>
  <si>
    <t>Phase I ID No.</t>
  </si>
  <si>
    <t>Report Name/Date</t>
  </si>
  <si>
    <t>Report Prepare</t>
  </si>
  <si>
    <t>Testing Firm</t>
  </si>
  <si>
    <t>Testing Dates</t>
  </si>
  <si>
    <t>Condition Descr</t>
  </si>
  <si>
    <t>Content</t>
  </si>
  <si>
    <t>Stack Gas Emissions 1</t>
  </si>
  <si>
    <t>Feedstream 1</t>
  </si>
  <si>
    <t>Condition Description</t>
  </si>
  <si>
    <t>Full ND</t>
  </si>
  <si>
    <t>Run 4</t>
  </si>
  <si>
    <t>Run 5</t>
  </si>
  <si>
    <t>Run 6</t>
  </si>
  <si>
    <t>Run 7</t>
  </si>
  <si>
    <t>Run 8</t>
  </si>
  <si>
    <t>Run 9</t>
  </si>
  <si>
    <t>Run 10</t>
  </si>
  <si>
    <t>Run 11</t>
  </si>
  <si>
    <t>E1</t>
  </si>
  <si>
    <t>E2</t>
  </si>
  <si>
    <t>n</t>
  </si>
  <si>
    <t>Cond Dates</t>
  </si>
  <si>
    <t>Number of Sister Facilities</t>
  </si>
  <si>
    <t>APCS Detailed Acronym</t>
  </si>
  <si>
    <t>APCS General Class</t>
  </si>
  <si>
    <t>WQ, LEWS, HEWS, WESP</t>
  </si>
  <si>
    <t>source</t>
  </si>
  <si>
    <t>cond</t>
  </si>
  <si>
    <t>emiss</t>
  </si>
  <si>
    <t>feed</t>
  </si>
  <si>
    <t>process</t>
  </si>
  <si>
    <t>df c2</t>
  </si>
  <si>
    <t>df c4</t>
  </si>
  <si>
    <t>df c9</t>
  </si>
  <si>
    <t>df c11</t>
  </si>
  <si>
    <t>df c13</t>
  </si>
  <si>
    <t>df c14</t>
  </si>
  <si>
    <t>Onsite incinerator</t>
  </si>
  <si>
    <t>Rotary hearth</t>
  </si>
  <si>
    <t>Natural gas</t>
  </si>
  <si>
    <t>Feedstream Number</t>
  </si>
  <si>
    <t>Feed Class</t>
  </si>
  <si>
    <t>F1</t>
  </si>
  <si>
    <t>Liq non-HW</t>
  </si>
  <si>
    <t>F3</t>
  </si>
  <si>
    <t>Sludge HW</t>
  </si>
  <si>
    <t>Feed Class 2</t>
  </si>
  <si>
    <t>Non-HW</t>
  </si>
  <si>
    <t>Estimated Firing Rate</t>
  </si>
  <si>
    <t>High nd?</t>
  </si>
  <si>
    <t>N</t>
  </si>
  <si>
    <t xml:space="preserve">3016C13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</si>
</sst>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E+00"/>
    <numFmt numFmtId="178" formatCode="0.000E+00"/>
    <numFmt numFmtId="179" formatCode="0.E+00"/>
    <numFmt numFmtId="180" formatCode="0.000%"/>
    <numFmt numFmtId="181" formatCode="0.0000%"/>
    <numFmt numFmtId="182" formatCode="0.00000%"/>
    <numFmt numFmtId="183" formatCode="0.000000%"/>
    <numFmt numFmtId="184" formatCode="0.0%"/>
    <numFmt numFmtId="185" formatCode="0.000000000000"/>
    <numFmt numFmtId="186" formatCode="0.00000000000"/>
    <numFmt numFmtId="187" formatCode="0.0000000000"/>
    <numFmt numFmtId="188" formatCode="0.000000000"/>
  </numFmts>
  <fonts count="8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67" fontId="0" fillId="0" borderId="0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82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Alignment="1">
      <alignment horizontal="left"/>
    </xf>
    <xf numFmtId="11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D25" sqref="D25"/>
    </sheetView>
  </sheetViews>
  <sheetFormatPr defaultColWidth="9.140625" defaultRowHeight="12.75"/>
  <sheetData>
    <row r="1" ht="12.75">
      <c r="A1" t="s">
        <v>311</v>
      </c>
    </row>
    <row r="2" ht="12.75">
      <c r="A2" t="s">
        <v>312</v>
      </c>
    </row>
    <row r="3" ht="12.75">
      <c r="A3" t="s">
        <v>313</v>
      </c>
    </row>
    <row r="4" ht="12.75">
      <c r="A4" t="s">
        <v>314</v>
      </c>
    </row>
    <row r="5" ht="12.75">
      <c r="A5" t="s">
        <v>315</v>
      </c>
    </row>
    <row r="6" ht="12.75">
      <c r="A6" t="s">
        <v>316</v>
      </c>
    </row>
    <row r="7" ht="12.75">
      <c r="A7" t="s">
        <v>317</v>
      </c>
    </row>
    <row r="8" ht="12.75">
      <c r="A8" t="s">
        <v>318</v>
      </c>
    </row>
    <row r="9" ht="12.75">
      <c r="A9" t="s">
        <v>319</v>
      </c>
    </row>
    <row r="10" ht="12.75">
      <c r="A10" t="s">
        <v>320</v>
      </c>
    </row>
    <row r="11" ht="12.75">
      <c r="A11" t="s">
        <v>321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7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140625" style="0" customWidth="1"/>
    <col min="4" max="4" width="4.57421875" style="0" bestFit="1" customWidth="1"/>
    <col min="5" max="5" width="9.421875" style="0" customWidth="1"/>
    <col min="6" max="6" width="9.8515625" style="0" customWidth="1"/>
    <col min="7" max="7" width="9.421875" style="0" bestFit="1" customWidth="1"/>
    <col min="8" max="8" width="9.8515625" style="0" customWidth="1"/>
    <col min="9" max="9" width="5.00390625" style="0" customWidth="1"/>
    <col min="10" max="10" width="9.421875" style="0" bestFit="1" customWidth="1"/>
    <col min="11" max="11" width="9.28125" style="0" customWidth="1"/>
    <col min="13" max="13" width="9.28125" style="0" customWidth="1"/>
    <col min="14" max="14" width="2.8515625" style="0" customWidth="1"/>
    <col min="17" max="17" width="9.00390625" style="0" customWidth="1"/>
  </cols>
  <sheetData>
    <row r="1" spans="1:17" ht="12.75">
      <c r="A1" s="55" t="s">
        <v>86</v>
      </c>
      <c r="B1" s="37"/>
      <c r="C1" s="37"/>
      <c r="D1" s="37"/>
      <c r="E1" s="47"/>
      <c r="F1" s="48"/>
      <c r="G1" s="47"/>
      <c r="H1" s="48"/>
      <c r="I1" s="47"/>
      <c r="J1" s="47"/>
      <c r="K1" s="47"/>
      <c r="L1" s="47"/>
      <c r="M1" s="47"/>
      <c r="N1" s="47"/>
      <c r="O1" s="47"/>
      <c r="P1" s="47"/>
      <c r="Q1" s="47"/>
    </row>
    <row r="2" spans="1:17" ht="12.75">
      <c r="A2" s="37" t="s">
        <v>335</v>
      </c>
      <c r="B2" s="37"/>
      <c r="C2" s="37"/>
      <c r="D2" s="37"/>
      <c r="E2" s="47"/>
      <c r="F2" s="48"/>
      <c r="G2" s="47"/>
      <c r="H2" s="48"/>
      <c r="I2" s="47"/>
      <c r="J2" s="47"/>
      <c r="K2" s="47"/>
      <c r="L2" s="47"/>
      <c r="M2" s="47"/>
      <c r="N2" s="47"/>
      <c r="O2" s="47"/>
      <c r="P2" s="47"/>
      <c r="Q2" s="47"/>
    </row>
    <row r="3" spans="1:17" ht="12.75">
      <c r="A3" s="37" t="s">
        <v>20</v>
      </c>
      <c r="B3" s="37"/>
      <c r="C3" s="15" t="str">
        <f>source!C5</f>
        <v>Eastman Kodak Company</v>
      </c>
      <c r="D3" s="15"/>
      <c r="E3" s="47"/>
      <c r="F3" s="48"/>
      <c r="G3" s="47"/>
      <c r="H3" s="48"/>
      <c r="I3" s="47"/>
      <c r="J3" s="47"/>
      <c r="K3" s="47"/>
      <c r="L3" s="47"/>
      <c r="M3" s="47"/>
      <c r="N3" s="47"/>
      <c r="O3" s="47"/>
      <c r="P3" s="47"/>
      <c r="Q3" s="47"/>
    </row>
    <row r="4" spans="1:17" ht="12.75">
      <c r="A4" s="37" t="s">
        <v>21</v>
      </c>
      <c r="B4" s="37"/>
      <c r="C4" s="15" t="s">
        <v>208</v>
      </c>
      <c r="D4" s="15"/>
      <c r="E4" s="49"/>
      <c r="F4" s="50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</row>
    <row r="5" spans="1:17" ht="12.75">
      <c r="A5" s="37" t="s">
        <v>22</v>
      </c>
      <c r="B5" s="37"/>
      <c r="C5" s="20" t="str">
        <f>cond!C110</f>
        <v>Mini-burn, max feedrate, low temp</v>
      </c>
      <c r="D5" s="20"/>
      <c r="E5" s="20"/>
      <c r="F5" s="20"/>
      <c r="G5" s="20"/>
      <c r="H5" s="20"/>
      <c r="I5" s="20"/>
      <c r="J5" s="20"/>
      <c r="K5" s="47"/>
      <c r="L5" s="20"/>
      <c r="M5" s="47"/>
      <c r="N5" s="47"/>
      <c r="O5" s="47"/>
      <c r="P5" s="47"/>
      <c r="Q5" s="47"/>
    </row>
    <row r="6" spans="1:17" ht="12.75">
      <c r="A6" s="37"/>
      <c r="B6" s="37"/>
      <c r="C6" s="39"/>
      <c r="D6" s="39"/>
      <c r="E6" s="51"/>
      <c r="F6" s="48"/>
      <c r="G6" s="51"/>
      <c r="H6" s="48"/>
      <c r="I6" s="47"/>
      <c r="J6" s="51"/>
      <c r="K6" s="47"/>
      <c r="L6" s="51"/>
      <c r="M6" s="47"/>
      <c r="N6" s="47"/>
      <c r="O6" s="51"/>
      <c r="P6" s="51"/>
      <c r="Q6" s="47"/>
    </row>
    <row r="7" spans="1:17" s="83" customFormat="1" ht="12.75">
      <c r="A7" s="37"/>
      <c r="B7" s="37"/>
      <c r="C7" s="39" t="s">
        <v>23</v>
      </c>
      <c r="D7" s="39"/>
      <c r="E7" s="52" t="s">
        <v>62</v>
      </c>
      <c r="F7" s="52"/>
      <c r="G7" s="52"/>
      <c r="H7" s="52"/>
      <c r="I7" s="19"/>
      <c r="J7" s="52" t="s">
        <v>63</v>
      </c>
      <c r="K7" s="52"/>
      <c r="L7" s="52"/>
      <c r="M7" s="52"/>
      <c r="N7" s="19"/>
      <c r="O7" s="52" t="s">
        <v>64</v>
      </c>
      <c r="P7" s="52"/>
      <c r="Q7" s="52"/>
    </row>
    <row r="8" spans="1:17" s="83" customFormat="1" ht="12.75">
      <c r="A8" s="37"/>
      <c r="B8" s="37"/>
      <c r="C8" s="39" t="s">
        <v>24</v>
      </c>
      <c r="D8" s="37"/>
      <c r="E8" s="51" t="s">
        <v>25</v>
      </c>
      <c r="F8" s="50" t="s">
        <v>26</v>
      </c>
      <c r="G8" s="51" t="s">
        <v>25</v>
      </c>
      <c r="H8" s="50" t="s">
        <v>26</v>
      </c>
      <c r="I8" s="47"/>
      <c r="J8" s="51" t="s">
        <v>25</v>
      </c>
      <c r="K8" s="51" t="s">
        <v>27</v>
      </c>
      <c r="L8" s="51" t="s">
        <v>25</v>
      </c>
      <c r="M8" s="51" t="s">
        <v>27</v>
      </c>
      <c r="N8" s="47"/>
      <c r="O8" s="51" t="s">
        <v>25</v>
      </c>
      <c r="P8" s="51" t="s">
        <v>25</v>
      </c>
      <c r="Q8" s="51" t="s">
        <v>27</v>
      </c>
    </row>
    <row r="9" spans="1:17" s="83" customFormat="1" ht="12.75">
      <c r="A9" s="37"/>
      <c r="B9" s="37"/>
      <c r="C9" s="39"/>
      <c r="D9" s="37"/>
      <c r="E9" s="51" t="s">
        <v>294</v>
      </c>
      <c r="F9" s="51" t="s">
        <v>294</v>
      </c>
      <c r="G9" s="51" t="s">
        <v>85</v>
      </c>
      <c r="H9" s="50" t="s">
        <v>85</v>
      </c>
      <c r="I9" s="47"/>
      <c r="J9" s="51" t="s">
        <v>294</v>
      </c>
      <c r="K9" s="51" t="s">
        <v>294</v>
      </c>
      <c r="L9" s="51" t="s">
        <v>85</v>
      </c>
      <c r="M9" s="50" t="s">
        <v>85</v>
      </c>
      <c r="N9" s="47"/>
      <c r="O9" s="51"/>
      <c r="P9" s="51" t="s">
        <v>85</v>
      </c>
      <c r="Q9" s="50" t="s">
        <v>85</v>
      </c>
    </row>
    <row r="10" spans="1:17" ht="12.75">
      <c r="A10" s="37" t="s">
        <v>60</v>
      </c>
      <c r="B10" s="37"/>
      <c r="C10" s="37"/>
      <c r="D10" s="37"/>
      <c r="E10" s="47"/>
      <c r="F10" s="48"/>
      <c r="G10" s="47"/>
      <c r="H10" s="48"/>
      <c r="I10" s="47"/>
      <c r="J10" s="47"/>
      <c r="K10" s="47"/>
      <c r="L10" s="47"/>
      <c r="M10" s="47"/>
      <c r="N10" s="47"/>
      <c r="O10" s="41"/>
      <c r="P10" s="53"/>
      <c r="Q10" s="53"/>
    </row>
    <row r="11" spans="1:17" ht="12.75">
      <c r="A11" s="37"/>
      <c r="B11" s="37" t="s">
        <v>28</v>
      </c>
      <c r="C11" s="39">
        <v>1</v>
      </c>
      <c r="D11" s="39" t="s">
        <v>29</v>
      </c>
      <c r="E11" s="41">
        <v>3.4</v>
      </c>
      <c r="F11" s="53">
        <f aca="true" t="shared" si="0" ref="F11:H35">IF(E11="","",E11*$C11)</f>
        <v>3.4</v>
      </c>
      <c r="G11" s="53">
        <f aca="true" t="shared" si="1" ref="G11:G26">IF(E11=0,"",IF(D11="nd",E11/2,E11))</f>
        <v>1.7</v>
      </c>
      <c r="H11" s="53">
        <f t="shared" si="0"/>
        <v>1.7</v>
      </c>
      <c r="I11" s="39" t="s">
        <v>29</v>
      </c>
      <c r="J11" s="41">
        <v>3.3</v>
      </c>
      <c r="K11" s="53">
        <f aca="true" t="shared" si="2" ref="K11:M35">IF(J11="","",J11*$C11)</f>
        <v>3.3</v>
      </c>
      <c r="L11" s="53">
        <f aca="true" t="shared" si="3" ref="L11:L35">IF(J11=0,"",IF(I11="nd",J11/2,J11))</f>
        <v>1.65</v>
      </c>
      <c r="M11" s="53">
        <f t="shared" si="2"/>
        <v>1.65</v>
      </c>
      <c r="N11" s="48"/>
      <c r="O11" s="53"/>
      <c r="P11" s="53"/>
      <c r="Q11" s="53"/>
    </row>
    <row r="12" spans="1:17" ht="12.75">
      <c r="A12" s="37"/>
      <c r="B12" s="37" t="s">
        <v>130</v>
      </c>
      <c r="C12" s="39">
        <v>0</v>
      </c>
      <c r="D12" s="39"/>
      <c r="E12" s="44">
        <v>6</v>
      </c>
      <c r="F12" s="63">
        <f t="shared" si="0"/>
        <v>0</v>
      </c>
      <c r="G12" s="62">
        <f t="shared" si="1"/>
        <v>6</v>
      </c>
      <c r="H12" s="63">
        <f t="shared" si="0"/>
        <v>0</v>
      </c>
      <c r="I12" s="39"/>
      <c r="J12" s="44">
        <v>3.3</v>
      </c>
      <c r="K12" s="53">
        <f t="shared" si="2"/>
        <v>0</v>
      </c>
      <c r="L12" s="62">
        <f t="shared" si="3"/>
        <v>3.3</v>
      </c>
      <c r="M12" s="53">
        <f t="shared" si="2"/>
        <v>0</v>
      </c>
      <c r="N12" s="48"/>
      <c r="O12" s="53"/>
      <c r="P12" s="47"/>
      <c r="Q12" s="47"/>
    </row>
    <row r="13" spans="1:17" ht="12.75">
      <c r="A13" s="37"/>
      <c r="B13" s="37" t="s">
        <v>30</v>
      </c>
      <c r="C13" s="39">
        <v>0.5</v>
      </c>
      <c r="D13" s="39"/>
      <c r="E13" s="44">
        <v>2.8</v>
      </c>
      <c r="F13" s="63">
        <f t="shared" si="0"/>
        <v>1.4</v>
      </c>
      <c r="G13" s="62">
        <f t="shared" si="1"/>
        <v>2.8</v>
      </c>
      <c r="H13" s="63">
        <f t="shared" si="0"/>
        <v>1.4</v>
      </c>
      <c r="I13" s="39"/>
      <c r="J13" s="44">
        <v>2.8</v>
      </c>
      <c r="K13" s="62">
        <f t="shared" si="2"/>
        <v>1.4</v>
      </c>
      <c r="L13" s="62">
        <f t="shared" si="3"/>
        <v>2.8</v>
      </c>
      <c r="M13" s="62">
        <f t="shared" si="2"/>
        <v>1.4</v>
      </c>
      <c r="N13" s="48"/>
      <c r="O13" s="54"/>
      <c r="P13" s="47"/>
      <c r="Q13" s="47"/>
    </row>
    <row r="14" spans="1:17" ht="12.75">
      <c r="A14" s="37"/>
      <c r="B14" s="37" t="s">
        <v>131</v>
      </c>
      <c r="C14" s="39">
        <v>0</v>
      </c>
      <c r="D14" s="39"/>
      <c r="E14" s="44">
        <v>0</v>
      </c>
      <c r="F14" s="63">
        <f t="shared" si="0"/>
        <v>0</v>
      </c>
      <c r="G14" s="62">
        <f t="shared" si="1"/>
      </c>
      <c r="H14" s="63">
        <f t="shared" si="0"/>
      </c>
      <c r="I14" s="39"/>
      <c r="J14" s="44">
        <v>0</v>
      </c>
      <c r="K14" s="63">
        <f t="shared" si="2"/>
        <v>0</v>
      </c>
      <c r="L14" s="62">
        <f t="shared" si="3"/>
      </c>
      <c r="M14" s="63">
        <f t="shared" si="2"/>
      </c>
      <c r="N14" s="48"/>
      <c r="O14" s="54"/>
      <c r="P14" s="47"/>
      <c r="Q14" s="47"/>
    </row>
    <row r="15" spans="1:17" ht="12.75">
      <c r="A15" s="37"/>
      <c r="B15" s="37" t="s">
        <v>31</v>
      </c>
      <c r="C15" s="39">
        <v>0.1</v>
      </c>
      <c r="D15" s="39"/>
      <c r="E15" s="44">
        <v>3.4</v>
      </c>
      <c r="F15" s="63">
        <f t="shared" si="0"/>
        <v>0.34</v>
      </c>
      <c r="G15" s="62">
        <f t="shared" si="1"/>
        <v>3.4</v>
      </c>
      <c r="H15" s="63">
        <f t="shared" si="0"/>
        <v>0.34</v>
      </c>
      <c r="I15" s="39"/>
      <c r="J15" s="44">
        <v>3.3</v>
      </c>
      <c r="K15" s="63">
        <f t="shared" si="2"/>
        <v>0.33</v>
      </c>
      <c r="L15" s="62">
        <f t="shared" si="3"/>
        <v>3.3</v>
      </c>
      <c r="M15" s="63">
        <f t="shared" si="2"/>
        <v>0.33</v>
      </c>
      <c r="N15" s="48"/>
      <c r="O15" s="54"/>
      <c r="P15" s="47"/>
      <c r="Q15" s="47"/>
    </row>
    <row r="16" spans="1:17" ht="12.75">
      <c r="A16" s="37"/>
      <c r="B16" s="37" t="s">
        <v>32</v>
      </c>
      <c r="C16" s="39">
        <v>0.1</v>
      </c>
      <c r="D16" s="39"/>
      <c r="E16" s="44">
        <v>3</v>
      </c>
      <c r="F16" s="63">
        <f t="shared" si="0"/>
        <v>0.30000000000000004</v>
      </c>
      <c r="G16" s="62">
        <f t="shared" si="1"/>
        <v>3</v>
      </c>
      <c r="H16" s="63">
        <f t="shared" si="0"/>
        <v>0.30000000000000004</v>
      </c>
      <c r="I16" s="39"/>
      <c r="J16" s="44">
        <v>3</v>
      </c>
      <c r="K16" s="63">
        <f t="shared" si="2"/>
        <v>0.30000000000000004</v>
      </c>
      <c r="L16" s="62">
        <f t="shared" si="3"/>
        <v>3</v>
      </c>
      <c r="M16" s="63">
        <f t="shared" si="2"/>
        <v>0.30000000000000004</v>
      </c>
      <c r="N16" s="48"/>
      <c r="O16" s="54"/>
      <c r="P16" s="47"/>
      <c r="Q16" s="47"/>
    </row>
    <row r="17" spans="1:17" ht="12.75">
      <c r="A17" s="37"/>
      <c r="B17" s="37" t="s">
        <v>33</v>
      </c>
      <c r="C17" s="39">
        <v>0.1</v>
      </c>
      <c r="D17" s="39"/>
      <c r="E17" s="44">
        <v>4.3</v>
      </c>
      <c r="F17" s="63">
        <f t="shared" si="0"/>
        <v>0.43</v>
      </c>
      <c r="G17" s="62">
        <f t="shared" si="1"/>
        <v>4.3</v>
      </c>
      <c r="H17" s="63">
        <f t="shared" si="0"/>
        <v>0.43</v>
      </c>
      <c r="I17" s="39"/>
      <c r="J17" s="44">
        <v>3.6</v>
      </c>
      <c r="K17" s="63">
        <f t="shared" si="2"/>
        <v>0.36000000000000004</v>
      </c>
      <c r="L17" s="62">
        <f t="shared" si="3"/>
        <v>3.6</v>
      </c>
      <c r="M17" s="63">
        <f t="shared" si="2"/>
        <v>0.36000000000000004</v>
      </c>
      <c r="N17" s="48"/>
      <c r="O17" s="54"/>
      <c r="P17" s="47"/>
      <c r="Q17" s="47"/>
    </row>
    <row r="18" spans="1:17" ht="12.75">
      <c r="A18" s="37"/>
      <c r="B18" s="37" t="s">
        <v>132</v>
      </c>
      <c r="C18" s="39">
        <v>0</v>
      </c>
      <c r="D18" s="39"/>
      <c r="E18" s="44">
        <v>0.3</v>
      </c>
      <c r="F18" s="63">
        <f t="shared" si="0"/>
        <v>0</v>
      </c>
      <c r="G18" s="62">
        <f t="shared" si="1"/>
        <v>0.3</v>
      </c>
      <c r="H18" s="63">
        <f t="shared" si="0"/>
        <v>0</v>
      </c>
      <c r="I18" s="39"/>
      <c r="J18" s="44">
        <v>0</v>
      </c>
      <c r="K18" s="63">
        <f t="shared" si="2"/>
        <v>0</v>
      </c>
      <c r="L18" s="62">
        <f t="shared" si="3"/>
      </c>
      <c r="M18" s="63">
        <f t="shared" si="2"/>
      </c>
      <c r="N18" s="48"/>
      <c r="O18" s="64"/>
      <c r="P18" s="47"/>
      <c r="Q18" s="47"/>
    </row>
    <row r="19" spans="1:17" ht="12.75">
      <c r="A19" s="37"/>
      <c r="B19" s="37" t="s">
        <v>34</v>
      </c>
      <c r="C19" s="39">
        <v>0.01</v>
      </c>
      <c r="D19" s="39"/>
      <c r="E19" s="44">
        <v>6.5</v>
      </c>
      <c r="F19" s="63">
        <f t="shared" si="0"/>
        <v>0.065</v>
      </c>
      <c r="G19" s="62">
        <f t="shared" si="1"/>
        <v>6.5</v>
      </c>
      <c r="H19" s="63">
        <f t="shared" si="0"/>
        <v>0.065</v>
      </c>
      <c r="I19" s="39"/>
      <c r="J19" s="44">
        <v>8.2</v>
      </c>
      <c r="K19" s="63">
        <f t="shared" si="2"/>
        <v>0.08199999999999999</v>
      </c>
      <c r="L19" s="62">
        <f t="shared" si="3"/>
        <v>8.2</v>
      </c>
      <c r="M19" s="63">
        <f t="shared" si="2"/>
        <v>0.08199999999999999</v>
      </c>
      <c r="N19" s="48"/>
      <c r="O19" s="64"/>
      <c r="P19" s="47"/>
      <c r="Q19" s="47"/>
    </row>
    <row r="20" spans="1:17" ht="12.75">
      <c r="A20" s="37"/>
      <c r="B20" s="37" t="s">
        <v>133</v>
      </c>
      <c r="C20" s="39">
        <v>0</v>
      </c>
      <c r="D20" s="39"/>
      <c r="E20" s="44">
        <v>2.6</v>
      </c>
      <c r="F20" s="63">
        <f t="shared" si="0"/>
        <v>0</v>
      </c>
      <c r="G20" s="62">
        <f t="shared" si="1"/>
        <v>2.6</v>
      </c>
      <c r="H20" s="63">
        <f t="shared" si="0"/>
        <v>0</v>
      </c>
      <c r="I20" s="39"/>
      <c r="J20" s="44">
        <v>0</v>
      </c>
      <c r="K20" s="63">
        <f t="shared" si="2"/>
        <v>0</v>
      </c>
      <c r="L20" s="62">
        <f t="shared" si="3"/>
      </c>
      <c r="M20" s="63">
        <f t="shared" si="2"/>
      </c>
      <c r="N20" s="48"/>
      <c r="O20" s="64"/>
      <c r="P20" s="47"/>
      <c r="Q20" s="47"/>
    </row>
    <row r="21" spans="1:17" ht="12.75">
      <c r="A21" s="37"/>
      <c r="B21" s="37" t="s">
        <v>35</v>
      </c>
      <c r="C21" s="39">
        <v>0.001</v>
      </c>
      <c r="D21" s="39"/>
      <c r="E21" s="44">
        <v>15</v>
      </c>
      <c r="F21" s="63">
        <f t="shared" si="0"/>
        <v>0.015</v>
      </c>
      <c r="G21" s="62">
        <f t="shared" si="1"/>
        <v>15</v>
      </c>
      <c r="H21" s="63">
        <f t="shared" si="0"/>
        <v>0.015</v>
      </c>
      <c r="I21" s="39"/>
      <c r="J21" s="44">
        <v>26</v>
      </c>
      <c r="K21" s="63">
        <f t="shared" si="2"/>
        <v>0.026000000000000002</v>
      </c>
      <c r="L21" s="62">
        <f t="shared" si="3"/>
        <v>26</v>
      </c>
      <c r="M21" s="63">
        <f t="shared" si="2"/>
        <v>0.026000000000000002</v>
      </c>
      <c r="N21" s="48"/>
      <c r="O21" s="64"/>
      <c r="P21" s="47"/>
      <c r="Q21" s="47"/>
    </row>
    <row r="22" spans="1:17" ht="12.75">
      <c r="A22" s="37"/>
      <c r="B22" s="37" t="s">
        <v>36</v>
      </c>
      <c r="C22" s="39">
        <v>0.1</v>
      </c>
      <c r="D22" s="39" t="s">
        <v>29</v>
      </c>
      <c r="E22" s="44">
        <v>3.5</v>
      </c>
      <c r="F22" s="63">
        <f t="shared" si="0"/>
        <v>0.35000000000000003</v>
      </c>
      <c r="G22" s="62">
        <f t="shared" si="1"/>
        <v>1.75</v>
      </c>
      <c r="H22" s="63">
        <f t="shared" si="0"/>
        <v>0.17500000000000002</v>
      </c>
      <c r="I22" s="39" t="s">
        <v>29</v>
      </c>
      <c r="J22" s="44">
        <v>3</v>
      </c>
      <c r="K22" s="63">
        <f t="shared" si="2"/>
        <v>0.30000000000000004</v>
      </c>
      <c r="L22" s="62">
        <f t="shared" si="3"/>
        <v>1.5</v>
      </c>
      <c r="M22" s="63">
        <f t="shared" si="2"/>
        <v>0.15000000000000002</v>
      </c>
      <c r="N22" s="48"/>
      <c r="O22" s="64"/>
      <c r="P22" s="47"/>
      <c r="Q22" s="47"/>
    </row>
    <row r="23" spans="1:17" ht="12.75">
      <c r="A23" s="37"/>
      <c r="B23" s="37" t="s">
        <v>134</v>
      </c>
      <c r="C23" s="39">
        <v>0</v>
      </c>
      <c r="D23" s="39"/>
      <c r="E23" s="44">
        <v>16</v>
      </c>
      <c r="F23" s="63">
        <f t="shared" si="0"/>
        <v>0</v>
      </c>
      <c r="G23" s="62">
        <f t="shared" si="1"/>
        <v>16</v>
      </c>
      <c r="H23" s="63">
        <f t="shared" si="0"/>
        <v>0</v>
      </c>
      <c r="I23" s="39"/>
      <c r="J23" s="44">
        <v>19</v>
      </c>
      <c r="K23" s="62">
        <f t="shared" si="2"/>
        <v>0</v>
      </c>
      <c r="L23" s="62">
        <f t="shared" si="3"/>
        <v>19</v>
      </c>
      <c r="M23" s="62">
        <f t="shared" si="2"/>
        <v>0</v>
      </c>
      <c r="N23" s="48"/>
      <c r="O23" s="64"/>
      <c r="P23" s="47"/>
      <c r="Q23" s="47"/>
    </row>
    <row r="24" spans="1:17" ht="12.75">
      <c r="A24" s="37"/>
      <c r="B24" s="37" t="s">
        <v>37</v>
      </c>
      <c r="C24" s="39">
        <v>0.05</v>
      </c>
      <c r="D24" s="39"/>
      <c r="E24" s="44">
        <v>2</v>
      </c>
      <c r="F24" s="63">
        <f t="shared" si="0"/>
        <v>0.1</v>
      </c>
      <c r="G24" s="62">
        <f t="shared" si="1"/>
        <v>2</v>
      </c>
      <c r="H24" s="63">
        <f t="shared" si="0"/>
        <v>0.1</v>
      </c>
      <c r="I24" s="39"/>
      <c r="J24" s="44">
        <v>2</v>
      </c>
      <c r="K24" s="63">
        <f t="shared" si="2"/>
        <v>0.1</v>
      </c>
      <c r="L24" s="62">
        <f t="shared" si="3"/>
        <v>2</v>
      </c>
      <c r="M24" s="63">
        <f t="shared" si="2"/>
        <v>0.1</v>
      </c>
      <c r="N24" s="48"/>
      <c r="O24" s="64"/>
      <c r="P24" s="47"/>
      <c r="Q24" s="47"/>
    </row>
    <row r="25" spans="1:17" ht="12.75">
      <c r="A25" s="37"/>
      <c r="B25" s="37" t="s">
        <v>38</v>
      </c>
      <c r="C25" s="39">
        <v>0.5</v>
      </c>
      <c r="D25" s="39"/>
      <c r="E25" s="44">
        <v>2.7</v>
      </c>
      <c r="F25" s="63">
        <f t="shared" si="0"/>
        <v>1.35</v>
      </c>
      <c r="G25" s="62">
        <f t="shared" si="1"/>
        <v>2.7</v>
      </c>
      <c r="H25" s="63">
        <f t="shared" si="0"/>
        <v>1.35</v>
      </c>
      <c r="I25" s="39"/>
      <c r="J25" s="44">
        <v>2.8</v>
      </c>
      <c r="K25" s="62">
        <f t="shared" si="2"/>
        <v>1.4</v>
      </c>
      <c r="L25" s="62">
        <f t="shared" si="3"/>
        <v>2.8</v>
      </c>
      <c r="M25" s="62">
        <f t="shared" si="2"/>
        <v>1.4</v>
      </c>
      <c r="N25" s="48"/>
      <c r="O25" s="64"/>
      <c r="P25" s="47"/>
      <c r="Q25" s="47"/>
    </row>
    <row r="26" spans="1:17" ht="12.75">
      <c r="A26" s="37"/>
      <c r="B26" s="37" t="s">
        <v>135</v>
      </c>
      <c r="C26" s="39">
        <v>0</v>
      </c>
      <c r="D26" s="39"/>
      <c r="E26" s="44">
        <v>3.7</v>
      </c>
      <c r="F26" s="63">
        <f t="shared" si="0"/>
        <v>0</v>
      </c>
      <c r="G26" s="62">
        <f t="shared" si="1"/>
        <v>3.7</v>
      </c>
      <c r="H26" s="63">
        <f t="shared" si="0"/>
        <v>0</v>
      </c>
      <c r="I26" s="39"/>
      <c r="J26" s="44">
        <v>3.3</v>
      </c>
      <c r="K26" s="62">
        <f t="shared" si="2"/>
        <v>0</v>
      </c>
      <c r="L26" s="62">
        <f t="shared" si="3"/>
        <v>3.3</v>
      </c>
      <c r="M26" s="62">
        <f t="shared" si="2"/>
        <v>0</v>
      </c>
      <c r="N26" s="48"/>
      <c r="O26" s="64"/>
      <c r="P26" s="47"/>
      <c r="Q26" s="47"/>
    </row>
    <row r="27" spans="1:17" ht="12.75">
      <c r="A27" s="37"/>
      <c r="B27" s="37" t="s">
        <v>39</v>
      </c>
      <c r="C27" s="39">
        <v>0.1</v>
      </c>
      <c r="D27" s="39" t="s">
        <v>29</v>
      </c>
      <c r="E27" s="44">
        <v>2.1</v>
      </c>
      <c r="F27" s="63">
        <f t="shared" si="0"/>
        <v>0.21000000000000002</v>
      </c>
      <c r="G27" s="62">
        <f aca="true" t="shared" si="4" ref="G27:G35">IF(E27=0,"",IF(D27="nd",E27/2,E27))</f>
        <v>1.05</v>
      </c>
      <c r="H27" s="63">
        <f t="shared" si="0"/>
        <v>0.10500000000000001</v>
      </c>
      <c r="I27" s="39"/>
      <c r="J27" s="44">
        <v>2.4</v>
      </c>
      <c r="K27" s="63">
        <f t="shared" si="2"/>
        <v>0.24</v>
      </c>
      <c r="L27" s="62">
        <f t="shared" si="3"/>
        <v>2.4</v>
      </c>
      <c r="M27" s="63">
        <f t="shared" si="2"/>
        <v>0.24</v>
      </c>
      <c r="N27" s="48"/>
      <c r="O27" s="64"/>
      <c r="P27" s="47"/>
      <c r="Q27" s="47"/>
    </row>
    <row r="28" spans="1:17" ht="12.75">
      <c r="A28" s="37"/>
      <c r="B28" s="37" t="s">
        <v>40</v>
      </c>
      <c r="C28" s="39">
        <v>0.1</v>
      </c>
      <c r="D28" s="39"/>
      <c r="E28" s="44">
        <v>1.6</v>
      </c>
      <c r="F28" s="63">
        <f t="shared" si="0"/>
        <v>0.16000000000000003</v>
      </c>
      <c r="G28" s="62">
        <f t="shared" si="4"/>
        <v>1.6</v>
      </c>
      <c r="H28" s="63">
        <f t="shared" si="0"/>
        <v>0.16000000000000003</v>
      </c>
      <c r="I28" s="39" t="s">
        <v>29</v>
      </c>
      <c r="J28" s="44">
        <v>1.4</v>
      </c>
      <c r="K28" s="63">
        <f t="shared" si="2"/>
        <v>0.13999999999999999</v>
      </c>
      <c r="L28" s="62">
        <f t="shared" si="3"/>
        <v>0.7</v>
      </c>
      <c r="M28" s="63">
        <f t="shared" si="2"/>
        <v>0.06999999999999999</v>
      </c>
      <c r="N28" s="48"/>
      <c r="O28" s="64"/>
      <c r="P28" s="47"/>
      <c r="Q28" s="47"/>
    </row>
    <row r="29" spans="1:17" ht="12.75">
      <c r="A29" s="37"/>
      <c r="B29" s="37" t="s">
        <v>41</v>
      </c>
      <c r="C29" s="39">
        <v>0.1</v>
      </c>
      <c r="D29" s="39"/>
      <c r="E29" s="44">
        <v>2.2</v>
      </c>
      <c r="F29" s="63">
        <f t="shared" si="0"/>
        <v>0.22000000000000003</v>
      </c>
      <c r="G29" s="62">
        <f t="shared" si="4"/>
        <v>2.2</v>
      </c>
      <c r="H29" s="63">
        <f t="shared" si="0"/>
        <v>0.22000000000000003</v>
      </c>
      <c r="I29" s="39"/>
      <c r="J29" s="44">
        <v>1.8</v>
      </c>
      <c r="K29" s="63">
        <f t="shared" si="2"/>
        <v>0.18000000000000002</v>
      </c>
      <c r="L29" s="62">
        <f t="shared" si="3"/>
        <v>1.8</v>
      </c>
      <c r="M29" s="63">
        <f t="shared" si="2"/>
        <v>0.18000000000000002</v>
      </c>
      <c r="N29" s="48"/>
      <c r="O29" s="64"/>
      <c r="P29" s="47"/>
      <c r="Q29" s="47"/>
    </row>
    <row r="30" spans="1:17" ht="12.75">
      <c r="A30" s="37"/>
      <c r="B30" s="37" t="s">
        <v>42</v>
      </c>
      <c r="C30" s="39">
        <v>0.1</v>
      </c>
      <c r="D30" s="39" t="s">
        <v>29</v>
      </c>
      <c r="E30" s="44">
        <v>2</v>
      </c>
      <c r="F30" s="63">
        <f t="shared" si="0"/>
        <v>0.2</v>
      </c>
      <c r="G30" s="62">
        <f t="shared" si="4"/>
        <v>1</v>
      </c>
      <c r="H30" s="63">
        <f t="shared" si="0"/>
        <v>0.1</v>
      </c>
      <c r="I30" s="39" t="s">
        <v>29</v>
      </c>
      <c r="J30" s="44">
        <v>2</v>
      </c>
      <c r="K30" s="63">
        <f t="shared" si="2"/>
        <v>0.2</v>
      </c>
      <c r="L30" s="62">
        <f t="shared" si="3"/>
        <v>1</v>
      </c>
      <c r="M30" s="63">
        <f t="shared" si="2"/>
        <v>0.1</v>
      </c>
      <c r="N30" s="48"/>
      <c r="O30" s="64"/>
      <c r="P30" s="47"/>
      <c r="Q30" s="47"/>
    </row>
    <row r="31" spans="1:17" ht="12.75">
      <c r="A31" s="37"/>
      <c r="B31" s="37" t="s">
        <v>136</v>
      </c>
      <c r="C31" s="39">
        <v>0</v>
      </c>
      <c r="D31" s="39"/>
      <c r="E31" s="44">
        <v>0.2</v>
      </c>
      <c r="F31" s="63">
        <f t="shared" si="0"/>
        <v>0</v>
      </c>
      <c r="G31" s="62">
        <f t="shared" si="4"/>
        <v>0.2</v>
      </c>
      <c r="H31" s="63">
        <f t="shared" si="0"/>
        <v>0</v>
      </c>
      <c r="I31" s="39"/>
      <c r="J31" s="44">
        <v>0</v>
      </c>
      <c r="K31" s="63">
        <f t="shared" si="2"/>
        <v>0</v>
      </c>
      <c r="L31" s="62">
        <f t="shared" si="3"/>
      </c>
      <c r="M31" s="63">
        <f t="shared" si="2"/>
      </c>
      <c r="N31" s="48"/>
      <c r="O31" s="64"/>
      <c r="P31" s="47"/>
      <c r="Q31" s="47"/>
    </row>
    <row r="32" spans="1:17" ht="12.75">
      <c r="A32" s="37"/>
      <c r="B32" s="37" t="s">
        <v>43</v>
      </c>
      <c r="C32" s="39">
        <v>0.01</v>
      </c>
      <c r="D32" s="39" t="s">
        <v>29</v>
      </c>
      <c r="E32" s="44">
        <v>1.6</v>
      </c>
      <c r="F32" s="63">
        <f t="shared" si="0"/>
        <v>0.016</v>
      </c>
      <c r="G32" s="62">
        <f t="shared" si="4"/>
        <v>0.8</v>
      </c>
      <c r="H32" s="63">
        <f t="shared" si="0"/>
        <v>0.008</v>
      </c>
      <c r="I32" s="39"/>
      <c r="J32" s="44">
        <v>3.5</v>
      </c>
      <c r="K32" s="63">
        <f t="shared" si="2"/>
        <v>0.035</v>
      </c>
      <c r="L32" s="62">
        <f t="shared" si="3"/>
        <v>3.5</v>
      </c>
      <c r="M32" s="63">
        <f t="shared" si="2"/>
        <v>0.035</v>
      </c>
      <c r="N32" s="48"/>
      <c r="O32" s="64"/>
      <c r="P32" s="47"/>
      <c r="Q32" s="47"/>
    </row>
    <row r="33" spans="1:17" ht="12.75">
      <c r="A33" s="37"/>
      <c r="B33" s="37" t="s">
        <v>44</v>
      </c>
      <c r="C33" s="39">
        <v>0.01</v>
      </c>
      <c r="D33" s="39" t="s">
        <v>29</v>
      </c>
      <c r="E33" s="44">
        <v>2.1</v>
      </c>
      <c r="F33" s="63">
        <f t="shared" si="0"/>
        <v>0.021</v>
      </c>
      <c r="G33" s="62">
        <f t="shared" si="4"/>
        <v>1.05</v>
      </c>
      <c r="H33" s="63">
        <f t="shared" si="0"/>
        <v>0.0105</v>
      </c>
      <c r="I33" s="39" t="s">
        <v>29</v>
      </c>
      <c r="J33" s="44">
        <v>2.2</v>
      </c>
      <c r="K33" s="63">
        <f t="shared" si="2"/>
        <v>0.022000000000000002</v>
      </c>
      <c r="L33" s="62">
        <f t="shared" si="3"/>
        <v>1.1</v>
      </c>
      <c r="M33" s="63">
        <f t="shared" si="2"/>
        <v>0.011000000000000001</v>
      </c>
      <c r="N33" s="48"/>
      <c r="O33" s="64"/>
      <c r="P33" s="47"/>
      <c r="Q33" s="47"/>
    </row>
    <row r="34" spans="1:17" ht="12.75">
      <c r="A34" s="37"/>
      <c r="B34" s="37" t="s">
        <v>137</v>
      </c>
      <c r="C34" s="39">
        <v>0</v>
      </c>
      <c r="D34" s="39" t="s">
        <v>29</v>
      </c>
      <c r="E34" s="44">
        <v>1.8</v>
      </c>
      <c r="F34" s="63">
        <f t="shared" si="0"/>
        <v>0</v>
      </c>
      <c r="G34" s="62">
        <f t="shared" si="4"/>
        <v>0.9</v>
      </c>
      <c r="H34" s="63">
        <f t="shared" si="0"/>
        <v>0</v>
      </c>
      <c r="I34" s="39"/>
      <c r="J34" s="44">
        <v>0.6</v>
      </c>
      <c r="K34" s="62">
        <f t="shared" si="2"/>
        <v>0</v>
      </c>
      <c r="L34" s="62">
        <f t="shared" si="3"/>
        <v>0.6</v>
      </c>
      <c r="M34" s="62">
        <f t="shared" si="2"/>
        <v>0</v>
      </c>
      <c r="N34" s="48"/>
      <c r="O34" s="64"/>
      <c r="P34" s="47"/>
      <c r="Q34" s="47"/>
    </row>
    <row r="35" spans="1:17" ht="12.75">
      <c r="A35" s="37"/>
      <c r="B35" s="37" t="s">
        <v>45</v>
      </c>
      <c r="C35" s="39">
        <v>0.001</v>
      </c>
      <c r="D35" s="39"/>
      <c r="E35" s="44">
        <v>8.8</v>
      </c>
      <c r="F35" s="63">
        <f t="shared" si="0"/>
        <v>0.0088</v>
      </c>
      <c r="G35" s="62">
        <f t="shared" si="4"/>
        <v>8.8</v>
      </c>
      <c r="H35" s="63">
        <f t="shared" si="0"/>
        <v>0.0088</v>
      </c>
      <c r="I35" s="39"/>
      <c r="J35" s="44">
        <v>9.3</v>
      </c>
      <c r="K35" s="63">
        <f t="shared" si="2"/>
        <v>0.009300000000000001</v>
      </c>
      <c r="L35" s="62">
        <f t="shared" si="3"/>
        <v>9.3</v>
      </c>
      <c r="M35" s="63">
        <f t="shared" si="2"/>
        <v>0.009300000000000001</v>
      </c>
      <c r="N35" s="48"/>
      <c r="O35" s="54"/>
      <c r="P35" s="47"/>
      <c r="Q35" s="47"/>
    </row>
    <row r="36" spans="1:17" ht="12.75">
      <c r="A36" s="37"/>
      <c r="B36" s="37"/>
      <c r="C36" s="37"/>
      <c r="D36" s="37"/>
      <c r="E36" s="44"/>
      <c r="F36" s="48"/>
      <c r="G36" s="48"/>
      <c r="H36" s="48"/>
      <c r="I36" s="37"/>
      <c r="J36" s="44"/>
      <c r="K36" s="48"/>
      <c r="L36" s="48"/>
      <c r="M36" s="48"/>
      <c r="N36" s="44"/>
      <c r="O36" s="20"/>
      <c r="P36" s="44"/>
      <c r="Q36" s="48"/>
    </row>
    <row r="37" spans="1:17" ht="12.75">
      <c r="A37" s="37"/>
      <c r="B37" s="37" t="s">
        <v>46</v>
      </c>
      <c r="C37" s="37"/>
      <c r="D37" s="37"/>
      <c r="E37" s="44"/>
      <c r="F37" s="44">
        <v>124.009</v>
      </c>
      <c r="G37" s="44">
        <v>124.009</v>
      </c>
      <c r="H37" s="44">
        <v>124.009</v>
      </c>
      <c r="I37" s="37"/>
      <c r="J37" s="44"/>
      <c r="K37" s="44">
        <v>121.518</v>
      </c>
      <c r="L37" s="44">
        <v>121.518</v>
      </c>
      <c r="M37" s="44">
        <v>121.518</v>
      </c>
      <c r="N37" s="44"/>
      <c r="O37" s="44"/>
      <c r="P37" s="44"/>
      <c r="Q37" s="44"/>
    </row>
    <row r="38" spans="1:17" ht="12.75">
      <c r="A38" s="37"/>
      <c r="B38" s="37" t="s">
        <v>74</v>
      </c>
      <c r="C38" s="37"/>
      <c r="D38" s="37"/>
      <c r="E38" s="47"/>
      <c r="F38" s="44">
        <v>5.5</v>
      </c>
      <c r="G38" s="44">
        <v>5.5</v>
      </c>
      <c r="H38" s="44">
        <v>5.5</v>
      </c>
      <c r="I38" s="37"/>
      <c r="J38" s="47"/>
      <c r="K38" s="44">
        <v>5.5</v>
      </c>
      <c r="L38" s="44">
        <v>5.5</v>
      </c>
      <c r="M38" s="44">
        <v>5.5</v>
      </c>
      <c r="N38" s="44"/>
      <c r="O38" s="44"/>
      <c r="P38" s="44"/>
      <c r="Q38" s="44"/>
    </row>
    <row r="39" spans="1:17" ht="12.75">
      <c r="A39" s="37"/>
      <c r="B39" s="37"/>
      <c r="C39" s="37"/>
      <c r="D39" s="37"/>
      <c r="E39" s="44"/>
      <c r="F39" s="20"/>
      <c r="G39" s="20"/>
      <c r="H39" s="20"/>
      <c r="I39" s="37"/>
      <c r="J39" s="44"/>
      <c r="K39" s="20"/>
      <c r="L39" s="20"/>
      <c r="M39" s="20"/>
      <c r="N39" s="44"/>
      <c r="O39" s="44"/>
      <c r="P39" s="44"/>
      <c r="Q39" s="20"/>
    </row>
    <row r="40" spans="1:17" ht="12.75">
      <c r="A40" s="37"/>
      <c r="B40" s="37" t="s">
        <v>180</v>
      </c>
      <c r="C40" s="48"/>
      <c r="D40" s="48"/>
      <c r="E40" s="41"/>
      <c r="F40" s="47">
        <f>SUM(F11:F35)/1000</f>
        <v>0.0085858</v>
      </c>
      <c r="G40" s="62">
        <f>SUM(G35,G34,G31,G26,G23,G21,G20,G18,G14,G12)/1000</f>
        <v>0.0535</v>
      </c>
      <c r="H40" s="47">
        <f>SUM(H11:H35)/1000</f>
        <v>0.006487299999999999</v>
      </c>
      <c r="I40" s="48"/>
      <c r="J40" s="41"/>
      <c r="K40" s="47">
        <f>SUM(K11:K35)/1000</f>
        <v>0.0084243</v>
      </c>
      <c r="L40" s="62">
        <f>SUM(L35,L34,L31,L26,L23,L21,L20,L18,L14,L12)/1000</f>
        <v>0.0615</v>
      </c>
      <c r="M40" s="47">
        <f>SUM(M11:M35)/1000</f>
        <v>0.0064433</v>
      </c>
      <c r="N40" s="48"/>
      <c r="O40" s="44"/>
      <c r="P40" s="41"/>
      <c r="Q40" s="44"/>
    </row>
    <row r="41" spans="1:17" ht="12.75">
      <c r="A41" s="37"/>
      <c r="B41" s="37" t="s">
        <v>47</v>
      </c>
      <c r="C41" s="48"/>
      <c r="D41" s="41">
        <f>(F41-H41)*2/F41*100</f>
        <v>48.88303943721032</v>
      </c>
      <c r="E41" s="44"/>
      <c r="F41" s="47">
        <f>(F40/F37/0.0283*(21-7)/(21-F38))</f>
        <v>0.0022097211082486</v>
      </c>
      <c r="G41" s="47">
        <f>(G40/G37/0.0283*(21-7)/(21-G38))</f>
        <v>0.013769256131205023</v>
      </c>
      <c r="H41" s="47">
        <f>(H40/H37/0.0283*(21-7)/(21-H38))</f>
        <v>0.001669631687849838</v>
      </c>
      <c r="I41" s="41">
        <f>(K41-M41)*2/K41*100</f>
        <v>47.03061381954582</v>
      </c>
      <c r="J41" s="44"/>
      <c r="K41" s="47">
        <f>(K40/K37/0.0283*(21-7)/(21-K38))</f>
        <v>0.00221260104474927</v>
      </c>
      <c r="L41" s="47">
        <f>(L40/L37/0.0283*(21-7)/(21-L38))</f>
        <v>0.01615267313035862</v>
      </c>
      <c r="M41" s="47">
        <f>(M40/M37/0.0283*(21-7)/(21-M38))</f>
        <v>0.0016923011183876374</v>
      </c>
      <c r="N41" s="48"/>
      <c r="O41" s="44"/>
      <c r="P41" s="47"/>
      <c r="Q41" s="47"/>
    </row>
    <row r="42" spans="1:17" ht="12.75">
      <c r="A42" s="37"/>
      <c r="B42" s="37"/>
      <c r="C42" s="37"/>
      <c r="D42" s="37"/>
      <c r="E42" s="43"/>
      <c r="F42" s="48"/>
      <c r="G42" s="43"/>
      <c r="H42" s="48"/>
      <c r="I42" s="43"/>
      <c r="J42" s="43"/>
      <c r="K42" s="43"/>
      <c r="L42" s="43"/>
      <c r="M42" s="43"/>
      <c r="N42" s="43"/>
      <c r="O42" s="43"/>
      <c r="P42" s="43"/>
      <c r="Q42" s="47"/>
    </row>
    <row r="43" spans="1:17" ht="12.75">
      <c r="A43" s="44"/>
      <c r="B43" s="37" t="s">
        <v>75</v>
      </c>
      <c r="C43" s="48">
        <f>AVERAGE(H41,M41)</f>
        <v>0.0016809664031187377</v>
      </c>
      <c r="D43" s="44"/>
      <c r="E43" s="44"/>
      <c r="F43" s="48"/>
      <c r="G43" s="44"/>
      <c r="H43" s="48"/>
      <c r="I43" s="44"/>
      <c r="J43" s="44"/>
      <c r="K43" s="44"/>
      <c r="L43" s="44"/>
      <c r="M43" s="44"/>
      <c r="N43" s="44"/>
      <c r="O43" s="44"/>
      <c r="P43" s="44"/>
      <c r="Q43" s="47"/>
    </row>
    <row r="44" spans="1:17" ht="12.75">
      <c r="A44" s="37"/>
      <c r="B44" s="37" t="s">
        <v>76</v>
      </c>
      <c r="C44" s="44">
        <f>AVERAGE(G41,L41)</f>
        <v>0.014960964630781821</v>
      </c>
      <c r="D44" s="37"/>
      <c r="E44" s="47"/>
      <c r="F44" s="48"/>
      <c r="G44" s="47"/>
      <c r="H44" s="48"/>
      <c r="I44" s="47"/>
      <c r="J44" s="47"/>
      <c r="K44" s="47"/>
      <c r="L44" s="47"/>
      <c r="M44" s="47"/>
      <c r="N44" s="47"/>
      <c r="O44" s="47"/>
      <c r="P44" s="47"/>
      <c r="Q44" s="47"/>
    </row>
    <row r="85" spans="1:17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7"/>
      <c r="Q85" s="7"/>
    </row>
    <row r="86" spans="1:17" ht="12.75">
      <c r="A86" s="2"/>
      <c r="B86" s="2"/>
      <c r="C86" s="3"/>
      <c r="D86" s="3"/>
      <c r="E86" s="4"/>
      <c r="F86" s="7"/>
      <c r="G86" s="4"/>
      <c r="H86" s="7"/>
      <c r="I86" s="3"/>
      <c r="J86" s="4"/>
      <c r="K86" s="4"/>
      <c r="L86" s="4"/>
      <c r="M86" s="4"/>
      <c r="N86" s="3"/>
      <c r="O86" s="7"/>
      <c r="P86" s="3"/>
      <c r="Q86" s="3"/>
    </row>
    <row r="87" spans="1:17" ht="12.75">
      <c r="A87" s="2"/>
      <c r="B87" s="2"/>
      <c r="C87" s="3"/>
      <c r="D87" s="3"/>
      <c r="E87" s="7"/>
      <c r="F87" s="3"/>
      <c r="G87" s="5"/>
      <c r="H87" s="3"/>
      <c r="I87" s="3"/>
      <c r="J87" s="7"/>
      <c r="K87" s="3"/>
      <c r="L87" s="4"/>
      <c r="M87" s="3"/>
      <c r="N87" s="3"/>
      <c r="O87" s="7"/>
      <c r="P87" s="5"/>
      <c r="Q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79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1" max="1" width="1.7109375" style="83" customWidth="1"/>
    <col min="2" max="2" width="20.00390625" style="83" customWidth="1"/>
    <col min="3" max="3" width="7.140625" style="83" customWidth="1"/>
    <col min="4" max="4" width="4.57421875" style="83" bestFit="1" customWidth="1"/>
    <col min="5" max="5" width="9.421875" style="83" customWidth="1"/>
    <col min="6" max="6" width="9.8515625" style="83" customWidth="1"/>
    <col min="7" max="7" width="9.421875" style="83" bestFit="1" customWidth="1"/>
    <col min="8" max="8" width="9.8515625" style="83" customWidth="1"/>
    <col min="9" max="9" width="4.57421875" style="83" bestFit="1" customWidth="1"/>
    <col min="10" max="10" width="9.421875" style="83" bestFit="1" customWidth="1"/>
    <col min="11" max="11" width="9.28125" style="83" customWidth="1"/>
    <col min="12" max="12" width="9.140625" style="83" customWidth="1"/>
    <col min="13" max="13" width="9.28125" style="83" customWidth="1"/>
    <col min="14" max="14" width="4.7109375" style="83" customWidth="1"/>
    <col min="15" max="15" width="9.140625" style="83" customWidth="1"/>
    <col min="16" max="16" width="9.00390625" style="83" customWidth="1"/>
    <col min="17" max="17" width="9.140625" style="83" customWidth="1"/>
    <col min="18" max="18" width="9.00390625" style="83" customWidth="1"/>
    <col min="19" max="16384" width="9.140625" style="83" customWidth="1"/>
  </cols>
  <sheetData>
    <row r="1" spans="1:18" ht="12.75">
      <c r="A1" s="55" t="s">
        <v>86</v>
      </c>
      <c r="B1" s="37"/>
      <c r="C1" s="37"/>
      <c r="D1" s="37"/>
      <c r="E1" s="47"/>
      <c r="F1" s="48"/>
      <c r="G1" s="47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37" t="s">
        <v>335</v>
      </c>
      <c r="B2" s="37"/>
      <c r="C2" s="37"/>
      <c r="D2" s="37"/>
      <c r="E2" s="47"/>
      <c r="F2" s="48"/>
      <c r="G2" s="47"/>
      <c r="H2" s="48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37" t="s">
        <v>20</v>
      </c>
      <c r="B3" s="37"/>
      <c r="C3" s="15" t="str">
        <f>source!C5</f>
        <v>Eastman Kodak Company</v>
      </c>
      <c r="D3" s="15"/>
      <c r="E3" s="47"/>
      <c r="F3" s="48"/>
      <c r="G3" s="47"/>
      <c r="H3" s="48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2.75">
      <c r="A4" s="37" t="s">
        <v>21</v>
      </c>
      <c r="B4" s="37"/>
      <c r="C4" s="15" t="s">
        <v>268</v>
      </c>
      <c r="D4" s="15"/>
      <c r="E4" s="49"/>
      <c r="F4" s="50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2.75">
      <c r="A5" s="37" t="s">
        <v>22</v>
      </c>
      <c r="B5" s="37"/>
      <c r="C5" s="37" t="s">
        <v>266</v>
      </c>
      <c r="D5" s="37"/>
      <c r="E5" s="37"/>
      <c r="F5" s="37"/>
      <c r="G5" s="37"/>
      <c r="H5" s="37"/>
      <c r="I5" s="37"/>
      <c r="J5" s="37"/>
      <c r="K5" s="47"/>
      <c r="L5" s="37"/>
      <c r="M5" s="47"/>
      <c r="N5" s="47"/>
      <c r="O5" s="47"/>
      <c r="P5" s="47"/>
      <c r="Q5" s="47"/>
      <c r="R5" s="47"/>
    </row>
    <row r="6" spans="1:18" ht="12.75">
      <c r="A6" s="37"/>
      <c r="B6" s="37"/>
      <c r="C6" s="39"/>
      <c r="D6" s="39"/>
      <c r="E6" s="51"/>
      <c r="F6" s="48"/>
      <c r="G6" s="51"/>
      <c r="H6" s="48"/>
      <c r="I6" s="47"/>
      <c r="J6" s="51"/>
      <c r="K6" s="47"/>
      <c r="L6" s="51"/>
      <c r="M6" s="47"/>
      <c r="N6" s="47"/>
      <c r="O6" s="51"/>
      <c r="P6" s="47"/>
      <c r="Q6" s="51"/>
      <c r="R6" s="47"/>
    </row>
    <row r="7" spans="1:18" ht="12.75">
      <c r="A7" s="37"/>
      <c r="B7" s="37"/>
      <c r="C7" s="39" t="s">
        <v>23</v>
      </c>
      <c r="D7" s="39"/>
      <c r="E7" s="52" t="s">
        <v>62</v>
      </c>
      <c r="F7" s="52"/>
      <c r="G7" s="52"/>
      <c r="H7" s="52"/>
      <c r="I7" s="39"/>
      <c r="J7" s="52" t="s">
        <v>63</v>
      </c>
      <c r="K7" s="52"/>
      <c r="L7" s="52"/>
      <c r="M7" s="52"/>
      <c r="N7" s="39"/>
      <c r="O7" s="52" t="s">
        <v>64</v>
      </c>
      <c r="P7" s="52"/>
      <c r="Q7" s="52"/>
      <c r="R7" s="52"/>
    </row>
    <row r="8" spans="1:18" ht="12.75">
      <c r="A8" s="37"/>
      <c r="B8" s="37"/>
      <c r="C8" s="39" t="s">
        <v>24</v>
      </c>
      <c r="D8" s="37"/>
      <c r="E8" s="51" t="s">
        <v>25</v>
      </c>
      <c r="F8" s="50" t="s">
        <v>26</v>
      </c>
      <c r="G8" s="51" t="s">
        <v>25</v>
      </c>
      <c r="H8" s="50" t="s">
        <v>26</v>
      </c>
      <c r="I8" s="37"/>
      <c r="J8" s="51" t="s">
        <v>25</v>
      </c>
      <c r="K8" s="50" t="s">
        <v>26</v>
      </c>
      <c r="L8" s="51" t="s">
        <v>25</v>
      </c>
      <c r="M8" s="50" t="s">
        <v>26</v>
      </c>
      <c r="N8" s="37"/>
      <c r="O8" s="51" t="s">
        <v>25</v>
      </c>
      <c r="P8" s="50" t="s">
        <v>26</v>
      </c>
      <c r="Q8" s="51" t="s">
        <v>25</v>
      </c>
      <c r="R8" s="50" t="s">
        <v>26</v>
      </c>
    </row>
    <row r="9" spans="1:18" ht="12.75">
      <c r="A9" s="37"/>
      <c r="B9" s="37"/>
      <c r="C9" s="39"/>
      <c r="D9" s="37"/>
      <c r="E9" s="51" t="s">
        <v>294</v>
      </c>
      <c r="F9" s="51" t="s">
        <v>294</v>
      </c>
      <c r="G9" s="51" t="s">
        <v>85</v>
      </c>
      <c r="H9" s="50" t="s">
        <v>85</v>
      </c>
      <c r="I9" s="37"/>
      <c r="J9" s="51" t="s">
        <v>294</v>
      </c>
      <c r="K9" s="51" t="s">
        <v>294</v>
      </c>
      <c r="L9" s="51" t="s">
        <v>85</v>
      </c>
      <c r="M9" s="50" t="s">
        <v>85</v>
      </c>
      <c r="N9" s="37"/>
      <c r="O9" s="51" t="s">
        <v>294</v>
      </c>
      <c r="P9" s="51" t="s">
        <v>294</v>
      </c>
      <c r="Q9" s="51" t="s">
        <v>85</v>
      </c>
      <c r="R9" s="50" t="s">
        <v>85</v>
      </c>
    </row>
    <row r="10" spans="1:18" ht="12.75">
      <c r="A10" s="37" t="s">
        <v>179</v>
      </c>
      <c r="B10" s="37"/>
      <c r="C10" s="37"/>
      <c r="D10" s="37"/>
      <c r="E10" s="47"/>
      <c r="F10" s="48"/>
      <c r="G10" s="47"/>
      <c r="H10" s="48"/>
      <c r="I10" s="37"/>
      <c r="J10" s="47"/>
      <c r="K10" s="48"/>
      <c r="L10" s="47"/>
      <c r="M10" s="48"/>
      <c r="N10" s="37"/>
      <c r="O10" s="47"/>
      <c r="P10" s="48"/>
      <c r="Q10" s="47"/>
      <c r="R10" s="48"/>
    </row>
    <row r="11" spans="1:18" ht="12.75">
      <c r="A11" s="37"/>
      <c r="B11" s="37" t="s">
        <v>28</v>
      </c>
      <c r="C11" s="39">
        <v>1</v>
      </c>
      <c r="D11" s="39" t="s">
        <v>29</v>
      </c>
      <c r="E11" s="48">
        <v>0.0059</v>
      </c>
      <c r="F11" s="48">
        <f aca="true" t="shared" si="0" ref="F11:H27">IF(E11="","",E11*$C11)</f>
        <v>0.0059</v>
      </c>
      <c r="G11" s="48">
        <f aca="true" t="shared" si="1" ref="G11:G27">IF(E11=0,"",IF(D11="nd",E11/2,E11))</f>
        <v>0.00295</v>
      </c>
      <c r="H11" s="48">
        <f t="shared" si="0"/>
        <v>0.00295</v>
      </c>
      <c r="I11" s="39" t="s">
        <v>29</v>
      </c>
      <c r="J11" s="48">
        <v>0.0041</v>
      </c>
      <c r="K11" s="48">
        <f aca="true" t="shared" si="2" ref="K11:M27">IF(J11="","",J11*$C11)</f>
        <v>0.0041</v>
      </c>
      <c r="L11" s="48">
        <f aca="true" t="shared" si="3" ref="L11:L27">IF(J11=0,"",IF(I11="nd",J11/2,J11))</f>
        <v>0.00205</v>
      </c>
      <c r="M11" s="48">
        <f t="shared" si="2"/>
        <v>0.00205</v>
      </c>
      <c r="N11" s="39" t="s">
        <v>29</v>
      </c>
      <c r="O11" s="48">
        <v>0.0056</v>
      </c>
      <c r="P11" s="48">
        <f aca="true" t="shared" si="4" ref="P11:R27">IF(O11="","",O11*$C11)</f>
        <v>0.0056</v>
      </c>
      <c r="Q11" s="48">
        <f aca="true" t="shared" si="5" ref="Q11:Q27">IF(O11=0,"",IF(N11="nd",O11/2,O11))</f>
        <v>0.0028</v>
      </c>
      <c r="R11" s="48">
        <f t="shared" si="4"/>
        <v>0.0028</v>
      </c>
    </row>
    <row r="12" spans="1:18" ht="12.75">
      <c r="A12" s="37"/>
      <c r="B12" s="37" t="s">
        <v>30</v>
      </c>
      <c r="C12" s="39">
        <v>0.5</v>
      </c>
      <c r="D12" s="39" t="s">
        <v>29</v>
      </c>
      <c r="E12" s="48">
        <v>0.0051</v>
      </c>
      <c r="F12" s="48">
        <f t="shared" si="0"/>
        <v>0.00255</v>
      </c>
      <c r="G12" s="48">
        <f t="shared" si="1"/>
        <v>0.00255</v>
      </c>
      <c r="H12" s="48">
        <f t="shared" si="0"/>
        <v>0.001275</v>
      </c>
      <c r="I12" s="39" t="s">
        <v>29</v>
      </c>
      <c r="J12" s="48">
        <v>0.0048</v>
      </c>
      <c r="K12" s="48">
        <f t="shared" si="2"/>
        <v>0.0024</v>
      </c>
      <c r="L12" s="48">
        <f t="shared" si="3"/>
        <v>0.0024</v>
      </c>
      <c r="M12" s="48">
        <f t="shared" si="2"/>
        <v>0.0012</v>
      </c>
      <c r="N12" s="39" t="s">
        <v>29</v>
      </c>
      <c r="O12" s="48">
        <v>0.0042</v>
      </c>
      <c r="P12" s="48">
        <f t="shared" si="4"/>
        <v>0.0021</v>
      </c>
      <c r="Q12" s="48">
        <f t="shared" si="5"/>
        <v>0.0021</v>
      </c>
      <c r="R12" s="48">
        <f t="shared" si="4"/>
        <v>0.00105</v>
      </c>
    </row>
    <row r="13" spans="1:18" ht="12.75">
      <c r="A13" s="37"/>
      <c r="B13" s="37" t="s">
        <v>31</v>
      </c>
      <c r="C13" s="39">
        <v>0.1</v>
      </c>
      <c r="D13" s="39" t="s">
        <v>29</v>
      </c>
      <c r="E13" s="48">
        <v>0.0032</v>
      </c>
      <c r="F13" s="48">
        <f t="shared" si="0"/>
        <v>0.00032</v>
      </c>
      <c r="G13" s="48">
        <f t="shared" si="1"/>
        <v>0.0016</v>
      </c>
      <c r="H13" s="48">
        <f t="shared" si="0"/>
        <v>0.00016</v>
      </c>
      <c r="I13" s="39" t="s">
        <v>29</v>
      </c>
      <c r="J13" s="48">
        <v>0.0031</v>
      </c>
      <c r="K13" s="48">
        <f t="shared" si="2"/>
        <v>0.00031</v>
      </c>
      <c r="L13" s="48">
        <f t="shared" si="3"/>
        <v>0.00155</v>
      </c>
      <c r="M13" s="48">
        <f t="shared" si="2"/>
        <v>0.000155</v>
      </c>
      <c r="N13" s="39" t="s">
        <v>29</v>
      </c>
      <c r="O13" s="48">
        <v>0.0039</v>
      </c>
      <c r="P13" s="48">
        <f t="shared" si="4"/>
        <v>0.00039</v>
      </c>
      <c r="Q13" s="48">
        <f t="shared" si="5"/>
        <v>0.00195</v>
      </c>
      <c r="R13" s="48">
        <f t="shared" si="4"/>
        <v>0.000195</v>
      </c>
    </row>
    <row r="14" spans="1:18" ht="12.75">
      <c r="A14" s="37"/>
      <c r="B14" s="37" t="s">
        <v>32</v>
      </c>
      <c r="C14" s="39">
        <v>0.1</v>
      </c>
      <c r="D14" s="39" t="s">
        <v>29</v>
      </c>
      <c r="E14" s="48">
        <v>0.003</v>
      </c>
      <c r="F14" s="48">
        <f t="shared" si="0"/>
        <v>0.00030000000000000003</v>
      </c>
      <c r="G14" s="48">
        <f t="shared" si="1"/>
        <v>0.0015</v>
      </c>
      <c r="H14" s="48">
        <f t="shared" si="0"/>
        <v>0.00015000000000000001</v>
      </c>
      <c r="I14" s="39" t="s">
        <v>29</v>
      </c>
      <c r="J14" s="48">
        <v>0.003</v>
      </c>
      <c r="K14" s="48">
        <f t="shared" si="2"/>
        <v>0.00030000000000000003</v>
      </c>
      <c r="L14" s="48">
        <f t="shared" si="3"/>
        <v>0.0015</v>
      </c>
      <c r="M14" s="48">
        <f t="shared" si="2"/>
        <v>0.00015000000000000001</v>
      </c>
      <c r="N14" s="39" t="s">
        <v>29</v>
      </c>
      <c r="O14" s="48">
        <v>0.0037</v>
      </c>
      <c r="P14" s="48">
        <f t="shared" si="4"/>
        <v>0.00037000000000000005</v>
      </c>
      <c r="Q14" s="48">
        <f t="shared" si="5"/>
        <v>0.00185</v>
      </c>
      <c r="R14" s="48">
        <f t="shared" si="4"/>
        <v>0.00018500000000000002</v>
      </c>
    </row>
    <row r="15" spans="1:18" ht="12.75">
      <c r="A15" s="37"/>
      <c r="B15" s="37" t="s">
        <v>33</v>
      </c>
      <c r="C15" s="39">
        <v>0.1</v>
      </c>
      <c r="D15" s="39" t="s">
        <v>29</v>
      </c>
      <c r="E15" s="48">
        <v>0.0035</v>
      </c>
      <c r="F15" s="48">
        <f t="shared" si="0"/>
        <v>0.00035000000000000005</v>
      </c>
      <c r="G15" s="48">
        <f t="shared" si="1"/>
        <v>0.00175</v>
      </c>
      <c r="H15" s="48">
        <f t="shared" si="0"/>
        <v>0.00017500000000000003</v>
      </c>
      <c r="I15" s="39" t="s">
        <v>29</v>
      </c>
      <c r="J15" s="48">
        <v>0.0041</v>
      </c>
      <c r="K15" s="48">
        <f t="shared" si="2"/>
        <v>0.00041000000000000005</v>
      </c>
      <c r="L15" s="48">
        <f t="shared" si="3"/>
        <v>0.00205</v>
      </c>
      <c r="M15" s="48">
        <f t="shared" si="2"/>
        <v>0.00020500000000000002</v>
      </c>
      <c r="N15" s="39" t="s">
        <v>29</v>
      </c>
      <c r="O15" s="48">
        <v>0.006</v>
      </c>
      <c r="P15" s="48">
        <f t="shared" si="4"/>
        <v>0.0006000000000000001</v>
      </c>
      <c r="Q15" s="48">
        <f t="shared" si="5"/>
        <v>0.003</v>
      </c>
      <c r="R15" s="48">
        <f t="shared" si="4"/>
        <v>0.00030000000000000003</v>
      </c>
    </row>
    <row r="16" spans="1:18" ht="12.75">
      <c r="A16" s="37"/>
      <c r="B16" s="37" t="s">
        <v>34</v>
      </c>
      <c r="C16" s="39">
        <v>0.01</v>
      </c>
      <c r="D16" s="39" t="s">
        <v>29</v>
      </c>
      <c r="E16" s="48">
        <v>0.013</v>
      </c>
      <c r="F16" s="48">
        <f t="shared" si="0"/>
        <v>0.00013</v>
      </c>
      <c r="G16" s="48">
        <f t="shared" si="1"/>
        <v>0.0065</v>
      </c>
      <c r="H16" s="48">
        <f t="shared" si="0"/>
        <v>6.5E-05</v>
      </c>
      <c r="I16" s="39"/>
      <c r="J16" s="48">
        <v>0.013</v>
      </c>
      <c r="K16" s="48">
        <f t="shared" si="2"/>
        <v>0.00013</v>
      </c>
      <c r="L16" s="48">
        <f t="shared" si="3"/>
        <v>0.013</v>
      </c>
      <c r="M16" s="48">
        <f t="shared" si="2"/>
        <v>0.00013</v>
      </c>
      <c r="N16" s="39"/>
      <c r="O16" s="48">
        <v>0.02</v>
      </c>
      <c r="P16" s="48">
        <f t="shared" si="4"/>
        <v>0.0002</v>
      </c>
      <c r="Q16" s="48">
        <f t="shared" si="5"/>
        <v>0.02</v>
      </c>
      <c r="R16" s="48">
        <f t="shared" si="4"/>
        <v>0.0002</v>
      </c>
    </row>
    <row r="17" spans="1:18" ht="12.75">
      <c r="A17" s="37"/>
      <c r="B17" s="37" t="s">
        <v>35</v>
      </c>
      <c r="C17" s="39">
        <v>0.001</v>
      </c>
      <c r="D17" s="39"/>
      <c r="E17" s="48">
        <v>0.041</v>
      </c>
      <c r="F17" s="48">
        <f t="shared" si="0"/>
        <v>4.1E-05</v>
      </c>
      <c r="G17" s="48">
        <f t="shared" si="1"/>
        <v>0.041</v>
      </c>
      <c r="H17" s="48">
        <f t="shared" si="0"/>
        <v>4.1E-05</v>
      </c>
      <c r="I17" s="39"/>
      <c r="J17" s="48">
        <v>0.041</v>
      </c>
      <c r="K17" s="48">
        <f t="shared" si="2"/>
        <v>4.1E-05</v>
      </c>
      <c r="L17" s="48">
        <f t="shared" si="3"/>
        <v>0.041</v>
      </c>
      <c r="M17" s="48">
        <f t="shared" si="2"/>
        <v>4.1E-05</v>
      </c>
      <c r="N17" s="39"/>
      <c r="O17" s="48">
        <v>0.064</v>
      </c>
      <c r="P17" s="48">
        <f t="shared" si="4"/>
        <v>6.4E-05</v>
      </c>
      <c r="Q17" s="48">
        <f t="shared" si="5"/>
        <v>0.064</v>
      </c>
      <c r="R17" s="48">
        <f t="shared" si="4"/>
        <v>6.4E-05</v>
      </c>
    </row>
    <row r="18" spans="1:18" ht="12.75">
      <c r="A18" s="37"/>
      <c r="B18" s="37" t="s">
        <v>36</v>
      </c>
      <c r="C18" s="39">
        <v>0.1</v>
      </c>
      <c r="D18" s="39" t="s">
        <v>29</v>
      </c>
      <c r="E18" s="48">
        <v>0.021</v>
      </c>
      <c r="F18" s="48">
        <f t="shared" si="0"/>
        <v>0.0021000000000000003</v>
      </c>
      <c r="G18" s="48">
        <f t="shared" si="1"/>
        <v>0.0105</v>
      </c>
      <c r="H18" s="48">
        <f t="shared" si="0"/>
        <v>0.0010500000000000002</v>
      </c>
      <c r="I18" s="39" t="s">
        <v>29</v>
      </c>
      <c r="J18" s="48">
        <v>0.0297</v>
      </c>
      <c r="K18" s="48">
        <f t="shared" si="2"/>
        <v>0.0029700000000000004</v>
      </c>
      <c r="L18" s="48">
        <f t="shared" si="3"/>
        <v>0.01485</v>
      </c>
      <c r="M18" s="48">
        <f t="shared" si="2"/>
        <v>0.0014850000000000002</v>
      </c>
      <c r="N18" s="39" t="s">
        <v>29</v>
      </c>
      <c r="O18" s="48">
        <v>0.023</v>
      </c>
      <c r="P18" s="48">
        <f t="shared" si="4"/>
        <v>0.0023</v>
      </c>
      <c r="Q18" s="48">
        <f t="shared" si="5"/>
        <v>0.0115</v>
      </c>
      <c r="R18" s="48">
        <f t="shared" si="4"/>
        <v>0.00115</v>
      </c>
    </row>
    <row r="19" spans="1:18" ht="12.75">
      <c r="A19" s="37"/>
      <c r="B19" s="37" t="s">
        <v>37</v>
      </c>
      <c r="C19" s="39">
        <v>0.05</v>
      </c>
      <c r="D19" s="39" t="s">
        <v>29</v>
      </c>
      <c r="E19" s="48">
        <v>0.0035</v>
      </c>
      <c r="F19" s="48">
        <f t="shared" si="0"/>
        <v>0.00017500000000000003</v>
      </c>
      <c r="G19" s="48">
        <f t="shared" si="1"/>
        <v>0.00175</v>
      </c>
      <c r="H19" s="48">
        <f t="shared" si="0"/>
        <v>8.750000000000001E-05</v>
      </c>
      <c r="I19" s="39" t="s">
        <v>29</v>
      </c>
      <c r="J19" s="48">
        <v>0.0037</v>
      </c>
      <c r="K19" s="48">
        <f t="shared" si="2"/>
        <v>0.00018500000000000002</v>
      </c>
      <c r="L19" s="48">
        <f t="shared" si="3"/>
        <v>0.00185</v>
      </c>
      <c r="M19" s="48">
        <f t="shared" si="2"/>
        <v>9.250000000000001E-05</v>
      </c>
      <c r="N19" s="39" t="s">
        <v>29</v>
      </c>
      <c r="O19" s="48">
        <v>0.0034</v>
      </c>
      <c r="P19" s="48">
        <f t="shared" si="4"/>
        <v>0.00017</v>
      </c>
      <c r="Q19" s="48">
        <f t="shared" si="5"/>
        <v>0.0017</v>
      </c>
      <c r="R19" s="48">
        <f t="shared" si="4"/>
        <v>8.5E-05</v>
      </c>
    </row>
    <row r="20" spans="1:18" ht="12.75">
      <c r="A20" s="37"/>
      <c r="B20" s="37" t="s">
        <v>38</v>
      </c>
      <c r="C20" s="39">
        <v>0.5</v>
      </c>
      <c r="D20" s="39"/>
      <c r="E20" s="48">
        <v>0.0061</v>
      </c>
      <c r="F20" s="48">
        <f t="shared" si="0"/>
        <v>0.00305</v>
      </c>
      <c r="G20" s="48">
        <f t="shared" si="1"/>
        <v>0.0061</v>
      </c>
      <c r="H20" s="48">
        <f t="shared" si="0"/>
        <v>0.00305</v>
      </c>
      <c r="I20" s="39"/>
      <c r="J20" s="48">
        <v>0.0081</v>
      </c>
      <c r="K20" s="48">
        <f t="shared" si="2"/>
        <v>0.00405</v>
      </c>
      <c r="L20" s="48">
        <f t="shared" si="3"/>
        <v>0.0081</v>
      </c>
      <c r="M20" s="48">
        <f t="shared" si="2"/>
        <v>0.00405</v>
      </c>
      <c r="N20" s="39" t="s">
        <v>29</v>
      </c>
      <c r="O20" s="48">
        <v>0.0063</v>
      </c>
      <c r="P20" s="48">
        <f t="shared" si="4"/>
        <v>0.00315</v>
      </c>
      <c r="Q20" s="48">
        <f t="shared" si="5"/>
        <v>0.00315</v>
      </c>
      <c r="R20" s="48">
        <f t="shared" si="4"/>
        <v>0.001575</v>
      </c>
    </row>
    <row r="21" spans="1:18" ht="12.75">
      <c r="A21" s="37"/>
      <c r="B21" s="37" t="s">
        <v>39</v>
      </c>
      <c r="C21" s="39">
        <v>0.1</v>
      </c>
      <c r="D21" s="39"/>
      <c r="E21" s="48">
        <v>0.0061</v>
      </c>
      <c r="F21" s="48">
        <f t="shared" si="0"/>
        <v>0.0006100000000000001</v>
      </c>
      <c r="G21" s="48">
        <f t="shared" si="1"/>
        <v>0.0061</v>
      </c>
      <c r="H21" s="48">
        <f t="shared" si="0"/>
        <v>0.0006100000000000001</v>
      </c>
      <c r="I21" s="39"/>
      <c r="J21" s="48">
        <v>0.0009</v>
      </c>
      <c r="K21" s="48">
        <f t="shared" si="2"/>
        <v>9E-05</v>
      </c>
      <c r="L21" s="48">
        <f t="shared" si="3"/>
        <v>0.0009</v>
      </c>
      <c r="M21" s="48">
        <f t="shared" si="2"/>
        <v>9E-05</v>
      </c>
      <c r="N21" s="39" t="s">
        <v>29</v>
      </c>
      <c r="O21" s="48">
        <v>0.0067</v>
      </c>
      <c r="P21" s="48">
        <f t="shared" si="4"/>
        <v>0.00067</v>
      </c>
      <c r="Q21" s="48">
        <f t="shared" si="5"/>
        <v>0.00335</v>
      </c>
      <c r="R21" s="48">
        <f t="shared" si="4"/>
        <v>0.000335</v>
      </c>
    </row>
    <row r="22" spans="1:18" ht="12.75">
      <c r="A22" s="37"/>
      <c r="B22" s="37" t="s">
        <v>40</v>
      </c>
      <c r="C22" s="39">
        <v>0.1</v>
      </c>
      <c r="D22" s="39" t="s">
        <v>29</v>
      </c>
      <c r="E22" s="48">
        <v>0.0033</v>
      </c>
      <c r="F22" s="48">
        <f t="shared" si="0"/>
        <v>0.00033</v>
      </c>
      <c r="G22" s="48">
        <f t="shared" si="1"/>
        <v>0.00165</v>
      </c>
      <c r="H22" s="48">
        <f t="shared" si="0"/>
        <v>0.000165</v>
      </c>
      <c r="I22" s="39"/>
      <c r="J22" s="48">
        <v>0.0034</v>
      </c>
      <c r="K22" s="48">
        <f t="shared" si="2"/>
        <v>0.00034</v>
      </c>
      <c r="L22" s="48">
        <f t="shared" si="3"/>
        <v>0.0034</v>
      </c>
      <c r="M22" s="48">
        <f t="shared" si="2"/>
        <v>0.00034</v>
      </c>
      <c r="N22" s="39" t="s">
        <v>29</v>
      </c>
      <c r="O22" s="48">
        <v>0.0042</v>
      </c>
      <c r="P22" s="48">
        <f t="shared" si="4"/>
        <v>0.00042</v>
      </c>
      <c r="Q22" s="48">
        <f t="shared" si="5"/>
        <v>0.0021</v>
      </c>
      <c r="R22" s="48">
        <f t="shared" si="4"/>
        <v>0.00021</v>
      </c>
    </row>
    <row r="23" spans="1:18" ht="12.75">
      <c r="A23" s="37"/>
      <c r="B23" s="37" t="s">
        <v>41</v>
      </c>
      <c r="C23" s="39">
        <v>0.1</v>
      </c>
      <c r="D23" s="39" t="s">
        <v>29</v>
      </c>
      <c r="E23" s="48">
        <v>0.0045</v>
      </c>
      <c r="F23" s="48">
        <f t="shared" si="0"/>
        <v>0.00045</v>
      </c>
      <c r="G23" s="48">
        <f t="shared" si="1"/>
        <v>0.00225</v>
      </c>
      <c r="H23" s="48">
        <f t="shared" si="0"/>
        <v>0.000225</v>
      </c>
      <c r="I23" s="39" t="s">
        <v>29</v>
      </c>
      <c r="J23" s="48">
        <v>0.0051</v>
      </c>
      <c r="K23" s="48">
        <f t="shared" si="2"/>
        <v>0.00051</v>
      </c>
      <c r="L23" s="48">
        <f t="shared" si="3"/>
        <v>0.00255</v>
      </c>
      <c r="M23" s="48">
        <f t="shared" si="2"/>
        <v>0.000255</v>
      </c>
      <c r="N23" s="39" t="s">
        <v>29</v>
      </c>
      <c r="O23" s="48">
        <v>0.0057</v>
      </c>
      <c r="P23" s="48">
        <f t="shared" si="4"/>
        <v>0.0005700000000000001</v>
      </c>
      <c r="Q23" s="48">
        <f t="shared" si="5"/>
        <v>0.00285</v>
      </c>
      <c r="R23" s="48">
        <f t="shared" si="4"/>
        <v>0.00028500000000000004</v>
      </c>
    </row>
    <row r="24" spans="1:18" ht="12.75">
      <c r="A24" s="37"/>
      <c r="B24" s="37" t="s">
        <v>42</v>
      </c>
      <c r="C24" s="39">
        <v>0.1</v>
      </c>
      <c r="D24" s="39" t="s">
        <v>29</v>
      </c>
      <c r="E24" s="48">
        <v>0.0051</v>
      </c>
      <c r="F24" s="48">
        <f t="shared" si="0"/>
        <v>0.00051</v>
      </c>
      <c r="G24" s="48">
        <f t="shared" si="1"/>
        <v>0.00255</v>
      </c>
      <c r="H24" s="48">
        <f t="shared" si="0"/>
        <v>0.000255</v>
      </c>
      <c r="I24" s="39" t="s">
        <v>29</v>
      </c>
      <c r="J24" s="48">
        <v>0.0046</v>
      </c>
      <c r="K24" s="48">
        <f t="shared" si="2"/>
        <v>0.00046</v>
      </c>
      <c r="L24" s="48">
        <f t="shared" si="3"/>
        <v>0.0023</v>
      </c>
      <c r="M24" s="48">
        <f t="shared" si="2"/>
        <v>0.00023</v>
      </c>
      <c r="N24" s="39" t="s">
        <v>29</v>
      </c>
      <c r="O24" s="48">
        <v>0.0065</v>
      </c>
      <c r="P24" s="48">
        <f t="shared" si="4"/>
        <v>0.00065</v>
      </c>
      <c r="Q24" s="48">
        <f t="shared" si="5"/>
        <v>0.00325</v>
      </c>
      <c r="R24" s="48">
        <f t="shared" si="4"/>
        <v>0.000325</v>
      </c>
    </row>
    <row r="25" spans="1:18" ht="12.75">
      <c r="A25" s="37"/>
      <c r="B25" s="37" t="s">
        <v>43</v>
      </c>
      <c r="C25" s="39">
        <v>0.01</v>
      </c>
      <c r="D25" s="39" t="s">
        <v>29</v>
      </c>
      <c r="E25" s="48">
        <v>0.008</v>
      </c>
      <c r="F25" s="48">
        <f t="shared" si="0"/>
        <v>8E-05</v>
      </c>
      <c r="G25" s="48">
        <f t="shared" si="1"/>
        <v>0.004</v>
      </c>
      <c r="H25" s="48">
        <f t="shared" si="0"/>
        <v>4E-05</v>
      </c>
      <c r="I25" s="39" t="s">
        <v>29</v>
      </c>
      <c r="J25" s="48">
        <v>0.0088</v>
      </c>
      <c r="K25" s="48">
        <f t="shared" si="2"/>
        <v>8.800000000000001E-05</v>
      </c>
      <c r="L25" s="48">
        <f t="shared" si="3"/>
        <v>0.0044</v>
      </c>
      <c r="M25" s="48">
        <f t="shared" si="2"/>
        <v>4.4000000000000006E-05</v>
      </c>
      <c r="N25" s="39" t="s">
        <v>29</v>
      </c>
      <c r="O25" s="48">
        <v>0.0087</v>
      </c>
      <c r="P25" s="48">
        <f t="shared" si="4"/>
        <v>8.7E-05</v>
      </c>
      <c r="Q25" s="48">
        <f t="shared" si="5"/>
        <v>0.00435</v>
      </c>
      <c r="R25" s="48">
        <f t="shared" si="4"/>
        <v>4.35E-05</v>
      </c>
    </row>
    <row r="26" spans="1:18" ht="12.75">
      <c r="A26" s="37"/>
      <c r="B26" s="37" t="s">
        <v>44</v>
      </c>
      <c r="C26" s="39">
        <v>0.01</v>
      </c>
      <c r="D26" s="39" t="s">
        <v>29</v>
      </c>
      <c r="E26" s="48">
        <v>0.0075</v>
      </c>
      <c r="F26" s="48">
        <f t="shared" si="0"/>
        <v>7.5E-05</v>
      </c>
      <c r="G26" s="48">
        <f t="shared" si="1"/>
        <v>0.00375</v>
      </c>
      <c r="H26" s="48">
        <f t="shared" si="0"/>
        <v>3.75E-05</v>
      </c>
      <c r="I26" s="39" t="s">
        <v>29</v>
      </c>
      <c r="J26" s="48">
        <v>0.0053</v>
      </c>
      <c r="K26" s="48">
        <f t="shared" si="2"/>
        <v>5.3E-05</v>
      </c>
      <c r="L26" s="48">
        <f t="shared" si="3"/>
        <v>0.00265</v>
      </c>
      <c r="M26" s="48">
        <f t="shared" si="2"/>
        <v>2.65E-05</v>
      </c>
      <c r="N26" s="39" t="s">
        <v>29</v>
      </c>
      <c r="O26" s="48">
        <v>0.0056</v>
      </c>
      <c r="P26" s="48">
        <f t="shared" si="4"/>
        <v>5.6E-05</v>
      </c>
      <c r="Q26" s="48">
        <f t="shared" si="5"/>
        <v>0.0028</v>
      </c>
      <c r="R26" s="48">
        <f t="shared" si="4"/>
        <v>2.8E-05</v>
      </c>
    </row>
    <row r="27" spans="1:18" ht="12.75">
      <c r="A27" s="37"/>
      <c r="B27" s="37" t="s">
        <v>45</v>
      </c>
      <c r="C27" s="39">
        <v>0.001</v>
      </c>
      <c r="D27" s="39"/>
      <c r="E27" s="48">
        <v>0.012</v>
      </c>
      <c r="F27" s="48">
        <f t="shared" si="0"/>
        <v>1.2E-05</v>
      </c>
      <c r="G27" s="48">
        <f t="shared" si="1"/>
        <v>0.012</v>
      </c>
      <c r="H27" s="48">
        <f t="shared" si="0"/>
        <v>1.2E-05</v>
      </c>
      <c r="I27" s="39"/>
      <c r="J27" s="48">
        <v>0.0086</v>
      </c>
      <c r="K27" s="48">
        <f t="shared" si="2"/>
        <v>8.6E-06</v>
      </c>
      <c r="L27" s="48">
        <f t="shared" si="3"/>
        <v>0.0086</v>
      </c>
      <c r="M27" s="48">
        <f t="shared" si="2"/>
        <v>8.6E-06</v>
      </c>
      <c r="N27" s="39"/>
      <c r="O27" s="48">
        <v>0.011</v>
      </c>
      <c r="P27" s="48">
        <f t="shared" si="4"/>
        <v>1.1E-05</v>
      </c>
      <c r="Q27" s="48">
        <f t="shared" si="5"/>
        <v>0.011</v>
      </c>
      <c r="R27" s="48">
        <f t="shared" si="4"/>
        <v>1.1E-05</v>
      </c>
    </row>
    <row r="28" spans="1:18" ht="12.75">
      <c r="A28" s="37"/>
      <c r="B28" s="37"/>
      <c r="C28" s="37"/>
      <c r="D28" s="37"/>
      <c r="E28" s="44"/>
      <c r="F28" s="48"/>
      <c r="G28" s="48"/>
      <c r="H28" s="48"/>
      <c r="I28" s="37"/>
      <c r="J28" s="44"/>
      <c r="K28" s="48"/>
      <c r="L28" s="48"/>
      <c r="M28" s="48"/>
      <c r="N28" s="37"/>
      <c r="O28" s="44"/>
      <c r="P28" s="48"/>
      <c r="Q28" s="48"/>
      <c r="R28" s="48"/>
    </row>
    <row r="29" spans="1:18" ht="12.75">
      <c r="A29" s="37"/>
      <c r="B29" s="37" t="s">
        <v>46</v>
      </c>
      <c r="C29" s="37"/>
      <c r="D29" s="37"/>
      <c r="E29" s="44"/>
      <c r="F29" s="44">
        <v>190.484</v>
      </c>
      <c r="G29" s="44"/>
      <c r="H29" s="44">
        <v>190.484</v>
      </c>
      <c r="I29" s="37"/>
      <c r="J29" s="44"/>
      <c r="K29" s="44">
        <v>198.69</v>
      </c>
      <c r="L29" s="44"/>
      <c r="M29" s="44">
        <v>198.69</v>
      </c>
      <c r="N29" s="37"/>
      <c r="O29" s="44"/>
      <c r="P29" s="44">
        <v>192.553</v>
      </c>
      <c r="Q29" s="44"/>
      <c r="R29" s="44">
        <v>192.553</v>
      </c>
    </row>
    <row r="30" spans="1:18" ht="12.75">
      <c r="A30" s="37"/>
      <c r="B30" s="37" t="s">
        <v>74</v>
      </c>
      <c r="C30" s="37"/>
      <c r="D30" s="37"/>
      <c r="E30" s="47"/>
      <c r="F30" s="44">
        <v>7.86</v>
      </c>
      <c r="G30" s="44"/>
      <c r="H30" s="44">
        <v>7.86</v>
      </c>
      <c r="I30" s="37"/>
      <c r="J30" s="47"/>
      <c r="K30" s="44">
        <v>8.2</v>
      </c>
      <c r="L30" s="44"/>
      <c r="M30" s="44">
        <v>8.2</v>
      </c>
      <c r="N30" s="37"/>
      <c r="O30" s="47"/>
      <c r="P30" s="44">
        <v>7.61</v>
      </c>
      <c r="Q30" s="44"/>
      <c r="R30" s="44">
        <v>7.61</v>
      </c>
    </row>
    <row r="31" spans="1:18" ht="12.75">
      <c r="A31" s="37"/>
      <c r="B31" s="37"/>
      <c r="C31" s="37"/>
      <c r="D31" s="37"/>
      <c r="E31" s="44"/>
      <c r="F31" s="37"/>
      <c r="G31" s="37"/>
      <c r="H31" s="37"/>
      <c r="I31" s="37"/>
      <c r="J31" s="44"/>
      <c r="K31" s="37"/>
      <c r="L31" s="37"/>
      <c r="M31" s="37"/>
      <c r="N31" s="37"/>
      <c r="O31" s="44"/>
      <c r="P31" s="37"/>
      <c r="Q31" s="37"/>
      <c r="R31" s="37"/>
    </row>
    <row r="32" spans="1:18" ht="12.75">
      <c r="A32" s="37"/>
      <c r="B32" s="37" t="s">
        <v>180</v>
      </c>
      <c r="C32" s="48"/>
      <c r="D32" s="48"/>
      <c r="E32" s="41"/>
      <c r="F32" s="48">
        <f>SUM(F11:F27)</f>
        <v>0.016982999999999998</v>
      </c>
      <c r="G32" s="62"/>
      <c r="H32" s="48">
        <f>SUM(H11:H27)</f>
        <v>0.010347999999999998</v>
      </c>
      <c r="I32" s="48"/>
      <c r="J32" s="48"/>
      <c r="K32" s="48">
        <f>SUM(K11:K27)</f>
        <v>0.0164456</v>
      </c>
      <c r="L32" s="62"/>
      <c r="M32" s="48">
        <f>SUM(M11:M27)</f>
        <v>0.0105526</v>
      </c>
      <c r="N32" s="48"/>
      <c r="O32" s="48"/>
      <c r="P32" s="48">
        <f>SUM(P11:P27)</f>
        <v>0.017408000000000003</v>
      </c>
      <c r="Q32" s="62"/>
      <c r="R32" s="48">
        <f>SUM(R11:R27)</f>
        <v>0.008841500000000002</v>
      </c>
    </row>
    <row r="33" spans="1:18" ht="12.75">
      <c r="A33" s="37"/>
      <c r="B33" s="37" t="s">
        <v>47</v>
      </c>
      <c r="C33" s="48"/>
      <c r="D33" s="41">
        <f>(F33-H33)*2/F33*100</f>
        <v>78.13696048990168</v>
      </c>
      <c r="E33" s="44"/>
      <c r="F33" s="48">
        <f>(F32/F29/0.0283*(21-7)/(21-F30))</f>
        <v>0.0033566197240581797</v>
      </c>
      <c r="G33" s="47"/>
      <c r="H33" s="48">
        <f>(H32/H29/0.0283*(21-7)/(21-H30))</f>
        <v>0.0020452394102663863</v>
      </c>
      <c r="I33" s="41">
        <f>(K33-M33)*2/K33*100</f>
        <v>71.6665855912828</v>
      </c>
      <c r="J33" s="44"/>
      <c r="K33" s="48">
        <f>(K32/K29/0.0283*(21-7)/(21-K30))</f>
        <v>0.00319893446953873</v>
      </c>
      <c r="L33" s="47"/>
      <c r="M33" s="48">
        <f>(M32/M29/0.0283*(21-7)/(21-M30))</f>
        <v>0.002052650914728219</v>
      </c>
      <c r="N33" s="41">
        <f>(P33-R33)*2/P33*100</f>
        <v>98.42026654411765</v>
      </c>
      <c r="O33" s="44"/>
      <c r="P33" s="48">
        <f>(P32/P29/0.0283*(21-7)/(21-P30))</f>
        <v>0.0033401010947186264</v>
      </c>
      <c r="Q33" s="47"/>
      <c r="R33" s="48">
        <f>(R32/R29/0.0283*(21-7)/(21-R30))</f>
        <v>0.0016964328945860945</v>
      </c>
    </row>
    <row r="34" spans="1:18" ht="12.75">
      <c r="A34" s="37"/>
      <c r="B34" s="37"/>
      <c r="C34" s="37"/>
      <c r="D34" s="37"/>
      <c r="E34" s="43"/>
      <c r="F34" s="48"/>
      <c r="G34" s="43"/>
      <c r="H34" s="48"/>
      <c r="I34" s="43"/>
      <c r="J34" s="43"/>
      <c r="K34" s="43"/>
      <c r="L34" s="43"/>
      <c r="M34" s="43"/>
      <c r="N34" s="43"/>
      <c r="O34" s="43"/>
      <c r="P34" s="47"/>
      <c r="Q34" s="43"/>
      <c r="R34" s="47"/>
    </row>
    <row r="35" spans="1:18" ht="12.75">
      <c r="A35" s="44"/>
      <c r="B35" s="37" t="s">
        <v>75</v>
      </c>
      <c r="C35" s="30">
        <f>AVERAGE(H33,M33,R33)</f>
        <v>0.0019314410731935668</v>
      </c>
      <c r="D35" s="44"/>
      <c r="E35" s="44"/>
      <c r="F35" s="48"/>
      <c r="G35" s="44"/>
      <c r="H35" s="48"/>
      <c r="I35" s="44"/>
      <c r="J35" s="44"/>
      <c r="K35" s="44"/>
      <c r="L35" s="44"/>
      <c r="M35" s="44"/>
      <c r="N35" s="44"/>
      <c r="O35" s="44"/>
      <c r="P35" s="47"/>
      <c r="Q35" s="44"/>
      <c r="R35" s="47"/>
    </row>
    <row r="36" spans="1:18" ht="12.75">
      <c r="A36" s="37"/>
      <c r="B36" s="37"/>
      <c r="C36" s="44"/>
      <c r="D36" s="37"/>
      <c r="E36" s="47"/>
      <c r="F36" s="48"/>
      <c r="G36" s="47"/>
      <c r="H36" s="48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77" spans="1:18" ht="12.75">
      <c r="A77" s="2"/>
      <c r="B77" s="2"/>
      <c r="C77" s="2"/>
      <c r="D77" s="2"/>
      <c r="E77" s="7"/>
      <c r="G77" s="7"/>
      <c r="J77" s="7"/>
      <c r="K77" s="84"/>
      <c r="L77" s="4"/>
      <c r="M77" s="84"/>
      <c r="N77" s="7"/>
      <c r="O77" s="7"/>
      <c r="P77" s="7"/>
      <c r="Q77" s="7"/>
      <c r="R77" s="7"/>
    </row>
    <row r="78" spans="1:18" ht="12.75">
      <c r="A78" s="2"/>
      <c r="B78" s="2"/>
      <c r="C78" s="3"/>
      <c r="D78" s="3"/>
      <c r="E78" s="4"/>
      <c r="F78" s="7"/>
      <c r="G78" s="4"/>
      <c r="H78" s="7"/>
      <c r="I78" s="3"/>
      <c r="J78" s="4"/>
      <c r="K78" s="4"/>
      <c r="L78" s="4"/>
      <c r="M78" s="4"/>
      <c r="N78" s="3"/>
      <c r="O78" s="7"/>
      <c r="P78" s="3"/>
      <c r="Q78" s="3"/>
      <c r="R78" s="3"/>
    </row>
    <row r="79" spans="1:18" ht="12.75">
      <c r="A79" s="2"/>
      <c r="B79" s="2"/>
      <c r="C79" s="3"/>
      <c r="D79" s="3"/>
      <c r="E79" s="7"/>
      <c r="F79" s="3"/>
      <c r="G79" s="5"/>
      <c r="H79" s="3"/>
      <c r="I79" s="3"/>
      <c r="J79" s="7"/>
      <c r="K79" s="3"/>
      <c r="L79" s="4"/>
      <c r="M79" s="3"/>
      <c r="N79" s="3"/>
      <c r="O79" s="7"/>
      <c r="P79" s="5"/>
      <c r="Q79" s="5"/>
      <c r="R79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79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1" max="1" width="1.7109375" style="83" customWidth="1"/>
    <col min="2" max="2" width="20.00390625" style="83" customWidth="1"/>
    <col min="3" max="3" width="7.140625" style="83" customWidth="1"/>
    <col min="4" max="4" width="7.421875" style="83" customWidth="1"/>
    <col min="5" max="5" width="9.421875" style="83" customWidth="1"/>
    <col min="6" max="6" width="9.8515625" style="83" customWidth="1"/>
    <col min="7" max="7" width="9.421875" style="83" bestFit="1" customWidth="1"/>
    <col min="8" max="8" width="9.8515625" style="83" customWidth="1"/>
    <col min="9" max="9" width="8.140625" style="83" customWidth="1"/>
    <col min="10" max="10" width="9.421875" style="83" bestFit="1" customWidth="1"/>
    <col min="11" max="11" width="9.28125" style="83" customWidth="1"/>
    <col min="12" max="12" width="9.140625" style="83" customWidth="1"/>
    <col min="13" max="13" width="9.28125" style="83" customWidth="1"/>
    <col min="14" max="14" width="6.28125" style="83" customWidth="1"/>
    <col min="15" max="15" width="9.140625" style="83" customWidth="1"/>
    <col min="16" max="16" width="9.00390625" style="83" customWidth="1"/>
    <col min="17" max="17" width="9.140625" style="83" customWidth="1"/>
    <col min="18" max="18" width="9.00390625" style="83" customWidth="1"/>
    <col min="19" max="16384" width="9.140625" style="83" customWidth="1"/>
  </cols>
  <sheetData>
    <row r="1" spans="1:18" ht="12.75">
      <c r="A1" s="55" t="s">
        <v>86</v>
      </c>
      <c r="B1" s="37"/>
      <c r="C1" s="37"/>
      <c r="D1" s="37"/>
      <c r="E1" s="47"/>
      <c r="F1" s="48"/>
      <c r="G1" s="47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37" t="s">
        <v>335</v>
      </c>
      <c r="B2" s="37"/>
      <c r="C2" s="37"/>
      <c r="D2" s="37"/>
      <c r="E2" s="47"/>
      <c r="F2" s="48"/>
      <c r="G2" s="47"/>
      <c r="H2" s="48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37" t="s">
        <v>20</v>
      </c>
      <c r="B3" s="37"/>
      <c r="C3" s="15" t="str">
        <f>source!C5</f>
        <v>Eastman Kodak Company</v>
      </c>
      <c r="D3" s="15"/>
      <c r="E3" s="47"/>
      <c r="F3" s="48"/>
      <c r="G3" s="47"/>
      <c r="H3" s="48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2.75">
      <c r="A4" s="37" t="s">
        <v>21</v>
      </c>
      <c r="B4" s="37"/>
      <c r="C4" s="15" t="s">
        <v>269</v>
      </c>
      <c r="D4" s="15"/>
      <c r="E4" s="49"/>
      <c r="F4" s="50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2.75">
      <c r="A5" s="37" t="s">
        <v>22</v>
      </c>
      <c r="B5" s="37"/>
      <c r="C5" s="37" t="s">
        <v>265</v>
      </c>
      <c r="D5" s="37"/>
      <c r="E5" s="37"/>
      <c r="F5" s="37"/>
      <c r="G5" s="37"/>
      <c r="H5" s="37"/>
      <c r="I5" s="37"/>
      <c r="J5" s="37"/>
      <c r="K5" s="47"/>
      <c r="L5" s="37"/>
      <c r="M5" s="47"/>
      <c r="N5" s="47"/>
      <c r="O5" s="47"/>
      <c r="P5" s="47"/>
      <c r="Q5" s="47"/>
      <c r="R5" s="47"/>
    </row>
    <row r="6" spans="1:18" ht="12.75">
      <c r="A6" s="37"/>
      <c r="B6" s="37"/>
      <c r="C6" s="39"/>
      <c r="D6" s="39"/>
      <c r="E6" s="51"/>
      <c r="F6" s="48"/>
      <c r="G6" s="51"/>
      <c r="H6" s="48"/>
      <c r="I6" s="47"/>
      <c r="J6" s="51"/>
      <c r="K6" s="47"/>
      <c r="L6" s="51"/>
      <c r="M6" s="47"/>
      <c r="N6" s="47"/>
      <c r="O6" s="51"/>
      <c r="P6" s="47"/>
      <c r="Q6" s="51"/>
      <c r="R6" s="47"/>
    </row>
    <row r="7" spans="1:18" ht="12.75">
      <c r="A7" s="37"/>
      <c r="B7" s="37"/>
      <c r="C7" s="39" t="s">
        <v>23</v>
      </c>
      <c r="D7" s="39"/>
      <c r="E7" s="52" t="s">
        <v>62</v>
      </c>
      <c r="F7" s="52"/>
      <c r="G7" s="52"/>
      <c r="H7" s="52"/>
      <c r="I7" s="39"/>
      <c r="J7" s="52" t="s">
        <v>63</v>
      </c>
      <c r="K7" s="52"/>
      <c r="L7" s="52"/>
      <c r="M7" s="52"/>
      <c r="N7" s="39"/>
      <c r="O7" s="52" t="s">
        <v>64</v>
      </c>
      <c r="P7" s="52"/>
      <c r="Q7" s="52"/>
      <c r="R7" s="52"/>
    </row>
    <row r="8" spans="1:18" ht="12.75">
      <c r="A8" s="37"/>
      <c r="B8" s="37"/>
      <c r="C8" s="39" t="s">
        <v>24</v>
      </c>
      <c r="D8" s="37"/>
      <c r="E8" s="51" t="s">
        <v>25</v>
      </c>
      <c r="F8" s="50" t="s">
        <v>26</v>
      </c>
      <c r="G8" s="51" t="s">
        <v>25</v>
      </c>
      <c r="H8" s="50" t="s">
        <v>26</v>
      </c>
      <c r="I8" s="37"/>
      <c r="J8" s="51" t="s">
        <v>25</v>
      </c>
      <c r="K8" s="50" t="s">
        <v>26</v>
      </c>
      <c r="L8" s="51" t="s">
        <v>25</v>
      </c>
      <c r="M8" s="50" t="s">
        <v>26</v>
      </c>
      <c r="N8" s="37"/>
      <c r="O8" s="51" t="s">
        <v>25</v>
      </c>
      <c r="P8" s="50" t="s">
        <v>26</v>
      </c>
      <c r="Q8" s="51" t="s">
        <v>25</v>
      </c>
      <c r="R8" s="50" t="s">
        <v>26</v>
      </c>
    </row>
    <row r="9" spans="1:18" ht="12.75">
      <c r="A9" s="37"/>
      <c r="B9" s="37"/>
      <c r="C9" s="39"/>
      <c r="D9" s="37"/>
      <c r="E9" s="51" t="s">
        <v>294</v>
      </c>
      <c r="F9" s="51" t="s">
        <v>294</v>
      </c>
      <c r="G9" s="51" t="s">
        <v>85</v>
      </c>
      <c r="H9" s="50" t="s">
        <v>85</v>
      </c>
      <c r="I9" s="37"/>
      <c r="J9" s="51" t="s">
        <v>294</v>
      </c>
      <c r="K9" s="51" t="s">
        <v>294</v>
      </c>
      <c r="L9" s="51" t="s">
        <v>85</v>
      </c>
      <c r="M9" s="50" t="s">
        <v>85</v>
      </c>
      <c r="N9" s="37"/>
      <c r="O9" s="51" t="s">
        <v>294</v>
      </c>
      <c r="P9" s="51" t="s">
        <v>294</v>
      </c>
      <c r="Q9" s="51" t="s">
        <v>85</v>
      </c>
      <c r="R9" s="50" t="s">
        <v>85</v>
      </c>
    </row>
    <row r="10" spans="1:18" ht="12.75">
      <c r="A10" s="37" t="s">
        <v>179</v>
      </c>
      <c r="B10" s="37"/>
      <c r="C10" s="37"/>
      <c r="D10" s="37"/>
      <c r="E10" s="47"/>
      <c r="F10" s="48"/>
      <c r="G10" s="47"/>
      <c r="H10" s="48"/>
      <c r="I10" s="37"/>
      <c r="J10" s="47"/>
      <c r="K10" s="48"/>
      <c r="L10" s="47"/>
      <c r="M10" s="48"/>
      <c r="N10" s="37"/>
      <c r="O10" s="47"/>
      <c r="P10" s="48"/>
      <c r="Q10" s="47"/>
      <c r="R10" s="48"/>
    </row>
    <row r="11" spans="1:18" ht="12.75">
      <c r="A11" s="37"/>
      <c r="B11" s="37" t="s">
        <v>28</v>
      </c>
      <c r="C11" s="39">
        <v>1</v>
      </c>
      <c r="D11" s="39" t="s">
        <v>29</v>
      </c>
      <c r="E11" s="48">
        <v>0.0087</v>
      </c>
      <c r="F11" s="48">
        <f aca="true" t="shared" si="0" ref="F11:H27">IF(E11="","",E11*$C11)</f>
        <v>0.0087</v>
      </c>
      <c r="G11" s="48">
        <f aca="true" t="shared" si="1" ref="G11:G27">IF(E11=0,"",IF(D11="nd",E11/2,E11))</f>
        <v>0.00435</v>
      </c>
      <c r="H11" s="48">
        <f t="shared" si="0"/>
        <v>0.00435</v>
      </c>
      <c r="I11" s="39" t="s">
        <v>29</v>
      </c>
      <c r="J11" s="48">
        <v>0.0053</v>
      </c>
      <c r="K11" s="48">
        <f aca="true" t="shared" si="2" ref="K11:M27">IF(J11="","",J11*$C11)</f>
        <v>0.0053</v>
      </c>
      <c r="L11" s="48">
        <f aca="true" t="shared" si="3" ref="L11:L27">IF(J11=0,"",IF(I11="nd",J11/2,J11))</f>
        <v>0.00265</v>
      </c>
      <c r="M11" s="48">
        <f t="shared" si="2"/>
        <v>0.00265</v>
      </c>
      <c r="N11" s="39" t="s">
        <v>29</v>
      </c>
      <c r="O11" s="48">
        <v>0.004</v>
      </c>
      <c r="P11" s="48">
        <f aca="true" t="shared" si="4" ref="P11:R27">IF(O11="","",O11*$C11)</f>
        <v>0.004</v>
      </c>
      <c r="Q11" s="48">
        <f aca="true" t="shared" si="5" ref="Q11:Q27">IF(O11=0,"",IF(N11="nd",O11/2,O11))</f>
        <v>0.002</v>
      </c>
      <c r="R11" s="48">
        <f t="shared" si="4"/>
        <v>0.002</v>
      </c>
    </row>
    <row r="12" spans="1:18" ht="12.75">
      <c r="A12" s="37"/>
      <c r="B12" s="37" t="s">
        <v>30</v>
      </c>
      <c r="C12" s="39">
        <v>0.5</v>
      </c>
      <c r="D12" s="39" t="s">
        <v>29</v>
      </c>
      <c r="E12" s="48">
        <v>0.0043</v>
      </c>
      <c r="F12" s="48">
        <f t="shared" si="0"/>
        <v>0.00215</v>
      </c>
      <c r="G12" s="48">
        <f t="shared" si="1"/>
        <v>0.00215</v>
      </c>
      <c r="H12" s="48">
        <f t="shared" si="0"/>
        <v>0.001075</v>
      </c>
      <c r="I12" s="39" t="s">
        <v>29</v>
      </c>
      <c r="J12" s="48">
        <v>0.0053</v>
      </c>
      <c r="K12" s="48">
        <f t="shared" si="2"/>
        <v>0.00265</v>
      </c>
      <c r="L12" s="48">
        <f t="shared" si="3"/>
        <v>0.00265</v>
      </c>
      <c r="M12" s="48">
        <f t="shared" si="2"/>
        <v>0.001325</v>
      </c>
      <c r="N12" s="39" t="s">
        <v>29</v>
      </c>
      <c r="O12" s="48">
        <v>0.004</v>
      </c>
      <c r="P12" s="48">
        <f t="shared" si="4"/>
        <v>0.002</v>
      </c>
      <c r="Q12" s="48">
        <f t="shared" si="5"/>
        <v>0.002</v>
      </c>
      <c r="R12" s="48">
        <f t="shared" si="4"/>
        <v>0.001</v>
      </c>
    </row>
    <row r="13" spans="1:18" ht="12.75">
      <c r="A13" s="37"/>
      <c r="B13" s="37" t="s">
        <v>31</v>
      </c>
      <c r="C13" s="39">
        <v>0.1</v>
      </c>
      <c r="D13" s="39" t="s">
        <v>29</v>
      </c>
      <c r="E13" s="48">
        <v>0.0042</v>
      </c>
      <c r="F13" s="48">
        <f t="shared" si="0"/>
        <v>0.00042</v>
      </c>
      <c r="G13" s="48">
        <f t="shared" si="1"/>
        <v>0.0021</v>
      </c>
      <c r="H13" s="48">
        <f t="shared" si="0"/>
        <v>0.00021</v>
      </c>
      <c r="I13" s="39" t="s">
        <v>29</v>
      </c>
      <c r="J13" s="48">
        <v>0.0039</v>
      </c>
      <c r="K13" s="48">
        <f t="shared" si="2"/>
        <v>0.00039</v>
      </c>
      <c r="L13" s="48">
        <f t="shared" si="3"/>
        <v>0.00195</v>
      </c>
      <c r="M13" s="48">
        <f t="shared" si="2"/>
        <v>0.000195</v>
      </c>
      <c r="N13" s="39" t="s">
        <v>29</v>
      </c>
      <c r="O13" s="48">
        <v>0.004</v>
      </c>
      <c r="P13" s="48">
        <f t="shared" si="4"/>
        <v>0.0004</v>
      </c>
      <c r="Q13" s="48">
        <f t="shared" si="5"/>
        <v>0.002</v>
      </c>
      <c r="R13" s="48">
        <f t="shared" si="4"/>
        <v>0.0002</v>
      </c>
    </row>
    <row r="14" spans="1:18" ht="12.75">
      <c r="A14" s="37"/>
      <c r="B14" s="37" t="s">
        <v>32</v>
      </c>
      <c r="C14" s="39">
        <v>0.1</v>
      </c>
      <c r="D14" s="39" t="s">
        <v>29</v>
      </c>
      <c r="E14" s="48">
        <v>0.0041</v>
      </c>
      <c r="F14" s="48">
        <f t="shared" si="0"/>
        <v>0.00041000000000000005</v>
      </c>
      <c r="G14" s="48">
        <f t="shared" si="1"/>
        <v>0.00205</v>
      </c>
      <c r="H14" s="48">
        <f t="shared" si="0"/>
        <v>0.00020500000000000002</v>
      </c>
      <c r="I14" s="39" t="s">
        <v>29</v>
      </c>
      <c r="J14" s="48">
        <v>0.0044</v>
      </c>
      <c r="K14" s="48">
        <f t="shared" si="2"/>
        <v>0.00044000000000000007</v>
      </c>
      <c r="L14" s="48">
        <f t="shared" si="3"/>
        <v>0.0022</v>
      </c>
      <c r="M14" s="48">
        <f t="shared" si="2"/>
        <v>0.00022000000000000003</v>
      </c>
      <c r="N14" s="39" t="s">
        <v>29</v>
      </c>
      <c r="O14" s="48">
        <v>0.0038</v>
      </c>
      <c r="P14" s="48">
        <f t="shared" si="4"/>
        <v>0.00038</v>
      </c>
      <c r="Q14" s="48">
        <f t="shared" si="5"/>
        <v>0.0019</v>
      </c>
      <c r="R14" s="48">
        <f t="shared" si="4"/>
        <v>0.00019</v>
      </c>
    </row>
    <row r="15" spans="1:18" ht="12.75">
      <c r="A15" s="37"/>
      <c r="B15" s="37" t="s">
        <v>33</v>
      </c>
      <c r="C15" s="39">
        <v>0.1</v>
      </c>
      <c r="D15" s="39" t="s">
        <v>29</v>
      </c>
      <c r="E15" s="48">
        <v>0.0085</v>
      </c>
      <c r="F15" s="48">
        <f t="shared" si="0"/>
        <v>0.0008500000000000001</v>
      </c>
      <c r="G15" s="48">
        <f t="shared" si="1"/>
        <v>0.00425</v>
      </c>
      <c r="H15" s="48">
        <f t="shared" si="0"/>
        <v>0.00042500000000000003</v>
      </c>
      <c r="I15" s="39" t="s">
        <v>29</v>
      </c>
      <c r="J15" s="48">
        <v>0.0063</v>
      </c>
      <c r="K15" s="48">
        <f t="shared" si="2"/>
        <v>0.00063</v>
      </c>
      <c r="L15" s="48">
        <f t="shared" si="3"/>
        <v>0.00315</v>
      </c>
      <c r="M15" s="48">
        <f t="shared" si="2"/>
        <v>0.000315</v>
      </c>
      <c r="N15" s="39" t="s">
        <v>29</v>
      </c>
      <c r="O15" s="48">
        <v>0.0045</v>
      </c>
      <c r="P15" s="48">
        <f t="shared" si="4"/>
        <v>0.00045</v>
      </c>
      <c r="Q15" s="48">
        <f t="shared" si="5"/>
        <v>0.00225</v>
      </c>
      <c r="R15" s="48">
        <f t="shared" si="4"/>
        <v>0.000225</v>
      </c>
    </row>
    <row r="16" spans="1:18" ht="12.75">
      <c r="A16" s="37"/>
      <c r="B16" s="37" t="s">
        <v>34</v>
      </c>
      <c r="C16" s="39">
        <v>0.01</v>
      </c>
      <c r="D16" s="39"/>
      <c r="E16" s="48">
        <v>0.027</v>
      </c>
      <c r="F16" s="48">
        <f t="shared" si="0"/>
        <v>0.00027</v>
      </c>
      <c r="G16" s="48">
        <f t="shared" si="1"/>
        <v>0.027</v>
      </c>
      <c r="H16" s="48">
        <f t="shared" si="0"/>
        <v>0.00027</v>
      </c>
      <c r="I16" s="39" t="s">
        <v>29</v>
      </c>
      <c r="J16" s="48">
        <v>0.022</v>
      </c>
      <c r="K16" s="48">
        <f t="shared" si="2"/>
        <v>0.00021999999999999998</v>
      </c>
      <c r="L16" s="48">
        <f t="shared" si="3"/>
        <v>0.011</v>
      </c>
      <c r="M16" s="48">
        <f t="shared" si="2"/>
        <v>0.00010999999999999999</v>
      </c>
      <c r="N16" s="39" t="s">
        <v>29</v>
      </c>
      <c r="O16" s="48">
        <v>0.02</v>
      </c>
      <c r="P16" s="48">
        <f t="shared" si="4"/>
        <v>0.0002</v>
      </c>
      <c r="Q16" s="48">
        <f t="shared" si="5"/>
        <v>0.01</v>
      </c>
      <c r="R16" s="48">
        <f t="shared" si="4"/>
        <v>0.0001</v>
      </c>
    </row>
    <row r="17" spans="1:18" ht="12.75">
      <c r="A17" s="37"/>
      <c r="B17" s="37" t="s">
        <v>35</v>
      </c>
      <c r="C17" s="39">
        <v>0.001</v>
      </c>
      <c r="D17" s="39"/>
      <c r="E17" s="48">
        <v>0.101</v>
      </c>
      <c r="F17" s="48">
        <f t="shared" si="0"/>
        <v>0.000101</v>
      </c>
      <c r="G17" s="48">
        <f t="shared" si="1"/>
        <v>0.101</v>
      </c>
      <c r="H17" s="48">
        <f t="shared" si="0"/>
        <v>0.000101</v>
      </c>
      <c r="I17" s="39"/>
      <c r="J17" s="48">
        <v>0.088</v>
      </c>
      <c r="K17" s="48">
        <f t="shared" si="2"/>
        <v>8.8E-05</v>
      </c>
      <c r="L17" s="48">
        <f t="shared" si="3"/>
        <v>0.088</v>
      </c>
      <c r="M17" s="48">
        <f t="shared" si="2"/>
        <v>8.8E-05</v>
      </c>
      <c r="N17" s="39"/>
      <c r="O17" s="48">
        <v>0.078</v>
      </c>
      <c r="P17" s="48">
        <f t="shared" si="4"/>
        <v>7.8E-05</v>
      </c>
      <c r="Q17" s="48">
        <f t="shared" si="5"/>
        <v>0.078</v>
      </c>
      <c r="R17" s="48">
        <f t="shared" si="4"/>
        <v>7.8E-05</v>
      </c>
    </row>
    <row r="18" spans="1:18" ht="12.75">
      <c r="A18" s="37"/>
      <c r="B18" s="37" t="s">
        <v>36</v>
      </c>
      <c r="C18" s="39">
        <v>0.1</v>
      </c>
      <c r="D18" s="39" t="s">
        <v>29</v>
      </c>
      <c r="E18" s="48">
        <v>0.018</v>
      </c>
      <c r="F18" s="48">
        <f t="shared" si="0"/>
        <v>0.0018</v>
      </c>
      <c r="G18" s="48">
        <f t="shared" si="1"/>
        <v>0.009</v>
      </c>
      <c r="H18" s="48">
        <f t="shared" si="0"/>
        <v>0.0009</v>
      </c>
      <c r="I18" s="39" t="s">
        <v>29</v>
      </c>
      <c r="J18" s="48">
        <v>0.009</v>
      </c>
      <c r="K18" s="48">
        <f t="shared" si="2"/>
        <v>0.0009</v>
      </c>
      <c r="L18" s="48">
        <f t="shared" si="3"/>
        <v>0.0045</v>
      </c>
      <c r="M18" s="48">
        <f t="shared" si="2"/>
        <v>0.00045</v>
      </c>
      <c r="N18" s="39" t="s">
        <v>29</v>
      </c>
      <c r="O18" s="48">
        <v>0.011</v>
      </c>
      <c r="P18" s="48">
        <f t="shared" si="4"/>
        <v>0.0011</v>
      </c>
      <c r="Q18" s="48">
        <f t="shared" si="5"/>
        <v>0.0055</v>
      </c>
      <c r="R18" s="48">
        <f t="shared" si="4"/>
        <v>0.00055</v>
      </c>
    </row>
    <row r="19" spans="1:18" ht="12.75">
      <c r="A19" s="37"/>
      <c r="B19" s="37" t="s">
        <v>37</v>
      </c>
      <c r="C19" s="39">
        <v>0.05</v>
      </c>
      <c r="D19" s="39" t="s">
        <v>29</v>
      </c>
      <c r="E19" s="48">
        <v>0.0045</v>
      </c>
      <c r="F19" s="48">
        <f t="shared" si="0"/>
        <v>0.000225</v>
      </c>
      <c r="G19" s="48">
        <f t="shared" si="1"/>
        <v>0.00225</v>
      </c>
      <c r="H19" s="48">
        <f t="shared" si="0"/>
        <v>0.0001125</v>
      </c>
      <c r="I19" s="39" t="s">
        <v>29</v>
      </c>
      <c r="J19" s="48">
        <v>0.0043</v>
      </c>
      <c r="K19" s="48">
        <f t="shared" si="2"/>
        <v>0.00021500000000000002</v>
      </c>
      <c r="L19" s="48">
        <f t="shared" si="3"/>
        <v>0.00215</v>
      </c>
      <c r="M19" s="48">
        <f t="shared" si="2"/>
        <v>0.00010750000000000001</v>
      </c>
      <c r="N19" s="39" t="s">
        <v>29</v>
      </c>
      <c r="O19" s="48">
        <v>0.0038</v>
      </c>
      <c r="P19" s="48">
        <f t="shared" si="4"/>
        <v>0.00019</v>
      </c>
      <c r="Q19" s="48">
        <f t="shared" si="5"/>
        <v>0.0019</v>
      </c>
      <c r="R19" s="48">
        <f t="shared" si="4"/>
        <v>9.5E-05</v>
      </c>
    </row>
    <row r="20" spans="1:18" ht="12.75">
      <c r="A20" s="37"/>
      <c r="B20" s="37" t="s">
        <v>38</v>
      </c>
      <c r="C20" s="39">
        <v>0.5</v>
      </c>
      <c r="D20" s="39" t="s">
        <v>29</v>
      </c>
      <c r="E20" s="48">
        <v>0.0047</v>
      </c>
      <c r="F20" s="48">
        <f t="shared" si="0"/>
        <v>0.00235</v>
      </c>
      <c r="G20" s="48">
        <f t="shared" si="1"/>
        <v>0.00235</v>
      </c>
      <c r="H20" s="48">
        <f t="shared" si="0"/>
        <v>0.001175</v>
      </c>
      <c r="I20" s="39" t="s">
        <v>29</v>
      </c>
      <c r="J20" s="48">
        <v>0.0049</v>
      </c>
      <c r="K20" s="48">
        <f t="shared" si="2"/>
        <v>0.00245</v>
      </c>
      <c r="L20" s="48">
        <f t="shared" si="3"/>
        <v>0.00245</v>
      </c>
      <c r="M20" s="48">
        <f t="shared" si="2"/>
        <v>0.001225</v>
      </c>
      <c r="N20" s="39" t="s">
        <v>29</v>
      </c>
      <c r="O20" s="48">
        <v>0.0051</v>
      </c>
      <c r="P20" s="48">
        <f t="shared" si="4"/>
        <v>0.00255</v>
      </c>
      <c r="Q20" s="48">
        <f t="shared" si="5"/>
        <v>0.00255</v>
      </c>
      <c r="R20" s="48">
        <f t="shared" si="4"/>
        <v>0.001275</v>
      </c>
    </row>
    <row r="21" spans="1:18" ht="12.75">
      <c r="A21" s="37"/>
      <c r="B21" s="37" t="s">
        <v>39</v>
      </c>
      <c r="C21" s="39">
        <v>0.1</v>
      </c>
      <c r="D21" s="39" t="s">
        <v>29</v>
      </c>
      <c r="E21" s="48">
        <v>0.004</v>
      </c>
      <c r="F21" s="48">
        <f t="shared" si="0"/>
        <v>0.0004</v>
      </c>
      <c r="G21" s="48">
        <f t="shared" si="1"/>
        <v>0.002</v>
      </c>
      <c r="H21" s="48">
        <f t="shared" si="0"/>
        <v>0.0002</v>
      </c>
      <c r="I21" s="39" t="s">
        <v>29</v>
      </c>
      <c r="J21" s="48">
        <v>0.0047</v>
      </c>
      <c r="K21" s="48">
        <f t="shared" si="2"/>
        <v>0.00047000000000000004</v>
      </c>
      <c r="L21" s="48">
        <f t="shared" si="3"/>
        <v>0.00235</v>
      </c>
      <c r="M21" s="48">
        <f t="shared" si="2"/>
        <v>0.00023500000000000002</v>
      </c>
      <c r="N21" s="39" t="s">
        <v>29</v>
      </c>
      <c r="O21" s="48">
        <v>0.0044</v>
      </c>
      <c r="P21" s="48">
        <f t="shared" si="4"/>
        <v>0.00044000000000000007</v>
      </c>
      <c r="Q21" s="48">
        <f t="shared" si="5"/>
        <v>0.0022</v>
      </c>
      <c r="R21" s="48">
        <f t="shared" si="4"/>
        <v>0.00022000000000000003</v>
      </c>
    </row>
    <row r="22" spans="1:18" ht="12.75">
      <c r="A22" s="37"/>
      <c r="B22" s="37" t="s">
        <v>40</v>
      </c>
      <c r="C22" s="39">
        <v>0.1</v>
      </c>
      <c r="D22" s="39" t="s">
        <v>29</v>
      </c>
      <c r="E22" s="48">
        <v>0.0035</v>
      </c>
      <c r="F22" s="48">
        <f t="shared" si="0"/>
        <v>0.00035000000000000005</v>
      </c>
      <c r="G22" s="48">
        <f t="shared" si="1"/>
        <v>0.00175</v>
      </c>
      <c r="H22" s="48">
        <f t="shared" si="0"/>
        <v>0.00017500000000000003</v>
      </c>
      <c r="I22" s="39" t="s">
        <v>29</v>
      </c>
      <c r="J22" s="48">
        <v>0.0033</v>
      </c>
      <c r="K22" s="48">
        <f t="shared" si="2"/>
        <v>0.00033</v>
      </c>
      <c r="L22" s="48">
        <f t="shared" si="3"/>
        <v>0.00165</v>
      </c>
      <c r="M22" s="48">
        <f t="shared" si="2"/>
        <v>0.000165</v>
      </c>
      <c r="N22" s="39" t="s">
        <v>29</v>
      </c>
      <c r="O22" s="48">
        <v>0.0034</v>
      </c>
      <c r="P22" s="48">
        <f t="shared" si="4"/>
        <v>0.00034</v>
      </c>
      <c r="Q22" s="48">
        <f t="shared" si="5"/>
        <v>0.0017</v>
      </c>
      <c r="R22" s="48">
        <f t="shared" si="4"/>
        <v>0.00017</v>
      </c>
    </row>
    <row r="23" spans="1:18" ht="12.75">
      <c r="A23" s="37"/>
      <c r="B23" s="37" t="s">
        <v>41</v>
      </c>
      <c r="C23" s="39">
        <v>0.1</v>
      </c>
      <c r="D23" s="39" t="s">
        <v>29</v>
      </c>
      <c r="E23" s="48">
        <v>0.0043</v>
      </c>
      <c r="F23" s="48">
        <f t="shared" si="0"/>
        <v>0.00043000000000000004</v>
      </c>
      <c r="G23" s="48">
        <f t="shared" si="1"/>
        <v>0.00215</v>
      </c>
      <c r="H23" s="48">
        <f t="shared" si="0"/>
        <v>0.00021500000000000002</v>
      </c>
      <c r="I23" s="39" t="s">
        <v>29</v>
      </c>
      <c r="J23" s="48">
        <v>0.0041</v>
      </c>
      <c r="K23" s="48">
        <f t="shared" si="2"/>
        <v>0.00041000000000000005</v>
      </c>
      <c r="L23" s="48">
        <f t="shared" si="3"/>
        <v>0.00205</v>
      </c>
      <c r="M23" s="48">
        <f t="shared" si="2"/>
        <v>0.00020500000000000002</v>
      </c>
      <c r="N23" s="39" t="s">
        <v>29</v>
      </c>
      <c r="O23" s="48">
        <v>0.0042</v>
      </c>
      <c r="P23" s="48">
        <f t="shared" si="4"/>
        <v>0.00042</v>
      </c>
      <c r="Q23" s="48">
        <f t="shared" si="5"/>
        <v>0.0021</v>
      </c>
      <c r="R23" s="48">
        <f t="shared" si="4"/>
        <v>0.00021</v>
      </c>
    </row>
    <row r="24" spans="1:18" ht="12.75">
      <c r="A24" s="37"/>
      <c r="B24" s="37" t="s">
        <v>42</v>
      </c>
      <c r="C24" s="39">
        <v>0.1</v>
      </c>
      <c r="D24" s="39" t="s">
        <v>29</v>
      </c>
      <c r="E24" s="48">
        <v>0.0042</v>
      </c>
      <c r="F24" s="48">
        <f t="shared" si="0"/>
        <v>0.00042</v>
      </c>
      <c r="G24" s="48">
        <f t="shared" si="1"/>
        <v>0.0021</v>
      </c>
      <c r="H24" s="48">
        <f t="shared" si="0"/>
        <v>0.00021</v>
      </c>
      <c r="I24" s="39" t="s">
        <v>29</v>
      </c>
      <c r="J24" s="48">
        <v>0.0041</v>
      </c>
      <c r="K24" s="48">
        <f t="shared" si="2"/>
        <v>0.00041000000000000005</v>
      </c>
      <c r="L24" s="48">
        <f t="shared" si="3"/>
        <v>0.00205</v>
      </c>
      <c r="M24" s="48">
        <f t="shared" si="2"/>
        <v>0.00020500000000000002</v>
      </c>
      <c r="N24" s="39" t="s">
        <v>29</v>
      </c>
      <c r="O24" s="48">
        <v>0.0042</v>
      </c>
      <c r="P24" s="48">
        <f t="shared" si="4"/>
        <v>0.00042</v>
      </c>
      <c r="Q24" s="48">
        <f t="shared" si="5"/>
        <v>0.0021</v>
      </c>
      <c r="R24" s="48">
        <f t="shared" si="4"/>
        <v>0.00021</v>
      </c>
    </row>
    <row r="25" spans="1:18" ht="12.75">
      <c r="A25" s="37"/>
      <c r="B25" s="37" t="s">
        <v>43</v>
      </c>
      <c r="C25" s="39">
        <v>0.01</v>
      </c>
      <c r="D25" s="39" t="s">
        <v>29</v>
      </c>
      <c r="E25" s="48">
        <v>0.0037</v>
      </c>
      <c r="F25" s="48">
        <f t="shared" si="0"/>
        <v>3.7000000000000005E-05</v>
      </c>
      <c r="G25" s="48">
        <f t="shared" si="1"/>
        <v>0.00185</v>
      </c>
      <c r="H25" s="48">
        <f t="shared" si="0"/>
        <v>1.8500000000000002E-05</v>
      </c>
      <c r="I25" s="39" t="s">
        <v>29</v>
      </c>
      <c r="J25" s="48">
        <v>0.0054</v>
      </c>
      <c r="K25" s="48">
        <f t="shared" si="2"/>
        <v>5.4000000000000005E-05</v>
      </c>
      <c r="L25" s="48">
        <f t="shared" si="3"/>
        <v>0.0027</v>
      </c>
      <c r="M25" s="48">
        <f t="shared" si="2"/>
        <v>2.7000000000000002E-05</v>
      </c>
      <c r="N25" s="39" t="s">
        <v>29</v>
      </c>
      <c r="O25" s="48">
        <v>0.0039</v>
      </c>
      <c r="P25" s="48">
        <f t="shared" si="4"/>
        <v>3.9E-05</v>
      </c>
      <c r="Q25" s="48">
        <f t="shared" si="5"/>
        <v>0.00195</v>
      </c>
      <c r="R25" s="48">
        <f t="shared" si="4"/>
        <v>1.95E-05</v>
      </c>
    </row>
    <row r="26" spans="1:18" ht="12.75">
      <c r="A26" s="37"/>
      <c r="B26" s="37" t="s">
        <v>44</v>
      </c>
      <c r="C26" s="39">
        <v>0.01</v>
      </c>
      <c r="D26" s="39" t="s">
        <v>29</v>
      </c>
      <c r="E26" s="48">
        <v>0.0039</v>
      </c>
      <c r="F26" s="48">
        <f t="shared" si="0"/>
        <v>3.9E-05</v>
      </c>
      <c r="G26" s="48">
        <f t="shared" si="1"/>
        <v>0.00195</v>
      </c>
      <c r="H26" s="48">
        <f t="shared" si="0"/>
        <v>1.95E-05</v>
      </c>
      <c r="I26" s="39" t="s">
        <v>29</v>
      </c>
      <c r="J26" s="48">
        <v>0.0057</v>
      </c>
      <c r="K26" s="48">
        <f t="shared" si="2"/>
        <v>5.7E-05</v>
      </c>
      <c r="L26" s="48">
        <f t="shared" si="3"/>
        <v>0.00285</v>
      </c>
      <c r="M26" s="48">
        <f t="shared" si="2"/>
        <v>2.85E-05</v>
      </c>
      <c r="N26" s="39" t="s">
        <v>29</v>
      </c>
      <c r="O26" s="48">
        <v>0.004</v>
      </c>
      <c r="P26" s="48">
        <f t="shared" si="4"/>
        <v>4E-05</v>
      </c>
      <c r="Q26" s="48">
        <f t="shared" si="5"/>
        <v>0.002</v>
      </c>
      <c r="R26" s="48">
        <f t="shared" si="4"/>
        <v>2E-05</v>
      </c>
    </row>
    <row r="27" spans="1:18" ht="12.75">
      <c r="A27" s="37"/>
      <c r="B27" s="37" t="s">
        <v>45</v>
      </c>
      <c r="C27" s="39">
        <v>0.001</v>
      </c>
      <c r="D27" s="39"/>
      <c r="E27" s="48">
        <v>0.115</v>
      </c>
      <c r="F27" s="48">
        <f t="shared" si="0"/>
        <v>0.000115</v>
      </c>
      <c r="G27" s="48">
        <f t="shared" si="1"/>
        <v>0.115</v>
      </c>
      <c r="H27" s="48">
        <f t="shared" si="0"/>
        <v>0.000115</v>
      </c>
      <c r="I27" s="39"/>
      <c r="J27" s="48">
        <v>0.015</v>
      </c>
      <c r="K27" s="48">
        <f t="shared" si="2"/>
        <v>1.5E-05</v>
      </c>
      <c r="L27" s="48">
        <f t="shared" si="3"/>
        <v>0.015</v>
      </c>
      <c r="M27" s="48">
        <f t="shared" si="2"/>
        <v>1.5E-05</v>
      </c>
      <c r="N27" s="39"/>
      <c r="O27" s="48">
        <v>0.011</v>
      </c>
      <c r="P27" s="48">
        <f t="shared" si="4"/>
        <v>1.1E-05</v>
      </c>
      <c r="Q27" s="48">
        <f t="shared" si="5"/>
        <v>0.011</v>
      </c>
      <c r="R27" s="48">
        <f t="shared" si="4"/>
        <v>1.1E-05</v>
      </c>
    </row>
    <row r="28" spans="1:18" ht="12.75">
      <c r="A28" s="37"/>
      <c r="B28" s="37"/>
      <c r="C28" s="37"/>
      <c r="D28" s="37"/>
      <c r="E28" s="44"/>
      <c r="F28" s="48"/>
      <c r="G28" s="48"/>
      <c r="H28" s="48"/>
      <c r="I28" s="37"/>
      <c r="J28" s="44"/>
      <c r="K28" s="48"/>
      <c r="L28" s="48"/>
      <c r="M28" s="48"/>
      <c r="N28" s="37"/>
      <c r="O28" s="44"/>
      <c r="P28" s="48"/>
      <c r="Q28" s="48"/>
      <c r="R28" s="48"/>
    </row>
    <row r="29" spans="1:18" ht="12.75">
      <c r="A29" s="37"/>
      <c r="B29" s="37" t="s">
        <v>46</v>
      </c>
      <c r="C29" s="37"/>
      <c r="D29" s="37"/>
      <c r="E29" s="44"/>
      <c r="F29" s="44">
        <v>169.427</v>
      </c>
      <c r="G29" s="44"/>
      <c r="H29" s="44">
        <v>169.427</v>
      </c>
      <c r="I29" s="37"/>
      <c r="J29" s="44"/>
      <c r="K29" s="44">
        <v>168.299</v>
      </c>
      <c r="L29" s="44"/>
      <c r="M29" s="44">
        <v>168.299</v>
      </c>
      <c r="N29" s="37"/>
      <c r="O29" s="44"/>
      <c r="P29" s="44">
        <v>174.854</v>
      </c>
      <c r="Q29" s="44"/>
      <c r="R29" s="44">
        <v>174.854</v>
      </c>
    </row>
    <row r="30" spans="1:18" ht="12.75">
      <c r="A30" s="37"/>
      <c r="B30" s="37" t="s">
        <v>74</v>
      </c>
      <c r="C30" s="37"/>
      <c r="D30" s="37"/>
      <c r="E30" s="47"/>
      <c r="F30" s="44">
        <v>6.15</v>
      </c>
      <c r="G30" s="44"/>
      <c r="H30" s="44">
        <v>6.15</v>
      </c>
      <c r="I30" s="37"/>
      <c r="J30" s="47"/>
      <c r="K30" s="44">
        <v>6.38</v>
      </c>
      <c r="L30" s="44"/>
      <c r="M30" s="44">
        <v>6.38</v>
      </c>
      <c r="N30" s="37"/>
      <c r="O30" s="47"/>
      <c r="P30" s="44">
        <v>6.64</v>
      </c>
      <c r="Q30" s="44"/>
      <c r="R30" s="44">
        <v>6.64</v>
      </c>
    </row>
    <row r="31" spans="1:18" ht="12.75">
      <c r="A31" s="37"/>
      <c r="B31" s="37"/>
      <c r="C31" s="37"/>
      <c r="D31" s="37"/>
      <c r="E31" s="44"/>
      <c r="F31" s="37"/>
      <c r="G31" s="37"/>
      <c r="H31" s="37"/>
      <c r="I31" s="37"/>
      <c r="J31" s="44"/>
      <c r="K31" s="37"/>
      <c r="L31" s="37"/>
      <c r="M31" s="37"/>
      <c r="N31" s="37"/>
      <c r="O31" s="44"/>
      <c r="P31" s="37"/>
      <c r="Q31" s="37"/>
      <c r="R31" s="37"/>
    </row>
    <row r="32" spans="1:18" ht="12.75">
      <c r="A32" s="37"/>
      <c r="B32" s="37" t="s">
        <v>180</v>
      </c>
      <c r="C32" s="48"/>
      <c r="D32" s="48"/>
      <c r="E32" s="41"/>
      <c r="F32" s="48">
        <f>SUM(F11:F27)</f>
        <v>0.019067</v>
      </c>
      <c r="G32" s="62"/>
      <c r="H32" s="48">
        <f>SUM(H11:H27)</f>
        <v>0.0097765</v>
      </c>
      <c r="I32" s="48"/>
      <c r="J32" s="48"/>
      <c r="K32" s="48">
        <f>SUM(K11:K27)</f>
        <v>0.015029</v>
      </c>
      <c r="L32" s="62"/>
      <c r="M32" s="48">
        <f>SUM(M11:M27)</f>
        <v>0.0075660000000000015</v>
      </c>
      <c r="N32" s="48"/>
      <c r="O32" s="48"/>
      <c r="P32" s="48">
        <f>SUM(P11:P27)</f>
        <v>0.013058</v>
      </c>
      <c r="Q32" s="62"/>
      <c r="R32" s="48">
        <f>SUM(R11:R27)</f>
        <v>0.0065734999999999995</v>
      </c>
    </row>
    <row r="33" spans="1:18" ht="12.75">
      <c r="A33" s="37"/>
      <c r="B33" s="37" t="s">
        <v>47</v>
      </c>
      <c r="C33" s="48"/>
      <c r="D33" s="41">
        <f>(F33-H33)*2/F33*100</f>
        <v>97.4510935123512</v>
      </c>
      <c r="E33" s="44"/>
      <c r="F33" s="48">
        <f>(F32/F29/0.0283*(21-7)/(21-F30))</f>
        <v>0.0037489952666738217</v>
      </c>
      <c r="G33" s="47"/>
      <c r="H33" s="48">
        <f>(H32/H29/0.0283*(21-7)/(21-H30))</f>
        <v>0.0019222768251238585</v>
      </c>
      <c r="I33" s="41">
        <f>(K33-M33)*2/K33*100</f>
        <v>99.31465832723399</v>
      </c>
      <c r="J33" s="44"/>
      <c r="K33" s="48">
        <f>(K32/K29/0.0283*(21-7)/(21-K30))</f>
        <v>0.003021640386232056</v>
      </c>
      <c r="L33" s="47"/>
      <c r="M33" s="48">
        <f>(M32/M29/0.0283*(21-7)/(21-M30))</f>
        <v>0.001521174473500016</v>
      </c>
      <c r="N33" s="41">
        <f>(P33-R33)*2/P33*100</f>
        <v>99.31842548629194</v>
      </c>
      <c r="O33" s="44"/>
      <c r="P33" s="48">
        <f>(P32/P29/0.0283*(21-7)/(21-P30))</f>
        <v>0.002572694705402819</v>
      </c>
      <c r="Q33" s="47"/>
      <c r="R33" s="48">
        <f>(R32/R29/0.0283*(21-7)/(21-R30))</f>
        <v>0.0012951147684151806</v>
      </c>
    </row>
    <row r="34" spans="1:18" ht="12.75">
      <c r="A34" s="37"/>
      <c r="B34" s="37"/>
      <c r="C34" s="37"/>
      <c r="D34" s="37"/>
      <c r="E34" s="43"/>
      <c r="F34" s="48"/>
      <c r="G34" s="43"/>
      <c r="H34" s="48"/>
      <c r="I34" s="43"/>
      <c r="J34" s="43"/>
      <c r="K34" s="43"/>
      <c r="L34" s="43"/>
      <c r="M34" s="43"/>
      <c r="N34" s="43"/>
      <c r="O34" s="43"/>
      <c r="P34" s="47"/>
      <c r="Q34" s="43"/>
      <c r="R34" s="47"/>
    </row>
    <row r="35" spans="1:18" ht="12.75">
      <c r="A35" s="44"/>
      <c r="B35" s="37" t="s">
        <v>75</v>
      </c>
      <c r="C35" s="30">
        <f>AVERAGE(H33,M33,R33)</f>
        <v>0.0015795220223463519</v>
      </c>
      <c r="D35" s="44"/>
      <c r="E35" s="44"/>
      <c r="F35" s="48"/>
      <c r="G35" s="44"/>
      <c r="H35" s="48"/>
      <c r="I35" s="44"/>
      <c r="J35" s="44"/>
      <c r="K35" s="44"/>
      <c r="L35" s="44"/>
      <c r="M35" s="44"/>
      <c r="N35" s="44"/>
      <c r="O35" s="44"/>
      <c r="P35" s="47"/>
      <c r="Q35" s="44"/>
      <c r="R35" s="47"/>
    </row>
    <row r="36" spans="1:18" ht="12.75">
      <c r="A36" s="37"/>
      <c r="B36" s="37"/>
      <c r="C36" s="44"/>
      <c r="D36" s="37"/>
      <c r="E36" s="47"/>
      <c r="F36" s="48"/>
      <c r="G36" s="47"/>
      <c r="H36" s="48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77" spans="1:18" ht="12.75">
      <c r="A77" s="2"/>
      <c r="B77" s="2"/>
      <c r="C77" s="2"/>
      <c r="D77" s="2"/>
      <c r="E77" s="7"/>
      <c r="G77" s="7"/>
      <c r="J77" s="7"/>
      <c r="K77" s="84"/>
      <c r="L77" s="4"/>
      <c r="M77" s="84"/>
      <c r="N77" s="7"/>
      <c r="O77" s="7"/>
      <c r="P77" s="7"/>
      <c r="Q77" s="7"/>
      <c r="R77" s="7"/>
    </row>
    <row r="78" spans="1:18" ht="12.75">
      <c r="A78" s="2"/>
      <c r="B78" s="2"/>
      <c r="C78" s="3"/>
      <c r="D78" s="3"/>
      <c r="E78" s="4"/>
      <c r="F78" s="7"/>
      <c r="G78" s="4"/>
      <c r="H78" s="7"/>
      <c r="I78" s="3"/>
      <c r="J78" s="4"/>
      <c r="K78" s="4"/>
      <c r="L78" s="4"/>
      <c r="M78" s="4"/>
      <c r="N78" s="3"/>
      <c r="O78" s="7"/>
      <c r="P78" s="3"/>
      <c r="Q78" s="3"/>
      <c r="R78" s="3"/>
    </row>
    <row r="79" spans="1:18" ht="12.75">
      <c r="A79" s="2"/>
      <c r="B79" s="2"/>
      <c r="C79" s="3"/>
      <c r="D79" s="3"/>
      <c r="E79" s="7"/>
      <c r="F79" s="3"/>
      <c r="G79" s="5"/>
      <c r="H79" s="3"/>
      <c r="I79" s="3"/>
      <c r="J79" s="7"/>
      <c r="K79" s="3"/>
      <c r="L79" s="4"/>
      <c r="M79" s="3"/>
      <c r="N79" s="3"/>
      <c r="O79" s="7"/>
      <c r="P79" s="5"/>
      <c r="Q79" s="5"/>
      <c r="R79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478"/>
  <sheetViews>
    <sheetView workbookViewId="0" topLeftCell="B1">
      <selection activeCell="C14" sqref="C14"/>
    </sheetView>
  </sheetViews>
  <sheetFormatPr defaultColWidth="9.140625" defaultRowHeight="12.75"/>
  <cols>
    <col min="1" max="1" width="2.140625" style="1" hidden="1" customWidth="1"/>
    <col min="2" max="2" width="25.421875" style="1" customWidth="1"/>
    <col min="3" max="3" width="61.140625" style="1" customWidth="1"/>
    <col min="4" max="16384" width="8.8515625" style="1" customWidth="1"/>
  </cols>
  <sheetData>
    <row r="1" spans="2:12" ht="12.75">
      <c r="B1" s="8" t="s">
        <v>94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2:12" ht="12.7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2.75">
      <c r="B3" s="20" t="s">
        <v>284</v>
      </c>
      <c r="C3" s="21">
        <v>3016</v>
      </c>
      <c r="D3" s="20"/>
      <c r="E3" s="20"/>
      <c r="F3" s="20"/>
      <c r="G3" s="20"/>
      <c r="H3" s="20"/>
      <c r="I3" s="20"/>
      <c r="J3" s="20"/>
      <c r="K3" s="20"/>
      <c r="L3" s="20"/>
    </row>
    <row r="4" spans="2:12" ht="12.75">
      <c r="B4" s="20" t="s">
        <v>0</v>
      </c>
      <c r="C4" s="20" t="s">
        <v>275</v>
      </c>
      <c r="D4" s="20"/>
      <c r="E4" s="20"/>
      <c r="F4" s="20"/>
      <c r="G4" s="20"/>
      <c r="H4" s="20"/>
      <c r="I4" s="20"/>
      <c r="J4" s="20"/>
      <c r="K4" s="20"/>
      <c r="L4" s="20"/>
    </row>
    <row r="5" spans="2:12" ht="12.75">
      <c r="B5" s="20" t="s">
        <v>1</v>
      </c>
      <c r="C5" s="20" t="s">
        <v>138</v>
      </c>
      <c r="D5" s="20"/>
      <c r="E5" s="20"/>
      <c r="F5" s="20"/>
      <c r="G5" s="20"/>
      <c r="H5" s="20"/>
      <c r="I5" s="20"/>
      <c r="J5" s="20"/>
      <c r="K5" s="20"/>
      <c r="L5" s="20"/>
    </row>
    <row r="6" spans="2:12" ht="12.75">
      <c r="B6" s="20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2:12" ht="12.75">
      <c r="B7" s="20" t="s">
        <v>3</v>
      </c>
      <c r="C7" s="20" t="s">
        <v>139</v>
      </c>
      <c r="D7" s="20"/>
      <c r="E7" s="20"/>
      <c r="F7" s="20"/>
      <c r="G7" s="20"/>
      <c r="H7" s="20"/>
      <c r="I7" s="20"/>
      <c r="J7" s="20"/>
      <c r="K7" s="20"/>
      <c r="L7" s="20"/>
    </row>
    <row r="8" spans="2:12" ht="12.75">
      <c r="B8" s="20" t="s">
        <v>4</v>
      </c>
      <c r="C8" s="20" t="s">
        <v>267</v>
      </c>
      <c r="D8" s="20"/>
      <c r="E8" s="20"/>
      <c r="F8" s="20"/>
      <c r="G8" s="20"/>
      <c r="H8" s="20"/>
      <c r="I8" s="20"/>
      <c r="J8" s="20"/>
      <c r="K8" s="20"/>
      <c r="L8" s="20"/>
    </row>
    <row r="9" spans="2:12" ht="12.75">
      <c r="B9" s="20" t="s">
        <v>5</v>
      </c>
      <c r="C9" s="20" t="s">
        <v>276</v>
      </c>
      <c r="D9" s="20"/>
      <c r="E9" s="20"/>
      <c r="F9" s="20"/>
      <c r="G9" s="20"/>
      <c r="H9" s="20"/>
      <c r="I9" s="20"/>
      <c r="J9" s="20"/>
      <c r="K9" s="20"/>
      <c r="L9" s="20"/>
    </row>
    <row r="10" spans="2:12" ht="12.75">
      <c r="B10" s="20" t="s">
        <v>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2:12" ht="12.75">
      <c r="B11" s="20" t="s">
        <v>307</v>
      </c>
      <c r="C11" s="21">
        <v>0</v>
      </c>
      <c r="D11" s="20"/>
      <c r="E11" s="20"/>
      <c r="F11" s="20"/>
      <c r="G11" s="20"/>
      <c r="H11" s="20"/>
      <c r="I11" s="20"/>
      <c r="J11" s="20"/>
      <c r="K11" s="20"/>
      <c r="L11" s="20"/>
    </row>
    <row r="12" spans="2:12" ht="12.75">
      <c r="B12" s="20" t="s">
        <v>282</v>
      </c>
      <c r="C12" s="1" t="s">
        <v>322</v>
      </c>
      <c r="D12" s="20"/>
      <c r="E12" s="20"/>
      <c r="F12" s="20"/>
      <c r="G12" s="20"/>
      <c r="H12" s="20"/>
      <c r="I12" s="20"/>
      <c r="J12" s="20"/>
      <c r="K12" s="20"/>
      <c r="L12" s="20"/>
    </row>
    <row r="13" spans="2:12" ht="12.75">
      <c r="B13" s="20" t="s">
        <v>283</v>
      </c>
      <c r="C13" s="20" t="s">
        <v>323</v>
      </c>
      <c r="D13" s="20"/>
      <c r="E13" s="20"/>
      <c r="F13" s="20"/>
      <c r="G13" s="20"/>
      <c r="H13" s="20"/>
      <c r="I13" s="20"/>
      <c r="J13" s="20"/>
      <c r="K13" s="20"/>
      <c r="L13" s="20"/>
    </row>
    <row r="14" spans="2:12" s="57" customFormat="1" ht="89.25">
      <c r="B14" s="56" t="s">
        <v>82</v>
      </c>
      <c r="C14" s="56" t="s">
        <v>278</v>
      </c>
      <c r="D14" s="56"/>
      <c r="E14" s="56"/>
      <c r="F14" s="56"/>
      <c r="G14" s="56"/>
      <c r="H14" s="56"/>
      <c r="I14" s="56"/>
      <c r="J14" s="56"/>
      <c r="K14" s="56"/>
      <c r="L14" s="56"/>
    </row>
    <row r="15" spans="2:12" s="57" customFormat="1" ht="12.75">
      <c r="B15" s="56" t="s">
        <v>90</v>
      </c>
      <c r="C15" s="58"/>
      <c r="D15" s="56"/>
      <c r="E15" s="56"/>
      <c r="F15" s="56"/>
      <c r="G15" s="56"/>
      <c r="H15" s="56"/>
      <c r="I15" s="56"/>
      <c r="J15" s="56"/>
      <c r="K15" s="56"/>
      <c r="L15" s="56"/>
    </row>
    <row r="16" spans="2:12" s="57" customFormat="1" ht="12.75">
      <c r="B16" s="20" t="s">
        <v>95</v>
      </c>
      <c r="C16" s="20"/>
      <c r="F16" s="56"/>
      <c r="G16" s="56"/>
      <c r="H16" s="56"/>
      <c r="I16" s="56"/>
      <c r="J16" s="56"/>
      <c r="K16" s="56"/>
      <c r="L16" s="56"/>
    </row>
    <row r="17" spans="2:12" s="57" customFormat="1" ht="12.75">
      <c r="B17" s="20" t="s">
        <v>308</v>
      </c>
      <c r="C17" s="56" t="s">
        <v>232</v>
      </c>
      <c r="D17" s="56"/>
      <c r="E17" s="56"/>
      <c r="F17" s="56"/>
      <c r="G17" s="56"/>
      <c r="H17" s="56"/>
      <c r="I17" s="56"/>
      <c r="J17" s="56"/>
      <c r="K17" s="56"/>
      <c r="L17" s="56"/>
    </row>
    <row r="18" spans="2:12" s="57" customFormat="1" ht="12.75">
      <c r="B18" s="20" t="s">
        <v>309</v>
      </c>
      <c r="C18" s="56" t="s">
        <v>310</v>
      </c>
      <c r="D18" s="56"/>
      <c r="E18" s="56"/>
      <c r="F18" s="56"/>
      <c r="G18" s="56"/>
      <c r="H18" s="56"/>
      <c r="I18" s="56"/>
      <c r="J18" s="56"/>
      <c r="K18" s="56"/>
      <c r="L18" s="56"/>
    </row>
    <row r="19" spans="2:12" ht="25.5">
      <c r="B19" s="56" t="s">
        <v>7</v>
      </c>
      <c r="C19" s="56" t="s">
        <v>233</v>
      </c>
      <c r="D19" s="20"/>
      <c r="E19" s="20"/>
      <c r="F19" s="20"/>
      <c r="G19" s="20"/>
      <c r="H19" s="20"/>
      <c r="I19" s="20"/>
      <c r="J19" s="20"/>
      <c r="K19" s="20"/>
      <c r="L19" s="20"/>
    </row>
    <row r="20" spans="2:12" ht="12.75">
      <c r="B20" s="20" t="s">
        <v>87</v>
      </c>
      <c r="C20" s="56" t="s">
        <v>165</v>
      </c>
      <c r="D20" s="20"/>
      <c r="E20" s="20"/>
      <c r="F20" s="20"/>
      <c r="G20" s="20"/>
      <c r="H20" s="20"/>
      <c r="I20" s="20"/>
      <c r="J20" s="20"/>
      <c r="K20" s="20"/>
      <c r="L20" s="20"/>
    </row>
    <row r="21" spans="2:12" ht="38.25">
      <c r="B21" s="69" t="s">
        <v>96</v>
      </c>
      <c r="C21" s="56" t="s">
        <v>234</v>
      </c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2.75">
      <c r="B22" s="20" t="s">
        <v>88</v>
      </c>
      <c r="C22" s="20" t="s">
        <v>324</v>
      </c>
      <c r="D22" s="20"/>
      <c r="E22" s="20"/>
      <c r="F22" s="20"/>
      <c r="G22" s="20"/>
      <c r="H22" s="20"/>
      <c r="I22" s="20"/>
      <c r="J22" s="20"/>
      <c r="K22" s="20"/>
      <c r="L22" s="20"/>
    </row>
    <row r="23" spans="2:12" ht="12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2:12" ht="12.75">
      <c r="B24" s="20" t="s">
        <v>8</v>
      </c>
      <c r="C24" s="21"/>
      <c r="D24" s="20"/>
      <c r="E24" s="20"/>
      <c r="F24" s="20"/>
      <c r="G24" s="20"/>
      <c r="H24" s="20"/>
      <c r="I24" s="20"/>
      <c r="J24" s="20"/>
      <c r="K24" s="20"/>
      <c r="L24" s="20"/>
    </row>
    <row r="25" spans="2:12" ht="12.75">
      <c r="B25" s="20" t="s">
        <v>9</v>
      </c>
      <c r="C25" s="21">
        <f>41.25/12</f>
        <v>3.4375</v>
      </c>
      <c r="D25" s="20"/>
      <c r="E25" s="20"/>
      <c r="F25" s="20"/>
      <c r="G25" s="20"/>
      <c r="H25" s="20"/>
      <c r="I25" s="20"/>
      <c r="J25" s="20"/>
      <c r="K25" s="20"/>
      <c r="L25" s="20"/>
    </row>
    <row r="26" spans="2:12" ht="12.75">
      <c r="B26" s="20" t="s">
        <v>10</v>
      </c>
      <c r="C26" s="21"/>
      <c r="D26" s="20"/>
      <c r="E26" s="20"/>
      <c r="F26" s="20"/>
      <c r="G26" s="20"/>
      <c r="H26" s="20"/>
      <c r="I26" s="20"/>
      <c r="J26" s="20"/>
      <c r="K26" s="20"/>
      <c r="L26" s="20"/>
    </row>
    <row r="27" spans="2:12" ht="12.75">
      <c r="B27" s="20" t="s">
        <v>91</v>
      </c>
      <c r="C27" s="22">
        <f>1742/60</f>
        <v>29.033333333333335</v>
      </c>
      <c r="D27" s="20"/>
      <c r="E27" s="20"/>
      <c r="F27" s="20"/>
      <c r="G27" s="20"/>
      <c r="H27" s="20"/>
      <c r="I27" s="20"/>
      <c r="J27" s="20"/>
      <c r="K27" s="20"/>
      <c r="L27" s="20"/>
    </row>
    <row r="28" spans="2:12" ht="14.25" customHeight="1">
      <c r="B28" s="20" t="s">
        <v>92</v>
      </c>
      <c r="C28" s="21">
        <v>120</v>
      </c>
      <c r="D28" s="20"/>
      <c r="E28" s="20"/>
      <c r="F28" s="20"/>
      <c r="G28" s="20"/>
      <c r="H28" s="20"/>
      <c r="I28" s="20"/>
      <c r="J28" s="20"/>
      <c r="K28" s="20"/>
      <c r="L28" s="20"/>
    </row>
    <row r="29" spans="2:12" ht="12" customHeight="1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2:12" ht="12.75">
      <c r="B30" s="20" t="s">
        <v>11</v>
      </c>
      <c r="C30" s="20" t="s">
        <v>281</v>
      </c>
      <c r="D30" s="20"/>
      <c r="E30" s="20"/>
      <c r="F30" s="20"/>
      <c r="G30" s="20"/>
      <c r="H30" s="20"/>
      <c r="I30" s="20"/>
      <c r="J30" s="20"/>
      <c r="K30" s="20"/>
      <c r="L30" s="20"/>
    </row>
    <row r="31" spans="2:12" ht="12.75">
      <c r="B31" s="20" t="s">
        <v>129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2:12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132" spans="2:12" ht="12.7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2:12" ht="12.7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2:12" ht="12.7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2:12" ht="12.7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2:12" ht="12.7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2:12" ht="12.7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2:12" ht="12.7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2:12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2:12" ht="12.7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2:12" ht="12.7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2:12" ht="12.7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2:12" ht="12.7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</row>
    <row r="144" spans="2:12" ht="12.7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2:12" ht="12.7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2:12" ht="12.7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2:12" ht="12.7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2:12" ht="12.7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2:12" ht="12.7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2:12" ht="12.7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2:12" ht="12.7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2:12" ht="12.7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2:12" ht="12.7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</row>
    <row r="154" spans="2:12" ht="12.7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2:12" ht="12.7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2:12" ht="12.7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</row>
    <row r="157" spans="2:12" ht="12.7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</row>
    <row r="158" spans="2:12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2:12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2:12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</row>
    <row r="161" spans="2:12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2:12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2:12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</row>
    <row r="164" spans="2:12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2:12" ht="12.7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2:12" ht="12.7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</row>
    <row r="167" spans="2:12" ht="12.7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</row>
    <row r="168" spans="2:12" ht="12.7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2:12" ht="12.7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2:12" ht="12.7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2:12" ht="12.7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2:12" ht="12.7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2:12" ht="12.7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2:12" ht="12.7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</row>
    <row r="175" spans="2:12" ht="12.7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</row>
    <row r="176" spans="2:12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</row>
    <row r="177" spans="2:12" ht="12.7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2:12" ht="12.7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2:12" ht="12.7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</row>
    <row r="180" spans="2:12" ht="12.7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</row>
    <row r="181" spans="2:12" ht="12.7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2:12" ht="12.7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2:12" ht="12.7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2:12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</row>
    <row r="185" spans="2:12" ht="12.7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2:12" ht="12.7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2:12" ht="12.7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</row>
    <row r="188" spans="2:12" ht="12.7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2:12" ht="12.7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2:12" ht="12.7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</row>
    <row r="191" spans="2:12" ht="12.7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</row>
    <row r="192" spans="2:12" ht="12.7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</row>
    <row r="193" spans="2:12" ht="12.7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</row>
    <row r="194" spans="2:12" ht="12.7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2:12" ht="12.7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2:12" ht="12.7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</row>
    <row r="197" spans="2:12" ht="12.7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2:12" ht="12.7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2:12" ht="12.7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</row>
    <row r="200" spans="2:12" ht="12.7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</row>
    <row r="201" spans="2:12" ht="12.7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</row>
    <row r="202" spans="2:12" ht="12.7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</row>
    <row r="203" spans="2:12" ht="12.7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</row>
    <row r="204" spans="2:12" ht="12.7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2:12" ht="12.7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</row>
    <row r="206" spans="2:12" ht="12.7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2:12" ht="12.7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</row>
    <row r="208" spans="2:12" ht="12.7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2:12" ht="12.7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</row>
    <row r="210" spans="2:12" ht="12.7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</row>
    <row r="211" spans="2:12" ht="12.7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2:12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</row>
    <row r="213" spans="2:12" ht="12.7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2:12" ht="12.7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2:12" ht="12.7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</row>
    <row r="216" spans="2:12" ht="12.7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2:12" ht="12.7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</row>
    <row r="218" spans="2:12" ht="12.7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</row>
    <row r="219" spans="2:12" ht="12.7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2:12" ht="12.7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</row>
    <row r="221" spans="2:12" ht="12.7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2:12" ht="12.7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2:12" ht="12.7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</row>
    <row r="224" spans="2:12" ht="12.75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2:12" ht="12.75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</row>
    <row r="226" spans="2:12" ht="12.75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</row>
    <row r="227" spans="2:12" ht="12.75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</row>
    <row r="228" spans="2:12" ht="12.75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</row>
    <row r="229" spans="2:12" ht="12.75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</row>
    <row r="230" spans="2:12" ht="12.75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</row>
    <row r="231" spans="2:12" ht="12.75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</row>
    <row r="232" spans="2:12" ht="12.75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</row>
    <row r="233" spans="2:12" ht="12.75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</row>
    <row r="234" spans="2:12" ht="12.75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</row>
    <row r="235" spans="2:12" ht="12.75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</row>
    <row r="236" spans="2:12" ht="12.75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</row>
    <row r="237" spans="2:12" ht="12.75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</row>
    <row r="238" spans="2:12" ht="12.75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</row>
    <row r="239" spans="2:12" ht="12.75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</row>
    <row r="240" spans="2:12" ht="12.75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</row>
    <row r="241" spans="2:12" ht="12.75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</row>
    <row r="242" spans="2:12" ht="12.75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</row>
    <row r="243" spans="2:12" ht="12.75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</row>
    <row r="244" spans="2:12" ht="12.75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</row>
    <row r="245" spans="2:12" ht="12.75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</row>
    <row r="246" spans="2:12" ht="12.75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</row>
    <row r="247" spans="2:12" ht="12.75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</row>
    <row r="248" spans="2:12" ht="12.75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</row>
    <row r="249" spans="2:12" ht="12.75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</row>
    <row r="250" spans="2:12" ht="12.75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</row>
    <row r="251" spans="2:12" ht="12.75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</row>
    <row r="252" spans="2:12" ht="12.75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</row>
    <row r="253" spans="2:12" ht="12.75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</row>
    <row r="254" spans="2:12" ht="12.75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</row>
    <row r="255" spans="2:12" ht="12.75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</row>
    <row r="256" spans="2:12" ht="12.75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</row>
    <row r="257" spans="2:12" ht="12.75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</row>
    <row r="258" spans="2:12" ht="12.75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</row>
    <row r="259" spans="2:12" ht="12.75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</row>
    <row r="260" spans="2:12" ht="12.75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</row>
    <row r="261" spans="2:12" ht="12.75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</row>
    <row r="262" spans="2:12" ht="12.75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</row>
    <row r="263" spans="2:12" ht="12.75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</row>
    <row r="264" spans="2:12" ht="12.75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</row>
    <row r="265" spans="2:12" ht="12.75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</row>
    <row r="266" spans="2:12" ht="12.75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</row>
    <row r="267" spans="2:12" ht="12.75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</row>
    <row r="268" spans="2:12" ht="12.75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</row>
    <row r="269" spans="2:12" ht="12.75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</row>
    <row r="270" spans="2:12" ht="12.75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</row>
    <row r="271" spans="2:12" ht="12.75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</row>
    <row r="272" spans="2:12" ht="12.75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</row>
    <row r="273" spans="2:12" ht="12.75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</row>
    <row r="274" spans="2:12" ht="12.75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</row>
    <row r="275" spans="2:12" ht="12.75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</row>
    <row r="276" spans="2:12" ht="12.75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</row>
    <row r="277" spans="2:12" ht="12.75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</row>
    <row r="278" spans="2:12" ht="12.75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</row>
    <row r="279" spans="2:12" ht="12.75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</row>
    <row r="280" spans="2:12" ht="12.75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</row>
    <row r="281" spans="2:12" ht="12.75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</row>
    <row r="282" spans="2:12" ht="12.75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</row>
    <row r="283" spans="2:12" ht="12.75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</row>
    <row r="284" spans="2:12" ht="12.75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</row>
    <row r="285" spans="2:12" ht="12.75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</row>
    <row r="286" spans="2:12" ht="12.75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</row>
    <row r="287" spans="2:12" ht="12.75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</row>
    <row r="288" spans="2:12" ht="12.75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</row>
    <row r="289" spans="2:12" ht="12.75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</row>
    <row r="290" spans="2:12" ht="12.75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</row>
    <row r="291" spans="2:12" ht="12.75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</row>
    <row r="292" spans="2:12" ht="12.75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</row>
    <row r="293" spans="2:12" ht="12.75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</row>
    <row r="294" spans="2:12" ht="12.75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</row>
    <row r="295" spans="2:12" ht="12.75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</row>
    <row r="296" spans="2:12" ht="12.75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</row>
    <row r="297" spans="2:12" ht="12.75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</row>
    <row r="298" spans="2:12" ht="12.75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</row>
    <row r="299" spans="2:12" ht="12.75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</row>
    <row r="300" spans="2:12" ht="12.75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</row>
    <row r="301" spans="2:12" ht="12.75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</row>
    <row r="302" spans="2:12" ht="12.75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</row>
    <row r="303" spans="2:12" ht="12.75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</row>
    <row r="304" spans="2:12" ht="12.75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</row>
    <row r="305" spans="2:12" ht="12.75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</row>
    <row r="306" spans="2:12" ht="12.75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</row>
    <row r="307" spans="2:12" ht="12.75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</row>
    <row r="308" spans="2:12" ht="12.75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</row>
    <row r="309" spans="2:12" ht="12.75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</row>
    <row r="310" spans="2:12" ht="12.75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</row>
    <row r="311" spans="2:12" ht="12.75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</row>
    <row r="312" spans="2:12" ht="12.75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</row>
    <row r="313" spans="2:12" ht="12.75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</row>
    <row r="314" spans="2:12" ht="12.75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</row>
    <row r="315" spans="2:12" ht="12.75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</row>
    <row r="316" spans="2:12" ht="12.75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</row>
    <row r="317" spans="2:12" ht="12.75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</row>
    <row r="318" spans="2:12" ht="12.75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</row>
    <row r="319" spans="2:12" ht="12.75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</row>
    <row r="320" spans="2:12" ht="12.75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</row>
    <row r="321" spans="2:12" ht="12.75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</row>
    <row r="322" spans="2:12" ht="12.75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</row>
    <row r="323" spans="2:12" ht="12.75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</row>
    <row r="324" spans="2:12" ht="12.75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</row>
    <row r="325" spans="2:12" ht="12.75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</row>
    <row r="326" spans="2:12" ht="12.75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</row>
    <row r="327" spans="2:12" ht="12.75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</row>
    <row r="328" spans="2:12" ht="12.75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</row>
    <row r="329" spans="2:12" ht="12.75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</row>
    <row r="330" spans="2:12" ht="12.75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</row>
    <row r="331" spans="2:12" ht="12.75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</row>
    <row r="332" spans="2:12" ht="12.75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</row>
    <row r="333" spans="2:12" ht="12.75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</row>
    <row r="334" spans="2:12" ht="12.75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</row>
    <row r="335" spans="2:12" ht="12.75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</row>
    <row r="336" spans="2:12" ht="12.75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</row>
    <row r="337" spans="2:12" ht="12.75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</row>
    <row r="338" spans="2:12" ht="12.75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</row>
    <row r="339" spans="2:12" ht="12.75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</row>
    <row r="340" spans="2:12" ht="12.75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</row>
    <row r="341" spans="2:12" ht="12.75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</row>
    <row r="342" spans="2:12" ht="12.75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</row>
    <row r="343" spans="2:12" ht="12.75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</row>
    <row r="344" spans="2:12" ht="12.75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</row>
    <row r="345" spans="2:12" ht="12.7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</row>
    <row r="346" spans="2:12" ht="12.7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</row>
    <row r="347" spans="2:12" ht="12.75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</row>
    <row r="348" spans="2:12" ht="12.75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</row>
    <row r="349" spans="2:12" ht="12.75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</row>
    <row r="350" spans="2:12" ht="12.7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</row>
    <row r="351" spans="2:12" ht="12.7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</row>
    <row r="352" spans="2:12" ht="12.75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</row>
    <row r="353" spans="2:12" ht="12.75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</row>
    <row r="354" spans="2:12" ht="12.75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</row>
    <row r="355" spans="2:12" ht="12.75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</row>
    <row r="356" spans="2:12" ht="12.75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</row>
    <row r="357" spans="2:12" ht="12.75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</row>
    <row r="358" spans="2:12" ht="12.75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</row>
    <row r="359" spans="2:12" ht="12.75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</row>
    <row r="360" spans="2:12" ht="12.75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</row>
    <row r="361" spans="2:12" ht="12.75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</row>
    <row r="362" spans="2:12" ht="12.75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</row>
    <row r="363" spans="2:12" ht="12.75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</row>
    <row r="364" spans="2:12" ht="12.75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</row>
    <row r="365" spans="2:12" ht="12.7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</row>
    <row r="366" spans="2:12" ht="12.75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</row>
    <row r="367" spans="2:12" ht="12.75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</row>
    <row r="368" spans="2:12" ht="12.75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</row>
    <row r="369" spans="2:12" ht="12.75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</row>
    <row r="370" spans="2:12" ht="12.75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</row>
    <row r="371" spans="2:12" ht="12.75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</row>
    <row r="372" spans="2:12" ht="12.75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</row>
    <row r="373" spans="2:12" ht="12.75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</row>
    <row r="374" spans="2:12" ht="12.75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</row>
    <row r="375" spans="2:12" ht="12.75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</row>
    <row r="376" spans="2:12" ht="12.75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</row>
    <row r="377" spans="2:12" ht="12.75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</row>
    <row r="378" spans="2:12" ht="12.75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</row>
    <row r="379" spans="2:12" ht="12.75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</row>
    <row r="380" spans="2:12" ht="12.75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</row>
    <row r="381" spans="2:12" ht="12.75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</row>
    <row r="382" spans="2:12" ht="12.7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</row>
    <row r="383" spans="2:12" ht="12.7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</row>
    <row r="384" spans="2:12" ht="12.75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</row>
    <row r="385" spans="2:12" ht="12.75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</row>
    <row r="386" spans="2:12" ht="12.75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</row>
    <row r="387" spans="2:12" ht="12.75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</row>
    <row r="388" spans="2:12" ht="12.75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</row>
    <row r="389" spans="2:12" ht="12.75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</row>
    <row r="390" spans="2:12" ht="12.75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</row>
    <row r="391" spans="2:12" ht="12.75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</row>
    <row r="392" spans="2:12" ht="12.75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</row>
    <row r="393" spans="2:12" ht="12.75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</row>
    <row r="394" spans="2:12" ht="12.75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</row>
    <row r="395" spans="2:12" ht="12.75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</row>
    <row r="396" spans="2:12" ht="12.75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</row>
    <row r="397" spans="2:12" ht="12.75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</row>
    <row r="398" spans="2:12" ht="12.75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</row>
    <row r="399" spans="2:12" ht="12.75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</row>
    <row r="400" spans="2:12" ht="12.75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</row>
    <row r="401" spans="2:12" ht="12.75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</row>
    <row r="402" spans="2:12" ht="12.75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</row>
    <row r="403" spans="2:12" ht="12.75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</row>
    <row r="404" spans="2:12" ht="12.75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</row>
    <row r="405" spans="2:12" ht="12.75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</row>
    <row r="406" spans="2:12" ht="12.75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</row>
    <row r="407" spans="2:12" ht="12.75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</row>
    <row r="408" spans="2:12" ht="12.75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</row>
    <row r="409" spans="2:12" ht="12.75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</row>
    <row r="410" spans="2:12" ht="12.75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</row>
    <row r="411" spans="2:12" ht="12.75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</row>
    <row r="412" spans="2:12" ht="12.75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</row>
    <row r="413" spans="2:12" ht="12.75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</row>
    <row r="414" spans="2:12" ht="12.75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</row>
    <row r="415" spans="2:12" ht="12.75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</row>
    <row r="416" spans="2:12" ht="12.75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</row>
    <row r="417" spans="2:12" ht="12.75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</row>
    <row r="418" spans="2:12" ht="12.75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</row>
    <row r="419" spans="2:12" ht="12.75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</row>
    <row r="420" spans="2:12" ht="12.75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</row>
    <row r="421" spans="2:12" ht="12.75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</row>
    <row r="422" spans="2:12" ht="12.75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</row>
    <row r="423" spans="2:12" ht="12.75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</row>
    <row r="424" spans="2:12" ht="12.75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</row>
    <row r="425" spans="2:12" ht="12.75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</row>
    <row r="426" spans="2:12" ht="12.75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</row>
    <row r="427" spans="2:12" ht="12.75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</row>
    <row r="428" spans="2:12" ht="12.75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</row>
    <row r="429" spans="2:12" ht="12.75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</row>
    <row r="430" spans="2:12" ht="12.75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</row>
    <row r="431" spans="2:12" ht="12.75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</row>
    <row r="432" spans="2:12" ht="12.75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</row>
    <row r="433" spans="2:12" ht="12.75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</row>
    <row r="434" spans="2:12" ht="12.75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</row>
    <row r="435" spans="2:12" ht="12.75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</row>
    <row r="436" spans="2:12" ht="12.75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</row>
    <row r="437" spans="2:12" ht="12.75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</row>
    <row r="438" spans="2:12" ht="12.75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</row>
    <row r="439" spans="2:12" ht="12.75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</row>
    <row r="440" spans="2:12" ht="12.75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</row>
    <row r="441" spans="2:12" ht="12.75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</row>
    <row r="442" spans="2:12" ht="12.75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</row>
    <row r="443" spans="2:12" ht="12.75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</row>
    <row r="444" spans="2:12" ht="12.75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</row>
    <row r="445" spans="2:12" ht="12.75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</row>
    <row r="446" spans="2:12" ht="12.75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</row>
    <row r="447" spans="2:12" ht="12.75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</row>
    <row r="448" spans="2:12" ht="12.75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</row>
    <row r="449" spans="2:12" ht="12.75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</row>
    <row r="450" spans="2:12" ht="12.75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</row>
    <row r="451" spans="2:12" ht="12.75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</row>
    <row r="452" spans="2:12" ht="12.75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</row>
    <row r="453" spans="2:12" ht="12.75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</row>
    <row r="454" spans="2:12" ht="12.75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</row>
    <row r="455" spans="2:12" ht="12.75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</row>
    <row r="456" spans="2:12" ht="12.75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</row>
    <row r="457" spans="2:12" ht="12.75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</row>
    <row r="458" spans="2:12" ht="12.75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</row>
    <row r="459" spans="2:12" ht="12.75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</row>
    <row r="460" spans="2:12" ht="12.75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</row>
    <row r="461" spans="2:12" ht="12.75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</row>
    <row r="462" spans="2:12" ht="12.75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</row>
    <row r="463" spans="2:12" ht="12.75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</row>
    <row r="464" spans="2:12" ht="12.75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</row>
    <row r="465" spans="2:12" ht="12.75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</row>
    <row r="466" spans="2:12" ht="12.75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</row>
    <row r="467" spans="2:12" ht="12.75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</row>
    <row r="468" spans="2:12" ht="12.75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</row>
    <row r="469" spans="2:12" ht="12.75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</row>
    <row r="470" spans="2:12" ht="12.75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</row>
    <row r="471" spans="2:12" ht="12.75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</row>
    <row r="472" spans="2:12" ht="12.75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</row>
    <row r="473" spans="2:12" ht="12.75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</row>
    <row r="474" spans="2:12" ht="12.75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</row>
    <row r="475" spans="2:12" ht="12.75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</row>
    <row r="476" spans="2:12" ht="12.75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</row>
    <row r="477" spans="2:12" ht="12.75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</row>
    <row r="478" spans="2:12" ht="12.75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152"/>
  <sheetViews>
    <sheetView workbookViewId="0" topLeftCell="B1">
      <selection activeCell="C14" sqref="C14"/>
    </sheetView>
  </sheetViews>
  <sheetFormatPr defaultColWidth="9.140625" defaultRowHeight="12.75"/>
  <cols>
    <col min="1" max="1" width="3.421875" style="0" hidden="1" customWidth="1"/>
    <col min="2" max="2" width="26.140625" style="0" customWidth="1"/>
    <col min="3" max="3" width="59.28125" style="0" customWidth="1"/>
  </cols>
  <sheetData>
    <row r="1" ht="12.75">
      <c r="B1" s="8" t="s">
        <v>293</v>
      </c>
    </row>
    <row r="3" spans="2:12" s="1" customFormat="1" ht="12.75">
      <c r="B3" s="8" t="s">
        <v>144</v>
      </c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2:12" s="1" customFormat="1" ht="12.75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2:12" s="1" customFormat="1" ht="12.75">
      <c r="B5" s="20" t="s">
        <v>285</v>
      </c>
      <c r="C5" s="20" t="s">
        <v>224</v>
      </c>
      <c r="D5" s="20"/>
      <c r="E5" s="20"/>
      <c r="F5" s="20"/>
      <c r="G5" s="20"/>
      <c r="H5" s="20"/>
      <c r="I5" s="20"/>
      <c r="J5" s="20"/>
      <c r="K5" s="20"/>
      <c r="L5" s="20"/>
    </row>
    <row r="6" spans="2:12" s="1" customFormat="1" ht="12.75">
      <c r="B6" s="20" t="s">
        <v>286</v>
      </c>
      <c r="C6" s="20" t="s">
        <v>160</v>
      </c>
      <c r="D6" s="20"/>
      <c r="E6" s="20"/>
      <c r="F6" s="20"/>
      <c r="G6" s="20"/>
      <c r="H6" s="20"/>
      <c r="I6" s="20"/>
      <c r="J6" s="20"/>
      <c r="K6" s="20"/>
      <c r="L6" s="20"/>
    </row>
    <row r="7" spans="2:12" s="1" customFormat="1" ht="12.75">
      <c r="B7" s="20" t="s">
        <v>287</v>
      </c>
      <c r="C7" s="20" t="s">
        <v>160</v>
      </c>
      <c r="D7" s="20"/>
      <c r="E7" s="20"/>
      <c r="F7" s="20"/>
      <c r="G7" s="20"/>
      <c r="H7" s="20"/>
      <c r="I7" s="20"/>
      <c r="J7" s="20"/>
      <c r="K7" s="20"/>
      <c r="L7" s="20"/>
    </row>
    <row r="8" spans="2:12" s="1" customFormat="1" ht="12.75">
      <c r="B8" s="20" t="s">
        <v>288</v>
      </c>
      <c r="C8" s="23">
        <v>34688</v>
      </c>
      <c r="D8" s="20"/>
      <c r="E8" s="20"/>
      <c r="F8" s="20"/>
      <c r="G8" s="20"/>
      <c r="H8" s="20"/>
      <c r="I8" s="20"/>
      <c r="J8" s="20"/>
      <c r="K8" s="20"/>
      <c r="L8" s="20"/>
    </row>
    <row r="9" spans="2:12" s="1" customFormat="1" ht="12.75">
      <c r="B9" s="20" t="s">
        <v>306</v>
      </c>
      <c r="C9" s="79">
        <v>34669</v>
      </c>
      <c r="D9" s="20"/>
      <c r="E9" s="20"/>
      <c r="F9" s="20"/>
      <c r="G9" s="20"/>
      <c r="H9" s="20"/>
      <c r="I9" s="20"/>
      <c r="J9" s="20"/>
      <c r="K9" s="20"/>
      <c r="L9" s="20"/>
    </row>
    <row r="10" spans="2:12" s="1" customFormat="1" ht="12.75">
      <c r="B10" s="20" t="s">
        <v>289</v>
      </c>
      <c r="C10" s="20" t="s">
        <v>225</v>
      </c>
      <c r="D10" s="20"/>
      <c r="E10" s="20"/>
      <c r="F10" s="20"/>
      <c r="G10" s="20"/>
      <c r="H10" s="20"/>
      <c r="I10" s="20"/>
      <c r="J10" s="20"/>
      <c r="K10" s="20"/>
      <c r="L10" s="20"/>
    </row>
    <row r="11" spans="2:12" s="1" customFormat="1" ht="12.75">
      <c r="B11" s="20" t="s">
        <v>290</v>
      </c>
      <c r="C11" s="23" t="s">
        <v>161</v>
      </c>
      <c r="D11" s="20"/>
      <c r="E11" s="20"/>
      <c r="F11" s="20"/>
      <c r="G11" s="20"/>
      <c r="H11" s="20"/>
      <c r="I11" s="20"/>
      <c r="J11" s="20"/>
      <c r="K11" s="20"/>
      <c r="L11" s="20"/>
    </row>
    <row r="12" spans="2:12" s="1" customFormat="1" ht="12.75">
      <c r="B12" s="20"/>
      <c r="C12" s="23"/>
      <c r="D12" s="20"/>
      <c r="E12" s="20"/>
      <c r="F12" s="20"/>
      <c r="G12" s="20"/>
      <c r="H12" s="20"/>
      <c r="I12" s="20"/>
      <c r="J12" s="20"/>
      <c r="K12" s="20"/>
      <c r="L12" s="20"/>
    </row>
    <row r="13" spans="2:12" s="1" customFormat="1" ht="12.75">
      <c r="B13" s="8" t="s">
        <v>145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2:12" s="1" customFormat="1" ht="12.75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2:12" s="1" customFormat="1" ht="12.75">
      <c r="B15" s="20" t="s">
        <v>285</v>
      </c>
      <c r="C15" s="20" t="s">
        <v>140</v>
      </c>
      <c r="D15" s="20"/>
      <c r="E15" s="20"/>
      <c r="F15" s="20"/>
      <c r="G15" s="20"/>
      <c r="H15" s="20"/>
      <c r="I15" s="20"/>
      <c r="J15" s="20"/>
      <c r="K15" s="20"/>
      <c r="L15" s="20"/>
    </row>
    <row r="16" spans="2:12" s="1" customFormat="1" ht="12.75">
      <c r="B16" s="20" t="s">
        <v>286</v>
      </c>
      <c r="C16" s="20" t="s">
        <v>160</v>
      </c>
      <c r="D16" s="20"/>
      <c r="E16" s="20"/>
      <c r="F16" s="20"/>
      <c r="G16" s="20"/>
      <c r="H16" s="20"/>
      <c r="I16" s="20"/>
      <c r="J16" s="20"/>
      <c r="K16" s="20"/>
      <c r="L16" s="20"/>
    </row>
    <row r="17" spans="2:12" s="1" customFormat="1" ht="12.75">
      <c r="B17" s="74" t="s">
        <v>287</v>
      </c>
      <c r="C17" s="20" t="s">
        <v>160</v>
      </c>
      <c r="D17" s="20"/>
      <c r="E17" s="20"/>
      <c r="F17" s="20"/>
      <c r="G17" s="20"/>
      <c r="H17" s="20"/>
      <c r="I17" s="20"/>
      <c r="J17" s="20"/>
      <c r="K17" s="20"/>
      <c r="L17" s="20"/>
    </row>
    <row r="18" spans="2:12" s="1" customFormat="1" ht="12.75">
      <c r="B18" s="74" t="s">
        <v>288</v>
      </c>
      <c r="C18" s="23">
        <v>34759</v>
      </c>
      <c r="D18" s="20"/>
      <c r="E18" s="20"/>
      <c r="F18" s="20"/>
      <c r="G18" s="20"/>
      <c r="H18" s="20"/>
      <c r="I18" s="20"/>
      <c r="J18" s="20"/>
      <c r="K18" s="20"/>
      <c r="L18" s="20"/>
    </row>
    <row r="19" spans="2:12" s="1" customFormat="1" ht="12.75">
      <c r="B19" s="20" t="s">
        <v>306</v>
      </c>
      <c r="C19" s="79">
        <v>34759</v>
      </c>
      <c r="D19" s="20"/>
      <c r="E19" s="20"/>
      <c r="F19" s="20"/>
      <c r="G19" s="20"/>
      <c r="H19" s="20"/>
      <c r="I19" s="20"/>
      <c r="J19" s="20"/>
      <c r="K19" s="20"/>
      <c r="L19" s="20"/>
    </row>
    <row r="20" spans="2:12" s="1" customFormat="1" ht="12.75">
      <c r="B20" s="74" t="s">
        <v>289</v>
      </c>
      <c r="C20" s="20" t="s">
        <v>226</v>
      </c>
      <c r="D20" s="20"/>
      <c r="E20" s="20"/>
      <c r="F20" s="20"/>
      <c r="G20" s="20"/>
      <c r="H20" s="20"/>
      <c r="I20" s="20"/>
      <c r="J20" s="20"/>
      <c r="K20" s="20"/>
      <c r="L20" s="20"/>
    </row>
    <row r="21" spans="2:12" s="1" customFormat="1" ht="12.75">
      <c r="B21" s="74" t="s">
        <v>290</v>
      </c>
      <c r="C21" s="23" t="s">
        <v>162</v>
      </c>
      <c r="D21" s="20"/>
      <c r="E21" s="20"/>
      <c r="F21" s="20"/>
      <c r="G21" s="20"/>
      <c r="H21" s="20"/>
      <c r="I21" s="20"/>
      <c r="J21" s="20"/>
      <c r="K21" s="20"/>
      <c r="L21" s="20"/>
    </row>
    <row r="22" spans="2:12" s="1" customFormat="1" ht="12.75">
      <c r="B22" s="74"/>
      <c r="C22" s="23"/>
      <c r="D22" s="20"/>
      <c r="E22" s="20"/>
      <c r="F22" s="20"/>
      <c r="G22" s="20"/>
      <c r="H22" s="20"/>
      <c r="I22" s="20"/>
      <c r="J22" s="20"/>
      <c r="K22" s="20"/>
      <c r="L22" s="20"/>
    </row>
    <row r="23" spans="2:12" s="1" customFormat="1" ht="12.75">
      <c r="B23" s="75" t="s">
        <v>164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2:12" s="1" customFormat="1" ht="12.75">
      <c r="B24" s="74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2:12" s="1" customFormat="1" ht="12.75">
      <c r="B25" s="74" t="s">
        <v>285</v>
      </c>
      <c r="C25" s="20" t="s">
        <v>140</v>
      </c>
      <c r="D25" s="20"/>
      <c r="E25" s="20"/>
      <c r="F25" s="20"/>
      <c r="G25" s="20"/>
      <c r="H25" s="20"/>
      <c r="I25" s="20"/>
      <c r="J25" s="20"/>
      <c r="K25" s="20"/>
      <c r="L25" s="20"/>
    </row>
    <row r="26" spans="2:12" s="1" customFormat="1" ht="12.75">
      <c r="B26" s="74" t="s">
        <v>286</v>
      </c>
      <c r="C26" s="20" t="s">
        <v>160</v>
      </c>
      <c r="D26" s="20"/>
      <c r="E26" s="20"/>
      <c r="F26" s="20"/>
      <c r="G26" s="20"/>
      <c r="H26" s="20"/>
      <c r="I26" s="20"/>
      <c r="J26" s="20"/>
      <c r="K26" s="20"/>
      <c r="L26" s="20"/>
    </row>
    <row r="27" spans="2:12" s="1" customFormat="1" ht="12.75">
      <c r="B27" s="74" t="s">
        <v>287</v>
      </c>
      <c r="C27" s="20" t="s">
        <v>160</v>
      </c>
      <c r="D27" s="20"/>
      <c r="E27" s="20"/>
      <c r="F27" s="20"/>
      <c r="G27" s="20"/>
      <c r="H27" s="20"/>
      <c r="I27" s="20"/>
      <c r="J27" s="20"/>
      <c r="K27" s="20"/>
      <c r="L27" s="20"/>
    </row>
    <row r="28" spans="2:12" s="1" customFormat="1" ht="12.75">
      <c r="B28" s="74" t="s">
        <v>288</v>
      </c>
      <c r="C28" s="23">
        <v>34759</v>
      </c>
      <c r="D28" s="20"/>
      <c r="E28" s="20"/>
      <c r="F28" s="20"/>
      <c r="G28" s="20"/>
      <c r="H28" s="20"/>
      <c r="I28" s="20"/>
      <c r="J28" s="20"/>
      <c r="K28" s="20"/>
      <c r="L28" s="20"/>
    </row>
    <row r="29" spans="2:12" s="1" customFormat="1" ht="12.75">
      <c r="B29" s="20" t="s">
        <v>306</v>
      </c>
      <c r="C29" s="79">
        <v>34759</v>
      </c>
      <c r="D29" s="20"/>
      <c r="E29" s="20"/>
      <c r="F29" s="20"/>
      <c r="G29" s="20"/>
      <c r="H29" s="20"/>
      <c r="I29" s="20"/>
      <c r="J29" s="20"/>
      <c r="K29" s="20"/>
      <c r="L29" s="20"/>
    </row>
    <row r="30" spans="2:12" s="1" customFormat="1" ht="12.75">
      <c r="B30" s="74" t="s">
        <v>289</v>
      </c>
      <c r="C30" s="23" t="s">
        <v>227</v>
      </c>
      <c r="D30" s="20"/>
      <c r="E30" s="20"/>
      <c r="F30" s="20"/>
      <c r="G30" s="20"/>
      <c r="H30" s="20"/>
      <c r="I30" s="20"/>
      <c r="J30" s="20"/>
      <c r="K30" s="20"/>
      <c r="L30" s="20"/>
    </row>
    <row r="31" spans="2:12" s="1" customFormat="1" ht="12.75">
      <c r="B31" s="74" t="s">
        <v>290</v>
      </c>
      <c r="C31" s="23" t="s">
        <v>163</v>
      </c>
      <c r="D31" s="20"/>
      <c r="E31" s="20"/>
      <c r="F31" s="20"/>
      <c r="G31" s="20"/>
      <c r="H31" s="20"/>
      <c r="I31" s="20"/>
      <c r="J31" s="20"/>
      <c r="K31" s="20"/>
      <c r="L31" s="20"/>
    </row>
    <row r="32" spans="2:12" s="1" customFormat="1" ht="12.75">
      <c r="B32" s="74"/>
      <c r="C32" s="23"/>
      <c r="D32" s="20"/>
      <c r="E32" s="20"/>
      <c r="F32" s="20"/>
      <c r="G32" s="20"/>
      <c r="H32" s="20"/>
      <c r="I32" s="20"/>
      <c r="J32" s="20"/>
      <c r="K32" s="20"/>
      <c r="L32" s="20"/>
    </row>
    <row r="33" spans="2:12" s="1" customFormat="1" ht="12.75">
      <c r="B33" s="75" t="s">
        <v>173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</row>
    <row r="34" spans="2:12" s="1" customFormat="1" ht="12.75">
      <c r="B34" s="74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2:12" s="1" customFormat="1" ht="12.75">
      <c r="B35" s="74" t="s">
        <v>285</v>
      </c>
      <c r="C35" s="20" t="s">
        <v>172</v>
      </c>
      <c r="D35" s="20"/>
      <c r="E35" s="20"/>
      <c r="F35" s="20"/>
      <c r="G35" s="20"/>
      <c r="H35" s="20"/>
      <c r="I35" s="20"/>
      <c r="J35" s="20"/>
      <c r="K35" s="20"/>
      <c r="L35" s="20"/>
    </row>
    <row r="36" spans="2:12" s="1" customFormat="1" ht="12.75">
      <c r="B36" s="74" t="s">
        <v>286</v>
      </c>
      <c r="C36" s="20" t="s">
        <v>160</v>
      </c>
      <c r="D36" s="20"/>
      <c r="E36" s="20"/>
      <c r="F36" s="20"/>
      <c r="G36" s="20"/>
      <c r="H36" s="20"/>
      <c r="I36" s="20"/>
      <c r="J36" s="20"/>
      <c r="K36" s="20"/>
      <c r="L36" s="20"/>
    </row>
    <row r="37" spans="2:12" s="1" customFormat="1" ht="12.75">
      <c r="B37" s="74" t="s">
        <v>287</v>
      </c>
      <c r="C37" s="20" t="s">
        <v>160</v>
      </c>
      <c r="D37" s="20"/>
      <c r="E37" s="20"/>
      <c r="F37" s="20"/>
      <c r="G37" s="20"/>
      <c r="H37" s="20"/>
      <c r="I37" s="20"/>
      <c r="J37" s="20"/>
      <c r="K37" s="20"/>
      <c r="L37" s="20"/>
    </row>
    <row r="38" spans="2:12" s="1" customFormat="1" ht="12.75">
      <c r="B38" s="74" t="s">
        <v>288</v>
      </c>
      <c r="C38" s="23">
        <v>34915</v>
      </c>
      <c r="D38" s="20"/>
      <c r="E38" s="20"/>
      <c r="F38" s="20"/>
      <c r="G38" s="20"/>
      <c r="H38" s="20"/>
      <c r="I38" s="20"/>
      <c r="J38" s="20"/>
      <c r="K38" s="20"/>
      <c r="L38" s="20"/>
    </row>
    <row r="39" spans="2:12" s="1" customFormat="1" ht="12.75">
      <c r="B39" s="20" t="s">
        <v>306</v>
      </c>
      <c r="C39" s="79">
        <v>34912</v>
      </c>
      <c r="D39" s="20"/>
      <c r="E39" s="20"/>
      <c r="F39" s="20"/>
      <c r="G39" s="20"/>
      <c r="H39" s="20"/>
      <c r="I39" s="20"/>
      <c r="J39" s="20"/>
      <c r="K39" s="20"/>
      <c r="L39" s="20"/>
    </row>
    <row r="40" spans="2:12" s="1" customFormat="1" ht="12.75">
      <c r="B40" s="74" t="s">
        <v>289</v>
      </c>
      <c r="C40" s="20" t="s">
        <v>225</v>
      </c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" customFormat="1" ht="12.75">
      <c r="B41" s="74" t="s">
        <v>290</v>
      </c>
      <c r="C41" s="23" t="s">
        <v>182</v>
      </c>
      <c r="D41" s="20"/>
      <c r="E41" s="20"/>
      <c r="F41" s="20"/>
      <c r="G41" s="20"/>
      <c r="H41" s="20"/>
      <c r="I41" s="20"/>
      <c r="J41" s="20"/>
      <c r="K41" s="20"/>
      <c r="L41" s="20"/>
    </row>
    <row r="42" spans="2:12" s="1" customFormat="1" ht="12.75">
      <c r="B42" s="74"/>
      <c r="C42" s="23"/>
      <c r="D42" s="20"/>
      <c r="E42" s="20"/>
      <c r="F42" s="20"/>
      <c r="G42" s="20"/>
      <c r="H42" s="20"/>
      <c r="I42" s="20"/>
      <c r="J42" s="20"/>
      <c r="K42" s="20"/>
      <c r="L42" s="20"/>
    </row>
    <row r="43" spans="2:12" s="1" customFormat="1" ht="12.75">
      <c r="B43" s="75" t="s">
        <v>203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2:12" s="1" customFormat="1" ht="12.75">
      <c r="B44" s="74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2:12" s="1" customFormat="1" ht="12.75">
      <c r="B45" s="74" t="s">
        <v>285</v>
      </c>
      <c r="C45" s="20" t="s">
        <v>183</v>
      </c>
      <c r="D45" s="20"/>
      <c r="E45" s="20"/>
      <c r="F45" s="20"/>
      <c r="G45" s="20"/>
      <c r="H45" s="20"/>
      <c r="I45" s="20"/>
      <c r="J45" s="20"/>
      <c r="K45" s="20"/>
      <c r="L45" s="20"/>
    </row>
    <row r="46" spans="2:12" s="1" customFormat="1" ht="12.75">
      <c r="B46" s="74" t="s">
        <v>286</v>
      </c>
      <c r="C46" s="20" t="s">
        <v>160</v>
      </c>
      <c r="D46" s="20"/>
      <c r="E46" s="20"/>
      <c r="F46" s="20"/>
      <c r="G46" s="20"/>
      <c r="H46" s="20"/>
      <c r="I46" s="20"/>
      <c r="J46" s="20"/>
      <c r="K46" s="20"/>
      <c r="L46" s="20"/>
    </row>
    <row r="47" spans="2:12" s="1" customFormat="1" ht="12.75">
      <c r="B47" s="74" t="s">
        <v>287</v>
      </c>
      <c r="C47" s="20" t="s">
        <v>160</v>
      </c>
      <c r="D47" s="20"/>
      <c r="E47" s="20"/>
      <c r="F47" s="20"/>
      <c r="G47" s="20"/>
      <c r="H47" s="20"/>
      <c r="I47" s="20"/>
      <c r="J47" s="20"/>
      <c r="K47" s="20"/>
      <c r="L47" s="20"/>
    </row>
    <row r="48" spans="2:12" s="1" customFormat="1" ht="12.75">
      <c r="B48" s="74" t="s">
        <v>288</v>
      </c>
      <c r="C48" s="23">
        <v>36026</v>
      </c>
      <c r="D48" s="20"/>
      <c r="E48" s="20"/>
      <c r="F48" s="20"/>
      <c r="G48" s="20"/>
      <c r="H48" s="20"/>
      <c r="I48" s="20"/>
      <c r="J48" s="20"/>
      <c r="K48" s="20"/>
      <c r="L48" s="20"/>
    </row>
    <row r="49" spans="2:12" s="1" customFormat="1" ht="12.75">
      <c r="B49" s="20" t="s">
        <v>306</v>
      </c>
      <c r="C49" s="79">
        <v>36008</v>
      </c>
      <c r="D49" s="20"/>
      <c r="E49" s="20"/>
      <c r="F49" s="20"/>
      <c r="G49" s="20"/>
      <c r="H49" s="20"/>
      <c r="I49" s="20"/>
      <c r="J49" s="20"/>
      <c r="K49" s="20"/>
      <c r="L49" s="20"/>
    </row>
    <row r="50" spans="2:12" s="1" customFormat="1" ht="12.75">
      <c r="B50" s="74" t="s">
        <v>289</v>
      </c>
      <c r="C50" s="20" t="s">
        <v>271</v>
      </c>
      <c r="D50" s="20"/>
      <c r="E50" s="20"/>
      <c r="F50" s="20"/>
      <c r="G50" s="20"/>
      <c r="H50" s="20"/>
      <c r="I50" s="20"/>
      <c r="J50" s="20"/>
      <c r="K50" s="20"/>
      <c r="L50" s="20"/>
    </row>
    <row r="51" spans="2:12" s="1" customFormat="1" ht="12.75">
      <c r="B51" s="74" t="s">
        <v>290</v>
      </c>
      <c r="C51" s="23" t="s">
        <v>161</v>
      </c>
      <c r="D51" s="20"/>
      <c r="E51" s="20"/>
      <c r="F51" s="20"/>
      <c r="G51" s="20"/>
      <c r="H51" s="20"/>
      <c r="I51" s="20"/>
      <c r="J51" s="20"/>
      <c r="K51" s="20"/>
      <c r="L51" s="20"/>
    </row>
    <row r="52" spans="2:12" s="1" customFormat="1" ht="12.75">
      <c r="B52" s="74"/>
      <c r="C52" s="23"/>
      <c r="D52" s="20"/>
      <c r="E52" s="20"/>
      <c r="F52" s="20"/>
      <c r="G52" s="20"/>
      <c r="H52" s="20"/>
      <c r="I52" s="20"/>
      <c r="J52" s="20"/>
      <c r="K52" s="20"/>
      <c r="L52" s="20"/>
    </row>
    <row r="53" spans="2:12" s="1" customFormat="1" ht="12.75">
      <c r="B53" s="75" t="s">
        <v>204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 s="1" customFormat="1" ht="12.75">
      <c r="B54" s="74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2:12" s="1" customFormat="1" ht="12.75">
      <c r="B55" s="74" t="s">
        <v>285</v>
      </c>
      <c r="C55" s="20" t="s">
        <v>183</v>
      </c>
      <c r="D55" s="20"/>
      <c r="E55" s="20"/>
      <c r="F55" s="20"/>
      <c r="G55" s="20"/>
      <c r="H55" s="20"/>
      <c r="I55" s="20"/>
      <c r="J55" s="20"/>
      <c r="K55" s="20"/>
      <c r="L55" s="20"/>
    </row>
    <row r="56" spans="2:12" s="1" customFormat="1" ht="12.75">
      <c r="B56" s="74" t="s">
        <v>286</v>
      </c>
      <c r="C56" s="20" t="s">
        <v>160</v>
      </c>
      <c r="D56" s="20"/>
      <c r="E56" s="20"/>
      <c r="F56" s="20"/>
      <c r="G56" s="20"/>
      <c r="H56" s="20"/>
      <c r="I56" s="20"/>
      <c r="J56" s="20"/>
      <c r="K56" s="20"/>
      <c r="L56" s="20"/>
    </row>
    <row r="57" spans="2:12" s="1" customFormat="1" ht="12.75">
      <c r="B57" s="74" t="s">
        <v>287</v>
      </c>
      <c r="C57" s="20" t="s">
        <v>160</v>
      </c>
      <c r="D57" s="20"/>
      <c r="E57" s="20"/>
      <c r="F57" s="20"/>
      <c r="G57" s="20"/>
      <c r="H57" s="20"/>
      <c r="I57" s="20"/>
      <c r="J57" s="20"/>
      <c r="K57" s="20"/>
      <c r="L57" s="20"/>
    </row>
    <row r="58" spans="2:12" s="1" customFormat="1" ht="12.75">
      <c r="B58" s="74" t="s">
        <v>288</v>
      </c>
      <c r="C58" s="23">
        <v>36025</v>
      </c>
      <c r="D58" s="20"/>
      <c r="E58" s="20"/>
      <c r="F58" s="20"/>
      <c r="G58" s="20"/>
      <c r="H58" s="20"/>
      <c r="I58" s="20"/>
      <c r="J58" s="20"/>
      <c r="K58" s="20"/>
      <c r="L58" s="20"/>
    </row>
    <row r="59" spans="2:12" s="1" customFormat="1" ht="12.75">
      <c r="B59" s="20" t="s">
        <v>306</v>
      </c>
      <c r="C59" s="79">
        <v>36008</v>
      </c>
      <c r="D59" s="20"/>
      <c r="E59" s="20"/>
      <c r="F59" s="20"/>
      <c r="G59" s="20"/>
      <c r="H59" s="20"/>
      <c r="I59" s="20"/>
      <c r="J59" s="20"/>
      <c r="K59" s="20"/>
      <c r="L59" s="20"/>
    </row>
    <row r="60" spans="2:12" s="1" customFormat="1" ht="12.75">
      <c r="B60" s="74" t="s">
        <v>289</v>
      </c>
      <c r="C60" s="20" t="s">
        <v>272</v>
      </c>
      <c r="D60" s="20"/>
      <c r="E60" s="20"/>
      <c r="F60" s="20"/>
      <c r="G60" s="20"/>
      <c r="H60" s="20"/>
      <c r="I60" s="20"/>
      <c r="J60" s="20"/>
      <c r="K60" s="20"/>
      <c r="L60" s="20"/>
    </row>
    <row r="61" spans="2:12" s="1" customFormat="1" ht="12.75">
      <c r="B61" s="74" t="s">
        <v>290</v>
      </c>
      <c r="C61" s="23" t="s">
        <v>161</v>
      </c>
      <c r="D61" s="20"/>
      <c r="E61" s="20"/>
      <c r="F61" s="20"/>
      <c r="G61" s="20"/>
      <c r="H61" s="20"/>
      <c r="I61" s="20"/>
      <c r="J61" s="20"/>
      <c r="K61" s="20"/>
      <c r="L61" s="20"/>
    </row>
    <row r="62" spans="2:12" s="1" customFormat="1" ht="12.75">
      <c r="B62" s="74"/>
      <c r="C62" s="23"/>
      <c r="D62" s="20"/>
      <c r="E62" s="20"/>
      <c r="F62" s="20"/>
      <c r="G62" s="20"/>
      <c r="H62" s="20"/>
      <c r="I62" s="20"/>
      <c r="J62" s="20"/>
      <c r="K62" s="20"/>
      <c r="L62" s="20"/>
    </row>
    <row r="63" spans="2:12" s="1" customFormat="1" ht="12.75">
      <c r="B63" s="75" t="s">
        <v>205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2:12" s="1" customFormat="1" ht="12.75">
      <c r="B64" s="74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2:12" s="1" customFormat="1" ht="12.75">
      <c r="B65" s="74" t="s">
        <v>285</v>
      </c>
      <c r="C65" s="20" t="s">
        <v>183</v>
      </c>
      <c r="D65" s="20"/>
      <c r="E65" s="20"/>
      <c r="F65" s="20"/>
      <c r="G65" s="20"/>
      <c r="H65" s="20"/>
      <c r="I65" s="20"/>
      <c r="J65" s="20"/>
      <c r="K65" s="20"/>
      <c r="L65" s="20"/>
    </row>
    <row r="66" spans="2:12" s="1" customFormat="1" ht="12.75">
      <c r="B66" s="74" t="s">
        <v>286</v>
      </c>
      <c r="C66" s="20" t="s">
        <v>160</v>
      </c>
      <c r="D66" s="20"/>
      <c r="E66" s="20"/>
      <c r="F66" s="20"/>
      <c r="G66" s="20"/>
      <c r="H66" s="20"/>
      <c r="I66" s="20"/>
      <c r="J66" s="20"/>
      <c r="K66" s="20"/>
      <c r="L66" s="20"/>
    </row>
    <row r="67" spans="2:12" s="1" customFormat="1" ht="12.75">
      <c r="B67" s="74" t="s">
        <v>287</v>
      </c>
      <c r="C67" s="20" t="s">
        <v>160</v>
      </c>
      <c r="D67" s="20"/>
      <c r="E67" s="20"/>
      <c r="F67" s="20"/>
      <c r="G67" s="20"/>
      <c r="H67" s="20"/>
      <c r="I67" s="20"/>
      <c r="J67" s="20"/>
      <c r="K67" s="20"/>
      <c r="L67" s="20"/>
    </row>
    <row r="68" spans="2:12" s="1" customFormat="1" ht="12.75">
      <c r="B68" s="74" t="s">
        <v>288</v>
      </c>
      <c r="C68" s="23">
        <v>36249</v>
      </c>
      <c r="D68" s="20"/>
      <c r="E68" s="20"/>
      <c r="F68" s="20"/>
      <c r="G68" s="20"/>
      <c r="H68" s="20"/>
      <c r="I68" s="20"/>
      <c r="J68" s="20"/>
      <c r="K68" s="20"/>
      <c r="L68" s="20"/>
    </row>
    <row r="69" spans="2:12" s="1" customFormat="1" ht="12.75">
      <c r="B69" s="20" t="s">
        <v>306</v>
      </c>
      <c r="C69" s="79">
        <v>36220</v>
      </c>
      <c r="D69" s="20"/>
      <c r="E69" s="20"/>
      <c r="F69" s="20"/>
      <c r="G69" s="20"/>
      <c r="H69" s="20"/>
      <c r="I69" s="20"/>
      <c r="J69" s="20"/>
      <c r="K69" s="20"/>
      <c r="L69" s="20"/>
    </row>
    <row r="70" spans="2:12" s="1" customFormat="1" ht="12.75">
      <c r="B70" s="74" t="s">
        <v>289</v>
      </c>
      <c r="C70" s="20" t="s">
        <v>273</v>
      </c>
      <c r="D70" s="20"/>
      <c r="E70" s="20"/>
      <c r="F70" s="20"/>
      <c r="G70" s="20"/>
      <c r="H70" s="20"/>
      <c r="I70" s="20"/>
      <c r="J70" s="20"/>
      <c r="K70" s="20"/>
      <c r="L70" s="20"/>
    </row>
    <row r="71" spans="2:12" s="1" customFormat="1" ht="12.75">
      <c r="B71" s="74" t="s">
        <v>290</v>
      </c>
      <c r="C71" s="23" t="s">
        <v>161</v>
      </c>
      <c r="D71" s="20"/>
      <c r="E71" s="20"/>
      <c r="F71" s="20"/>
      <c r="G71" s="20"/>
      <c r="H71" s="20"/>
      <c r="I71" s="20"/>
      <c r="J71" s="20"/>
      <c r="K71" s="20"/>
      <c r="L71" s="20"/>
    </row>
    <row r="72" spans="2:12" s="1" customFormat="1" ht="12.75">
      <c r="B72" s="74"/>
      <c r="C72" s="23"/>
      <c r="D72" s="20"/>
      <c r="E72" s="20"/>
      <c r="F72" s="20"/>
      <c r="G72" s="20"/>
      <c r="H72" s="20"/>
      <c r="I72" s="20"/>
      <c r="J72" s="20"/>
      <c r="K72" s="20"/>
      <c r="L72" s="20"/>
    </row>
    <row r="73" spans="2:12" s="1" customFormat="1" ht="12.75">
      <c r="B73" s="75" t="s">
        <v>206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2:12" s="1" customFormat="1" ht="12.75">
      <c r="B74" s="74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2:12" s="1" customFormat="1" ht="12.75">
      <c r="B75" s="74" t="s">
        <v>285</v>
      </c>
      <c r="C75" s="20" t="s">
        <v>183</v>
      </c>
      <c r="D75" s="20"/>
      <c r="E75" s="20"/>
      <c r="F75" s="20"/>
      <c r="G75" s="20"/>
      <c r="H75" s="20"/>
      <c r="I75" s="20"/>
      <c r="J75" s="20"/>
      <c r="K75" s="20"/>
      <c r="L75" s="20"/>
    </row>
    <row r="76" spans="2:12" s="1" customFormat="1" ht="12.75">
      <c r="B76" s="74" t="s">
        <v>286</v>
      </c>
      <c r="C76" s="20" t="s">
        <v>160</v>
      </c>
      <c r="D76" s="20"/>
      <c r="E76" s="20"/>
      <c r="F76" s="20"/>
      <c r="G76" s="20"/>
      <c r="H76" s="20"/>
      <c r="I76" s="20"/>
      <c r="J76" s="20"/>
      <c r="K76" s="20"/>
      <c r="L76" s="20"/>
    </row>
    <row r="77" spans="2:12" s="1" customFormat="1" ht="12.75">
      <c r="B77" s="74" t="s">
        <v>287</v>
      </c>
      <c r="C77" s="20" t="s">
        <v>160</v>
      </c>
      <c r="D77" s="20"/>
      <c r="E77" s="20"/>
      <c r="F77" s="20"/>
      <c r="G77" s="20"/>
      <c r="H77" s="20"/>
      <c r="I77" s="20"/>
      <c r="J77" s="20"/>
      <c r="K77" s="20"/>
      <c r="L77" s="20"/>
    </row>
    <row r="78" spans="2:12" s="1" customFormat="1" ht="12.75">
      <c r="B78" s="74" t="s">
        <v>288</v>
      </c>
      <c r="C78" s="23">
        <v>36250</v>
      </c>
      <c r="D78" s="20"/>
      <c r="E78" s="20"/>
      <c r="F78" s="20"/>
      <c r="G78" s="20"/>
      <c r="H78" s="20"/>
      <c r="I78" s="20"/>
      <c r="J78" s="20"/>
      <c r="K78" s="20"/>
      <c r="L78" s="20"/>
    </row>
    <row r="79" spans="2:12" s="1" customFormat="1" ht="12.75">
      <c r="B79" s="20" t="s">
        <v>306</v>
      </c>
      <c r="C79" s="79">
        <v>36220</v>
      </c>
      <c r="D79" s="20"/>
      <c r="E79" s="20"/>
      <c r="F79" s="20"/>
      <c r="G79" s="20"/>
      <c r="H79" s="20"/>
      <c r="I79" s="20"/>
      <c r="J79" s="20"/>
      <c r="K79" s="20"/>
      <c r="L79" s="20"/>
    </row>
    <row r="80" spans="2:12" s="1" customFormat="1" ht="12.75">
      <c r="B80" s="74" t="s">
        <v>289</v>
      </c>
      <c r="C80" s="20" t="s">
        <v>274</v>
      </c>
      <c r="D80" s="20"/>
      <c r="E80" s="20"/>
      <c r="F80" s="20"/>
      <c r="G80" s="20"/>
      <c r="H80" s="20"/>
      <c r="I80" s="20"/>
      <c r="J80" s="20"/>
      <c r="K80" s="20"/>
      <c r="L80" s="20"/>
    </row>
    <row r="81" spans="2:12" s="1" customFormat="1" ht="12.75">
      <c r="B81" s="74" t="s">
        <v>290</v>
      </c>
      <c r="C81" s="23" t="s">
        <v>161</v>
      </c>
      <c r="D81" s="20"/>
      <c r="E81" s="20"/>
      <c r="F81" s="20"/>
      <c r="G81" s="20"/>
      <c r="H81" s="20"/>
      <c r="I81" s="20"/>
      <c r="J81" s="20"/>
      <c r="K81" s="20"/>
      <c r="L81" s="20"/>
    </row>
    <row r="82" spans="2:12" s="1" customFormat="1" ht="12.75">
      <c r="B82" s="74"/>
      <c r="C82" s="23"/>
      <c r="D82" s="20"/>
      <c r="E82" s="20"/>
      <c r="F82" s="20"/>
      <c r="G82" s="20"/>
      <c r="H82" s="20"/>
      <c r="I82" s="20"/>
      <c r="J82" s="20"/>
      <c r="K82" s="20"/>
      <c r="L82" s="20"/>
    </row>
    <row r="83" spans="2:12" s="1" customFormat="1" ht="12.75">
      <c r="B83" s="75" t="s">
        <v>187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2:12" s="1" customFormat="1" ht="12.75">
      <c r="B84" s="75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2:12" s="1" customFormat="1" ht="12.75">
      <c r="B85" s="74" t="s">
        <v>285</v>
      </c>
      <c r="C85" s="20" t="s">
        <v>223</v>
      </c>
      <c r="D85" s="20"/>
      <c r="E85" s="20"/>
      <c r="F85" s="20"/>
      <c r="G85" s="20"/>
      <c r="H85" s="20"/>
      <c r="I85" s="20"/>
      <c r="J85" s="20"/>
      <c r="K85" s="20"/>
      <c r="L85" s="20"/>
    </row>
    <row r="86" spans="2:12" s="1" customFormat="1" ht="12.75">
      <c r="B86" s="74" t="s">
        <v>286</v>
      </c>
      <c r="C86" s="20" t="s">
        <v>160</v>
      </c>
      <c r="D86" s="20"/>
      <c r="E86" s="20"/>
      <c r="F86" s="20"/>
      <c r="G86" s="20"/>
      <c r="H86" s="20"/>
      <c r="I86" s="20"/>
      <c r="J86" s="20"/>
      <c r="K86" s="20"/>
      <c r="L86" s="20"/>
    </row>
    <row r="87" spans="2:12" s="1" customFormat="1" ht="12.75">
      <c r="B87" s="74" t="s">
        <v>287</v>
      </c>
      <c r="C87" s="20" t="s">
        <v>160</v>
      </c>
      <c r="D87" s="20"/>
      <c r="E87" s="20"/>
      <c r="F87" s="20"/>
      <c r="G87" s="20"/>
      <c r="H87" s="20"/>
      <c r="I87" s="20"/>
      <c r="J87" s="20"/>
      <c r="K87" s="20"/>
      <c r="L87" s="20"/>
    </row>
    <row r="88" spans="2:12" s="1" customFormat="1" ht="12.75">
      <c r="B88" s="74" t="s">
        <v>288</v>
      </c>
      <c r="C88" s="23" t="s">
        <v>184</v>
      </c>
      <c r="D88" s="20"/>
      <c r="E88" s="20"/>
      <c r="F88" s="20"/>
      <c r="G88" s="20"/>
      <c r="H88" s="20"/>
      <c r="I88" s="20"/>
      <c r="J88" s="20"/>
      <c r="K88" s="20"/>
      <c r="L88" s="20"/>
    </row>
    <row r="89" spans="2:12" s="1" customFormat="1" ht="12.75">
      <c r="B89" s="20" t="s">
        <v>306</v>
      </c>
      <c r="C89" s="79">
        <v>36708</v>
      </c>
      <c r="D89" s="20"/>
      <c r="E89" s="20"/>
      <c r="F89" s="20"/>
      <c r="G89" s="20"/>
      <c r="H89" s="20"/>
      <c r="I89" s="20"/>
      <c r="J89" s="20"/>
      <c r="K89" s="20"/>
      <c r="L89" s="20"/>
    </row>
    <row r="90" spans="2:12" s="1" customFormat="1" ht="12.75">
      <c r="B90" s="74" t="s">
        <v>289</v>
      </c>
      <c r="C90" s="20" t="s">
        <v>228</v>
      </c>
      <c r="D90" s="20"/>
      <c r="E90" s="20"/>
      <c r="F90" s="20"/>
      <c r="G90" s="20"/>
      <c r="H90" s="20"/>
      <c r="I90" s="20"/>
      <c r="J90" s="20"/>
      <c r="K90" s="20"/>
      <c r="L90" s="20"/>
    </row>
    <row r="91" spans="2:12" s="1" customFormat="1" ht="12.75">
      <c r="B91" s="74" t="s">
        <v>290</v>
      </c>
      <c r="C91" s="23" t="s">
        <v>186</v>
      </c>
      <c r="D91" s="20"/>
      <c r="E91" s="20"/>
      <c r="F91" s="20"/>
      <c r="G91" s="20"/>
      <c r="H91" s="20"/>
      <c r="I91" s="20"/>
      <c r="J91" s="20"/>
      <c r="K91" s="20"/>
      <c r="L91" s="20"/>
    </row>
    <row r="92" spans="2:12" s="1" customFormat="1" ht="12.75">
      <c r="B92" s="74"/>
      <c r="C92" s="23"/>
      <c r="D92" s="20"/>
      <c r="E92" s="20"/>
      <c r="F92" s="20"/>
      <c r="G92" s="20"/>
      <c r="H92" s="20"/>
      <c r="I92" s="20"/>
      <c r="J92" s="20"/>
      <c r="K92" s="20"/>
      <c r="L92" s="20"/>
    </row>
    <row r="93" spans="2:12" s="1" customFormat="1" ht="12.75">
      <c r="B93" s="75" t="s">
        <v>202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</row>
    <row r="94" spans="2:12" s="1" customFormat="1" ht="12.75">
      <c r="B94" s="74"/>
      <c r="C94" s="20"/>
      <c r="D94" s="20"/>
      <c r="E94" s="20"/>
      <c r="F94" s="20"/>
      <c r="G94" s="20"/>
      <c r="H94" s="20"/>
      <c r="I94" s="20"/>
      <c r="J94" s="20"/>
      <c r="K94" s="20"/>
      <c r="L94" s="20"/>
    </row>
    <row r="95" spans="2:12" s="1" customFormat="1" ht="12.75">
      <c r="B95" s="74" t="s">
        <v>285</v>
      </c>
      <c r="C95" s="20" t="s">
        <v>223</v>
      </c>
      <c r="D95" s="20"/>
      <c r="E95" s="20"/>
      <c r="F95" s="20"/>
      <c r="G95" s="20"/>
      <c r="H95" s="20"/>
      <c r="I95" s="20"/>
      <c r="J95" s="20"/>
      <c r="K95" s="20"/>
      <c r="L95" s="20"/>
    </row>
    <row r="96" spans="2:12" s="1" customFormat="1" ht="12.75">
      <c r="B96" s="74" t="s">
        <v>286</v>
      </c>
      <c r="C96" s="20" t="s">
        <v>160</v>
      </c>
      <c r="D96" s="20"/>
      <c r="E96" s="20"/>
      <c r="F96" s="20"/>
      <c r="G96" s="20"/>
      <c r="H96" s="20"/>
      <c r="I96" s="20"/>
      <c r="J96" s="20"/>
      <c r="K96" s="20"/>
      <c r="L96" s="20"/>
    </row>
    <row r="97" spans="2:12" s="1" customFormat="1" ht="12.75">
      <c r="B97" s="74" t="s">
        <v>287</v>
      </c>
      <c r="C97" s="20" t="s">
        <v>160</v>
      </c>
      <c r="D97" s="20"/>
      <c r="E97" s="20"/>
      <c r="F97" s="20"/>
      <c r="G97" s="20"/>
      <c r="H97" s="20"/>
      <c r="I97" s="20"/>
      <c r="J97" s="20"/>
      <c r="K97" s="20"/>
      <c r="L97" s="20"/>
    </row>
    <row r="98" spans="2:12" s="1" customFormat="1" ht="12.75">
      <c r="B98" s="74" t="s">
        <v>288</v>
      </c>
      <c r="C98" s="23" t="s">
        <v>185</v>
      </c>
      <c r="D98" s="20"/>
      <c r="E98" s="20"/>
      <c r="F98" s="20"/>
      <c r="G98" s="20"/>
      <c r="H98" s="20"/>
      <c r="I98" s="20"/>
      <c r="J98" s="20"/>
      <c r="K98" s="20"/>
      <c r="L98" s="20"/>
    </row>
    <row r="99" spans="2:12" s="1" customFormat="1" ht="12.75">
      <c r="B99" s="20" t="s">
        <v>306</v>
      </c>
      <c r="C99" s="79">
        <v>36708</v>
      </c>
      <c r="D99" s="20"/>
      <c r="E99" s="20"/>
      <c r="F99" s="20"/>
      <c r="G99" s="20"/>
      <c r="H99" s="20"/>
      <c r="I99" s="20"/>
      <c r="J99" s="20"/>
      <c r="K99" s="20"/>
      <c r="L99" s="20"/>
    </row>
    <row r="100" spans="2:12" s="1" customFormat="1" ht="12.75">
      <c r="B100" s="74" t="s">
        <v>289</v>
      </c>
      <c r="C100" s="20" t="s">
        <v>222</v>
      </c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2:12" s="1" customFormat="1" ht="12.75">
      <c r="B101" s="74" t="s">
        <v>290</v>
      </c>
      <c r="C101" s="23" t="s">
        <v>161</v>
      </c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2:12" s="1" customFormat="1" ht="12.75">
      <c r="B102" s="74"/>
      <c r="C102" s="23"/>
      <c r="D102" s="20"/>
      <c r="E102" s="20"/>
      <c r="F102" s="20"/>
      <c r="G102" s="20"/>
      <c r="H102" s="20"/>
      <c r="I102" s="20"/>
      <c r="J102" s="20"/>
      <c r="K102" s="20"/>
      <c r="L102" s="20"/>
    </row>
    <row r="103" spans="2:12" s="1" customFormat="1" ht="12.75">
      <c r="B103" s="75" t="s">
        <v>208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</row>
    <row r="104" spans="2:12" s="1" customFormat="1" ht="12.75">
      <c r="B104" s="74"/>
      <c r="C104" s="20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2:12" s="1" customFormat="1" ht="12.75">
      <c r="B105" s="74" t="s">
        <v>285</v>
      </c>
      <c r="C105" s="20" t="s">
        <v>207</v>
      </c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2:12" s="1" customFormat="1" ht="12.75">
      <c r="B106" s="74" t="s">
        <v>286</v>
      </c>
      <c r="C106" s="20" t="s">
        <v>160</v>
      </c>
      <c r="D106" s="20"/>
      <c r="E106" s="20"/>
      <c r="F106" s="20"/>
      <c r="G106" s="20"/>
      <c r="H106" s="20"/>
      <c r="I106" s="20"/>
      <c r="J106" s="20"/>
      <c r="K106" s="20"/>
      <c r="L106" s="20"/>
    </row>
    <row r="107" spans="2:12" s="1" customFormat="1" ht="12.75">
      <c r="B107" s="74" t="s">
        <v>287</v>
      </c>
      <c r="C107" s="20" t="s">
        <v>160</v>
      </c>
      <c r="D107" s="20"/>
      <c r="E107" s="20"/>
      <c r="F107" s="20"/>
      <c r="G107" s="20"/>
      <c r="H107" s="20"/>
      <c r="I107" s="20"/>
      <c r="J107" s="20"/>
      <c r="K107" s="20"/>
      <c r="L107" s="20"/>
    </row>
    <row r="108" spans="2:12" s="1" customFormat="1" ht="12.75">
      <c r="B108" s="74" t="s">
        <v>288</v>
      </c>
      <c r="C108" s="23">
        <v>37019</v>
      </c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2:12" s="1" customFormat="1" ht="12.75">
      <c r="B109" s="20" t="s">
        <v>306</v>
      </c>
      <c r="C109" s="79">
        <v>37012</v>
      </c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2:12" s="1" customFormat="1" ht="12.75">
      <c r="B110" s="74" t="s">
        <v>289</v>
      </c>
      <c r="C110" s="20" t="s">
        <v>229</v>
      </c>
      <c r="D110" s="20"/>
      <c r="E110" s="20"/>
      <c r="F110" s="20"/>
      <c r="G110" s="20"/>
      <c r="H110" s="20"/>
      <c r="I110" s="20"/>
      <c r="J110" s="20"/>
      <c r="K110" s="20"/>
      <c r="L110" s="20"/>
    </row>
    <row r="111" spans="2:12" s="1" customFormat="1" ht="12.75">
      <c r="B111" s="74" t="s">
        <v>290</v>
      </c>
      <c r="C111" s="23" t="s">
        <v>111</v>
      </c>
      <c r="D111" s="20"/>
      <c r="E111" s="20"/>
      <c r="F111" s="20"/>
      <c r="G111" s="20"/>
      <c r="H111" s="20"/>
      <c r="I111" s="20"/>
      <c r="J111" s="20"/>
      <c r="K111" s="20"/>
      <c r="L111" s="20"/>
    </row>
    <row r="112" spans="2:12" s="1" customFormat="1" ht="12.75">
      <c r="B112" s="74"/>
      <c r="C112" s="23"/>
      <c r="D112" s="20"/>
      <c r="E112" s="20"/>
      <c r="F112" s="20"/>
      <c r="G112" s="20"/>
      <c r="H112" s="20"/>
      <c r="I112" s="20"/>
      <c r="J112" s="20"/>
      <c r="K112" s="20"/>
      <c r="L112" s="20"/>
    </row>
    <row r="113" spans="2:12" s="1" customFormat="1" ht="12.75">
      <c r="B113" s="75" t="s">
        <v>209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</row>
    <row r="114" spans="2:12" s="1" customFormat="1" ht="12.75">
      <c r="B114" s="74"/>
      <c r="C114" s="20"/>
      <c r="D114" s="20"/>
      <c r="E114" s="20"/>
      <c r="F114" s="20"/>
      <c r="G114" s="20"/>
      <c r="H114" s="20"/>
      <c r="I114" s="20"/>
      <c r="J114" s="20"/>
      <c r="K114" s="20"/>
      <c r="L114" s="20"/>
    </row>
    <row r="115" spans="2:12" s="1" customFormat="1" ht="12.75">
      <c r="B115" s="74" t="s">
        <v>285</v>
      </c>
      <c r="C115" s="20" t="s">
        <v>207</v>
      </c>
      <c r="D115" s="20"/>
      <c r="E115" s="20"/>
      <c r="F115" s="20"/>
      <c r="G115" s="20"/>
      <c r="H115" s="20"/>
      <c r="I115" s="20"/>
      <c r="J115" s="20"/>
      <c r="K115" s="20"/>
      <c r="L115" s="20"/>
    </row>
    <row r="116" spans="2:12" s="1" customFormat="1" ht="12.75">
      <c r="B116" s="74" t="s">
        <v>286</v>
      </c>
      <c r="C116" s="20" t="s">
        <v>160</v>
      </c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2:12" s="1" customFormat="1" ht="12.75">
      <c r="B117" s="74" t="s">
        <v>287</v>
      </c>
      <c r="C117" s="20" t="s">
        <v>160</v>
      </c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2:12" s="1" customFormat="1" ht="12.75">
      <c r="B118" s="74" t="s">
        <v>288</v>
      </c>
      <c r="C118" s="23" t="s">
        <v>221</v>
      </c>
      <c r="D118" s="20"/>
      <c r="E118" s="20"/>
      <c r="F118" s="20"/>
      <c r="G118" s="20"/>
      <c r="H118" s="20"/>
      <c r="I118" s="20"/>
      <c r="J118" s="20"/>
      <c r="K118" s="20"/>
      <c r="L118" s="20"/>
    </row>
    <row r="119" spans="2:12" s="1" customFormat="1" ht="12.75">
      <c r="B119" s="20" t="s">
        <v>306</v>
      </c>
      <c r="C119" s="79">
        <v>37012</v>
      </c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2:12" s="1" customFormat="1" ht="12.75">
      <c r="B120" s="74" t="s">
        <v>289</v>
      </c>
      <c r="C120" s="20" t="s">
        <v>230</v>
      </c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2:12" s="1" customFormat="1" ht="12.75">
      <c r="B121" s="74" t="s">
        <v>290</v>
      </c>
      <c r="C121" s="23" t="s">
        <v>163</v>
      </c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2:12" s="1" customFormat="1" ht="12.75">
      <c r="B122" s="74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pans="2:12" s="1" customFormat="1" ht="12.75">
      <c r="B123" s="74"/>
      <c r="C123" s="20"/>
      <c r="D123" s="20"/>
      <c r="E123" s="20"/>
      <c r="F123" s="20"/>
      <c r="G123" s="20"/>
      <c r="H123" s="20"/>
      <c r="I123" s="20"/>
      <c r="J123" s="20"/>
      <c r="K123" s="20"/>
      <c r="L123" s="20"/>
    </row>
    <row r="124" spans="2:12" s="1" customFormat="1" ht="12.75">
      <c r="B124" s="75" t="s">
        <v>268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2:12" s="1" customFormat="1" ht="12.75">
      <c r="B125" s="74"/>
      <c r="C125" s="20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2:12" s="1" customFormat="1" ht="25.5">
      <c r="B126" s="74" t="s">
        <v>285</v>
      </c>
      <c r="C126" s="70" t="s">
        <v>236</v>
      </c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2:12" s="1" customFormat="1" ht="12.75">
      <c r="B127" s="74" t="s">
        <v>286</v>
      </c>
      <c r="C127" s="20" t="s">
        <v>235</v>
      </c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2:12" s="1" customFormat="1" ht="12.75">
      <c r="B128" s="74" t="s">
        <v>287</v>
      </c>
      <c r="C128" s="20" t="s">
        <v>235</v>
      </c>
      <c r="D128" s="20"/>
      <c r="E128" s="20"/>
      <c r="F128" s="20"/>
      <c r="G128" s="20"/>
      <c r="H128" s="20"/>
      <c r="I128" s="20"/>
      <c r="J128" s="20"/>
      <c r="K128" s="20"/>
      <c r="L128" s="20"/>
    </row>
    <row r="129" spans="2:12" s="1" customFormat="1" ht="12.75">
      <c r="B129" s="74" t="s">
        <v>288</v>
      </c>
      <c r="C129" s="23" t="s">
        <v>237</v>
      </c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2:12" s="1" customFormat="1" ht="12.75">
      <c r="B130" s="20" t="s">
        <v>306</v>
      </c>
      <c r="C130" s="79">
        <v>37196</v>
      </c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2:12" s="1" customFormat="1" ht="12.75">
      <c r="B131" s="74" t="s">
        <v>289</v>
      </c>
      <c r="C131" s="70" t="s">
        <v>256</v>
      </c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2:12" s="1" customFormat="1" ht="12.75">
      <c r="B132" s="74" t="s">
        <v>290</v>
      </c>
      <c r="C132" s="23" t="s">
        <v>279</v>
      </c>
      <c r="D132" s="20"/>
      <c r="E132" s="20"/>
      <c r="F132" s="20"/>
      <c r="G132" s="20"/>
      <c r="H132" s="20"/>
      <c r="I132" s="20"/>
      <c r="J132" s="20"/>
      <c r="K132" s="20"/>
      <c r="L132" s="20"/>
    </row>
    <row r="133" spans="2:12" s="1" customFormat="1" ht="12.75">
      <c r="B133" s="74"/>
      <c r="C133" s="23"/>
      <c r="D133" s="20"/>
      <c r="E133" s="20"/>
      <c r="F133" s="20"/>
      <c r="G133" s="20"/>
      <c r="H133" s="20"/>
      <c r="I133" s="20"/>
      <c r="J133" s="20"/>
      <c r="K133" s="20"/>
      <c r="L133" s="20"/>
    </row>
    <row r="134" spans="2:12" s="1" customFormat="1" ht="12.75">
      <c r="B134" s="75" t="s">
        <v>269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2:12" s="1" customFormat="1" ht="12.75">
      <c r="B135" s="74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2:12" s="1" customFormat="1" ht="25.5">
      <c r="B136" s="74" t="s">
        <v>285</v>
      </c>
      <c r="C136" s="70" t="s">
        <v>236</v>
      </c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2:12" s="1" customFormat="1" ht="12.75">
      <c r="B137" s="74" t="s">
        <v>286</v>
      </c>
      <c r="C137" s="20" t="s">
        <v>235</v>
      </c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2:12" s="1" customFormat="1" ht="12.75">
      <c r="B138" s="74" t="s">
        <v>287</v>
      </c>
      <c r="C138" s="20" t="s">
        <v>235</v>
      </c>
      <c r="D138" s="20"/>
      <c r="E138" s="20"/>
      <c r="F138" s="20"/>
      <c r="G138" s="20"/>
      <c r="H138" s="20"/>
      <c r="I138" s="20"/>
      <c r="J138" s="20"/>
      <c r="K138" s="20"/>
      <c r="L138" s="20"/>
    </row>
    <row r="139" spans="2:12" s="1" customFormat="1" ht="12.75">
      <c r="B139" s="74" t="s">
        <v>288</v>
      </c>
      <c r="C139" s="23" t="s">
        <v>238</v>
      </c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2:12" s="1" customFormat="1" ht="12.75">
      <c r="B140" s="20" t="s">
        <v>306</v>
      </c>
      <c r="C140" s="79">
        <v>37226</v>
      </c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2:12" s="1" customFormat="1" ht="12.75">
      <c r="B141" s="74" t="s">
        <v>289</v>
      </c>
      <c r="C141" s="70" t="s">
        <v>257</v>
      </c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2:12" s="1" customFormat="1" ht="12.75">
      <c r="B142" s="74" t="s">
        <v>290</v>
      </c>
      <c r="C142" s="23" t="s">
        <v>249</v>
      </c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2:12" s="1" customFormat="1" ht="12.75">
      <c r="B143" s="74"/>
      <c r="C143" s="23"/>
      <c r="D143" s="20"/>
      <c r="E143" s="20"/>
      <c r="F143" s="20"/>
      <c r="G143" s="20"/>
      <c r="H143" s="20"/>
      <c r="I143" s="20"/>
      <c r="J143" s="20"/>
      <c r="K143" s="20"/>
      <c r="L143" s="20"/>
    </row>
    <row r="144" spans="2:12" s="1" customFormat="1" ht="12.75">
      <c r="B144" s="75" t="s">
        <v>270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</row>
    <row r="145" spans="2:12" s="1" customFormat="1" ht="12.75">
      <c r="B145" s="74"/>
      <c r="C145" s="20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2:12" s="1" customFormat="1" ht="25.5">
      <c r="B146" s="74" t="s">
        <v>285</v>
      </c>
      <c r="C146" s="70" t="s">
        <v>236</v>
      </c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2:12" s="1" customFormat="1" ht="12.75">
      <c r="B147" s="20" t="s">
        <v>286</v>
      </c>
      <c r="C147" s="20" t="s">
        <v>235</v>
      </c>
      <c r="D147" s="20"/>
      <c r="E147" s="20"/>
      <c r="F147" s="20"/>
      <c r="G147" s="20"/>
      <c r="H147" s="20"/>
      <c r="I147" s="20"/>
      <c r="J147" s="20"/>
      <c r="K147" s="20"/>
      <c r="L147" s="20"/>
    </row>
    <row r="148" spans="2:12" s="1" customFormat="1" ht="12.75">
      <c r="B148" s="20" t="s">
        <v>287</v>
      </c>
      <c r="C148" s="20" t="s">
        <v>235</v>
      </c>
      <c r="D148" s="20"/>
      <c r="E148" s="20"/>
      <c r="F148" s="20"/>
      <c r="G148" s="20"/>
      <c r="H148" s="20"/>
      <c r="I148" s="20"/>
      <c r="J148" s="20"/>
      <c r="K148" s="20"/>
      <c r="L148" s="20"/>
    </row>
    <row r="149" spans="2:12" s="1" customFormat="1" ht="12.75">
      <c r="B149" s="20" t="s">
        <v>288</v>
      </c>
      <c r="C149" s="23" t="s">
        <v>239</v>
      </c>
      <c r="D149" s="20"/>
      <c r="E149" s="20"/>
      <c r="F149" s="20"/>
      <c r="G149" s="20"/>
      <c r="H149" s="20"/>
      <c r="I149" s="20"/>
      <c r="J149" s="20"/>
      <c r="K149" s="20"/>
      <c r="L149" s="20"/>
    </row>
    <row r="150" spans="2:12" s="1" customFormat="1" ht="12.75">
      <c r="B150" s="20" t="s">
        <v>306</v>
      </c>
      <c r="C150" s="79">
        <v>37196</v>
      </c>
      <c r="D150" s="20"/>
      <c r="E150" s="20"/>
      <c r="F150" s="20"/>
      <c r="G150" s="20"/>
      <c r="H150" s="20"/>
      <c r="I150" s="20"/>
      <c r="J150" s="20"/>
      <c r="K150" s="20"/>
      <c r="L150" s="20"/>
    </row>
    <row r="151" spans="2:12" s="1" customFormat="1" ht="12.75">
      <c r="B151" s="20" t="s">
        <v>289</v>
      </c>
      <c r="C151" s="70" t="s">
        <v>277</v>
      </c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2:12" s="1" customFormat="1" ht="12" customHeight="1">
      <c r="B152" s="20" t="s">
        <v>290</v>
      </c>
      <c r="C152" s="23" t="s">
        <v>280</v>
      </c>
      <c r="D152" s="20"/>
      <c r="E152" s="20"/>
      <c r="F152" s="20"/>
      <c r="G152" s="20"/>
      <c r="H152" s="20"/>
      <c r="I152" s="20"/>
      <c r="J152" s="20"/>
      <c r="K152" s="20"/>
      <c r="L152" s="2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592"/>
  <sheetViews>
    <sheetView zoomScale="75" zoomScaleNormal="75" workbookViewId="0" topLeftCell="B169">
      <selection activeCell="C14" sqref="C14"/>
    </sheetView>
  </sheetViews>
  <sheetFormatPr defaultColWidth="9.140625" defaultRowHeight="12.75"/>
  <cols>
    <col min="1" max="1" width="3.421875" style="25" hidden="1" customWidth="1"/>
    <col min="2" max="2" width="18.57421875" style="25" customWidth="1"/>
    <col min="3" max="3" width="8.28125" style="25" customWidth="1"/>
    <col min="4" max="4" width="8.8515625" style="10" customWidth="1"/>
    <col min="5" max="5" width="6.140625" style="10" customWidth="1"/>
    <col min="6" max="6" width="3.140625" style="10" customWidth="1"/>
    <col min="7" max="7" width="10.00390625" style="25" customWidth="1"/>
    <col min="8" max="8" width="4.28125" style="25" customWidth="1"/>
    <col min="9" max="9" width="10.57421875" style="26" customWidth="1"/>
    <col min="10" max="10" width="2.8515625" style="25" customWidth="1"/>
    <col min="11" max="11" width="10.57421875" style="25" customWidth="1"/>
    <col min="12" max="12" width="3.140625" style="25" bestFit="1" customWidth="1"/>
    <col min="13" max="13" width="7.57421875" style="25" bestFit="1" customWidth="1"/>
    <col min="14" max="14" width="2.140625" style="25" customWidth="1"/>
    <col min="15" max="15" width="7.57421875" style="25" bestFit="1" customWidth="1"/>
    <col min="16" max="16" width="2.28125" style="25" customWidth="1"/>
    <col min="17" max="17" width="7.57421875" style="25" bestFit="1" customWidth="1"/>
    <col min="18" max="18" width="2.28125" style="25" customWidth="1"/>
    <col min="19" max="19" width="7.57421875" style="25" bestFit="1" customWidth="1"/>
    <col min="20" max="20" width="2.28125" style="25" customWidth="1"/>
    <col min="21" max="21" width="7.57421875" style="25" bestFit="1" customWidth="1"/>
    <col min="22" max="22" width="2.140625" style="25" customWidth="1"/>
    <col min="23" max="23" width="7.57421875" style="25" bestFit="1" customWidth="1"/>
    <col min="24" max="24" width="3.8515625" style="25" customWidth="1"/>
    <col min="25" max="25" width="9.421875" style="25" customWidth="1"/>
    <col min="26" max="26" width="1.421875" style="25" customWidth="1"/>
    <col min="27" max="27" width="8.28125" style="25" customWidth="1"/>
    <col min="28" max="28" width="2.140625" style="25" customWidth="1"/>
    <col min="29" max="29" width="8.8515625" style="25" customWidth="1"/>
    <col min="30" max="30" width="2.421875" style="25" customWidth="1"/>
    <col min="31" max="31" width="8.8515625" style="25" customWidth="1"/>
    <col min="32" max="32" width="2.28125" style="25" customWidth="1"/>
    <col min="33" max="33" width="8.8515625" style="25" customWidth="1"/>
    <col min="34" max="34" width="2.28125" style="25" customWidth="1"/>
    <col min="35" max="16384" width="8.8515625" style="25" customWidth="1"/>
  </cols>
  <sheetData>
    <row r="1" spans="2:3" ht="12.75">
      <c r="B1" s="24" t="s">
        <v>291</v>
      </c>
      <c r="C1" s="24"/>
    </row>
    <row r="2" spans="2:12" ht="12.75">
      <c r="B2" s="27"/>
      <c r="C2" s="27"/>
      <c r="G2" s="27"/>
      <c r="H2" s="27"/>
      <c r="I2" s="28"/>
      <c r="J2" s="27"/>
      <c r="K2" s="27"/>
      <c r="L2" s="27"/>
    </row>
    <row r="3" spans="2:5" ht="12.75">
      <c r="B3" s="37"/>
      <c r="C3" s="37" t="s">
        <v>109</v>
      </c>
      <c r="D3" s="10" t="s">
        <v>12</v>
      </c>
      <c r="E3" s="10" t="s">
        <v>83</v>
      </c>
    </row>
    <row r="4" spans="2:13" ht="12.75">
      <c r="B4" s="10"/>
      <c r="C4" s="10"/>
      <c r="G4" s="12"/>
      <c r="H4" s="12"/>
      <c r="I4" s="12"/>
      <c r="J4" s="12"/>
      <c r="K4" s="12"/>
      <c r="L4" s="12"/>
      <c r="M4" s="12"/>
    </row>
    <row r="5" spans="2:13" ht="12.75">
      <c r="B5" s="10"/>
      <c r="C5" s="10"/>
      <c r="G5" s="12"/>
      <c r="H5" s="12"/>
      <c r="I5" s="12"/>
      <c r="J5" s="12"/>
      <c r="K5" s="12"/>
      <c r="L5" s="12"/>
      <c r="M5" s="12"/>
    </row>
    <row r="6" spans="1:25" ht="12.75">
      <c r="A6" s="25">
        <v>1</v>
      </c>
      <c r="B6" s="29" t="s">
        <v>144</v>
      </c>
      <c r="C6" s="29"/>
      <c r="G6" s="27" t="s">
        <v>174</v>
      </c>
      <c r="H6" s="27"/>
      <c r="I6" s="28" t="s">
        <v>175</v>
      </c>
      <c r="J6" s="27"/>
      <c r="K6" s="27" t="s">
        <v>176</v>
      </c>
      <c r="L6" s="27"/>
      <c r="M6" s="27" t="s">
        <v>211</v>
      </c>
      <c r="N6" s="27"/>
      <c r="O6" s="27" t="s">
        <v>212</v>
      </c>
      <c r="P6" s="27"/>
      <c r="Q6" s="27" t="s">
        <v>213</v>
      </c>
      <c r="R6" s="27"/>
      <c r="S6" s="27" t="s">
        <v>214</v>
      </c>
      <c r="T6" s="27"/>
      <c r="U6" s="27" t="s">
        <v>215</v>
      </c>
      <c r="V6" s="27"/>
      <c r="W6" s="27" t="s">
        <v>216</v>
      </c>
      <c r="Y6" s="25" t="s">
        <v>48</v>
      </c>
    </row>
    <row r="7" spans="2:12" ht="12.75">
      <c r="B7" s="10"/>
      <c r="C7" s="10"/>
      <c r="D7" s="37"/>
      <c r="E7" s="37"/>
      <c r="F7" s="37"/>
      <c r="G7" s="37"/>
      <c r="H7" s="37"/>
      <c r="I7" s="76"/>
      <c r="J7" s="37"/>
      <c r="K7" s="37"/>
      <c r="L7" s="27"/>
    </row>
    <row r="8" spans="2:25" ht="12.75">
      <c r="B8" s="10" t="s">
        <v>13</v>
      </c>
      <c r="C8" s="10" t="s">
        <v>303</v>
      </c>
      <c r="D8" s="10" t="s">
        <v>14</v>
      </c>
      <c r="E8" s="10" t="s">
        <v>15</v>
      </c>
      <c r="G8" s="37">
        <v>0.0028</v>
      </c>
      <c r="H8" s="37"/>
      <c r="I8" s="76">
        <v>0.0016</v>
      </c>
      <c r="J8" s="37"/>
      <c r="K8" s="37">
        <v>0.002</v>
      </c>
      <c r="L8" s="27"/>
      <c r="Y8" s="30">
        <f>AVERAGE(K8,I8,G8)</f>
        <v>0.002133333333333333</v>
      </c>
    </row>
    <row r="9" spans="2:13" ht="12.75">
      <c r="B9" s="10"/>
      <c r="C9" s="10"/>
      <c r="G9" s="32"/>
      <c r="H9" s="32"/>
      <c r="I9" s="33"/>
      <c r="J9" s="32"/>
      <c r="K9" s="32"/>
      <c r="L9" s="27"/>
      <c r="M9" s="34"/>
    </row>
    <row r="10" spans="2:13" ht="12.75">
      <c r="B10" s="10" t="s">
        <v>101</v>
      </c>
      <c r="C10" s="10"/>
      <c r="D10" s="10" t="s">
        <v>50</v>
      </c>
      <c r="F10" s="25" t="s">
        <v>29</v>
      </c>
      <c r="G10" s="37">
        <v>0.0491</v>
      </c>
      <c r="H10" s="37" t="s">
        <v>29</v>
      </c>
      <c r="I10" s="37">
        <v>0.063</v>
      </c>
      <c r="J10" s="37" t="s">
        <v>29</v>
      </c>
      <c r="K10" s="37">
        <v>0.0895</v>
      </c>
      <c r="L10" s="37"/>
      <c r="M10" s="37"/>
    </row>
    <row r="11" spans="2:13" ht="12.75">
      <c r="B11" s="10" t="s">
        <v>103</v>
      </c>
      <c r="C11" s="10"/>
      <c r="D11" s="10" t="s">
        <v>50</v>
      </c>
      <c r="F11" s="25" t="s">
        <v>29</v>
      </c>
      <c r="G11" s="37">
        <v>0.0034</v>
      </c>
      <c r="H11" s="37" t="s">
        <v>29</v>
      </c>
      <c r="I11" s="37">
        <v>0.0032</v>
      </c>
      <c r="J11" s="37" t="s">
        <v>29</v>
      </c>
      <c r="K11" s="37">
        <v>0.0033</v>
      </c>
      <c r="L11" s="37"/>
      <c r="M11" s="37"/>
    </row>
    <row r="12" spans="2:13" ht="12.75">
      <c r="B12" s="10" t="s">
        <v>104</v>
      </c>
      <c r="C12" s="10"/>
      <c r="D12" s="10" t="s">
        <v>50</v>
      </c>
      <c r="F12" s="25"/>
      <c r="G12" s="37">
        <v>0.55</v>
      </c>
      <c r="H12" s="37" t="s">
        <v>29</v>
      </c>
      <c r="I12" s="37">
        <v>0.583</v>
      </c>
      <c r="J12" s="37" t="s">
        <v>29</v>
      </c>
      <c r="K12" s="37">
        <v>0.538</v>
      </c>
      <c r="L12" s="37"/>
      <c r="M12" s="37"/>
    </row>
    <row r="13" spans="2:13" ht="12.75">
      <c r="B13" s="10" t="s">
        <v>121</v>
      </c>
      <c r="C13" s="10"/>
      <c r="D13" s="10" t="s">
        <v>50</v>
      </c>
      <c r="F13" s="25"/>
      <c r="G13" s="37">
        <v>0.0692</v>
      </c>
      <c r="H13" s="37"/>
      <c r="I13" s="37">
        <v>0.0692</v>
      </c>
      <c r="J13" s="37"/>
      <c r="K13" s="37">
        <v>0.0724</v>
      </c>
      <c r="L13" s="37"/>
      <c r="M13" s="37"/>
    </row>
    <row r="14" spans="2:13" ht="12.75">
      <c r="B14" s="10" t="s">
        <v>100</v>
      </c>
      <c r="C14" s="10"/>
      <c r="D14" s="10" t="s">
        <v>50</v>
      </c>
      <c r="F14" s="10" t="s">
        <v>29</v>
      </c>
      <c r="G14" s="32">
        <v>0.436</v>
      </c>
      <c r="H14" s="32" t="s">
        <v>29</v>
      </c>
      <c r="I14" s="33">
        <v>0.343</v>
      </c>
      <c r="J14" s="32" t="s">
        <v>29</v>
      </c>
      <c r="K14" s="32">
        <v>0.48</v>
      </c>
      <c r="L14" s="27"/>
      <c r="M14" s="61"/>
    </row>
    <row r="15" spans="2:13" ht="12.75">
      <c r="B15" s="10" t="s">
        <v>102</v>
      </c>
      <c r="C15" s="10"/>
      <c r="D15" s="10" t="s">
        <v>50</v>
      </c>
      <c r="G15" s="32">
        <v>0.132</v>
      </c>
      <c r="H15" s="32"/>
      <c r="I15" s="33">
        <v>0.109</v>
      </c>
      <c r="J15" s="32"/>
      <c r="K15" s="32">
        <v>0.106</v>
      </c>
      <c r="L15" s="27"/>
      <c r="M15" s="61"/>
    </row>
    <row r="16" spans="2:13" ht="12.75">
      <c r="B16" s="10" t="s">
        <v>116</v>
      </c>
      <c r="C16" s="10"/>
      <c r="D16" s="10" t="s">
        <v>50</v>
      </c>
      <c r="F16" s="10" t="s">
        <v>29</v>
      </c>
      <c r="G16" s="32">
        <v>0.0829</v>
      </c>
      <c r="H16" s="32" t="s">
        <v>29</v>
      </c>
      <c r="I16" s="33">
        <v>0.0352</v>
      </c>
      <c r="J16" s="32" t="s">
        <v>29</v>
      </c>
      <c r="K16" s="32">
        <v>0.12</v>
      </c>
      <c r="L16" s="27"/>
      <c r="M16" s="61"/>
    </row>
    <row r="17" spans="2:13" ht="12.75">
      <c r="B17" s="10" t="s">
        <v>117</v>
      </c>
      <c r="C17" s="10"/>
      <c r="D17" s="10" t="s">
        <v>50</v>
      </c>
      <c r="G17" s="32">
        <v>0.192</v>
      </c>
      <c r="H17" s="32"/>
      <c r="I17" s="33">
        <v>0.144</v>
      </c>
      <c r="J17" s="32"/>
      <c r="K17" s="32">
        <v>0.218</v>
      </c>
      <c r="L17" s="27"/>
      <c r="M17" s="61"/>
    </row>
    <row r="18" spans="2:13" ht="12.75">
      <c r="B18" s="10" t="s">
        <v>99</v>
      </c>
      <c r="C18" s="10"/>
      <c r="D18" s="10" t="s">
        <v>50</v>
      </c>
      <c r="F18" s="10" t="s">
        <v>29</v>
      </c>
      <c r="G18" s="32">
        <v>1.8</v>
      </c>
      <c r="H18" s="32" t="s">
        <v>29</v>
      </c>
      <c r="I18" s="33">
        <v>2.35</v>
      </c>
      <c r="J18" s="32" t="s">
        <v>29</v>
      </c>
      <c r="K18" s="32">
        <v>2.69</v>
      </c>
      <c r="L18" s="27"/>
      <c r="M18" s="61"/>
    </row>
    <row r="19" spans="2:13" ht="12.75">
      <c r="B19" s="10" t="s">
        <v>118</v>
      </c>
      <c r="C19" s="10"/>
      <c r="D19" s="10" t="s">
        <v>50</v>
      </c>
      <c r="G19" s="32">
        <v>0.094</v>
      </c>
      <c r="H19" s="32" t="s">
        <v>29</v>
      </c>
      <c r="I19" s="33">
        <v>0.104</v>
      </c>
      <c r="J19" s="32"/>
      <c r="K19" s="32">
        <v>0.112</v>
      </c>
      <c r="L19" s="27"/>
      <c r="M19" s="61"/>
    </row>
    <row r="20" spans="2:13" ht="12.75">
      <c r="B20" s="10" t="s">
        <v>106</v>
      </c>
      <c r="C20" s="10"/>
      <c r="D20" s="10" t="s">
        <v>50</v>
      </c>
      <c r="F20" s="10" t="s">
        <v>29</v>
      </c>
      <c r="G20" s="32">
        <v>0.0671</v>
      </c>
      <c r="H20" s="32" t="s">
        <v>29</v>
      </c>
      <c r="I20" s="33">
        <v>0.143</v>
      </c>
      <c r="J20" s="32" t="s">
        <v>29</v>
      </c>
      <c r="K20" s="32">
        <v>0.0903</v>
      </c>
      <c r="L20" s="27"/>
      <c r="M20" s="61"/>
    </row>
    <row r="21" spans="2:13" ht="12.75">
      <c r="B21" s="10" t="s">
        <v>107</v>
      </c>
      <c r="C21" s="10"/>
      <c r="D21" s="10" t="s">
        <v>50</v>
      </c>
      <c r="G21" s="32">
        <v>3.24</v>
      </c>
      <c r="H21" s="32"/>
      <c r="I21" s="33">
        <v>1.71</v>
      </c>
      <c r="J21" s="32"/>
      <c r="K21" s="32">
        <v>1.85</v>
      </c>
      <c r="L21" s="27"/>
      <c r="M21" s="61"/>
    </row>
    <row r="22" spans="2:13" ht="12.75">
      <c r="B22" s="10" t="s">
        <v>108</v>
      </c>
      <c r="C22" s="10"/>
      <c r="D22" s="10" t="s">
        <v>50</v>
      </c>
      <c r="F22" s="10" t="s">
        <v>29</v>
      </c>
      <c r="G22" s="32">
        <v>0.671</v>
      </c>
      <c r="H22" s="32" t="s">
        <v>29</v>
      </c>
      <c r="I22" s="33">
        <v>0.632</v>
      </c>
      <c r="J22" s="32" t="s">
        <v>29</v>
      </c>
      <c r="K22" s="32">
        <v>0.665</v>
      </c>
      <c r="L22" s="27"/>
      <c r="M22" s="61"/>
    </row>
    <row r="23" spans="2:13" ht="12.75">
      <c r="B23" s="10" t="s">
        <v>119</v>
      </c>
      <c r="C23" s="10"/>
      <c r="D23" s="10" t="s">
        <v>50</v>
      </c>
      <c r="F23" s="10" t="s">
        <v>29</v>
      </c>
      <c r="G23" s="32">
        <v>0.0336</v>
      </c>
      <c r="H23" s="32" t="s">
        <v>29</v>
      </c>
      <c r="I23" s="33">
        <v>0.0316</v>
      </c>
      <c r="J23" s="32" t="s">
        <v>29</v>
      </c>
      <c r="K23" s="32">
        <v>0.0333</v>
      </c>
      <c r="L23" s="27"/>
      <c r="M23" s="61"/>
    </row>
    <row r="24" spans="2:13" ht="12.75">
      <c r="B24" s="10" t="s">
        <v>124</v>
      </c>
      <c r="C24" s="10"/>
      <c r="D24" s="10" t="s">
        <v>50</v>
      </c>
      <c r="G24" s="32">
        <v>5.15</v>
      </c>
      <c r="H24" s="32"/>
      <c r="I24" s="33">
        <v>7.03</v>
      </c>
      <c r="J24" s="32"/>
      <c r="K24" s="32">
        <v>8.41</v>
      </c>
      <c r="L24" s="27"/>
      <c r="M24" s="61"/>
    </row>
    <row r="25" spans="2:13" ht="12.75">
      <c r="B25" s="10"/>
      <c r="C25" s="10"/>
      <c r="G25" s="32"/>
      <c r="H25" s="32"/>
      <c r="I25" s="33"/>
      <c r="J25" s="32"/>
      <c r="K25" s="32"/>
      <c r="L25" s="27"/>
      <c r="M25" s="61"/>
    </row>
    <row r="26" spans="2:13" ht="12.75">
      <c r="B26" s="10" t="s">
        <v>123</v>
      </c>
      <c r="C26" s="10" t="s">
        <v>161</v>
      </c>
      <c r="D26" s="10" t="s">
        <v>303</v>
      </c>
      <c r="L26" s="27"/>
      <c r="M26" s="35"/>
    </row>
    <row r="27" spans="2:25" ht="12.75">
      <c r="B27" s="10" t="s">
        <v>98</v>
      </c>
      <c r="C27" s="10"/>
      <c r="D27" s="10" t="s">
        <v>17</v>
      </c>
      <c r="G27" s="32">
        <f>867780/60</f>
        <v>14463</v>
      </c>
      <c r="H27" s="32"/>
      <c r="I27" s="33">
        <f>888420/60</f>
        <v>14807</v>
      </c>
      <c r="J27" s="14"/>
      <c r="K27" s="32">
        <f>904020/60</f>
        <v>15067</v>
      </c>
      <c r="X27" s="27"/>
      <c r="Y27" s="31">
        <f>AVERAGE(K27,I27,G27)</f>
        <v>14779</v>
      </c>
    </row>
    <row r="28" spans="2:25" ht="12.75">
      <c r="B28" s="10" t="s">
        <v>114</v>
      </c>
      <c r="C28" s="10"/>
      <c r="D28" s="10" t="s">
        <v>18</v>
      </c>
      <c r="G28" s="32">
        <v>9.4</v>
      </c>
      <c r="H28" s="32"/>
      <c r="I28" s="33">
        <v>9.6</v>
      </c>
      <c r="J28" s="32"/>
      <c r="K28" s="32">
        <v>9.5</v>
      </c>
      <c r="Y28" s="31">
        <f>AVERAGE(K28,I28,G28)</f>
        <v>9.5</v>
      </c>
    </row>
    <row r="29" spans="2:25" ht="12.75">
      <c r="B29" s="10" t="s">
        <v>115</v>
      </c>
      <c r="C29" s="10"/>
      <c r="D29" s="10" t="s">
        <v>18</v>
      </c>
      <c r="G29" s="32">
        <v>5.2</v>
      </c>
      <c r="H29" s="32"/>
      <c r="I29" s="33">
        <v>5.6</v>
      </c>
      <c r="J29" s="32"/>
      <c r="K29" s="32">
        <v>5.4</v>
      </c>
      <c r="Y29" s="31">
        <f>AVERAGE(K29,I29,G29)</f>
        <v>5.3999999999999995</v>
      </c>
    </row>
    <row r="30" spans="2:25" ht="12.75">
      <c r="B30" s="10" t="s">
        <v>97</v>
      </c>
      <c r="C30" s="10"/>
      <c r="D30" s="10" t="s">
        <v>19</v>
      </c>
      <c r="G30" s="32">
        <v>98</v>
      </c>
      <c r="H30" s="32"/>
      <c r="I30" s="33">
        <v>97</v>
      </c>
      <c r="J30" s="32"/>
      <c r="K30" s="32">
        <v>97</v>
      </c>
      <c r="Y30" s="31">
        <f>AVERAGE(K30,I30,G30)</f>
        <v>97.33333333333333</v>
      </c>
    </row>
    <row r="31" spans="2:25" ht="13.5" customHeight="1">
      <c r="B31" s="10"/>
      <c r="C31" s="10"/>
      <c r="G31" s="32"/>
      <c r="H31" s="32"/>
      <c r="I31" s="33"/>
      <c r="J31" s="32"/>
      <c r="K31" s="32"/>
      <c r="Y31" s="35"/>
    </row>
    <row r="32" spans="2:25" ht="12.75">
      <c r="B32" s="10" t="s">
        <v>101</v>
      </c>
      <c r="C32" s="10" t="s">
        <v>303</v>
      </c>
      <c r="D32" s="10" t="s">
        <v>71</v>
      </c>
      <c r="E32" s="10" t="s">
        <v>15</v>
      </c>
      <c r="F32" s="25" t="s">
        <v>29</v>
      </c>
      <c r="G32" s="44">
        <f>G10/60/0.0283/G$27*(21-7)/(21-G$28)*1000000</f>
        <v>2.4129896909133057</v>
      </c>
      <c r="H32" s="37" t="s">
        <v>29</v>
      </c>
      <c r="I32" s="44">
        <f>I10/60/0.0283/I$27*(21-7)/(21-I$28)*1000000</f>
        <v>3.0772230119660384</v>
      </c>
      <c r="J32" s="37" t="s">
        <v>29</v>
      </c>
      <c r="K32" s="44">
        <f aca="true" t="shared" si="0" ref="K32:K45">K10/60/0.0283/K$27*(21-7)/(21-K$28)*1000000</f>
        <v>4.258814817925182</v>
      </c>
      <c r="X32" s="37">
        <v>100</v>
      </c>
      <c r="Y32" s="31">
        <f aca="true" t="shared" si="1" ref="Y32:Y47">AVERAGE(K32,I32,G32)</f>
        <v>3.249675840268175</v>
      </c>
    </row>
    <row r="33" spans="2:25" ht="12.75">
      <c r="B33" s="10" t="s">
        <v>103</v>
      </c>
      <c r="C33" s="10" t="s">
        <v>303</v>
      </c>
      <c r="D33" s="10" t="s">
        <v>71</v>
      </c>
      <c r="E33" s="10" t="s">
        <v>15</v>
      </c>
      <c r="F33" s="25" t="s">
        <v>29</v>
      </c>
      <c r="G33" s="44">
        <f aca="true" t="shared" si="2" ref="G33:I45">G11/60/0.0283/G$27*(21-7)/(21-G$28)*1000000</f>
        <v>0.1670909358269906</v>
      </c>
      <c r="H33" s="37" t="s">
        <v>29</v>
      </c>
      <c r="I33" s="44">
        <f t="shared" si="2"/>
        <v>0.15630339108398927</v>
      </c>
      <c r="J33" s="37" t="s">
        <v>29</v>
      </c>
      <c r="K33" s="44">
        <f t="shared" si="0"/>
        <v>0.15702892624752066</v>
      </c>
      <c r="X33" s="37">
        <v>100</v>
      </c>
      <c r="Y33" s="31">
        <f t="shared" si="1"/>
        <v>0.16014108438616684</v>
      </c>
    </row>
    <row r="34" spans="2:25" ht="12.75">
      <c r="B34" s="10" t="s">
        <v>104</v>
      </c>
      <c r="C34" s="10" t="s">
        <v>303</v>
      </c>
      <c r="D34" s="10" t="s">
        <v>71</v>
      </c>
      <c r="E34" s="10" t="s">
        <v>15</v>
      </c>
      <c r="F34" s="25"/>
      <c r="G34" s="44">
        <f t="shared" si="2"/>
        <v>27.029416089660245</v>
      </c>
      <c r="H34" s="37" t="s">
        <v>29</v>
      </c>
      <c r="I34" s="44">
        <f t="shared" si="2"/>
        <v>28.476524063114294</v>
      </c>
      <c r="J34" s="37" t="s">
        <v>29</v>
      </c>
      <c r="K34" s="44">
        <f t="shared" si="0"/>
        <v>25.600473430656397</v>
      </c>
      <c r="X34" s="37">
        <f>(I34+K34)/(Y34*3)*100</f>
        <v>66.67413229675584</v>
      </c>
      <c r="Y34" s="31">
        <f t="shared" si="1"/>
        <v>27.03547119447698</v>
      </c>
    </row>
    <row r="35" spans="2:25" ht="12.75">
      <c r="B35" s="10" t="s">
        <v>121</v>
      </c>
      <c r="C35" s="10" t="s">
        <v>303</v>
      </c>
      <c r="D35" s="10" t="s">
        <v>71</v>
      </c>
      <c r="E35" s="10" t="s">
        <v>15</v>
      </c>
      <c r="F35" s="25"/>
      <c r="G35" s="44">
        <f t="shared" si="2"/>
        <v>3.400791988008162</v>
      </c>
      <c r="H35" s="37"/>
      <c r="I35" s="44">
        <f t="shared" si="2"/>
        <v>3.3800608321912686</v>
      </c>
      <c r="J35" s="37"/>
      <c r="K35" s="44">
        <f t="shared" si="0"/>
        <v>3.4451194728243926</v>
      </c>
      <c r="X35" s="37"/>
      <c r="Y35" s="31">
        <f t="shared" si="1"/>
        <v>3.4086574310079407</v>
      </c>
    </row>
    <row r="36" spans="2:25" ht="12.75">
      <c r="B36" s="10" t="s">
        <v>100</v>
      </c>
      <c r="C36" s="10" t="s">
        <v>303</v>
      </c>
      <c r="D36" s="10" t="s">
        <v>71</v>
      </c>
      <c r="E36" s="10" t="s">
        <v>15</v>
      </c>
      <c r="F36" s="10" t="s">
        <v>29</v>
      </c>
      <c r="G36" s="44">
        <f t="shared" si="2"/>
        <v>21.426955300167034</v>
      </c>
      <c r="H36" s="32" t="s">
        <v>29</v>
      </c>
      <c r="I36" s="44">
        <f t="shared" si="2"/>
        <v>16.753769731815105</v>
      </c>
      <c r="J36" s="32" t="s">
        <v>29</v>
      </c>
      <c r="K36" s="44">
        <f t="shared" si="0"/>
        <v>22.840571090548455</v>
      </c>
      <c r="X36" s="37">
        <v>100</v>
      </c>
      <c r="Y36" s="31">
        <f t="shared" si="1"/>
        <v>20.340432040843535</v>
      </c>
    </row>
    <row r="37" spans="2:25" ht="12.75">
      <c r="B37" s="10" t="s">
        <v>102</v>
      </c>
      <c r="C37" s="10" t="s">
        <v>303</v>
      </c>
      <c r="D37" s="10" t="s">
        <v>71</v>
      </c>
      <c r="E37" s="10" t="s">
        <v>15</v>
      </c>
      <c r="G37" s="44">
        <f t="shared" si="2"/>
        <v>6.48705986151846</v>
      </c>
      <c r="H37" s="32"/>
      <c r="I37" s="44">
        <f t="shared" si="2"/>
        <v>5.324084258798386</v>
      </c>
      <c r="J37" s="32"/>
      <c r="K37" s="44">
        <f t="shared" si="0"/>
        <v>5.043959449162784</v>
      </c>
      <c r="X37" s="27"/>
      <c r="Y37" s="31">
        <f t="shared" si="1"/>
        <v>5.618367856493211</v>
      </c>
    </row>
    <row r="38" spans="2:25" ht="12.75">
      <c r="B38" s="10" t="s">
        <v>116</v>
      </c>
      <c r="C38" s="10" t="s">
        <v>303</v>
      </c>
      <c r="D38" s="10" t="s">
        <v>71</v>
      </c>
      <c r="E38" s="10" t="s">
        <v>15</v>
      </c>
      <c r="F38" s="10" t="s">
        <v>29</v>
      </c>
      <c r="G38" s="44">
        <f t="shared" si="2"/>
        <v>4.074070170605154</v>
      </c>
      <c r="H38" s="32" t="s">
        <v>29</v>
      </c>
      <c r="I38" s="44">
        <f t="shared" si="2"/>
        <v>1.7193373019238822</v>
      </c>
      <c r="J38" s="32" t="s">
        <v>29</v>
      </c>
      <c r="K38" s="44">
        <f t="shared" si="0"/>
        <v>5.710142772637114</v>
      </c>
      <c r="X38" s="37">
        <v>100</v>
      </c>
      <c r="Y38" s="31">
        <f t="shared" si="1"/>
        <v>3.8345167483887166</v>
      </c>
    </row>
    <row r="39" spans="2:25" ht="12.75">
      <c r="B39" s="10" t="s">
        <v>117</v>
      </c>
      <c r="C39" s="10" t="s">
        <v>303</v>
      </c>
      <c r="D39" s="10" t="s">
        <v>71</v>
      </c>
      <c r="E39" s="10" t="s">
        <v>15</v>
      </c>
      <c r="G39" s="44">
        <f t="shared" si="2"/>
        <v>9.435723434935941</v>
      </c>
      <c r="H39" s="32"/>
      <c r="I39" s="44">
        <f t="shared" si="2"/>
        <v>7.0336525987795175</v>
      </c>
      <c r="J39" s="32"/>
      <c r="K39" s="44">
        <f t="shared" si="0"/>
        <v>10.373426036957426</v>
      </c>
      <c r="X39" s="27"/>
      <c r="Y39" s="31">
        <f t="shared" si="1"/>
        <v>8.947600690224295</v>
      </c>
    </row>
    <row r="40" spans="2:27" ht="12.75">
      <c r="B40" s="10" t="s">
        <v>99</v>
      </c>
      <c r="C40" s="10" t="s">
        <v>303</v>
      </c>
      <c r="D40" s="10" t="s">
        <v>71</v>
      </c>
      <c r="E40" s="10" t="s">
        <v>15</v>
      </c>
      <c r="F40" s="10" t="s">
        <v>29</v>
      </c>
      <c r="G40" s="44">
        <f t="shared" si="2"/>
        <v>88.45990720252446</v>
      </c>
      <c r="H40" s="32" t="s">
        <v>29</v>
      </c>
      <c r="I40" s="44">
        <f t="shared" si="2"/>
        <v>114.78530282730465</v>
      </c>
      <c r="J40" s="32" t="s">
        <v>29</v>
      </c>
      <c r="K40" s="44">
        <f t="shared" si="0"/>
        <v>128.00236715328197</v>
      </c>
      <c r="X40" s="37">
        <v>100</v>
      </c>
      <c r="Y40" s="31">
        <f t="shared" si="1"/>
        <v>110.41585906103701</v>
      </c>
      <c r="AA40" s="25" t="s">
        <v>334</v>
      </c>
    </row>
    <row r="41" spans="2:25" ht="12.75">
      <c r="B41" s="10" t="s">
        <v>118</v>
      </c>
      <c r="C41" s="10" t="s">
        <v>303</v>
      </c>
      <c r="D41" s="10" t="s">
        <v>71</v>
      </c>
      <c r="E41" s="10" t="s">
        <v>15</v>
      </c>
      <c r="G41" s="44">
        <f t="shared" si="2"/>
        <v>4.619572931687388</v>
      </c>
      <c r="H41" s="32" t="s">
        <v>29</v>
      </c>
      <c r="I41" s="44">
        <f t="shared" si="2"/>
        <v>5.0798602102296515</v>
      </c>
      <c r="J41" s="32"/>
      <c r="K41" s="44">
        <f t="shared" si="0"/>
        <v>5.3294665877946406</v>
      </c>
      <c r="X41" s="37">
        <f>(I41)/(Y41*3)*100</f>
        <v>33.80061282987285</v>
      </c>
      <c r="Y41" s="31">
        <f t="shared" si="1"/>
        <v>5.009633243237227</v>
      </c>
    </row>
    <row r="42" spans="2:25" ht="12.75">
      <c r="B42" s="10" t="s">
        <v>106</v>
      </c>
      <c r="C42" s="10" t="s">
        <v>303</v>
      </c>
      <c r="D42" s="10" t="s">
        <v>71</v>
      </c>
      <c r="E42" s="10" t="s">
        <v>15</v>
      </c>
      <c r="F42" s="10" t="s">
        <v>29</v>
      </c>
      <c r="G42" s="44">
        <f t="shared" si="2"/>
        <v>3.2975887629385503</v>
      </c>
      <c r="H42" s="32" t="s">
        <v>29</v>
      </c>
      <c r="I42" s="44">
        <f t="shared" si="2"/>
        <v>6.984807789065772</v>
      </c>
      <c r="J42" s="32" t="s">
        <v>29</v>
      </c>
      <c r="K42" s="44">
        <f t="shared" si="0"/>
        <v>4.296882436409429</v>
      </c>
      <c r="X42" s="37">
        <v>100</v>
      </c>
      <c r="Y42" s="31">
        <f t="shared" si="1"/>
        <v>4.859759662804584</v>
      </c>
    </row>
    <row r="43" spans="2:25" ht="12.75">
      <c r="B43" s="10" t="s">
        <v>107</v>
      </c>
      <c r="C43" s="10" t="s">
        <v>303</v>
      </c>
      <c r="D43" s="10" t="s">
        <v>71</v>
      </c>
      <c r="E43" s="10" t="s">
        <v>15</v>
      </c>
      <c r="G43" s="44">
        <f t="shared" si="2"/>
        <v>159.227832964544</v>
      </c>
      <c r="H43" s="32"/>
      <c r="I43" s="44">
        <f t="shared" si="2"/>
        <v>83.52462461050679</v>
      </c>
      <c r="J43" s="32"/>
      <c r="K43" s="44">
        <f t="shared" si="0"/>
        <v>88.03136774482218</v>
      </c>
      <c r="X43" s="27"/>
      <c r="Y43" s="31">
        <f t="shared" si="1"/>
        <v>110.26127510662432</v>
      </c>
    </row>
    <row r="44" spans="2:25" ht="12.75">
      <c r="B44" s="10" t="s">
        <v>108</v>
      </c>
      <c r="C44" s="10" t="s">
        <v>303</v>
      </c>
      <c r="D44" s="10" t="s">
        <v>71</v>
      </c>
      <c r="E44" s="10" t="s">
        <v>15</v>
      </c>
      <c r="F44" s="10" t="s">
        <v>29</v>
      </c>
      <c r="G44" s="44">
        <f t="shared" si="2"/>
        <v>32.975887629385504</v>
      </c>
      <c r="H44" s="32" t="s">
        <v>29</v>
      </c>
      <c r="I44" s="44">
        <f t="shared" si="2"/>
        <v>30.869919739087887</v>
      </c>
      <c r="J44" s="32" t="s">
        <v>29</v>
      </c>
      <c r="K44" s="44">
        <f t="shared" si="0"/>
        <v>31.643707865030677</v>
      </c>
      <c r="X44" s="37">
        <v>100</v>
      </c>
      <c r="Y44" s="31">
        <f t="shared" si="1"/>
        <v>31.829838411168026</v>
      </c>
    </row>
    <row r="45" spans="2:25" ht="12.75">
      <c r="B45" s="10" t="s">
        <v>119</v>
      </c>
      <c r="C45" s="10" t="s">
        <v>303</v>
      </c>
      <c r="D45" s="10" t="s">
        <v>71</v>
      </c>
      <c r="E45" s="10" t="s">
        <v>15</v>
      </c>
      <c r="F45" s="10" t="s">
        <v>29</v>
      </c>
      <c r="G45" s="44">
        <f t="shared" si="2"/>
        <v>1.6512516011137897</v>
      </c>
      <c r="H45" s="32" t="s">
        <v>29</v>
      </c>
      <c r="I45" s="44">
        <f t="shared" si="2"/>
        <v>1.5434959869543943</v>
      </c>
      <c r="J45" s="32" t="s">
        <v>29</v>
      </c>
      <c r="K45" s="44">
        <f t="shared" si="0"/>
        <v>1.5845646194067995</v>
      </c>
      <c r="X45" s="37">
        <v>100</v>
      </c>
      <c r="Y45" s="31">
        <f t="shared" si="1"/>
        <v>1.593104069158328</v>
      </c>
    </row>
    <row r="46" spans="2:25" ht="12.75">
      <c r="B46" s="10" t="s">
        <v>72</v>
      </c>
      <c r="C46" s="10" t="s">
        <v>303</v>
      </c>
      <c r="D46" s="10" t="s">
        <v>71</v>
      </c>
      <c r="E46" s="10" t="s">
        <v>15</v>
      </c>
      <c r="G46" s="11">
        <f>G34+G40</f>
        <v>115.48932329218471</v>
      </c>
      <c r="H46" s="11"/>
      <c r="I46" s="11">
        <f>I34+I40</f>
        <v>143.26182689041894</v>
      </c>
      <c r="J46" s="11"/>
      <c r="K46" s="11">
        <f>K34+K40</f>
        <v>153.60284058393836</v>
      </c>
      <c r="X46" s="27"/>
      <c r="Y46" s="31">
        <f t="shared" si="1"/>
        <v>137.451330255514</v>
      </c>
    </row>
    <row r="47" spans="2:25" ht="12.75">
      <c r="B47" s="10" t="s">
        <v>73</v>
      </c>
      <c r="C47" s="10" t="s">
        <v>303</v>
      </c>
      <c r="D47" s="10" t="s">
        <v>71</v>
      </c>
      <c r="E47" s="10" t="s">
        <v>15</v>
      </c>
      <c r="F47" s="10">
        <f>(G33+G32)/G47*100</f>
        <v>43.13886606409203</v>
      </c>
      <c r="G47" s="12">
        <f>G33+G32+G35</f>
        <v>5.980872614748458</v>
      </c>
      <c r="H47" s="10">
        <f>(I33+I32)/I47*100</f>
        <v>48.89217134416543</v>
      </c>
      <c r="I47" s="12">
        <f>I33+I32+I35</f>
        <v>6.613587235241296</v>
      </c>
      <c r="J47" s="10">
        <f>(K33+K32)/K47*100</f>
        <v>56.17433414043583</v>
      </c>
      <c r="K47" s="12">
        <f>K33+K32+K35</f>
        <v>7.860963216997096</v>
      </c>
      <c r="X47" s="10">
        <f>(Y33+Y32)/Y47*100</f>
        <v>50.00850258859914</v>
      </c>
      <c r="Y47" s="31">
        <f t="shared" si="1"/>
        <v>6.818474355662283</v>
      </c>
    </row>
    <row r="48" spans="2:12" ht="12.75">
      <c r="B48" s="37"/>
      <c r="C48" s="37"/>
      <c r="G48" s="27"/>
      <c r="H48" s="27"/>
      <c r="I48" s="28"/>
      <c r="J48" s="27"/>
      <c r="K48" s="27"/>
      <c r="L48" s="27"/>
    </row>
    <row r="49" spans="1:25" ht="12.75">
      <c r="A49" s="25">
        <v>2</v>
      </c>
      <c r="B49" s="29" t="s">
        <v>145</v>
      </c>
      <c r="C49" s="29"/>
      <c r="G49" s="27" t="s">
        <v>174</v>
      </c>
      <c r="H49" s="27"/>
      <c r="I49" s="28" t="s">
        <v>175</v>
      </c>
      <c r="J49" s="27"/>
      <c r="K49" s="27" t="s">
        <v>176</v>
      </c>
      <c r="M49" s="27" t="s">
        <v>211</v>
      </c>
      <c r="N49" s="27"/>
      <c r="O49" s="27" t="s">
        <v>212</v>
      </c>
      <c r="P49" s="27"/>
      <c r="Q49" s="27" t="s">
        <v>213</v>
      </c>
      <c r="R49" s="27"/>
      <c r="S49" s="27" t="s">
        <v>214</v>
      </c>
      <c r="T49" s="27"/>
      <c r="U49" s="27" t="s">
        <v>215</v>
      </c>
      <c r="V49" s="27"/>
      <c r="W49" s="27" t="s">
        <v>216</v>
      </c>
      <c r="X49" s="27"/>
      <c r="Y49" s="25" t="s">
        <v>48</v>
      </c>
    </row>
    <row r="50" spans="2:24" ht="12.75">
      <c r="B50" s="10"/>
      <c r="C50" s="10"/>
      <c r="D50" s="37"/>
      <c r="E50" s="37"/>
      <c r="F50" s="37"/>
      <c r="G50" s="37"/>
      <c r="H50" s="37"/>
      <c r="I50" s="76"/>
      <c r="J50" s="37"/>
      <c r="K50" s="37"/>
      <c r="X50" s="27"/>
    </row>
    <row r="51" spans="2:25" ht="12.75">
      <c r="B51" s="10" t="s">
        <v>13</v>
      </c>
      <c r="C51" s="10" t="s">
        <v>303</v>
      </c>
      <c r="D51" s="10" t="s">
        <v>14</v>
      </c>
      <c r="E51" s="10" t="s">
        <v>15</v>
      </c>
      <c r="G51" s="37"/>
      <c r="H51" s="37"/>
      <c r="I51" s="76"/>
      <c r="J51" s="37"/>
      <c r="K51" s="37"/>
      <c r="X51" s="27"/>
      <c r="Y51" s="30">
        <v>0.0022</v>
      </c>
    </row>
    <row r="52" spans="2:25" ht="12.75">
      <c r="B52" s="10" t="s">
        <v>120</v>
      </c>
      <c r="C52" s="10" t="s">
        <v>303</v>
      </c>
      <c r="D52" s="10" t="s">
        <v>16</v>
      </c>
      <c r="E52" s="10" t="s">
        <v>15</v>
      </c>
      <c r="G52" s="32"/>
      <c r="H52" s="32"/>
      <c r="I52" s="33"/>
      <c r="J52" s="32"/>
      <c r="K52" s="32"/>
      <c r="X52" s="27" t="s">
        <v>29</v>
      </c>
      <c r="Y52" s="31">
        <v>1.1</v>
      </c>
    </row>
    <row r="53" spans="2:25" ht="12.75">
      <c r="B53" s="10" t="s">
        <v>141</v>
      </c>
      <c r="C53" s="10" t="s">
        <v>303</v>
      </c>
      <c r="D53" s="10" t="s">
        <v>16</v>
      </c>
      <c r="E53" s="10" t="s">
        <v>15</v>
      </c>
      <c r="G53" s="32"/>
      <c r="H53" s="32"/>
      <c r="I53" s="33"/>
      <c r="J53" s="32"/>
      <c r="K53" s="32"/>
      <c r="X53" s="27"/>
      <c r="Y53" s="31">
        <v>105</v>
      </c>
    </row>
    <row r="54" spans="2:25" ht="12.75">
      <c r="B54" s="10" t="s">
        <v>142</v>
      </c>
      <c r="C54" s="10" t="s">
        <v>303</v>
      </c>
      <c r="D54" s="10" t="s">
        <v>16</v>
      </c>
      <c r="E54" s="10" t="s">
        <v>15</v>
      </c>
      <c r="I54" s="25"/>
      <c r="X54" s="25" t="s">
        <v>29</v>
      </c>
      <c r="Y54" s="25">
        <v>2.5</v>
      </c>
    </row>
    <row r="55" spans="2:25" ht="12.75">
      <c r="B55" s="10" t="s">
        <v>231</v>
      </c>
      <c r="C55" s="10" t="s">
        <v>303</v>
      </c>
      <c r="D55" s="10" t="s">
        <v>16</v>
      </c>
      <c r="E55" s="10" t="s">
        <v>15</v>
      </c>
      <c r="G55" s="32"/>
      <c r="H55" s="32"/>
      <c r="I55" s="33"/>
      <c r="J55" s="32"/>
      <c r="K55" s="32"/>
      <c r="X55" s="27" t="s">
        <v>29</v>
      </c>
      <c r="Y55" s="34">
        <v>1</v>
      </c>
    </row>
    <row r="56" spans="2:25" ht="12.75">
      <c r="B56" s="10"/>
      <c r="C56" s="10"/>
      <c r="G56" s="32"/>
      <c r="H56" s="32"/>
      <c r="I56" s="33"/>
      <c r="J56" s="32"/>
      <c r="K56" s="32"/>
      <c r="X56" s="27"/>
      <c r="Y56" s="34"/>
    </row>
    <row r="57" spans="2:25" ht="12.75">
      <c r="B57" s="10" t="s">
        <v>55</v>
      </c>
      <c r="C57" s="10"/>
      <c r="D57" s="10" t="s">
        <v>59</v>
      </c>
      <c r="G57" s="32"/>
      <c r="H57" s="32"/>
      <c r="I57" s="33"/>
      <c r="J57" s="32"/>
      <c r="K57" s="32"/>
      <c r="X57" s="27"/>
      <c r="Y57" s="61">
        <v>0.006</v>
      </c>
    </row>
    <row r="58" spans="2:25" ht="12.75">
      <c r="B58" s="10" t="s">
        <v>56</v>
      </c>
      <c r="C58" s="10"/>
      <c r="D58" s="10" t="s">
        <v>59</v>
      </c>
      <c r="G58" s="32"/>
      <c r="H58" s="32"/>
      <c r="I58" s="33"/>
      <c r="J58" s="32"/>
      <c r="K58" s="32"/>
      <c r="X58" s="27"/>
      <c r="Y58" s="61">
        <v>0.003</v>
      </c>
    </row>
    <row r="59" spans="2:13" ht="12.75">
      <c r="B59" s="10"/>
      <c r="C59" s="10"/>
      <c r="F59" s="37"/>
      <c r="G59" s="37"/>
      <c r="H59" s="37"/>
      <c r="I59" s="37"/>
      <c r="J59" s="37"/>
      <c r="K59" s="37"/>
      <c r="L59" s="37"/>
      <c r="M59" s="37"/>
    </row>
    <row r="60" spans="2:13" ht="12.75">
      <c r="B60" s="10" t="s">
        <v>89</v>
      </c>
      <c r="C60" s="10" t="s">
        <v>58</v>
      </c>
      <c r="F60" s="37"/>
      <c r="G60" s="37"/>
      <c r="H60" s="37"/>
      <c r="I60" s="37"/>
      <c r="J60" s="37"/>
      <c r="K60" s="37"/>
      <c r="L60" s="37"/>
      <c r="M60" s="37"/>
    </row>
    <row r="61" spans="2:13" ht="12.75">
      <c r="B61" s="10" t="s">
        <v>112</v>
      </c>
      <c r="C61" s="10"/>
      <c r="D61" s="10" t="s">
        <v>59</v>
      </c>
      <c r="F61" s="37"/>
      <c r="G61" s="37">
        <v>30</v>
      </c>
      <c r="H61" s="37"/>
      <c r="I61" s="37">
        <v>30</v>
      </c>
      <c r="J61" s="37"/>
      <c r="K61" s="37">
        <v>30</v>
      </c>
      <c r="L61" s="37"/>
      <c r="M61" s="37"/>
    </row>
    <row r="62" spans="2:13" ht="12.75">
      <c r="B62" s="10" t="s">
        <v>113</v>
      </c>
      <c r="C62" s="10" t="s">
        <v>303</v>
      </c>
      <c r="D62" s="10" t="s">
        <v>59</v>
      </c>
      <c r="F62" s="37"/>
      <c r="G62" s="47">
        <v>1.62E-05</v>
      </c>
      <c r="H62" s="37"/>
      <c r="I62" s="47">
        <v>1.84E-05</v>
      </c>
      <c r="J62" s="37"/>
      <c r="K62" s="47">
        <v>1.8E-05</v>
      </c>
      <c r="L62" s="37"/>
      <c r="M62" s="37"/>
    </row>
    <row r="63" spans="2:13" ht="12.75">
      <c r="B63" s="10" t="s">
        <v>57</v>
      </c>
      <c r="C63" s="10" t="s">
        <v>303</v>
      </c>
      <c r="D63" s="10" t="s">
        <v>18</v>
      </c>
      <c r="F63" s="37"/>
      <c r="G63" s="37">
        <v>99.9999</v>
      </c>
      <c r="H63" s="37"/>
      <c r="I63" s="37">
        <v>99.9999</v>
      </c>
      <c r="J63" s="37"/>
      <c r="K63" s="37">
        <v>99.9999</v>
      </c>
      <c r="L63" s="37"/>
      <c r="M63" s="37"/>
    </row>
    <row r="64" spans="2:13" ht="12.75">
      <c r="B64" s="10"/>
      <c r="C64" s="10"/>
      <c r="F64" s="37"/>
      <c r="G64" s="37"/>
      <c r="H64" s="37"/>
      <c r="I64" s="37"/>
      <c r="J64" s="37"/>
      <c r="K64" s="37"/>
      <c r="L64" s="37"/>
      <c r="M64" s="37"/>
    </row>
    <row r="65" spans="2:13" ht="12.75">
      <c r="B65" s="10" t="s">
        <v>89</v>
      </c>
      <c r="C65" s="10" t="s">
        <v>143</v>
      </c>
      <c r="F65" s="37"/>
      <c r="G65" s="37"/>
      <c r="H65" s="37"/>
      <c r="I65" s="37"/>
      <c r="J65" s="37"/>
      <c r="K65" s="37"/>
      <c r="L65" s="37"/>
      <c r="M65" s="37"/>
    </row>
    <row r="66" spans="2:13" ht="12.75">
      <c r="B66" s="10" t="s">
        <v>112</v>
      </c>
      <c r="C66" s="10"/>
      <c r="D66" s="10" t="s">
        <v>59</v>
      </c>
      <c r="F66" s="25"/>
      <c r="G66" s="37">
        <v>30</v>
      </c>
      <c r="H66" s="37"/>
      <c r="I66" s="37">
        <v>30</v>
      </c>
      <c r="J66" s="37"/>
      <c r="K66" s="37">
        <v>30</v>
      </c>
      <c r="L66" s="37"/>
      <c r="M66" s="37"/>
    </row>
    <row r="67" spans="2:13" ht="12.75">
      <c r="B67" s="10" t="s">
        <v>113</v>
      </c>
      <c r="C67" s="10" t="s">
        <v>303</v>
      </c>
      <c r="D67" s="10" t="s">
        <v>59</v>
      </c>
      <c r="F67" s="25"/>
      <c r="G67" s="47">
        <v>0.000691</v>
      </c>
      <c r="H67" s="37"/>
      <c r="I67" s="47">
        <v>0.000703</v>
      </c>
      <c r="J67" s="37"/>
      <c r="K67" s="47">
        <v>0.00071</v>
      </c>
      <c r="L67" s="37"/>
      <c r="M67" s="37"/>
    </row>
    <row r="68" spans="2:13" ht="12.75">
      <c r="B68" s="10" t="s">
        <v>57</v>
      </c>
      <c r="C68" s="10" t="s">
        <v>303</v>
      </c>
      <c r="D68" s="10" t="s">
        <v>18</v>
      </c>
      <c r="F68" s="25"/>
      <c r="G68" s="37">
        <v>99.9977</v>
      </c>
      <c r="H68" s="37"/>
      <c r="I68" s="37">
        <v>99.9977</v>
      </c>
      <c r="J68" s="37"/>
      <c r="K68" s="37">
        <v>99.9976</v>
      </c>
      <c r="L68" s="37"/>
      <c r="M68" s="37"/>
    </row>
    <row r="69" spans="2:13" ht="12.75">
      <c r="B69" s="10"/>
      <c r="C69" s="10"/>
      <c r="G69" s="32"/>
      <c r="H69" s="32"/>
      <c r="I69" s="33"/>
      <c r="J69" s="32"/>
      <c r="K69" s="32"/>
      <c r="L69" s="27"/>
      <c r="M69" s="34"/>
    </row>
    <row r="70" spans="2:13" ht="12.75">
      <c r="B70" s="10" t="s">
        <v>123</v>
      </c>
      <c r="C70" s="10" t="s">
        <v>111</v>
      </c>
      <c r="D70" s="10" t="s">
        <v>303</v>
      </c>
      <c r="L70" s="27"/>
      <c r="M70" s="35"/>
    </row>
    <row r="71" spans="2:25" ht="12.75">
      <c r="B71" s="10" t="s">
        <v>98</v>
      </c>
      <c r="C71" s="10"/>
      <c r="D71" s="10" t="s">
        <v>17</v>
      </c>
      <c r="G71" s="32"/>
      <c r="H71" s="32"/>
      <c r="I71" s="33"/>
      <c r="J71" s="14"/>
      <c r="K71" s="32"/>
      <c r="L71" s="27"/>
      <c r="Y71" s="34">
        <f>784940/60</f>
        <v>13082.333333333334</v>
      </c>
    </row>
    <row r="72" spans="2:25" ht="12.75">
      <c r="B72" s="10" t="s">
        <v>114</v>
      </c>
      <c r="C72" s="10"/>
      <c r="D72" s="10" t="s">
        <v>18</v>
      </c>
      <c r="G72" s="32"/>
      <c r="H72" s="32"/>
      <c r="I72" s="33"/>
      <c r="J72" s="32"/>
      <c r="K72" s="32"/>
      <c r="Y72" s="31">
        <v>8.3</v>
      </c>
    </row>
    <row r="73" spans="2:25" ht="12.75">
      <c r="B73" s="10" t="s">
        <v>115</v>
      </c>
      <c r="C73" s="10"/>
      <c r="D73" s="10" t="s">
        <v>18</v>
      </c>
      <c r="G73" s="32"/>
      <c r="H73" s="32"/>
      <c r="I73" s="33"/>
      <c r="J73" s="32"/>
      <c r="K73" s="32"/>
      <c r="Y73" s="35">
        <v>4.6</v>
      </c>
    </row>
    <row r="74" spans="2:25" ht="12.75">
      <c r="B74" s="10" t="s">
        <v>97</v>
      </c>
      <c r="C74" s="10"/>
      <c r="D74" s="10" t="s">
        <v>19</v>
      </c>
      <c r="G74" s="32"/>
      <c r="H74" s="32"/>
      <c r="I74" s="33"/>
      <c r="J74" s="32"/>
      <c r="K74" s="32"/>
      <c r="Y74" s="35">
        <v>110</v>
      </c>
    </row>
    <row r="75" spans="2:25" ht="12.75">
      <c r="B75" s="10"/>
      <c r="C75" s="10"/>
      <c r="G75" s="32"/>
      <c r="H75" s="32"/>
      <c r="I75" s="33"/>
      <c r="J75" s="32"/>
      <c r="K75" s="32"/>
      <c r="Y75" s="35"/>
    </row>
    <row r="76" spans="2:25" ht="12.75">
      <c r="B76" s="10" t="s">
        <v>55</v>
      </c>
      <c r="C76" s="10" t="s">
        <v>303</v>
      </c>
      <c r="D76" s="10" t="s">
        <v>16</v>
      </c>
      <c r="E76" s="10" t="s">
        <v>15</v>
      </c>
      <c r="G76" s="11"/>
      <c r="H76" s="11"/>
      <c r="I76" s="11"/>
      <c r="J76" s="11"/>
      <c r="K76" s="11"/>
      <c r="L76" s="11"/>
      <c r="Y76" s="11">
        <f>Y57*454/60/0.0283/Y$71*(21-7)/(21-Y$72)*667.8</f>
        <v>0.09027238904794202</v>
      </c>
    </row>
    <row r="77" spans="2:25" ht="12.75">
      <c r="B77" s="10" t="s">
        <v>56</v>
      </c>
      <c r="C77" s="10" t="s">
        <v>303</v>
      </c>
      <c r="D77" s="10" t="s">
        <v>16</v>
      </c>
      <c r="E77" s="10" t="s">
        <v>15</v>
      </c>
      <c r="G77" s="11"/>
      <c r="H77" s="11"/>
      <c r="I77" s="11"/>
      <c r="J77" s="11"/>
      <c r="K77" s="11"/>
      <c r="L77" s="11"/>
      <c r="Y77" s="13">
        <f>Y58*454/60/0.0283/Y$71*(21-7)/(21-Y$72)*343.4</f>
        <v>0.02321019646530645</v>
      </c>
    </row>
    <row r="78" spans="2:25" ht="12.75">
      <c r="B78" s="10" t="s">
        <v>122</v>
      </c>
      <c r="C78" s="10" t="s">
        <v>303</v>
      </c>
      <c r="D78" s="10" t="s">
        <v>16</v>
      </c>
      <c r="E78" s="10" t="s">
        <v>15</v>
      </c>
      <c r="G78" s="12"/>
      <c r="H78" s="12"/>
      <c r="I78" s="12"/>
      <c r="J78" s="12"/>
      <c r="K78" s="12"/>
      <c r="L78" s="12"/>
      <c r="Y78" s="12">
        <f>2*Y77+Y76</f>
        <v>0.13669278197855492</v>
      </c>
    </row>
    <row r="79" spans="2:13" ht="12.75">
      <c r="B79" s="10"/>
      <c r="C79" s="10"/>
      <c r="G79" s="12"/>
      <c r="H79" s="12"/>
      <c r="I79" s="12"/>
      <c r="J79" s="12"/>
      <c r="K79" s="12"/>
      <c r="L79" s="12"/>
      <c r="M79" s="12"/>
    </row>
    <row r="80" spans="1:25" ht="12.75">
      <c r="A80" s="25">
        <v>3</v>
      </c>
      <c r="B80" s="29" t="s">
        <v>164</v>
      </c>
      <c r="C80" s="29"/>
      <c r="G80" s="27" t="s">
        <v>174</v>
      </c>
      <c r="H80" s="27"/>
      <c r="I80" s="28" t="s">
        <v>175</v>
      </c>
      <c r="J80" s="27"/>
      <c r="K80" s="27" t="s">
        <v>176</v>
      </c>
      <c r="L80" s="27"/>
      <c r="M80" s="27" t="s">
        <v>211</v>
      </c>
      <c r="N80" s="27"/>
      <c r="O80" s="27" t="s">
        <v>212</v>
      </c>
      <c r="P80" s="27"/>
      <c r="Q80" s="27" t="s">
        <v>213</v>
      </c>
      <c r="R80" s="27"/>
      <c r="S80" s="27" t="s">
        <v>214</v>
      </c>
      <c r="T80" s="27"/>
      <c r="U80" s="27" t="s">
        <v>215</v>
      </c>
      <c r="V80" s="27"/>
      <c r="W80" s="27" t="s">
        <v>216</v>
      </c>
      <c r="Y80" s="25" t="s">
        <v>48</v>
      </c>
    </row>
    <row r="81" spans="2:12" ht="12.75">
      <c r="B81" s="10"/>
      <c r="C81" s="10"/>
      <c r="D81" s="37"/>
      <c r="E81" s="37"/>
      <c r="F81" s="37"/>
      <c r="G81" s="37"/>
      <c r="H81" s="37"/>
      <c r="I81" s="76"/>
      <c r="J81" s="37"/>
      <c r="K81" s="37"/>
      <c r="L81" s="27"/>
    </row>
    <row r="82" spans="2:25" ht="12.75">
      <c r="B82" s="10" t="s">
        <v>13</v>
      </c>
      <c r="C82" s="10" t="s">
        <v>303</v>
      </c>
      <c r="D82" s="10" t="s">
        <v>14</v>
      </c>
      <c r="E82" s="10" t="s">
        <v>15</v>
      </c>
      <c r="G82" s="37"/>
      <c r="H82" s="37"/>
      <c r="I82" s="76"/>
      <c r="J82" s="37"/>
      <c r="K82" s="37"/>
      <c r="X82" s="27"/>
      <c r="Y82" s="30">
        <v>0.0045</v>
      </c>
    </row>
    <row r="83" spans="2:25" ht="12.75">
      <c r="B83" s="10" t="s">
        <v>120</v>
      </c>
      <c r="C83" s="10" t="s">
        <v>303</v>
      </c>
      <c r="D83" s="10" t="s">
        <v>16</v>
      </c>
      <c r="E83" s="10" t="s">
        <v>15</v>
      </c>
      <c r="G83" s="32"/>
      <c r="H83" s="32"/>
      <c r="I83" s="33"/>
      <c r="J83" s="32"/>
      <c r="K83" s="32"/>
      <c r="X83" s="27" t="s">
        <v>29</v>
      </c>
      <c r="Y83" s="31">
        <v>0.3</v>
      </c>
    </row>
    <row r="84" spans="2:25" ht="12.75">
      <c r="B84" s="10" t="s">
        <v>141</v>
      </c>
      <c r="C84" s="10" t="s">
        <v>303</v>
      </c>
      <c r="D84" s="10" t="s">
        <v>16</v>
      </c>
      <c r="E84" s="10" t="s">
        <v>15</v>
      </c>
      <c r="G84" s="32"/>
      <c r="H84" s="32"/>
      <c r="I84" s="33"/>
      <c r="J84" s="32"/>
      <c r="K84" s="32"/>
      <c r="X84" s="27"/>
      <c r="Y84" s="31">
        <v>98</v>
      </c>
    </row>
    <row r="85" spans="2:25" ht="12.75">
      <c r="B85" s="10" t="s">
        <v>142</v>
      </c>
      <c r="C85" s="10" t="s">
        <v>303</v>
      </c>
      <c r="D85" s="10" t="s">
        <v>16</v>
      </c>
      <c r="E85" s="10" t="s">
        <v>15</v>
      </c>
      <c r="I85" s="25"/>
      <c r="X85" s="25" t="s">
        <v>29</v>
      </c>
      <c r="Y85" s="25">
        <v>1.7</v>
      </c>
    </row>
    <row r="86" spans="2:25" ht="12.75">
      <c r="B86" s="10" t="s">
        <v>231</v>
      </c>
      <c r="C86" s="10" t="s">
        <v>303</v>
      </c>
      <c r="D86" s="10" t="s">
        <v>16</v>
      </c>
      <c r="E86" s="10" t="s">
        <v>15</v>
      </c>
      <c r="G86" s="32"/>
      <c r="H86" s="32"/>
      <c r="I86" s="33"/>
      <c r="J86" s="32"/>
      <c r="K86" s="32"/>
      <c r="X86" s="27" t="s">
        <v>29</v>
      </c>
      <c r="Y86" s="31">
        <v>1.1</v>
      </c>
    </row>
    <row r="87" spans="2:25" ht="12.75">
      <c r="B87" s="10"/>
      <c r="C87" s="10"/>
      <c r="G87" s="32"/>
      <c r="H87" s="32"/>
      <c r="I87" s="33"/>
      <c r="J87" s="32"/>
      <c r="K87" s="32"/>
      <c r="X87" s="27"/>
      <c r="Y87" s="34"/>
    </row>
    <row r="88" spans="2:25" ht="12.75">
      <c r="B88" s="10" t="s">
        <v>55</v>
      </c>
      <c r="C88" s="10"/>
      <c r="D88" s="10" t="s">
        <v>59</v>
      </c>
      <c r="G88" s="32"/>
      <c r="H88" s="32"/>
      <c r="I88" s="33"/>
      <c r="J88" s="32"/>
      <c r="K88" s="32"/>
      <c r="X88" s="27"/>
      <c r="Y88" s="61">
        <v>0.007</v>
      </c>
    </row>
    <row r="89" spans="2:25" ht="12.75">
      <c r="B89" s="10" t="s">
        <v>56</v>
      </c>
      <c r="C89" s="10"/>
      <c r="D89" s="10" t="s">
        <v>59</v>
      </c>
      <c r="G89" s="32"/>
      <c r="H89" s="32"/>
      <c r="I89" s="33"/>
      <c r="J89" s="32"/>
      <c r="K89" s="32"/>
      <c r="X89" s="27"/>
      <c r="Y89" s="61">
        <v>0.001</v>
      </c>
    </row>
    <row r="90" spans="2:25" ht="12.75">
      <c r="B90" s="10"/>
      <c r="C90" s="10"/>
      <c r="F90" s="25"/>
      <c r="G90" s="37"/>
      <c r="H90" s="37"/>
      <c r="I90" s="37"/>
      <c r="J90" s="37"/>
      <c r="K90" s="37"/>
      <c r="X90" s="37"/>
      <c r="Y90" s="37"/>
    </row>
    <row r="91" spans="2:25" ht="12.75">
      <c r="B91" s="10" t="s">
        <v>107</v>
      </c>
      <c r="C91" s="10"/>
      <c r="D91" s="10" t="s">
        <v>50</v>
      </c>
      <c r="F91" s="25"/>
      <c r="G91" s="37"/>
      <c r="H91" s="37"/>
      <c r="I91" s="37"/>
      <c r="J91" s="37"/>
      <c r="K91" s="37"/>
      <c r="X91" s="37"/>
      <c r="Y91" s="37">
        <v>0.286</v>
      </c>
    </row>
    <row r="92" spans="2:25" ht="12.75">
      <c r="B92" s="10" t="s">
        <v>102</v>
      </c>
      <c r="C92" s="10"/>
      <c r="D92" s="10" t="s">
        <v>50</v>
      </c>
      <c r="F92" s="25"/>
      <c r="G92" s="37"/>
      <c r="H92" s="37"/>
      <c r="I92" s="37"/>
      <c r="J92" s="37"/>
      <c r="K92" s="37"/>
      <c r="X92" s="37"/>
      <c r="Y92" s="37">
        <v>0.133</v>
      </c>
    </row>
    <row r="93" spans="2:25" ht="12.75">
      <c r="B93" s="10" t="s">
        <v>116</v>
      </c>
      <c r="C93" s="10"/>
      <c r="D93" s="10" t="s">
        <v>50</v>
      </c>
      <c r="F93" s="25"/>
      <c r="G93" s="37"/>
      <c r="H93" s="37"/>
      <c r="I93" s="37"/>
      <c r="J93" s="37"/>
      <c r="K93" s="37"/>
      <c r="X93" s="37"/>
      <c r="Y93" s="37">
        <v>0.018</v>
      </c>
    </row>
    <row r="94" spans="2:25" ht="12.75">
      <c r="B94" s="10" t="s">
        <v>117</v>
      </c>
      <c r="C94" s="10"/>
      <c r="D94" s="10" t="s">
        <v>50</v>
      </c>
      <c r="F94" s="25"/>
      <c r="G94" s="37"/>
      <c r="H94" s="37"/>
      <c r="I94" s="37"/>
      <c r="J94" s="37"/>
      <c r="K94" s="37"/>
      <c r="X94" s="37"/>
      <c r="Y94" s="37">
        <v>0.661</v>
      </c>
    </row>
    <row r="95" spans="2:25" ht="12.75">
      <c r="B95" s="10" t="s">
        <v>118</v>
      </c>
      <c r="C95" s="10"/>
      <c r="D95" s="10" t="s">
        <v>50</v>
      </c>
      <c r="F95" s="25"/>
      <c r="G95" s="37"/>
      <c r="H95" s="37"/>
      <c r="I95" s="37"/>
      <c r="J95" s="37"/>
      <c r="K95" s="37"/>
      <c r="X95" s="37"/>
      <c r="Y95" s="37">
        <v>0.291</v>
      </c>
    </row>
    <row r="96" spans="2:25" ht="12.75">
      <c r="B96" s="10" t="s">
        <v>106</v>
      </c>
      <c r="C96" s="10"/>
      <c r="D96" s="10" t="s">
        <v>50</v>
      </c>
      <c r="F96" s="25"/>
      <c r="G96" s="37"/>
      <c r="H96" s="37"/>
      <c r="I96" s="37"/>
      <c r="J96" s="37"/>
      <c r="K96" s="37"/>
      <c r="X96" s="37"/>
      <c r="Y96" s="37">
        <v>0.069</v>
      </c>
    </row>
    <row r="97" spans="2:25" ht="12.75">
      <c r="B97" s="10" t="s">
        <v>119</v>
      </c>
      <c r="C97" s="10"/>
      <c r="D97" s="10" t="s">
        <v>50</v>
      </c>
      <c r="F97" s="25"/>
      <c r="G97" s="37"/>
      <c r="H97" s="37"/>
      <c r="I97" s="37"/>
      <c r="J97" s="37"/>
      <c r="K97" s="37"/>
      <c r="X97" s="37"/>
      <c r="Y97" s="37">
        <v>0.009</v>
      </c>
    </row>
    <row r="98" spans="2:25" ht="12.75">
      <c r="B98" s="10" t="s">
        <v>124</v>
      </c>
      <c r="C98" s="10"/>
      <c r="D98" s="10" t="s">
        <v>50</v>
      </c>
      <c r="F98" s="25"/>
      <c r="G98" s="37"/>
      <c r="H98" s="37"/>
      <c r="I98" s="37"/>
      <c r="J98" s="37"/>
      <c r="K98" s="37"/>
      <c r="X98" s="37"/>
      <c r="Y98" s="37">
        <v>10.702</v>
      </c>
    </row>
    <row r="99" spans="2:25" ht="12.75">
      <c r="B99" s="10" t="s">
        <v>101</v>
      </c>
      <c r="C99" s="10"/>
      <c r="D99" s="10" t="s">
        <v>50</v>
      </c>
      <c r="F99" s="25"/>
      <c r="G99" s="37"/>
      <c r="H99" s="37"/>
      <c r="I99" s="37"/>
      <c r="J99" s="37"/>
      <c r="K99" s="37"/>
      <c r="X99" s="37"/>
      <c r="Y99" s="37">
        <v>1.64</v>
      </c>
    </row>
    <row r="100" spans="2:25" ht="12.75">
      <c r="B100" s="10" t="s">
        <v>103</v>
      </c>
      <c r="C100" s="10"/>
      <c r="D100" s="10" t="s">
        <v>50</v>
      </c>
      <c r="F100" s="25"/>
      <c r="G100" s="37"/>
      <c r="H100" s="37"/>
      <c r="I100" s="37"/>
      <c r="J100" s="37"/>
      <c r="K100" s="37"/>
      <c r="X100" s="37"/>
      <c r="Y100" s="37">
        <v>0.001</v>
      </c>
    </row>
    <row r="101" spans="2:25" ht="12.75">
      <c r="B101" s="10" t="s">
        <v>104</v>
      </c>
      <c r="C101" s="10"/>
      <c r="D101" s="10" t="s">
        <v>50</v>
      </c>
      <c r="F101" s="25"/>
      <c r="G101" s="37"/>
      <c r="H101" s="37"/>
      <c r="I101" s="37"/>
      <c r="J101" s="37"/>
      <c r="K101" s="37"/>
      <c r="X101" s="37"/>
      <c r="Y101" s="37">
        <v>3.638</v>
      </c>
    </row>
    <row r="102" spans="2:25" ht="12.75">
      <c r="B102" s="10" t="s">
        <v>121</v>
      </c>
      <c r="C102" s="10"/>
      <c r="D102" s="10" t="s">
        <v>50</v>
      </c>
      <c r="F102" s="25"/>
      <c r="G102" s="37"/>
      <c r="H102" s="37"/>
      <c r="I102" s="37"/>
      <c r="J102" s="37"/>
      <c r="K102" s="37"/>
      <c r="X102" s="37"/>
      <c r="Y102" s="37">
        <v>0.841</v>
      </c>
    </row>
    <row r="103" spans="2:25" ht="12.75">
      <c r="B103" s="10" t="s">
        <v>99</v>
      </c>
      <c r="C103" s="10"/>
      <c r="D103" s="10" t="s">
        <v>50</v>
      </c>
      <c r="G103" s="32"/>
      <c r="H103" s="32"/>
      <c r="I103" s="33"/>
      <c r="J103" s="32"/>
      <c r="K103" s="32"/>
      <c r="X103" s="27"/>
      <c r="Y103" s="61">
        <v>29.663</v>
      </c>
    </row>
    <row r="104" spans="2:25" ht="12.75">
      <c r="B104" s="10" t="s">
        <v>100</v>
      </c>
      <c r="C104" s="10"/>
      <c r="D104" s="10" t="s">
        <v>50</v>
      </c>
      <c r="G104" s="32"/>
      <c r="H104" s="32"/>
      <c r="I104" s="33"/>
      <c r="J104" s="32"/>
      <c r="K104" s="32"/>
      <c r="X104" s="27"/>
      <c r="Y104" s="61">
        <v>0.701</v>
      </c>
    </row>
    <row r="105" spans="2:25" ht="12.75">
      <c r="B105" s="10" t="s">
        <v>108</v>
      </c>
      <c r="C105" s="10"/>
      <c r="D105" s="10" t="s">
        <v>50</v>
      </c>
      <c r="G105" s="32"/>
      <c r="H105" s="32"/>
      <c r="I105" s="33"/>
      <c r="J105" s="32"/>
      <c r="K105" s="32"/>
      <c r="X105" s="27"/>
      <c r="Y105" s="61">
        <v>0.027</v>
      </c>
    </row>
    <row r="106" spans="2:25" ht="12.75">
      <c r="B106" s="10"/>
      <c r="C106" s="10"/>
      <c r="G106" s="32"/>
      <c r="H106" s="32"/>
      <c r="I106" s="33"/>
      <c r="J106" s="32"/>
      <c r="K106" s="32"/>
      <c r="X106" s="27"/>
      <c r="Y106" s="34"/>
    </row>
    <row r="107" spans="2:25" ht="12.75">
      <c r="B107" s="10"/>
      <c r="C107" s="10"/>
      <c r="G107" s="32"/>
      <c r="H107" s="32"/>
      <c r="I107" s="33"/>
      <c r="J107" s="32"/>
      <c r="K107" s="32"/>
      <c r="X107" s="27"/>
      <c r="Y107" s="34"/>
    </row>
    <row r="108" spans="2:25" ht="12.75">
      <c r="B108" s="10" t="s">
        <v>123</v>
      </c>
      <c r="C108" s="10" t="s">
        <v>111</v>
      </c>
      <c r="D108" s="10" t="s">
        <v>303</v>
      </c>
      <c r="X108" s="27"/>
      <c r="Y108" s="35"/>
    </row>
    <row r="109" spans="2:25" ht="12.75">
      <c r="B109" s="10" t="s">
        <v>98</v>
      </c>
      <c r="C109" s="10"/>
      <c r="D109" s="10" t="s">
        <v>17</v>
      </c>
      <c r="G109" s="32"/>
      <c r="H109" s="32"/>
      <c r="I109" s="33"/>
      <c r="J109" s="14"/>
      <c r="K109" s="32"/>
      <c r="X109" s="27"/>
      <c r="Y109" s="34">
        <v>14357</v>
      </c>
    </row>
    <row r="110" spans="2:25" ht="12.75">
      <c r="B110" s="10" t="s">
        <v>114</v>
      </c>
      <c r="C110" s="10"/>
      <c r="D110" s="10" t="s">
        <v>18</v>
      </c>
      <c r="G110" s="32"/>
      <c r="H110" s="32"/>
      <c r="I110" s="33"/>
      <c r="J110" s="32"/>
      <c r="K110" s="32"/>
      <c r="Y110" s="31">
        <v>8.1</v>
      </c>
    </row>
    <row r="111" spans="2:25" ht="12.75">
      <c r="B111" s="10" t="s">
        <v>115</v>
      </c>
      <c r="C111" s="10"/>
      <c r="D111" s="10" t="s">
        <v>18</v>
      </c>
      <c r="G111" s="32"/>
      <c r="H111" s="32"/>
      <c r="I111" s="33"/>
      <c r="J111" s="32"/>
      <c r="K111" s="32"/>
      <c r="Y111" s="35">
        <v>5.6</v>
      </c>
    </row>
    <row r="112" spans="2:25" ht="12.75">
      <c r="B112" s="10" t="s">
        <v>97</v>
      </c>
      <c r="C112" s="10"/>
      <c r="D112" s="10" t="s">
        <v>19</v>
      </c>
      <c r="G112" s="32"/>
      <c r="H112" s="32"/>
      <c r="I112" s="33"/>
      <c r="J112" s="32"/>
      <c r="K112" s="32"/>
      <c r="Y112" s="35">
        <v>125</v>
      </c>
    </row>
    <row r="113" spans="2:25" ht="12.75">
      <c r="B113" s="10"/>
      <c r="C113" s="10"/>
      <c r="G113" s="32"/>
      <c r="H113" s="32"/>
      <c r="I113" s="33"/>
      <c r="J113" s="32"/>
      <c r="K113" s="32"/>
      <c r="Y113" s="35"/>
    </row>
    <row r="114" spans="2:25" ht="12.75">
      <c r="B114" s="10" t="s">
        <v>55</v>
      </c>
      <c r="C114" s="10" t="s">
        <v>303</v>
      </c>
      <c r="D114" s="10" t="s">
        <v>16</v>
      </c>
      <c r="E114" s="10" t="s">
        <v>15</v>
      </c>
      <c r="G114" s="11"/>
      <c r="H114" s="11"/>
      <c r="I114" s="11"/>
      <c r="J114" s="11"/>
      <c r="K114" s="11"/>
      <c r="X114" s="11"/>
      <c r="Y114" s="11">
        <f>Y88*454/60/0.0283/Y$109*(21-7)/(21-Y$110)*667.8</f>
        <v>0.09447942612529964</v>
      </c>
    </row>
    <row r="115" spans="2:25" ht="12.75">
      <c r="B115" s="10" t="s">
        <v>56</v>
      </c>
      <c r="C115" s="10" t="s">
        <v>303</v>
      </c>
      <c r="D115" s="10" t="s">
        <v>16</v>
      </c>
      <c r="E115" s="10" t="s">
        <v>15</v>
      </c>
      <c r="G115" s="11"/>
      <c r="H115" s="11"/>
      <c r="I115" s="11"/>
      <c r="J115" s="11"/>
      <c r="K115" s="11"/>
      <c r="X115" s="11"/>
      <c r="Y115" s="13">
        <f>Y89*454/60/0.0283/Y$109*(21-7)/(21-Y$110)*343.4</f>
        <v>0.006940537143590446</v>
      </c>
    </row>
    <row r="116" spans="2:25" ht="12.75">
      <c r="B116" s="10" t="s">
        <v>122</v>
      </c>
      <c r="C116" s="10" t="s">
        <v>303</v>
      </c>
      <c r="D116" s="10" t="s">
        <v>16</v>
      </c>
      <c r="E116" s="10" t="s">
        <v>15</v>
      </c>
      <c r="G116" s="12"/>
      <c r="H116" s="12"/>
      <c r="I116" s="12"/>
      <c r="J116" s="12"/>
      <c r="K116" s="12"/>
      <c r="X116" s="12"/>
      <c r="Y116" s="12">
        <f>2*Y115+Y114</f>
        <v>0.10836050041248053</v>
      </c>
    </row>
    <row r="117" spans="2:25" ht="13.5" customHeight="1">
      <c r="B117" s="10"/>
      <c r="C117" s="10"/>
      <c r="G117" s="32"/>
      <c r="H117" s="32"/>
      <c r="I117" s="33"/>
      <c r="J117" s="32"/>
      <c r="K117" s="32"/>
      <c r="Y117" s="35"/>
    </row>
    <row r="118" spans="2:25" ht="12.75">
      <c r="B118" s="10" t="s">
        <v>107</v>
      </c>
      <c r="C118" s="10" t="s">
        <v>303</v>
      </c>
      <c r="D118" s="10" t="s">
        <v>71</v>
      </c>
      <c r="F118" s="25"/>
      <c r="G118" s="37"/>
      <c r="H118" s="37"/>
      <c r="I118" s="37"/>
      <c r="J118" s="37"/>
      <c r="K118" s="37"/>
      <c r="X118" s="37"/>
      <c r="Y118" s="41">
        <f aca="true" t="shared" si="3" ref="Y118:Y132">Y91/60/0.0283/Y$109*(21-7)/(21-Y$110)*1000000</f>
        <v>12.732185934557428</v>
      </c>
    </row>
    <row r="119" spans="2:25" ht="12.75">
      <c r="B119" s="10" t="s">
        <v>102</v>
      </c>
      <c r="C119" s="10" t="s">
        <v>303</v>
      </c>
      <c r="D119" s="10" t="s">
        <v>71</v>
      </c>
      <c r="F119" s="25"/>
      <c r="G119" s="37"/>
      <c r="H119" s="37"/>
      <c r="I119" s="37"/>
      <c r="J119" s="37"/>
      <c r="K119" s="37"/>
      <c r="X119" s="37"/>
      <c r="Y119" s="41">
        <f t="shared" si="3"/>
        <v>5.920911640895587</v>
      </c>
    </row>
    <row r="120" spans="2:25" ht="12.75">
      <c r="B120" s="10" t="s">
        <v>116</v>
      </c>
      <c r="C120" s="10" t="s">
        <v>303</v>
      </c>
      <c r="D120" s="10" t="s">
        <v>71</v>
      </c>
      <c r="F120" s="25"/>
      <c r="G120" s="37"/>
      <c r="H120" s="37"/>
      <c r="I120" s="37"/>
      <c r="J120" s="37"/>
      <c r="K120" s="37"/>
      <c r="X120" s="37"/>
      <c r="Y120" s="41">
        <f t="shared" si="3"/>
        <v>0.8013263874896283</v>
      </c>
    </row>
    <row r="121" spans="2:25" ht="12.75">
      <c r="B121" s="10" t="s">
        <v>117</v>
      </c>
      <c r="C121" s="10" t="s">
        <v>303</v>
      </c>
      <c r="D121" s="10" t="s">
        <v>71</v>
      </c>
      <c r="F121" s="25"/>
      <c r="G121" s="37"/>
      <c r="H121" s="37"/>
      <c r="I121" s="37"/>
      <c r="J121" s="37"/>
      <c r="K121" s="37"/>
      <c r="X121" s="37"/>
      <c r="Y121" s="41">
        <f t="shared" si="3"/>
        <v>29.426485673924685</v>
      </c>
    </row>
    <row r="122" spans="2:25" ht="12.75">
      <c r="B122" s="10" t="s">
        <v>118</v>
      </c>
      <c r="C122" s="10" t="s">
        <v>303</v>
      </c>
      <c r="D122" s="10" t="s">
        <v>71</v>
      </c>
      <c r="F122" s="25"/>
      <c r="G122" s="37"/>
      <c r="H122" s="37"/>
      <c r="I122" s="37"/>
      <c r="J122" s="37"/>
      <c r="K122" s="37"/>
      <c r="X122" s="37"/>
      <c r="Y122" s="41">
        <f t="shared" si="3"/>
        <v>12.954776597748989</v>
      </c>
    </row>
    <row r="123" spans="2:25" ht="12.75">
      <c r="B123" s="10" t="s">
        <v>106</v>
      </c>
      <c r="C123" s="10" t="s">
        <v>303</v>
      </c>
      <c r="D123" s="10" t="s">
        <v>71</v>
      </c>
      <c r="F123" s="25"/>
      <c r="G123" s="37"/>
      <c r="H123" s="37"/>
      <c r="I123" s="37"/>
      <c r="J123" s="37"/>
      <c r="K123" s="37"/>
      <c r="X123" s="37"/>
      <c r="Y123" s="41">
        <f t="shared" si="3"/>
        <v>3.0717511520435763</v>
      </c>
    </row>
    <row r="124" spans="2:25" ht="12.75">
      <c r="B124" s="10" t="s">
        <v>119</v>
      </c>
      <c r="C124" s="10" t="s">
        <v>303</v>
      </c>
      <c r="D124" s="10" t="s">
        <v>71</v>
      </c>
      <c r="F124" s="25"/>
      <c r="G124" s="37"/>
      <c r="H124" s="37"/>
      <c r="I124" s="37"/>
      <c r="J124" s="37"/>
      <c r="K124" s="37"/>
      <c r="X124" s="37"/>
      <c r="Y124" s="41">
        <f t="shared" si="3"/>
        <v>0.40066319374481413</v>
      </c>
    </row>
    <row r="125" spans="2:25" ht="12.75">
      <c r="B125" s="10" t="s">
        <v>124</v>
      </c>
      <c r="C125" s="10" t="s">
        <v>303</v>
      </c>
      <c r="D125" s="10" t="s">
        <v>71</v>
      </c>
      <c r="F125" s="25"/>
      <c r="G125" s="37"/>
      <c r="H125" s="37"/>
      <c r="I125" s="37"/>
      <c r="J125" s="37"/>
      <c r="K125" s="37"/>
      <c r="X125" s="37"/>
      <c r="Y125" s="41">
        <f t="shared" si="3"/>
        <v>476.43305549522233</v>
      </c>
    </row>
    <row r="126" spans="2:25" ht="12.75">
      <c r="B126" s="10" t="s">
        <v>101</v>
      </c>
      <c r="C126" s="10" t="s">
        <v>303</v>
      </c>
      <c r="D126" s="10" t="s">
        <v>71</v>
      </c>
      <c r="F126" s="25"/>
      <c r="G126" s="37"/>
      <c r="H126" s="37"/>
      <c r="I126" s="37"/>
      <c r="J126" s="37"/>
      <c r="K126" s="37"/>
      <c r="X126" s="37"/>
      <c r="Y126" s="41">
        <f t="shared" si="3"/>
        <v>73.0097375268328</v>
      </c>
    </row>
    <row r="127" spans="2:25" ht="12.75">
      <c r="B127" s="10" t="s">
        <v>103</v>
      </c>
      <c r="C127" s="10" t="s">
        <v>303</v>
      </c>
      <c r="D127" s="10" t="s">
        <v>71</v>
      </c>
      <c r="F127" s="25"/>
      <c r="G127" s="37"/>
      <c r="H127" s="37"/>
      <c r="I127" s="37"/>
      <c r="J127" s="37"/>
      <c r="K127" s="37"/>
      <c r="X127" s="37"/>
      <c r="Y127" s="41">
        <f t="shared" si="3"/>
        <v>0.04451813263831269</v>
      </c>
    </row>
    <row r="128" spans="2:25" ht="12.75">
      <c r="B128" s="10" t="s">
        <v>104</v>
      </c>
      <c r="C128" s="10" t="s">
        <v>303</v>
      </c>
      <c r="D128" s="10" t="s">
        <v>71</v>
      </c>
      <c r="F128" s="25"/>
      <c r="G128" s="37"/>
      <c r="H128" s="37"/>
      <c r="I128" s="37"/>
      <c r="J128" s="37"/>
      <c r="K128" s="37"/>
      <c r="X128" s="37"/>
      <c r="Y128" s="41">
        <f t="shared" si="3"/>
        <v>161.95696653818155</v>
      </c>
    </row>
    <row r="129" spans="2:25" ht="12.75">
      <c r="B129" s="10" t="s">
        <v>121</v>
      </c>
      <c r="C129" s="10" t="s">
        <v>303</v>
      </c>
      <c r="D129" s="10" t="s">
        <v>71</v>
      </c>
      <c r="F129" s="25"/>
      <c r="G129" s="37"/>
      <c r="H129" s="37"/>
      <c r="I129" s="37"/>
      <c r="J129" s="37"/>
      <c r="K129" s="37"/>
      <c r="X129" s="37"/>
      <c r="Y129" s="41">
        <f t="shared" si="3"/>
        <v>37.43974954882097</v>
      </c>
    </row>
    <row r="130" spans="2:25" ht="12.75">
      <c r="B130" s="10" t="s">
        <v>99</v>
      </c>
      <c r="C130" s="10" t="s">
        <v>303</v>
      </c>
      <c r="D130" s="10" t="s">
        <v>71</v>
      </c>
      <c r="G130" s="32"/>
      <c r="H130" s="32"/>
      <c r="I130" s="33"/>
      <c r="J130" s="32"/>
      <c r="K130" s="32"/>
      <c r="X130" s="27"/>
      <c r="Y130" s="41">
        <f t="shared" si="3"/>
        <v>1320.5413684502691</v>
      </c>
    </row>
    <row r="131" spans="2:25" ht="12.75">
      <c r="B131" s="10" t="s">
        <v>100</v>
      </c>
      <c r="C131" s="10" t="s">
        <v>303</v>
      </c>
      <c r="D131" s="10" t="s">
        <v>71</v>
      </c>
      <c r="G131" s="32"/>
      <c r="H131" s="32"/>
      <c r="I131" s="33"/>
      <c r="J131" s="32"/>
      <c r="K131" s="32"/>
      <c r="X131" s="27"/>
      <c r="Y131" s="41">
        <f t="shared" si="3"/>
        <v>31.207210979457194</v>
      </c>
    </row>
    <row r="132" spans="2:25" ht="12.75">
      <c r="B132" s="10" t="s">
        <v>108</v>
      </c>
      <c r="C132" s="10" t="s">
        <v>303</v>
      </c>
      <c r="D132" s="10" t="s">
        <v>71</v>
      </c>
      <c r="G132" s="32"/>
      <c r="H132" s="32"/>
      <c r="I132" s="33"/>
      <c r="J132" s="32"/>
      <c r="K132" s="32"/>
      <c r="X132" s="27"/>
      <c r="Y132" s="41">
        <f t="shared" si="3"/>
        <v>1.2019895812344426</v>
      </c>
    </row>
    <row r="133" spans="2:25" ht="12.75">
      <c r="B133" s="10" t="s">
        <v>72</v>
      </c>
      <c r="C133" s="10" t="s">
        <v>303</v>
      </c>
      <c r="D133" s="10" t="s">
        <v>71</v>
      </c>
      <c r="G133" s="32"/>
      <c r="H133" s="32"/>
      <c r="I133" s="33"/>
      <c r="J133" s="32"/>
      <c r="K133" s="32"/>
      <c r="X133" s="27"/>
      <c r="Y133" s="31">
        <f>Y130+Y128</f>
        <v>1482.4983349884508</v>
      </c>
    </row>
    <row r="134" spans="2:25" ht="12.75">
      <c r="B134" s="10" t="s">
        <v>73</v>
      </c>
      <c r="C134" s="10" t="s">
        <v>303</v>
      </c>
      <c r="D134" s="10" t="s">
        <v>71</v>
      </c>
      <c r="G134" s="32"/>
      <c r="H134" s="32"/>
      <c r="I134" s="33"/>
      <c r="J134" s="32"/>
      <c r="K134" s="32"/>
      <c r="X134" s="27"/>
      <c r="Y134" s="31">
        <f>Y126+Y127+Y129</f>
        <v>110.49400520829208</v>
      </c>
    </row>
    <row r="135" spans="2:13" ht="12.75">
      <c r="B135" s="10"/>
      <c r="C135" s="10"/>
      <c r="G135" s="12"/>
      <c r="H135" s="12"/>
      <c r="I135" s="12"/>
      <c r="J135" s="12"/>
      <c r="K135" s="12"/>
      <c r="L135" s="12"/>
      <c r="M135" s="12"/>
    </row>
    <row r="136" spans="1:25" ht="12.75">
      <c r="A136" s="25">
        <v>4</v>
      </c>
      <c r="B136" s="29" t="s">
        <v>173</v>
      </c>
      <c r="C136" s="29" t="s">
        <v>110</v>
      </c>
      <c r="G136" s="27" t="s">
        <v>174</v>
      </c>
      <c r="H136" s="27"/>
      <c r="I136" s="28" t="s">
        <v>175</v>
      </c>
      <c r="J136" s="27"/>
      <c r="K136" s="27" t="s">
        <v>176</v>
      </c>
      <c r="M136" s="27" t="s">
        <v>211</v>
      </c>
      <c r="N136" s="27"/>
      <c r="O136" s="27" t="s">
        <v>212</v>
      </c>
      <c r="P136" s="27"/>
      <c r="Q136" s="27" t="s">
        <v>213</v>
      </c>
      <c r="R136" s="27"/>
      <c r="S136" s="27" t="s">
        <v>214</v>
      </c>
      <c r="T136" s="27"/>
      <c r="U136" s="27" t="s">
        <v>215</v>
      </c>
      <c r="V136" s="27"/>
      <c r="W136" s="27" t="s">
        <v>216</v>
      </c>
      <c r="X136" s="27"/>
      <c r="Y136" s="25" t="s">
        <v>48</v>
      </c>
    </row>
    <row r="137" spans="2:24" ht="12.75">
      <c r="B137" s="10"/>
      <c r="C137" s="10"/>
      <c r="D137" s="37"/>
      <c r="E137" s="37"/>
      <c r="F137" s="37"/>
      <c r="G137" s="37"/>
      <c r="H137" s="37"/>
      <c r="I137" s="76"/>
      <c r="J137" s="37"/>
      <c r="K137" s="37"/>
      <c r="X137" s="27"/>
    </row>
    <row r="138" spans="2:25" ht="12.75">
      <c r="B138" s="10" t="s">
        <v>13</v>
      </c>
      <c r="C138" s="10" t="s">
        <v>303</v>
      </c>
      <c r="D138" s="10" t="s">
        <v>14</v>
      </c>
      <c r="E138" s="10" t="s">
        <v>15</v>
      </c>
      <c r="G138" s="37">
        <v>0.0007</v>
      </c>
      <c r="H138" s="37"/>
      <c r="I138" s="76">
        <v>0.0004</v>
      </c>
      <c r="J138" s="37"/>
      <c r="K138" s="37">
        <v>0.0012</v>
      </c>
      <c r="X138" s="27"/>
      <c r="Y138" s="30">
        <f>AVERAGE(K138,I138,G138)</f>
        <v>0.0007666666666666667</v>
      </c>
    </row>
    <row r="139" spans="2:25" ht="12.75">
      <c r="B139" s="10"/>
      <c r="C139" s="10"/>
      <c r="G139" s="32"/>
      <c r="H139" s="32"/>
      <c r="I139" s="33"/>
      <c r="J139" s="32"/>
      <c r="K139" s="32"/>
      <c r="X139" s="27"/>
      <c r="Y139" s="34"/>
    </row>
    <row r="140" spans="2:25" ht="12.75">
      <c r="B140" s="10" t="s">
        <v>100</v>
      </c>
      <c r="C140" s="10"/>
      <c r="D140" s="10" t="s">
        <v>50</v>
      </c>
      <c r="F140" s="25"/>
      <c r="G140" s="37">
        <v>0.37</v>
      </c>
      <c r="H140" s="37"/>
      <c r="I140" s="37">
        <v>0.3</v>
      </c>
      <c r="J140" s="37"/>
      <c r="K140" s="37">
        <v>0.63</v>
      </c>
      <c r="X140" s="37"/>
      <c r="Y140" s="37"/>
    </row>
    <row r="141" spans="2:25" ht="12.75">
      <c r="B141" s="10" t="s">
        <v>102</v>
      </c>
      <c r="C141" s="10"/>
      <c r="D141" s="10" t="s">
        <v>50</v>
      </c>
      <c r="F141" s="25"/>
      <c r="G141" s="37">
        <v>0.04</v>
      </c>
      <c r="H141" s="37"/>
      <c r="I141" s="37">
        <v>0.04</v>
      </c>
      <c r="J141" s="37"/>
      <c r="K141" s="37">
        <v>0.7</v>
      </c>
      <c r="X141" s="37"/>
      <c r="Y141" s="37"/>
    </row>
    <row r="142" spans="2:25" ht="12.75">
      <c r="B142" s="10" t="s">
        <v>116</v>
      </c>
      <c r="C142" s="10"/>
      <c r="D142" s="10" t="s">
        <v>50</v>
      </c>
      <c r="F142" s="25" t="s">
        <v>29</v>
      </c>
      <c r="G142" s="37">
        <v>0.03</v>
      </c>
      <c r="H142" s="25" t="s">
        <v>29</v>
      </c>
      <c r="I142" s="37">
        <v>0.001</v>
      </c>
      <c r="J142" s="25" t="s">
        <v>29</v>
      </c>
      <c r="K142" s="37">
        <v>1.41</v>
      </c>
      <c r="X142" s="37"/>
      <c r="Y142" s="37"/>
    </row>
    <row r="143" spans="2:25" ht="12.75">
      <c r="B143" s="10" t="s">
        <v>117</v>
      </c>
      <c r="C143" s="10"/>
      <c r="D143" s="10" t="s">
        <v>50</v>
      </c>
      <c r="F143" s="25"/>
      <c r="G143" s="37">
        <v>0.14</v>
      </c>
      <c r="I143" s="37">
        <v>0.16</v>
      </c>
      <c r="K143" s="37">
        <v>0.25</v>
      </c>
      <c r="X143" s="37"/>
      <c r="Y143" s="37"/>
    </row>
    <row r="144" spans="2:25" ht="12.75">
      <c r="B144" s="10" t="s">
        <v>99</v>
      </c>
      <c r="C144" s="10"/>
      <c r="D144" s="10" t="s">
        <v>50</v>
      </c>
      <c r="G144" s="32">
        <v>1.43</v>
      </c>
      <c r="H144" s="10"/>
      <c r="I144" s="33">
        <v>1.46</v>
      </c>
      <c r="J144" s="10"/>
      <c r="K144" s="32">
        <v>2.8</v>
      </c>
      <c r="X144" s="27"/>
      <c r="Y144" s="61"/>
    </row>
    <row r="145" spans="2:25" ht="12.75">
      <c r="B145" s="10" t="s">
        <v>118</v>
      </c>
      <c r="C145" s="10"/>
      <c r="D145" s="10" t="s">
        <v>50</v>
      </c>
      <c r="G145" s="32">
        <v>0.03</v>
      </c>
      <c r="H145" s="10"/>
      <c r="I145" s="33">
        <v>0.03</v>
      </c>
      <c r="J145" s="10"/>
      <c r="K145" s="32">
        <v>0.05</v>
      </c>
      <c r="X145" s="27"/>
      <c r="Y145" s="61"/>
    </row>
    <row r="146" spans="2:25" ht="12.75">
      <c r="B146" s="10" t="s">
        <v>106</v>
      </c>
      <c r="C146" s="10"/>
      <c r="D146" s="10" t="s">
        <v>50</v>
      </c>
      <c r="G146" s="32">
        <v>0.05</v>
      </c>
      <c r="H146" s="10"/>
      <c r="I146" s="33">
        <v>0.06</v>
      </c>
      <c r="J146" s="10"/>
      <c r="K146" s="32">
        <v>0.1</v>
      </c>
      <c r="X146" s="27"/>
      <c r="Y146" s="61"/>
    </row>
    <row r="147" spans="2:25" ht="12.75">
      <c r="B147" s="10" t="s">
        <v>107</v>
      </c>
      <c r="C147" s="10"/>
      <c r="D147" s="10" t="s">
        <v>50</v>
      </c>
      <c r="G147" s="32">
        <v>0.04</v>
      </c>
      <c r="H147" s="10"/>
      <c r="I147" s="33">
        <v>0.03</v>
      </c>
      <c r="J147" s="10"/>
      <c r="K147" s="32">
        <v>0.03</v>
      </c>
      <c r="X147" s="27"/>
      <c r="Y147" s="61"/>
    </row>
    <row r="148" spans="2:25" ht="12.75">
      <c r="B148" s="10" t="s">
        <v>108</v>
      </c>
      <c r="C148" s="10"/>
      <c r="D148" s="10" t="s">
        <v>50</v>
      </c>
      <c r="F148" s="10" t="s">
        <v>29</v>
      </c>
      <c r="G148" s="32">
        <v>0.007</v>
      </c>
      <c r="H148" s="10" t="s">
        <v>29</v>
      </c>
      <c r="I148" s="33">
        <v>0.007</v>
      </c>
      <c r="J148" s="10" t="s">
        <v>29</v>
      </c>
      <c r="K148" s="32">
        <v>0.007</v>
      </c>
      <c r="X148" s="27"/>
      <c r="Y148" s="61"/>
    </row>
    <row r="149" spans="2:25" ht="12.75">
      <c r="B149" s="10" t="s">
        <v>119</v>
      </c>
      <c r="C149" s="10"/>
      <c r="D149" s="10" t="s">
        <v>50</v>
      </c>
      <c r="F149" s="10" t="s">
        <v>29</v>
      </c>
      <c r="G149" s="32">
        <v>0.003</v>
      </c>
      <c r="H149" s="10" t="s">
        <v>29</v>
      </c>
      <c r="I149" s="33">
        <v>0.003</v>
      </c>
      <c r="J149" s="10" t="s">
        <v>29</v>
      </c>
      <c r="K149" s="32">
        <v>0.003</v>
      </c>
      <c r="X149" s="27"/>
      <c r="Y149" s="61"/>
    </row>
    <row r="150" spans="2:25" ht="12.75">
      <c r="B150" s="10" t="s">
        <v>124</v>
      </c>
      <c r="C150" s="10"/>
      <c r="D150" s="10" t="s">
        <v>50</v>
      </c>
      <c r="G150" s="32">
        <v>4.71</v>
      </c>
      <c r="H150" s="10"/>
      <c r="I150" s="33">
        <v>4.14</v>
      </c>
      <c r="J150" s="10"/>
      <c r="K150" s="32">
        <v>6.78</v>
      </c>
      <c r="X150" s="27"/>
      <c r="Y150" s="61"/>
    </row>
    <row r="151" spans="2:25" ht="12.75">
      <c r="B151" s="10" t="s">
        <v>101</v>
      </c>
      <c r="C151" s="10"/>
      <c r="D151" s="10" t="s">
        <v>50</v>
      </c>
      <c r="F151" s="10" t="s">
        <v>29</v>
      </c>
      <c r="G151" s="32">
        <v>0.05</v>
      </c>
      <c r="H151" s="10" t="s">
        <v>29</v>
      </c>
      <c r="I151" s="25">
        <v>0.05</v>
      </c>
      <c r="J151" s="10" t="s">
        <v>29</v>
      </c>
      <c r="K151" s="32">
        <v>0.07</v>
      </c>
      <c r="X151" s="27"/>
      <c r="Y151" s="61"/>
    </row>
    <row r="152" spans="2:25" ht="12.75">
      <c r="B152" s="10" t="s">
        <v>103</v>
      </c>
      <c r="C152" s="10"/>
      <c r="D152" s="10" t="s">
        <v>50</v>
      </c>
      <c r="F152" s="10" t="s">
        <v>29</v>
      </c>
      <c r="G152" s="32">
        <v>0.001</v>
      </c>
      <c r="H152" s="10" t="s">
        <v>29</v>
      </c>
      <c r="I152" s="33">
        <v>0.001</v>
      </c>
      <c r="J152" s="10" t="s">
        <v>29</v>
      </c>
      <c r="K152" s="32">
        <v>0.001</v>
      </c>
      <c r="X152" s="27"/>
      <c r="Y152" s="61"/>
    </row>
    <row r="153" spans="2:25" ht="12.75">
      <c r="B153" s="10" t="s">
        <v>104</v>
      </c>
      <c r="C153" s="10"/>
      <c r="D153" s="10" t="s">
        <v>50</v>
      </c>
      <c r="G153" s="32">
        <v>0.1</v>
      </c>
      <c r="H153" s="32"/>
      <c r="I153" s="33">
        <v>0.1</v>
      </c>
      <c r="J153" s="32"/>
      <c r="K153" s="32">
        <v>0.16</v>
      </c>
      <c r="X153" s="27"/>
      <c r="Y153" s="61"/>
    </row>
    <row r="154" spans="2:25" ht="12.75">
      <c r="B154" s="10" t="s">
        <v>121</v>
      </c>
      <c r="C154" s="10"/>
      <c r="D154" s="10" t="s">
        <v>50</v>
      </c>
      <c r="G154" s="32">
        <v>0.09</v>
      </c>
      <c r="H154" s="32"/>
      <c r="I154" s="33">
        <v>0.04</v>
      </c>
      <c r="J154" s="32"/>
      <c r="K154" s="32">
        <v>0.12</v>
      </c>
      <c r="X154" s="27"/>
      <c r="Y154" s="61"/>
    </row>
    <row r="155" spans="2:25" ht="12.75">
      <c r="B155" s="10"/>
      <c r="C155" s="10"/>
      <c r="G155" s="32"/>
      <c r="H155" s="32"/>
      <c r="I155" s="33"/>
      <c r="J155" s="32"/>
      <c r="K155" s="32"/>
      <c r="X155" s="27"/>
      <c r="Y155" s="61"/>
    </row>
    <row r="156" spans="2:25" ht="12.75">
      <c r="B156" s="10" t="s">
        <v>123</v>
      </c>
      <c r="C156" s="10" t="s">
        <v>161</v>
      </c>
      <c r="D156" s="10" t="s">
        <v>303</v>
      </c>
      <c r="X156" s="27"/>
      <c r="Y156" s="35"/>
    </row>
    <row r="157" spans="2:25" ht="12.75">
      <c r="B157" s="10" t="s">
        <v>98</v>
      </c>
      <c r="C157" s="10"/>
      <c r="D157" s="10" t="s">
        <v>17</v>
      </c>
      <c r="G157" s="32">
        <f>860280/60</f>
        <v>14338</v>
      </c>
      <c r="H157" s="32"/>
      <c r="I157" s="33">
        <f>843060/60</f>
        <v>14051</v>
      </c>
      <c r="J157" s="14"/>
      <c r="K157" s="32">
        <f>930000/60</f>
        <v>15500</v>
      </c>
      <c r="X157" s="27"/>
      <c r="Y157" s="31">
        <f>AVERAGE(K157,I157,G157)</f>
        <v>14629.666666666666</v>
      </c>
    </row>
    <row r="158" spans="2:25" ht="12.75">
      <c r="B158" s="10" t="s">
        <v>114</v>
      </c>
      <c r="C158" s="10"/>
      <c r="D158" s="10" t="s">
        <v>18</v>
      </c>
      <c r="G158" s="32">
        <v>8.53</v>
      </c>
      <c r="H158" s="32"/>
      <c r="I158" s="33">
        <v>8.8</v>
      </c>
      <c r="J158" s="32"/>
      <c r="K158" s="32">
        <v>8.47</v>
      </c>
      <c r="Y158" s="31">
        <f>AVERAGE(K158,I158,G158)</f>
        <v>8.600000000000001</v>
      </c>
    </row>
    <row r="159" spans="2:25" ht="12.75">
      <c r="B159" s="10" t="s">
        <v>115</v>
      </c>
      <c r="C159" s="10"/>
      <c r="D159" s="10" t="s">
        <v>18</v>
      </c>
      <c r="G159" s="32">
        <v>8.4</v>
      </c>
      <c r="H159" s="32"/>
      <c r="I159" s="33">
        <v>8.3</v>
      </c>
      <c r="J159" s="32"/>
      <c r="K159" s="32">
        <v>8.7</v>
      </c>
      <c r="Y159" s="31">
        <f>AVERAGE(K159,I159,G159)</f>
        <v>8.466666666666667</v>
      </c>
    </row>
    <row r="160" spans="2:25" ht="12.75">
      <c r="B160" s="10" t="s">
        <v>97</v>
      </c>
      <c r="C160" s="10"/>
      <c r="D160" s="10" t="s">
        <v>19</v>
      </c>
      <c r="G160" s="32">
        <v>135</v>
      </c>
      <c r="H160" s="32"/>
      <c r="I160" s="33">
        <v>134</v>
      </c>
      <c r="J160" s="32"/>
      <c r="K160" s="32">
        <v>137</v>
      </c>
      <c r="Y160" s="31">
        <f>AVERAGE(K160,I160,G160)</f>
        <v>135.33333333333334</v>
      </c>
    </row>
    <row r="161" spans="2:25" ht="12.75">
      <c r="B161" s="10"/>
      <c r="C161" s="10"/>
      <c r="G161" s="32"/>
      <c r="H161" s="32"/>
      <c r="I161" s="33"/>
      <c r="J161" s="32"/>
      <c r="K161" s="32"/>
      <c r="X161" s="27"/>
      <c r="Y161" s="61"/>
    </row>
    <row r="162" spans="2:25" ht="12.75">
      <c r="B162" s="10" t="s">
        <v>123</v>
      </c>
      <c r="C162" s="10" t="s">
        <v>181</v>
      </c>
      <c r="D162" s="10" t="s">
        <v>304</v>
      </c>
      <c r="X162" s="27"/>
      <c r="Y162" s="35"/>
    </row>
    <row r="163" spans="2:25" ht="12.75">
      <c r="B163" s="10" t="s">
        <v>98</v>
      </c>
      <c r="C163" s="10"/>
      <c r="D163" s="10" t="s">
        <v>17</v>
      </c>
      <c r="G163" s="32">
        <v>14052</v>
      </c>
      <c r="H163" s="32"/>
      <c r="I163" s="33">
        <v>13900</v>
      </c>
      <c r="J163" s="14"/>
      <c r="K163" s="32">
        <v>15036</v>
      </c>
      <c r="X163" s="27"/>
      <c r="Y163" s="31">
        <f>AVERAGE(K163,I163,G163)</f>
        <v>14329.333333333334</v>
      </c>
    </row>
    <row r="164" spans="2:25" ht="12.75">
      <c r="B164" s="10" t="s">
        <v>114</v>
      </c>
      <c r="C164" s="10"/>
      <c r="D164" s="10" t="s">
        <v>18</v>
      </c>
      <c r="G164" s="32">
        <v>8.5</v>
      </c>
      <c r="H164" s="32"/>
      <c r="I164" s="33">
        <v>8.8</v>
      </c>
      <c r="J164" s="32"/>
      <c r="K164" s="32">
        <v>8.5</v>
      </c>
      <c r="Y164" s="31">
        <f>AVERAGE(K164,I164,G164)</f>
        <v>8.6</v>
      </c>
    </row>
    <row r="165" spans="2:25" ht="12.75">
      <c r="B165" s="10" t="s">
        <v>115</v>
      </c>
      <c r="C165" s="10"/>
      <c r="D165" s="10" t="s">
        <v>18</v>
      </c>
      <c r="G165" s="32"/>
      <c r="H165" s="32"/>
      <c r="I165" s="33"/>
      <c r="J165" s="32"/>
      <c r="K165" s="32"/>
      <c r="Y165" s="31"/>
    </row>
    <row r="166" spans="2:25" ht="12.75">
      <c r="B166" s="10" t="s">
        <v>97</v>
      </c>
      <c r="C166" s="10"/>
      <c r="D166" s="10" t="s">
        <v>19</v>
      </c>
      <c r="G166" s="32"/>
      <c r="H166" s="32"/>
      <c r="I166" s="33"/>
      <c r="J166" s="32"/>
      <c r="K166" s="32"/>
      <c r="Y166" s="31"/>
    </row>
    <row r="167" spans="2:25" ht="13.5" customHeight="1">
      <c r="B167" s="10"/>
      <c r="C167" s="10"/>
      <c r="G167" s="32"/>
      <c r="H167" s="32"/>
      <c r="I167" s="33"/>
      <c r="J167" s="32"/>
      <c r="K167" s="32"/>
      <c r="Y167" s="35"/>
    </row>
    <row r="168" spans="2:25" ht="12.75">
      <c r="B168" s="10" t="s">
        <v>100</v>
      </c>
      <c r="C168" s="10" t="s">
        <v>303</v>
      </c>
      <c r="D168" s="10" t="s">
        <v>71</v>
      </c>
      <c r="E168" s="10" t="s">
        <v>15</v>
      </c>
      <c r="F168" s="25"/>
      <c r="G168" s="44">
        <f>G140/60/0.0283/G$157*(21-7)/(21-G$158)*1000000</f>
        <v>17.06227920067636</v>
      </c>
      <c r="I168" s="44">
        <f>I140/60/0.0283/I$157*(21-7)/(21-I$158)*1000000</f>
        <v>14.429275981848022</v>
      </c>
      <c r="K168" s="44">
        <f aca="true" t="shared" si="4" ref="K168:K182">K140/60/0.0283/K$157*(21-7)/(21-K$158)*1000000</f>
        <v>26.745340420424018</v>
      </c>
      <c r="X168" s="37"/>
      <c r="Y168" s="31">
        <f aca="true" t="shared" si="5" ref="Y168:Y184">AVERAGE(K168,I168,G168)</f>
        <v>19.412298534316133</v>
      </c>
    </row>
    <row r="169" spans="2:25" ht="12.75">
      <c r="B169" s="10" t="s">
        <v>102</v>
      </c>
      <c r="C169" s="10" t="s">
        <v>303</v>
      </c>
      <c r="D169" s="10" t="s">
        <v>71</v>
      </c>
      <c r="E169" s="10" t="s">
        <v>15</v>
      </c>
      <c r="F169" s="25"/>
      <c r="G169" s="44">
        <f aca="true" t="shared" si="6" ref="G169:I182">G141/60/0.0283/G$157*(21-7)/(21-G$158)*1000000</f>
        <v>1.8445707243974447</v>
      </c>
      <c r="I169" s="44">
        <f t="shared" si="6"/>
        <v>1.923903464246403</v>
      </c>
      <c r="K169" s="44">
        <f t="shared" si="4"/>
        <v>29.717044911582235</v>
      </c>
      <c r="X169" s="37"/>
      <c r="Y169" s="31">
        <f t="shared" si="5"/>
        <v>11.161839700075362</v>
      </c>
    </row>
    <row r="170" spans="2:25" ht="12.75">
      <c r="B170" s="10" t="s">
        <v>116</v>
      </c>
      <c r="C170" s="10" t="s">
        <v>303</v>
      </c>
      <c r="D170" s="10" t="s">
        <v>71</v>
      </c>
      <c r="E170" s="10" t="s">
        <v>15</v>
      </c>
      <c r="F170" s="25" t="s">
        <v>29</v>
      </c>
      <c r="G170" s="44">
        <f t="shared" si="6"/>
        <v>1.3834280432980834</v>
      </c>
      <c r="H170" s="25" t="s">
        <v>29</v>
      </c>
      <c r="I170" s="44">
        <f t="shared" si="6"/>
        <v>0.04809758660616008</v>
      </c>
      <c r="J170" s="25" t="s">
        <v>29</v>
      </c>
      <c r="K170" s="44">
        <f t="shared" si="4"/>
        <v>59.858619036187086</v>
      </c>
      <c r="X170" s="37">
        <v>100</v>
      </c>
      <c r="Y170" s="31">
        <f t="shared" si="5"/>
        <v>20.430048222030443</v>
      </c>
    </row>
    <row r="171" spans="2:25" ht="12.75">
      <c r="B171" s="10" t="s">
        <v>117</v>
      </c>
      <c r="C171" s="10" t="s">
        <v>303</v>
      </c>
      <c r="D171" s="10" t="s">
        <v>71</v>
      </c>
      <c r="E171" s="10" t="s">
        <v>15</v>
      </c>
      <c r="F171" s="25"/>
      <c r="G171" s="44">
        <f t="shared" si="6"/>
        <v>6.455997535391057</v>
      </c>
      <c r="I171" s="44">
        <f t="shared" si="6"/>
        <v>7.695613856985612</v>
      </c>
      <c r="K171" s="44">
        <f t="shared" si="4"/>
        <v>10.613230325565086</v>
      </c>
      <c r="X171" s="37"/>
      <c r="Y171" s="31">
        <f t="shared" si="5"/>
        <v>8.254947239313918</v>
      </c>
    </row>
    <row r="172" spans="2:25" ht="12.75">
      <c r="B172" s="10" t="s">
        <v>99</v>
      </c>
      <c r="C172" s="10" t="s">
        <v>303</v>
      </c>
      <c r="D172" s="10" t="s">
        <v>71</v>
      </c>
      <c r="E172" s="10" t="s">
        <v>15</v>
      </c>
      <c r="G172" s="44">
        <f t="shared" si="6"/>
        <v>65.94340339720864</v>
      </c>
      <c r="H172" s="10"/>
      <c r="I172" s="44">
        <f t="shared" si="6"/>
        <v>70.2224764449937</v>
      </c>
      <c r="J172" s="10"/>
      <c r="K172" s="44">
        <f t="shared" si="4"/>
        <v>118.86817964632894</v>
      </c>
      <c r="X172" s="27"/>
      <c r="Y172" s="31">
        <f t="shared" si="5"/>
        <v>85.01135316284376</v>
      </c>
    </row>
    <row r="173" spans="2:25" ht="12.75">
      <c r="B173" s="10" t="s">
        <v>118</v>
      </c>
      <c r="C173" s="10" t="s">
        <v>303</v>
      </c>
      <c r="D173" s="10" t="s">
        <v>71</v>
      </c>
      <c r="E173" s="10" t="s">
        <v>15</v>
      </c>
      <c r="G173" s="44">
        <f t="shared" si="6"/>
        <v>1.3834280432980834</v>
      </c>
      <c r="H173" s="10"/>
      <c r="I173" s="44">
        <f t="shared" si="6"/>
        <v>1.4429275981848024</v>
      </c>
      <c r="J173" s="10"/>
      <c r="K173" s="44">
        <f t="shared" si="4"/>
        <v>2.1226460651130172</v>
      </c>
      <c r="X173" s="27"/>
      <c r="Y173" s="31">
        <f t="shared" si="5"/>
        <v>1.649667235531968</v>
      </c>
    </row>
    <row r="174" spans="2:25" ht="12.75">
      <c r="B174" s="10" t="s">
        <v>106</v>
      </c>
      <c r="C174" s="10" t="s">
        <v>303</v>
      </c>
      <c r="D174" s="10" t="s">
        <v>71</v>
      </c>
      <c r="E174" s="10" t="s">
        <v>15</v>
      </c>
      <c r="G174" s="44">
        <f t="shared" si="6"/>
        <v>2.305713405496806</v>
      </c>
      <c r="H174" s="10"/>
      <c r="I174" s="44">
        <f t="shared" si="6"/>
        <v>2.885855196369605</v>
      </c>
      <c r="J174" s="10"/>
      <c r="K174" s="44">
        <f t="shared" si="4"/>
        <v>4.2452921302260345</v>
      </c>
      <c r="X174" s="27"/>
      <c r="Y174" s="31">
        <f t="shared" si="5"/>
        <v>3.1456202440308147</v>
      </c>
    </row>
    <row r="175" spans="2:25" ht="12.75">
      <c r="B175" s="10" t="s">
        <v>107</v>
      </c>
      <c r="C175" s="10" t="s">
        <v>303</v>
      </c>
      <c r="D175" s="10" t="s">
        <v>71</v>
      </c>
      <c r="E175" s="10" t="s">
        <v>15</v>
      </c>
      <c r="G175" s="44">
        <f t="shared" si="6"/>
        <v>1.8445707243974447</v>
      </c>
      <c r="H175" s="10"/>
      <c r="I175" s="44">
        <f t="shared" si="6"/>
        <v>1.4429275981848024</v>
      </c>
      <c r="J175" s="10"/>
      <c r="K175" s="44">
        <f t="shared" si="4"/>
        <v>1.2735876390678103</v>
      </c>
      <c r="X175" s="27"/>
      <c r="Y175" s="31">
        <f t="shared" si="5"/>
        <v>1.5203619872166858</v>
      </c>
    </row>
    <row r="176" spans="2:25" ht="12.75">
      <c r="B176" s="10" t="s">
        <v>108</v>
      </c>
      <c r="C176" s="10" t="s">
        <v>303</v>
      </c>
      <c r="D176" s="10" t="s">
        <v>71</v>
      </c>
      <c r="E176" s="10" t="s">
        <v>15</v>
      </c>
      <c r="F176" s="10" t="s">
        <v>29</v>
      </c>
      <c r="G176" s="44">
        <f t="shared" si="6"/>
        <v>0.3227998767695527</v>
      </c>
      <c r="H176" s="10" t="s">
        <v>29</v>
      </c>
      <c r="I176" s="44">
        <f t="shared" si="6"/>
        <v>0.3366831062431205</v>
      </c>
      <c r="J176" s="10" t="s">
        <v>29</v>
      </c>
      <c r="K176" s="44">
        <f t="shared" si="4"/>
        <v>0.29717044911582235</v>
      </c>
      <c r="X176" s="37">
        <v>100</v>
      </c>
      <c r="Y176" s="31">
        <f t="shared" si="5"/>
        <v>0.31888447737616515</v>
      </c>
    </row>
    <row r="177" spans="2:25" ht="12.75">
      <c r="B177" s="10" t="s">
        <v>119</v>
      </c>
      <c r="C177" s="10" t="s">
        <v>303</v>
      </c>
      <c r="D177" s="10" t="s">
        <v>71</v>
      </c>
      <c r="E177" s="10" t="s">
        <v>15</v>
      </c>
      <c r="F177" s="10" t="s">
        <v>29</v>
      </c>
      <c r="G177" s="44">
        <f t="shared" si="6"/>
        <v>0.13834280432980833</v>
      </c>
      <c r="H177" s="10" t="s">
        <v>29</v>
      </c>
      <c r="I177" s="44">
        <f t="shared" si="6"/>
        <v>0.14429275981848025</v>
      </c>
      <c r="J177" s="10" t="s">
        <v>29</v>
      </c>
      <c r="K177" s="44">
        <f t="shared" si="4"/>
        <v>0.12735876390678105</v>
      </c>
      <c r="X177" s="37">
        <v>100</v>
      </c>
      <c r="Y177" s="31">
        <f t="shared" si="5"/>
        <v>0.13666477601835655</v>
      </c>
    </row>
    <row r="178" spans="2:25" ht="12.75">
      <c r="B178" s="10" t="s">
        <v>124</v>
      </c>
      <c r="C178" s="10" t="s">
        <v>303</v>
      </c>
      <c r="D178" s="10" t="s">
        <v>71</v>
      </c>
      <c r="E178" s="10" t="s">
        <v>15</v>
      </c>
      <c r="G178" s="44">
        <f t="shared" si="6"/>
        <v>217.19820279779913</v>
      </c>
      <c r="H178" s="10"/>
      <c r="I178" s="44">
        <f t="shared" si="6"/>
        <v>199.12400854950266</v>
      </c>
      <c r="J178" s="10"/>
      <c r="K178" s="44">
        <f t="shared" si="4"/>
        <v>287.83080642932515</v>
      </c>
      <c r="X178" s="27"/>
      <c r="Y178" s="31">
        <f t="shared" si="5"/>
        <v>234.71767259220897</v>
      </c>
    </row>
    <row r="179" spans="2:25" ht="12.75">
      <c r="B179" s="10" t="s">
        <v>101</v>
      </c>
      <c r="C179" s="10" t="s">
        <v>303</v>
      </c>
      <c r="D179" s="10" t="s">
        <v>71</v>
      </c>
      <c r="E179" s="10" t="s">
        <v>15</v>
      </c>
      <c r="F179" s="10" t="s">
        <v>29</v>
      </c>
      <c r="G179" s="44">
        <f t="shared" si="6"/>
        <v>2.305713405496806</v>
      </c>
      <c r="H179" s="10" t="s">
        <v>29</v>
      </c>
      <c r="I179" s="44">
        <f t="shared" si="6"/>
        <v>2.4048793303080034</v>
      </c>
      <c r="J179" s="10" t="s">
        <v>29</v>
      </c>
      <c r="K179" s="44">
        <f t="shared" si="4"/>
        <v>2.9717044911582247</v>
      </c>
      <c r="X179" s="37">
        <v>100</v>
      </c>
      <c r="Y179" s="31">
        <f t="shared" si="5"/>
        <v>2.5607657423210113</v>
      </c>
    </row>
    <row r="180" spans="2:25" ht="12.75">
      <c r="B180" s="10" t="s">
        <v>103</v>
      </c>
      <c r="C180" s="10" t="s">
        <v>303</v>
      </c>
      <c r="D180" s="10" t="s">
        <v>71</v>
      </c>
      <c r="E180" s="10" t="s">
        <v>15</v>
      </c>
      <c r="F180" s="10" t="s">
        <v>29</v>
      </c>
      <c r="G180" s="44">
        <f t="shared" si="6"/>
        <v>0.046114268109936116</v>
      </c>
      <c r="H180" s="10" t="s">
        <v>29</v>
      </c>
      <c r="I180" s="44">
        <f t="shared" si="6"/>
        <v>0.04809758660616008</v>
      </c>
      <c r="J180" s="10" t="s">
        <v>29</v>
      </c>
      <c r="K180" s="44">
        <f t="shared" si="4"/>
        <v>0.04245292130226035</v>
      </c>
      <c r="X180" s="37">
        <v>100</v>
      </c>
      <c r="Y180" s="31">
        <f t="shared" si="5"/>
        <v>0.04555492533945218</v>
      </c>
    </row>
    <row r="181" spans="2:25" ht="12.75">
      <c r="B181" s="10" t="s">
        <v>104</v>
      </c>
      <c r="C181" s="10" t="s">
        <v>303</v>
      </c>
      <c r="D181" s="10" t="s">
        <v>71</v>
      </c>
      <c r="E181" s="10" t="s">
        <v>15</v>
      </c>
      <c r="G181" s="44">
        <f t="shared" si="6"/>
        <v>4.611426810993612</v>
      </c>
      <c r="H181" s="10"/>
      <c r="I181" s="44">
        <f t="shared" si="6"/>
        <v>4.809758660616007</v>
      </c>
      <c r="J181" s="10"/>
      <c r="K181" s="44">
        <f t="shared" si="4"/>
        <v>6.792467408361655</v>
      </c>
      <c r="X181" s="27"/>
      <c r="Y181" s="31">
        <f t="shared" si="5"/>
        <v>5.404550959990424</v>
      </c>
    </row>
    <row r="182" spans="2:25" ht="12.75">
      <c r="B182" s="10" t="s">
        <v>121</v>
      </c>
      <c r="C182" s="10" t="s">
        <v>303</v>
      </c>
      <c r="D182" s="10" t="s">
        <v>71</v>
      </c>
      <c r="E182" s="10" t="s">
        <v>15</v>
      </c>
      <c r="G182" s="44">
        <f t="shared" si="6"/>
        <v>4.15028412989425</v>
      </c>
      <c r="H182" s="10"/>
      <c r="I182" s="44">
        <f t="shared" si="6"/>
        <v>1.923903464246403</v>
      </c>
      <c r="J182" s="10"/>
      <c r="K182" s="44">
        <f t="shared" si="4"/>
        <v>5.094350556271241</v>
      </c>
      <c r="X182" s="27"/>
      <c r="Y182" s="31">
        <f t="shared" si="5"/>
        <v>3.722846050137298</v>
      </c>
    </row>
    <row r="183" spans="2:25" ht="12.75">
      <c r="B183" s="10" t="s">
        <v>72</v>
      </c>
      <c r="C183" s="10" t="s">
        <v>303</v>
      </c>
      <c r="D183" s="10" t="s">
        <v>71</v>
      </c>
      <c r="E183" s="10" t="s">
        <v>15</v>
      </c>
      <c r="G183" s="11">
        <f>G181+G172</f>
        <v>70.55483020820225</v>
      </c>
      <c r="H183" s="10"/>
      <c r="I183" s="11">
        <f>I181+I172</f>
        <v>75.03223510560971</v>
      </c>
      <c r="J183" s="10"/>
      <c r="K183" s="11">
        <f>K181+K172</f>
        <v>125.6606470546906</v>
      </c>
      <c r="X183" s="27"/>
      <c r="Y183" s="31">
        <f t="shared" si="5"/>
        <v>90.41590412283419</v>
      </c>
    </row>
    <row r="184" spans="2:25" ht="12.75">
      <c r="B184" s="10" t="s">
        <v>73</v>
      </c>
      <c r="C184" s="10" t="s">
        <v>303</v>
      </c>
      <c r="D184" s="10" t="s">
        <v>71</v>
      </c>
      <c r="E184" s="10" t="s">
        <v>15</v>
      </c>
      <c r="F184" s="10">
        <f>(G179+G180)/G184*100</f>
        <v>36.17021276595745</v>
      </c>
      <c r="G184" s="11">
        <f>G182+G179+G180</f>
        <v>6.502111803500992</v>
      </c>
      <c r="H184" s="10">
        <f>(I179+I180)/I184*100</f>
        <v>56.04395604395604</v>
      </c>
      <c r="I184" s="11">
        <f>I182+I179+I180</f>
        <v>4.376880381160567</v>
      </c>
      <c r="J184" s="10">
        <f>(K179+K180)/K184*100</f>
        <v>37.17277486910995</v>
      </c>
      <c r="K184" s="11">
        <f>K182+K179+K180</f>
        <v>8.108507968731725</v>
      </c>
      <c r="X184" s="10">
        <f>(Y179+Y180)/Y184*100</f>
        <v>41.17952305366566</v>
      </c>
      <c r="Y184" s="31">
        <f t="shared" si="5"/>
        <v>6.3291667177977615</v>
      </c>
    </row>
    <row r="186" spans="2:13" ht="12.75">
      <c r="B186" s="10"/>
      <c r="C186" s="10"/>
      <c r="G186" s="12"/>
      <c r="H186" s="12"/>
      <c r="I186" s="12"/>
      <c r="J186" s="12"/>
      <c r="K186" s="12"/>
      <c r="L186" s="12"/>
      <c r="M186" s="12"/>
    </row>
    <row r="187" spans="1:25" ht="12.75">
      <c r="A187" s="25">
        <v>5</v>
      </c>
      <c r="B187" s="29" t="s">
        <v>203</v>
      </c>
      <c r="C187" s="29" t="s">
        <v>110</v>
      </c>
      <c r="G187" s="27" t="s">
        <v>174</v>
      </c>
      <c r="H187" s="27"/>
      <c r="I187" s="28" t="s">
        <v>175</v>
      </c>
      <c r="J187" s="27"/>
      <c r="K187" s="27" t="s">
        <v>176</v>
      </c>
      <c r="M187" s="27" t="s">
        <v>211</v>
      </c>
      <c r="N187" s="27"/>
      <c r="O187" s="27" t="s">
        <v>212</v>
      </c>
      <c r="P187" s="27"/>
      <c r="Q187" s="27" t="s">
        <v>213</v>
      </c>
      <c r="R187" s="27"/>
      <c r="S187" s="27" t="s">
        <v>214</v>
      </c>
      <c r="T187" s="27"/>
      <c r="U187" s="27" t="s">
        <v>215</v>
      </c>
      <c r="V187" s="27"/>
      <c r="W187" s="27" t="s">
        <v>216</v>
      </c>
      <c r="X187" s="27"/>
      <c r="Y187" s="25" t="s">
        <v>48</v>
      </c>
    </row>
    <row r="188" spans="2:24" ht="12.75">
      <c r="B188" s="10"/>
      <c r="C188" s="10"/>
      <c r="D188" s="37"/>
      <c r="E188" s="37"/>
      <c r="F188" s="37"/>
      <c r="G188" s="37"/>
      <c r="H188" s="37"/>
      <c r="I188" s="76"/>
      <c r="J188" s="37"/>
      <c r="K188" s="37"/>
      <c r="X188" s="27"/>
    </row>
    <row r="189" spans="2:25" ht="12.75">
      <c r="B189" s="10" t="s">
        <v>13</v>
      </c>
      <c r="C189" s="10" t="s">
        <v>303</v>
      </c>
      <c r="D189" s="10" t="s">
        <v>14</v>
      </c>
      <c r="E189" s="10" t="s">
        <v>15</v>
      </c>
      <c r="G189" s="37">
        <v>0.0035</v>
      </c>
      <c r="H189" s="37"/>
      <c r="I189" s="76">
        <v>0.0044</v>
      </c>
      <c r="J189" s="37"/>
      <c r="K189" s="37">
        <v>0.0035</v>
      </c>
      <c r="X189" s="27"/>
      <c r="Y189" s="30">
        <f>AVERAGE(K189,I189,G189)</f>
        <v>0.0038</v>
      </c>
    </row>
    <row r="190" spans="2:25" ht="12.75">
      <c r="B190" s="10"/>
      <c r="C190" s="10"/>
      <c r="G190" s="32"/>
      <c r="H190" s="32"/>
      <c r="I190" s="33"/>
      <c r="J190" s="32"/>
      <c r="K190" s="32"/>
      <c r="X190" s="27"/>
      <c r="Y190" s="34"/>
    </row>
    <row r="191" spans="2:25" ht="12.75">
      <c r="B191" s="10" t="s">
        <v>100</v>
      </c>
      <c r="C191" s="10"/>
      <c r="D191" s="10" t="s">
        <v>50</v>
      </c>
      <c r="F191" s="25"/>
      <c r="G191" s="37"/>
      <c r="H191" s="37"/>
      <c r="I191" s="37"/>
      <c r="J191" s="37"/>
      <c r="K191" s="37"/>
      <c r="X191" s="37"/>
      <c r="Y191" s="37">
        <v>0.0063</v>
      </c>
    </row>
    <row r="192" spans="2:25" ht="12.75">
      <c r="B192" s="10" t="s">
        <v>101</v>
      </c>
      <c r="C192" s="10"/>
      <c r="D192" s="10" t="s">
        <v>50</v>
      </c>
      <c r="F192" s="25"/>
      <c r="G192" s="37"/>
      <c r="H192" s="37"/>
      <c r="I192" s="37"/>
      <c r="J192" s="37"/>
      <c r="K192" s="37"/>
      <c r="X192" s="37"/>
      <c r="Y192" s="37">
        <v>0.00028</v>
      </c>
    </row>
    <row r="193" spans="2:25" ht="12.75">
      <c r="B193" s="10" t="s">
        <v>102</v>
      </c>
      <c r="C193" s="10"/>
      <c r="D193" s="10" t="s">
        <v>50</v>
      </c>
      <c r="F193" s="25"/>
      <c r="G193" s="37"/>
      <c r="I193" s="37"/>
      <c r="K193" s="37"/>
      <c r="X193" s="37" t="s">
        <v>29</v>
      </c>
      <c r="Y193" s="37">
        <v>0.0016</v>
      </c>
    </row>
    <row r="194" spans="2:25" ht="12.75">
      <c r="B194" s="10" t="s">
        <v>103</v>
      </c>
      <c r="C194" s="10"/>
      <c r="D194" s="10" t="s">
        <v>50</v>
      </c>
      <c r="F194" s="25"/>
      <c r="G194" s="37"/>
      <c r="I194" s="37"/>
      <c r="K194" s="37"/>
      <c r="X194" s="37"/>
      <c r="Y194" s="47">
        <v>9.8E-07</v>
      </c>
    </row>
    <row r="195" spans="2:25" ht="12.75">
      <c r="B195" s="10" t="s">
        <v>104</v>
      </c>
      <c r="C195" s="10"/>
      <c r="D195" s="10" t="s">
        <v>50</v>
      </c>
      <c r="G195" s="32"/>
      <c r="H195" s="10"/>
      <c r="I195" s="33"/>
      <c r="J195" s="10"/>
      <c r="K195" s="32"/>
      <c r="X195" s="27"/>
      <c r="Y195" s="61">
        <v>0.0014</v>
      </c>
    </row>
    <row r="196" spans="2:25" ht="12.75">
      <c r="B196" s="10" t="s">
        <v>121</v>
      </c>
      <c r="C196" s="10"/>
      <c r="D196" s="10" t="s">
        <v>50</v>
      </c>
      <c r="G196" s="32"/>
      <c r="H196" s="10"/>
      <c r="I196" s="33"/>
      <c r="J196" s="10"/>
      <c r="K196" s="32"/>
      <c r="X196" s="27"/>
      <c r="Y196" s="61">
        <v>0.00017</v>
      </c>
    </row>
    <row r="197" spans="2:25" ht="12.75">
      <c r="B197" s="10" t="s">
        <v>116</v>
      </c>
      <c r="C197" s="10"/>
      <c r="D197" s="10" t="s">
        <v>50</v>
      </c>
      <c r="G197" s="32"/>
      <c r="H197" s="10"/>
      <c r="I197" s="33"/>
      <c r="J197" s="10"/>
      <c r="K197" s="32"/>
      <c r="X197" s="27"/>
      <c r="Y197" s="61">
        <v>0.0059</v>
      </c>
    </row>
    <row r="198" spans="2:25" ht="12.75">
      <c r="B198" s="10" t="s">
        <v>117</v>
      </c>
      <c r="C198" s="10"/>
      <c r="D198" s="10" t="s">
        <v>50</v>
      </c>
      <c r="G198" s="32"/>
      <c r="H198" s="10"/>
      <c r="I198" s="33"/>
      <c r="J198" s="10"/>
      <c r="K198" s="32"/>
      <c r="X198" s="27"/>
      <c r="Y198" s="61">
        <v>0.0022</v>
      </c>
    </row>
    <row r="199" spans="2:25" ht="12.75">
      <c r="B199" s="10" t="s">
        <v>99</v>
      </c>
      <c r="C199" s="10"/>
      <c r="D199" s="10" t="s">
        <v>50</v>
      </c>
      <c r="G199" s="32"/>
      <c r="H199" s="10"/>
      <c r="I199" s="33"/>
      <c r="J199" s="10"/>
      <c r="K199" s="32"/>
      <c r="X199" s="27"/>
      <c r="Y199" s="61">
        <v>0.018</v>
      </c>
    </row>
    <row r="200" spans="2:25" ht="12.75">
      <c r="B200" s="10" t="s">
        <v>178</v>
      </c>
      <c r="C200" s="10"/>
      <c r="D200" s="10" t="s">
        <v>50</v>
      </c>
      <c r="G200" s="32"/>
      <c r="H200" s="10"/>
      <c r="I200" s="33"/>
      <c r="J200" s="10"/>
      <c r="K200" s="32"/>
      <c r="X200" s="27"/>
      <c r="Y200" s="61">
        <v>0.00014</v>
      </c>
    </row>
    <row r="201" spans="2:25" ht="12.75">
      <c r="B201" s="10" t="s">
        <v>106</v>
      </c>
      <c r="C201" s="10"/>
      <c r="D201" s="10" t="s">
        <v>50</v>
      </c>
      <c r="G201" s="32"/>
      <c r="H201" s="10"/>
      <c r="I201" s="33"/>
      <c r="J201" s="10"/>
      <c r="K201" s="32"/>
      <c r="X201" s="27"/>
      <c r="Y201" s="61">
        <v>0.00015</v>
      </c>
    </row>
    <row r="202" spans="2:25" ht="12.75">
      <c r="B202" s="10" t="s">
        <v>201</v>
      </c>
      <c r="C202" s="10"/>
      <c r="D202" s="10" t="s">
        <v>50</v>
      </c>
      <c r="G202" s="32"/>
      <c r="H202" s="10"/>
      <c r="I202" s="25"/>
      <c r="J202" s="10"/>
      <c r="K202" s="32"/>
      <c r="X202" s="27"/>
      <c r="Y202" s="61">
        <v>9.2E-05</v>
      </c>
    </row>
    <row r="203" spans="2:25" ht="12.75">
      <c r="B203" s="10" t="s">
        <v>107</v>
      </c>
      <c r="C203" s="10"/>
      <c r="D203" s="10" t="s">
        <v>50</v>
      </c>
      <c r="G203" s="32"/>
      <c r="H203" s="10"/>
      <c r="I203" s="33"/>
      <c r="J203" s="10"/>
      <c r="K203" s="32"/>
      <c r="X203" s="27"/>
      <c r="Y203" s="61">
        <v>0.0064</v>
      </c>
    </row>
    <row r="204" spans="2:25" ht="12.75">
      <c r="B204" s="10" t="s">
        <v>108</v>
      </c>
      <c r="C204" s="10"/>
      <c r="D204" s="10" t="s">
        <v>50</v>
      </c>
      <c r="G204" s="32"/>
      <c r="H204" s="32"/>
      <c r="I204" s="33"/>
      <c r="J204" s="32"/>
      <c r="K204" s="32"/>
      <c r="X204" s="27"/>
      <c r="Y204" s="61">
        <v>6.6E-05</v>
      </c>
    </row>
    <row r="205" spans="2:25" ht="12.75">
      <c r="B205" s="10" t="s">
        <v>119</v>
      </c>
      <c r="C205" s="10"/>
      <c r="D205" s="10" t="s">
        <v>50</v>
      </c>
      <c r="G205" s="32"/>
      <c r="H205" s="32"/>
      <c r="I205" s="33"/>
      <c r="J205" s="32"/>
      <c r="K205" s="32"/>
      <c r="X205" s="27"/>
      <c r="Y205" s="61">
        <v>1.3E-06</v>
      </c>
    </row>
    <row r="206" spans="2:25" ht="12.75">
      <c r="B206" s="15" t="s">
        <v>124</v>
      </c>
      <c r="C206" s="10"/>
      <c r="G206" s="32"/>
      <c r="H206" s="32"/>
      <c r="I206" s="33"/>
      <c r="J206" s="32"/>
      <c r="K206" s="32"/>
      <c r="X206" s="27"/>
      <c r="Y206" s="61">
        <v>0.013</v>
      </c>
    </row>
    <row r="207" spans="3:25" ht="12.75">
      <c r="C207" s="10"/>
      <c r="G207" s="32"/>
      <c r="H207" s="32"/>
      <c r="I207" s="33"/>
      <c r="J207" s="32"/>
      <c r="K207" s="32"/>
      <c r="X207" s="27"/>
      <c r="Y207" s="61"/>
    </row>
    <row r="208" spans="2:25" ht="12.75">
      <c r="B208" s="10" t="s">
        <v>123</v>
      </c>
      <c r="C208" s="10" t="s">
        <v>161</v>
      </c>
      <c r="D208" s="10" t="s">
        <v>303</v>
      </c>
      <c r="X208" s="27"/>
      <c r="Y208" s="35"/>
    </row>
    <row r="209" spans="2:25" ht="12.75">
      <c r="B209" s="10" t="s">
        <v>98</v>
      </c>
      <c r="C209" s="10"/>
      <c r="D209" s="10" t="s">
        <v>17</v>
      </c>
      <c r="G209" s="32"/>
      <c r="H209" s="32"/>
      <c r="I209" s="33"/>
      <c r="J209" s="14"/>
      <c r="K209" s="32"/>
      <c r="X209" s="27"/>
      <c r="Y209" s="31">
        <v>16732.39864736502</v>
      </c>
    </row>
    <row r="210" spans="2:25" ht="12.75">
      <c r="B210" s="10" t="s">
        <v>114</v>
      </c>
      <c r="C210" s="10"/>
      <c r="D210" s="10" t="s">
        <v>18</v>
      </c>
      <c r="G210" s="32"/>
      <c r="H210" s="32"/>
      <c r="I210" s="33"/>
      <c r="J210" s="32"/>
      <c r="K210" s="32"/>
      <c r="Y210" s="31"/>
    </row>
    <row r="211" spans="2:25" ht="12.75">
      <c r="B211" s="10" t="s">
        <v>115</v>
      </c>
      <c r="C211" s="10"/>
      <c r="D211" s="10" t="s">
        <v>18</v>
      </c>
      <c r="G211" s="32"/>
      <c r="H211" s="32"/>
      <c r="I211" s="33"/>
      <c r="J211" s="32"/>
      <c r="K211" s="32"/>
      <c r="Y211" s="31"/>
    </row>
    <row r="212" spans="2:25" ht="12.75">
      <c r="B212" s="10" t="s">
        <v>97</v>
      </c>
      <c r="C212" s="10"/>
      <c r="D212" s="10" t="s">
        <v>19</v>
      </c>
      <c r="G212" s="32"/>
      <c r="H212" s="32"/>
      <c r="I212" s="33"/>
      <c r="J212" s="32"/>
      <c r="K212" s="32"/>
      <c r="Y212" s="31"/>
    </row>
    <row r="213" spans="2:25" ht="13.5" customHeight="1">
      <c r="B213" s="10"/>
      <c r="C213" s="10"/>
      <c r="G213" s="32"/>
      <c r="H213" s="32"/>
      <c r="I213" s="33"/>
      <c r="J213" s="32"/>
      <c r="K213" s="32"/>
      <c r="Y213" s="35"/>
    </row>
    <row r="214" spans="2:25" ht="12.75">
      <c r="B214" s="10" t="s">
        <v>100</v>
      </c>
      <c r="C214" s="10" t="s">
        <v>303</v>
      </c>
      <c r="D214" s="10" t="s">
        <v>71</v>
      </c>
      <c r="E214" s="10" t="s">
        <v>15</v>
      </c>
      <c r="F214" s="25"/>
      <c r="G214" s="44"/>
      <c r="I214" s="44"/>
      <c r="K214" s="44"/>
      <c r="X214" s="37"/>
      <c r="Y214" s="41">
        <f aca="true" t="shared" si="7" ref="Y214:Y229">Y191*454/60/0.0283/Y$209*1000000</f>
        <v>100.67010309278352</v>
      </c>
    </row>
    <row r="215" spans="2:25" ht="12.75">
      <c r="B215" s="10" t="s">
        <v>101</v>
      </c>
      <c r="C215" s="10" t="s">
        <v>303</v>
      </c>
      <c r="D215" s="10" t="s">
        <v>71</v>
      </c>
      <c r="E215" s="10" t="s">
        <v>15</v>
      </c>
      <c r="F215" s="25"/>
      <c r="G215" s="44"/>
      <c r="I215" s="44"/>
      <c r="K215" s="44"/>
      <c r="X215" s="37"/>
      <c r="Y215" s="41">
        <f t="shared" si="7"/>
        <v>4.474226804123711</v>
      </c>
    </row>
    <row r="216" spans="2:25" ht="12.75">
      <c r="B216" s="10" t="s">
        <v>102</v>
      </c>
      <c r="C216" s="10" t="s">
        <v>303</v>
      </c>
      <c r="D216" s="10" t="s">
        <v>71</v>
      </c>
      <c r="E216" s="10" t="s">
        <v>15</v>
      </c>
      <c r="F216" s="25"/>
      <c r="G216" s="44"/>
      <c r="I216" s="44"/>
      <c r="K216" s="44"/>
      <c r="X216" s="37">
        <v>100</v>
      </c>
      <c r="Y216" s="41">
        <f t="shared" si="7"/>
        <v>25.567010309278356</v>
      </c>
    </row>
    <row r="217" spans="2:25" ht="12.75">
      <c r="B217" s="10" t="s">
        <v>103</v>
      </c>
      <c r="C217" s="10" t="s">
        <v>303</v>
      </c>
      <c r="D217" s="10" t="s">
        <v>71</v>
      </c>
      <c r="E217" s="10" t="s">
        <v>15</v>
      </c>
      <c r="F217" s="25"/>
      <c r="G217" s="44"/>
      <c r="I217" s="44"/>
      <c r="K217" s="44"/>
      <c r="X217" s="37"/>
      <c r="Y217" s="41">
        <f t="shared" si="7"/>
        <v>0.01565979381443299</v>
      </c>
    </row>
    <row r="218" spans="2:25" ht="12.75">
      <c r="B218" s="10" t="s">
        <v>104</v>
      </c>
      <c r="C218" s="10" t="s">
        <v>303</v>
      </c>
      <c r="D218" s="10" t="s">
        <v>71</v>
      </c>
      <c r="E218" s="10" t="s">
        <v>15</v>
      </c>
      <c r="G218" s="44"/>
      <c r="H218" s="10"/>
      <c r="I218" s="44"/>
      <c r="J218" s="10"/>
      <c r="K218" s="44"/>
      <c r="X218" s="27"/>
      <c r="Y218" s="41">
        <f t="shared" si="7"/>
        <v>22.371134020618562</v>
      </c>
    </row>
    <row r="219" spans="2:25" ht="12.75">
      <c r="B219" s="10" t="s">
        <v>121</v>
      </c>
      <c r="C219" s="10" t="s">
        <v>303</v>
      </c>
      <c r="D219" s="10" t="s">
        <v>71</v>
      </c>
      <c r="E219" s="10" t="s">
        <v>15</v>
      </c>
      <c r="G219" s="44"/>
      <c r="H219" s="10"/>
      <c r="I219" s="44"/>
      <c r="J219" s="10"/>
      <c r="K219" s="44"/>
      <c r="X219" s="27"/>
      <c r="Y219" s="41">
        <f t="shared" si="7"/>
        <v>2.7164948453608253</v>
      </c>
    </row>
    <row r="220" spans="2:25" ht="12.75">
      <c r="B220" s="10" t="s">
        <v>116</v>
      </c>
      <c r="C220" s="10" t="s">
        <v>303</v>
      </c>
      <c r="D220" s="10" t="s">
        <v>71</v>
      </c>
      <c r="E220" s="10" t="s">
        <v>15</v>
      </c>
      <c r="G220" s="44"/>
      <c r="H220" s="10"/>
      <c r="I220" s="44"/>
      <c r="J220" s="10"/>
      <c r="K220" s="44"/>
      <c r="X220" s="27"/>
      <c r="Y220" s="41">
        <f t="shared" si="7"/>
        <v>94.27835051546394</v>
      </c>
    </row>
    <row r="221" spans="2:25" ht="12.75">
      <c r="B221" s="10" t="s">
        <v>117</v>
      </c>
      <c r="C221" s="10" t="s">
        <v>303</v>
      </c>
      <c r="D221" s="10" t="s">
        <v>71</v>
      </c>
      <c r="E221" s="10" t="s">
        <v>15</v>
      </c>
      <c r="G221" s="44"/>
      <c r="H221" s="10"/>
      <c r="I221" s="44"/>
      <c r="J221" s="10"/>
      <c r="K221" s="44"/>
      <c r="X221" s="27"/>
      <c r="Y221" s="41">
        <f t="shared" si="7"/>
        <v>35.15463917525774</v>
      </c>
    </row>
    <row r="222" spans="2:25" ht="12.75">
      <c r="B222" s="10" t="s">
        <v>99</v>
      </c>
      <c r="C222" s="10" t="s">
        <v>303</v>
      </c>
      <c r="D222" s="10" t="s">
        <v>71</v>
      </c>
      <c r="E222" s="10" t="s">
        <v>15</v>
      </c>
      <c r="G222" s="44"/>
      <c r="H222" s="10"/>
      <c r="I222" s="44"/>
      <c r="J222" s="10"/>
      <c r="K222" s="44"/>
      <c r="X222" s="27"/>
      <c r="Y222" s="41">
        <f t="shared" si="7"/>
        <v>287.6288659793815</v>
      </c>
    </row>
    <row r="223" spans="2:25" ht="12.75">
      <c r="B223" s="10" t="s">
        <v>178</v>
      </c>
      <c r="C223" s="10" t="s">
        <v>303</v>
      </c>
      <c r="D223" s="10" t="s">
        <v>71</v>
      </c>
      <c r="E223" s="10" t="s">
        <v>15</v>
      </c>
      <c r="G223" s="44"/>
      <c r="H223" s="10"/>
      <c r="I223" s="44"/>
      <c r="J223" s="10"/>
      <c r="K223" s="44"/>
      <c r="X223" s="27"/>
      <c r="Y223" s="41">
        <f t="shared" si="7"/>
        <v>2.2371134020618557</v>
      </c>
    </row>
    <row r="224" spans="2:25" ht="12.75">
      <c r="B224" s="10" t="s">
        <v>106</v>
      </c>
      <c r="C224" s="10" t="s">
        <v>303</v>
      </c>
      <c r="D224" s="10" t="s">
        <v>71</v>
      </c>
      <c r="E224" s="10" t="s">
        <v>15</v>
      </c>
      <c r="G224" s="44"/>
      <c r="H224" s="10"/>
      <c r="I224" s="44"/>
      <c r="J224" s="10"/>
      <c r="K224" s="44"/>
      <c r="X224" s="27"/>
      <c r="Y224" s="41">
        <f t="shared" si="7"/>
        <v>2.3969072164948457</v>
      </c>
    </row>
    <row r="225" spans="2:25" ht="12.75">
      <c r="B225" s="10" t="s">
        <v>201</v>
      </c>
      <c r="C225" s="10" t="s">
        <v>303</v>
      </c>
      <c r="D225" s="10" t="s">
        <v>71</v>
      </c>
      <c r="E225" s="10" t="s">
        <v>15</v>
      </c>
      <c r="G225" s="44"/>
      <c r="H225" s="10"/>
      <c r="I225" s="44"/>
      <c r="J225" s="10"/>
      <c r="K225" s="44"/>
      <c r="X225" s="27"/>
      <c r="Y225" s="41">
        <f t="shared" si="7"/>
        <v>1.4701030927835055</v>
      </c>
    </row>
    <row r="226" spans="2:25" ht="12.75">
      <c r="B226" s="10" t="s">
        <v>107</v>
      </c>
      <c r="C226" s="10" t="s">
        <v>303</v>
      </c>
      <c r="D226" s="10" t="s">
        <v>71</v>
      </c>
      <c r="E226" s="10" t="s">
        <v>15</v>
      </c>
      <c r="G226" s="44"/>
      <c r="H226" s="10"/>
      <c r="I226" s="44"/>
      <c r="J226" s="10"/>
      <c r="K226" s="44"/>
      <c r="X226" s="27"/>
      <c r="Y226" s="41">
        <f t="shared" si="7"/>
        <v>102.26804123711342</v>
      </c>
    </row>
    <row r="227" spans="2:25" ht="12.75">
      <c r="B227" s="10" t="s">
        <v>108</v>
      </c>
      <c r="C227" s="10" t="s">
        <v>303</v>
      </c>
      <c r="D227" s="10" t="s">
        <v>71</v>
      </c>
      <c r="E227" s="10" t="s">
        <v>15</v>
      </c>
      <c r="G227" s="44"/>
      <c r="H227" s="10"/>
      <c r="I227" s="44"/>
      <c r="J227" s="10"/>
      <c r="K227" s="44"/>
      <c r="X227" s="27"/>
      <c r="Y227" s="41">
        <f t="shared" si="7"/>
        <v>1.0546391752577322</v>
      </c>
    </row>
    <row r="228" spans="2:25" ht="12.75">
      <c r="B228" s="10" t="s">
        <v>119</v>
      </c>
      <c r="C228" s="10" t="s">
        <v>303</v>
      </c>
      <c r="D228" s="10" t="s">
        <v>71</v>
      </c>
      <c r="E228" s="10" t="s">
        <v>15</v>
      </c>
      <c r="G228" s="44"/>
      <c r="H228" s="10"/>
      <c r="I228" s="44"/>
      <c r="J228" s="10"/>
      <c r="K228" s="44"/>
      <c r="X228" s="27"/>
      <c r="Y228" s="41">
        <f t="shared" si="7"/>
        <v>0.020773195876288664</v>
      </c>
    </row>
    <row r="229" spans="2:25" ht="12.75">
      <c r="B229" s="15" t="s">
        <v>124</v>
      </c>
      <c r="C229" s="10" t="s">
        <v>303</v>
      </c>
      <c r="D229" s="10" t="s">
        <v>71</v>
      </c>
      <c r="E229" s="10" t="s">
        <v>15</v>
      </c>
      <c r="G229" s="44"/>
      <c r="H229" s="10"/>
      <c r="I229" s="44"/>
      <c r="J229" s="10"/>
      <c r="K229" s="44"/>
      <c r="X229" s="27"/>
      <c r="Y229" s="41">
        <f t="shared" si="7"/>
        <v>207.73195876288665</v>
      </c>
    </row>
    <row r="230" spans="2:25" ht="12.75">
      <c r="B230" s="10" t="s">
        <v>72</v>
      </c>
      <c r="C230" s="10" t="s">
        <v>303</v>
      </c>
      <c r="D230" s="10" t="s">
        <v>71</v>
      </c>
      <c r="E230" s="10" t="s">
        <v>15</v>
      </c>
      <c r="G230" s="11"/>
      <c r="H230" s="10"/>
      <c r="I230" s="11"/>
      <c r="J230" s="10"/>
      <c r="K230" s="11"/>
      <c r="X230" s="27"/>
      <c r="Y230" s="31">
        <f>Y222+Y218</f>
        <v>310.00000000000006</v>
      </c>
    </row>
    <row r="231" spans="2:25" ht="12.75">
      <c r="B231" s="10" t="s">
        <v>73</v>
      </c>
      <c r="C231" s="10" t="s">
        <v>303</v>
      </c>
      <c r="D231" s="10" t="s">
        <v>71</v>
      </c>
      <c r="E231" s="10" t="s">
        <v>15</v>
      </c>
      <c r="G231" s="12"/>
      <c r="H231" s="12"/>
      <c r="I231" s="12"/>
      <c r="J231" s="12"/>
      <c r="K231" s="12"/>
      <c r="X231" s="27"/>
      <c r="Y231" s="31">
        <f>Y217+Y215+Y219</f>
        <v>7.2063814432989695</v>
      </c>
    </row>
    <row r="233" spans="2:13" ht="12.75">
      <c r="B233" s="10"/>
      <c r="C233" s="10"/>
      <c r="G233" s="12"/>
      <c r="H233" s="12"/>
      <c r="I233" s="12"/>
      <c r="J233" s="12"/>
      <c r="K233" s="12"/>
      <c r="L233" s="12"/>
      <c r="M233" s="12"/>
    </row>
    <row r="234" spans="1:25" ht="12.75">
      <c r="A234" s="25">
        <v>6</v>
      </c>
      <c r="B234" s="29" t="s">
        <v>204</v>
      </c>
      <c r="C234" s="29"/>
      <c r="G234" s="27" t="s">
        <v>174</v>
      </c>
      <c r="H234" s="27"/>
      <c r="I234" s="28" t="s">
        <v>175</v>
      </c>
      <c r="J234" s="27"/>
      <c r="K234" s="27" t="s">
        <v>176</v>
      </c>
      <c r="M234" s="27" t="s">
        <v>211</v>
      </c>
      <c r="N234" s="27"/>
      <c r="O234" s="27" t="s">
        <v>212</v>
      </c>
      <c r="P234" s="27"/>
      <c r="Q234" s="27" t="s">
        <v>213</v>
      </c>
      <c r="R234" s="27"/>
      <c r="S234" s="27" t="s">
        <v>214</v>
      </c>
      <c r="T234" s="27"/>
      <c r="U234" s="27" t="s">
        <v>215</v>
      </c>
      <c r="V234" s="27"/>
      <c r="W234" s="27" t="s">
        <v>216</v>
      </c>
      <c r="X234" s="27"/>
      <c r="Y234" s="25" t="s">
        <v>48</v>
      </c>
    </row>
    <row r="235" spans="2:24" ht="12.75">
      <c r="B235" s="10"/>
      <c r="C235" s="10"/>
      <c r="D235" s="37"/>
      <c r="E235" s="37"/>
      <c r="F235" s="37"/>
      <c r="G235" s="37"/>
      <c r="H235" s="37"/>
      <c r="I235" s="76"/>
      <c r="J235" s="37"/>
      <c r="K235" s="37"/>
      <c r="X235" s="27"/>
    </row>
    <row r="236" spans="2:25" ht="12.75">
      <c r="B236" s="10" t="s">
        <v>13</v>
      </c>
      <c r="C236" s="10" t="s">
        <v>303</v>
      </c>
      <c r="D236" s="10" t="s">
        <v>14</v>
      </c>
      <c r="E236" s="10" t="s">
        <v>15</v>
      </c>
      <c r="G236" s="37">
        <v>0.0029</v>
      </c>
      <c r="H236" s="37"/>
      <c r="I236" s="76">
        <v>0.0025</v>
      </c>
      <c r="J236" s="37"/>
      <c r="K236" s="37"/>
      <c r="X236" s="27"/>
      <c r="Y236" s="30">
        <f>AVERAGE(K236,I236,G236)</f>
        <v>0.0027</v>
      </c>
    </row>
    <row r="237" spans="2:25" ht="12.75">
      <c r="B237" s="10"/>
      <c r="C237" s="10"/>
      <c r="G237" s="32"/>
      <c r="H237" s="32"/>
      <c r="I237" s="33"/>
      <c r="J237" s="32"/>
      <c r="K237" s="32"/>
      <c r="X237" s="27"/>
      <c r="Y237" s="34"/>
    </row>
    <row r="238" spans="2:25" ht="12.75">
      <c r="B238" s="10" t="s">
        <v>100</v>
      </c>
      <c r="C238" s="10"/>
      <c r="D238" s="10" t="s">
        <v>50</v>
      </c>
      <c r="F238" s="25"/>
      <c r="G238" s="37"/>
      <c r="H238" s="37"/>
      <c r="I238" s="37"/>
      <c r="J238" s="37"/>
      <c r="K238" s="37"/>
      <c r="X238" s="37"/>
      <c r="Y238" s="37">
        <v>0.0015</v>
      </c>
    </row>
    <row r="239" spans="2:25" ht="12.75">
      <c r="B239" s="10" t="s">
        <v>101</v>
      </c>
      <c r="C239" s="10"/>
      <c r="D239" s="10" t="s">
        <v>50</v>
      </c>
      <c r="F239" s="25"/>
      <c r="G239" s="37"/>
      <c r="H239" s="37"/>
      <c r="I239" s="37"/>
      <c r="J239" s="37"/>
      <c r="K239" s="37"/>
      <c r="X239" s="37"/>
      <c r="Y239" s="37">
        <v>6.8E-05</v>
      </c>
    </row>
    <row r="240" spans="2:25" ht="12.75">
      <c r="B240" s="10" t="s">
        <v>102</v>
      </c>
      <c r="C240" s="10"/>
      <c r="D240" s="10" t="s">
        <v>50</v>
      </c>
      <c r="F240" s="25"/>
      <c r="G240" s="37"/>
      <c r="I240" s="37"/>
      <c r="K240" s="37"/>
      <c r="X240" s="37"/>
      <c r="Y240" s="37">
        <v>0.0015</v>
      </c>
    </row>
    <row r="241" spans="2:25" ht="12.75">
      <c r="B241" s="10" t="s">
        <v>103</v>
      </c>
      <c r="C241" s="10"/>
      <c r="D241" s="10" t="s">
        <v>50</v>
      </c>
      <c r="F241" s="25"/>
      <c r="G241" s="37"/>
      <c r="I241" s="37"/>
      <c r="K241" s="37"/>
      <c r="X241" s="37"/>
      <c r="Y241" s="47">
        <v>0</v>
      </c>
    </row>
    <row r="242" spans="2:25" ht="12.75">
      <c r="B242" s="10" t="s">
        <v>104</v>
      </c>
      <c r="C242" s="10"/>
      <c r="D242" s="10" t="s">
        <v>50</v>
      </c>
      <c r="G242" s="32"/>
      <c r="H242" s="10"/>
      <c r="I242" s="33"/>
      <c r="J242" s="10"/>
      <c r="K242" s="32"/>
      <c r="X242" s="27"/>
      <c r="Y242" s="61">
        <v>0.00049</v>
      </c>
    </row>
    <row r="243" spans="2:25" ht="12.75">
      <c r="B243" s="10" t="s">
        <v>121</v>
      </c>
      <c r="C243" s="10"/>
      <c r="D243" s="10" t="s">
        <v>50</v>
      </c>
      <c r="G243" s="32"/>
      <c r="H243" s="10"/>
      <c r="I243" s="33"/>
      <c r="J243" s="10"/>
      <c r="K243" s="32"/>
      <c r="X243" s="27"/>
      <c r="Y243" s="61">
        <v>9.9E-05</v>
      </c>
    </row>
    <row r="244" spans="2:25" ht="12.75">
      <c r="B244" s="10" t="s">
        <v>116</v>
      </c>
      <c r="C244" s="10"/>
      <c r="D244" s="10" t="s">
        <v>50</v>
      </c>
      <c r="G244" s="32"/>
      <c r="H244" s="10"/>
      <c r="I244" s="33"/>
      <c r="J244" s="10"/>
      <c r="K244" s="32"/>
      <c r="X244" s="27"/>
      <c r="Y244" s="61">
        <v>1.5E-05</v>
      </c>
    </row>
    <row r="245" spans="2:25" ht="12.75">
      <c r="B245" s="10" t="s">
        <v>117</v>
      </c>
      <c r="C245" s="10"/>
      <c r="D245" s="10" t="s">
        <v>50</v>
      </c>
      <c r="G245" s="32"/>
      <c r="H245" s="10"/>
      <c r="I245" s="33"/>
      <c r="J245" s="10"/>
      <c r="K245" s="32"/>
      <c r="X245" s="27"/>
      <c r="Y245" s="61">
        <v>0.0011</v>
      </c>
    </row>
    <row r="246" spans="2:25" ht="12.75">
      <c r="B246" s="10" t="s">
        <v>99</v>
      </c>
      <c r="C246" s="10"/>
      <c r="D246" s="10" t="s">
        <v>50</v>
      </c>
      <c r="G246" s="32"/>
      <c r="H246" s="10"/>
      <c r="I246" s="33"/>
      <c r="J246" s="10"/>
      <c r="K246" s="32"/>
      <c r="X246" s="27"/>
      <c r="Y246" s="61">
        <v>0.0071</v>
      </c>
    </row>
    <row r="247" spans="2:25" ht="12.75">
      <c r="B247" s="10" t="s">
        <v>178</v>
      </c>
      <c r="C247" s="10"/>
      <c r="D247" s="10" t="s">
        <v>50</v>
      </c>
      <c r="G247" s="32"/>
      <c r="H247" s="10"/>
      <c r="I247" s="33"/>
      <c r="J247" s="10"/>
      <c r="K247" s="32"/>
      <c r="X247" s="27"/>
      <c r="Y247" s="61">
        <v>6.1E-05</v>
      </c>
    </row>
    <row r="248" spans="2:25" ht="12.75">
      <c r="B248" s="10" t="s">
        <v>106</v>
      </c>
      <c r="C248" s="10"/>
      <c r="D248" s="10" t="s">
        <v>50</v>
      </c>
      <c r="G248" s="32"/>
      <c r="H248" s="10"/>
      <c r="I248" s="33"/>
      <c r="J248" s="10"/>
      <c r="K248" s="32"/>
      <c r="X248" s="27"/>
      <c r="Y248" s="61">
        <v>0.00015</v>
      </c>
    </row>
    <row r="249" spans="2:25" ht="12.75">
      <c r="B249" s="10" t="s">
        <v>201</v>
      </c>
      <c r="C249" s="10"/>
      <c r="D249" s="10" t="s">
        <v>50</v>
      </c>
      <c r="G249" s="32"/>
      <c r="H249" s="10"/>
      <c r="I249" s="25"/>
      <c r="J249" s="10"/>
      <c r="K249" s="32"/>
      <c r="X249" s="27"/>
      <c r="Y249" s="61">
        <v>6E-05</v>
      </c>
    </row>
    <row r="250" spans="2:25" ht="12.75">
      <c r="B250" s="10" t="s">
        <v>107</v>
      </c>
      <c r="C250" s="10"/>
      <c r="D250" s="10" t="s">
        <v>50</v>
      </c>
      <c r="G250" s="32"/>
      <c r="H250" s="10"/>
      <c r="I250" s="33"/>
      <c r="J250" s="10"/>
      <c r="K250" s="32"/>
      <c r="X250" s="27"/>
      <c r="Y250" s="61">
        <v>0.0036</v>
      </c>
    </row>
    <row r="251" spans="2:25" ht="12.75">
      <c r="B251" s="10" t="s">
        <v>108</v>
      </c>
      <c r="C251" s="10"/>
      <c r="D251" s="10" t="s">
        <v>50</v>
      </c>
      <c r="G251" s="32"/>
      <c r="H251" s="32"/>
      <c r="I251" s="33"/>
      <c r="J251" s="32"/>
      <c r="K251" s="32"/>
      <c r="X251" s="27"/>
      <c r="Y251" s="61">
        <v>1.3E-05</v>
      </c>
    </row>
    <row r="252" spans="2:25" ht="12.75">
      <c r="B252" s="10" t="s">
        <v>119</v>
      </c>
      <c r="C252" s="10"/>
      <c r="D252" s="10" t="s">
        <v>50</v>
      </c>
      <c r="G252" s="32"/>
      <c r="H252" s="32"/>
      <c r="I252" s="33"/>
      <c r="J252" s="32"/>
      <c r="K252" s="32"/>
      <c r="X252" s="27"/>
      <c r="Y252" s="61">
        <v>7E-06</v>
      </c>
    </row>
    <row r="253" spans="2:25" ht="12.75">
      <c r="B253" s="15" t="s">
        <v>124</v>
      </c>
      <c r="C253" s="10"/>
      <c r="G253" s="32"/>
      <c r="H253" s="32"/>
      <c r="I253" s="33"/>
      <c r="J253" s="32"/>
      <c r="K253" s="32"/>
      <c r="X253" s="27"/>
      <c r="Y253" s="61">
        <v>0.0056</v>
      </c>
    </row>
    <row r="254" spans="3:25" ht="12.75">
      <c r="C254" s="10"/>
      <c r="G254" s="32"/>
      <c r="H254" s="32"/>
      <c r="I254" s="33"/>
      <c r="J254" s="32"/>
      <c r="K254" s="32"/>
      <c r="X254" s="27"/>
      <c r="Y254" s="61"/>
    </row>
    <row r="255" spans="2:25" ht="12.75">
      <c r="B255" s="10" t="s">
        <v>123</v>
      </c>
      <c r="C255" s="10" t="s">
        <v>161</v>
      </c>
      <c r="D255" s="10" t="s">
        <v>303</v>
      </c>
      <c r="X255" s="27"/>
      <c r="Y255" s="35"/>
    </row>
    <row r="256" spans="2:25" ht="12.75">
      <c r="B256" s="10" t="s">
        <v>98</v>
      </c>
      <c r="C256" s="10"/>
      <c r="D256" s="10" t="s">
        <v>17</v>
      </c>
      <c r="G256" s="32"/>
      <c r="H256" s="32"/>
      <c r="I256" s="33"/>
      <c r="J256" s="14"/>
      <c r="K256" s="32"/>
      <c r="X256" s="27"/>
      <c r="Y256" s="31">
        <v>14141.909112175425</v>
      </c>
    </row>
    <row r="257" spans="2:25" ht="12.75">
      <c r="B257" s="10" t="s">
        <v>114</v>
      </c>
      <c r="C257" s="10"/>
      <c r="D257" s="10" t="s">
        <v>18</v>
      </c>
      <c r="G257" s="32"/>
      <c r="H257" s="32"/>
      <c r="I257" s="33"/>
      <c r="J257" s="32"/>
      <c r="K257" s="32"/>
      <c r="Y257" s="31"/>
    </row>
    <row r="258" spans="2:25" ht="12.75">
      <c r="B258" s="10" t="s">
        <v>115</v>
      </c>
      <c r="C258" s="10"/>
      <c r="D258" s="10" t="s">
        <v>18</v>
      </c>
      <c r="G258" s="32"/>
      <c r="H258" s="32"/>
      <c r="I258" s="33"/>
      <c r="J258" s="32"/>
      <c r="K258" s="32"/>
      <c r="Y258" s="31"/>
    </row>
    <row r="259" spans="2:25" ht="12.75">
      <c r="B259" s="10" t="s">
        <v>97</v>
      </c>
      <c r="C259" s="10"/>
      <c r="D259" s="10" t="s">
        <v>19</v>
      </c>
      <c r="G259" s="32"/>
      <c r="H259" s="32"/>
      <c r="I259" s="33"/>
      <c r="J259" s="32"/>
      <c r="K259" s="32"/>
      <c r="Y259" s="31"/>
    </row>
    <row r="260" spans="2:25" ht="13.5" customHeight="1">
      <c r="B260" s="10"/>
      <c r="C260" s="10"/>
      <c r="G260" s="32"/>
      <c r="H260" s="32"/>
      <c r="I260" s="33"/>
      <c r="J260" s="32"/>
      <c r="K260" s="32"/>
      <c r="Y260" s="35"/>
    </row>
    <row r="261" spans="2:25" ht="12.75">
      <c r="B261" s="10" t="s">
        <v>100</v>
      </c>
      <c r="C261" s="10" t="s">
        <v>303</v>
      </c>
      <c r="D261" s="10" t="s">
        <v>71</v>
      </c>
      <c r="E261" s="10" t="s">
        <v>15</v>
      </c>
      <c r="F261" s="25"/>
      <c r="G261" s="44"/>
      <c r="I261" s="44"/>
      <c r="K261" s="44"/>
      <c r="X261" s="37"/>
      <c r="Y261" s="41">
        <f aca="true" t="shared" si="8" ref="Y261:Y276">Y238*454/60/0.0283/Y$256*1000000</f>
        <v>28.3596837944664</v>
      </c>
    </row>
    <row r="262" spans="2:25" ht="12.75">
      <c r="B262" s="10" t="s">
        <v>101</v>
      </c>
      <c r="C262" s="10" t="s">
        <v>303</v>
      </c>
      <c r="D262" s="10" t="s">
        <v>71</v>
      </c>
      <c r="E262" s="10" t="s">
        <v>15</v>
      </c>
      <c r="F262" s="25"/>
      <c r="G262" s="44"/>
      <c r="I262" s="44"/>
      <c r="K262" s="44"/>
      <c r="X262" s="37"/>
      <c r="Y262" s="41">
        <f t="shared" si="8"/>
        <v>1.285638998682477</v>
      </c>
    </row>
    <row r="263" spans="2:25" ht="12.75">
      <c r="B263" s="10" t="s">
        <v>102</v>
      </c>
      <c r="C263" s="10" t="s">
        <v>303</v>
      </c>
      <c r="D263" s="10" t="s">
        <v>71</v>
      </c>
      <c r="E263" s="10" t="s">
        <v>15</v>
      </c>
      <c r="F263" s="25"/>
      <c r="G263" s="44"/>
      <c r="I263" s="44"/>
      <c r="K263" s="44"/>
      <c r="X263" s="37">
        <v>100</v>
      </c>
      <c r="Y263" s="41">
        <f t="shared" si="8"/>
        <v>28.3596837944664</v>
      </c>
    </row>
    <row r="264" spans="2:25" ht="12.75">
      <c r="B264" s="10" t="s">
        <v>103</v>
      </c>
      <c r="C264" s="10" t="s">
        <v>303</v>
      </c>
      <c r="D264" s="10" t="s">
        <v>71</v>
      </c>
      <c r="E264" s="10" t="s">
        <v>15</v>
      </c>
      <c r="F264" s="25"/>
      <c r="G264" s="44"/>
      <c r="I264" s="44"/>
      <c r="K264" s="44"/>
      <c r="X264" s="37"/>
      <c r="Y264" s="41">
        <f t="shared" si="8"/>
        <v>0</v>
      </c>
    </row>
    <row r="265" spans="2:25" ht="12.75">
      <c r="B265" s="10" t="s">
        <v>104</v>
      </c>
      <c r="C265" s="10" t="s">
        <v>303</v>
      </c>
      <c r="D265" s="10" t="s">
        <v>71</v>
      </c>
      <c r="E265" s="10" t="s">
        <v>15</v>
      </c>
      <c r="G265" s="44"/>
      <c r="H265" s="10"/>
      <c r="I265" s="44"/>
      <c r="J265" s="10"/>
      <c r="K265" s="44"/>
      <c r="X265" s="27"/>
      <c r="Y265" s="41">
        <f t="shared" si="8"/>
        <v>9.264163372859024</v>
      </c>
    </row>
    <row r="266" spans="2:25" ht="12.75">
      <c r="B266" s="10" t="s">
        <v>121</v>
      </c>
      <c r="C266" s="10" t="s">
        <v>303</v>
      </c>
      <c r="D266" s="10" t="s">
        <v>71</v>
      </c>
      <c r="E266" s="10" t="s">
        <v>15</v>
      </c>
      <c r="G266" s="44"/>
      <c r="H266" s="10"/>
      <c r="I266" s="44"/>
      <c r="J266" s="10"/>
      <c r="K266" s="44"/>
      <c r="X266" s="27"/>
      <c r="Y266" s="41">
        <f t="shared" si="8"/>
        <v>1.8717391304347826</v>
      </c>
    </row>
    <row r="267" spans="2:25" ht="12.75">
      <c r="B267" s="10" t="s">
        <v>116</v>
      </c>
      <c r="C267" s="10" t="s">
        <v>303</v>
      </c>
      <c r="D267" s="10" t="s">
        <v>71</v>
      </c>
      <c r="E267" s="10" t="s">
        <v>15</v>
      </c>
      <c r="G267" s="44"/>
      <c r="H267" s="10"/>
      <c r="I267" s="44"/>
      <c r="J267" s="10"/>
      <c r="K267" s="44"/>
      <c r="X267" s="27"/>
      <c r="Y267" s="41">
        <f t="shared" si="8"/>
        <v>0.28359683794466406</v>
      </c>
    </row>
    <row r="268" spans="2:25" ht="12.75">
      <c r="B268" s="10" t="s">
        <v>117</v>
      </c>
      <c r="C268" s="10" t="s">
        <v>303</v>
      </c>
      <c r="D268" s="10" t="s">
        <v>71</v>
      </c>
      <c r="E268" s="10" t="s">
        <v>15</v>
      </c>
      <c r="G268" s="44"/>
      <c r="H268" s="10"/>
      <c r="I268" s="44"/>
      <c r="J268" s="10"/>
      <c r="K268" s="44"/>
      <c r="X268" s="27"/>
      <c r="Y268" s="41">
        <f t="shared" si="8"/>
        <v>20.79710144927536</v>
      </c>
    </row>
    <row r="269" spans="2:25" ht="12.75">
      <c r="B269" s="10" t="s">
        <v>99</v>
      </c>
      <c r="C269" s="10" t="s">
        <v>303</v>
      </c>
      <c r="D269" s="10" t="s">
        <v>71</v>
      </c>
      <c r="E269" s="10" t="s">
        <v>15</v>
      </c>
      <c r="G269" s="44"/>
      <c r="H269" s="10"/>
      <c r="I269" s="44"/>
      <c r="J269" s="10"/>
      <c r="K269" s="44"/>
      <c r="X269" s="27"/>
      <c r="Y269" s="41">
        <f t="shared" si="8"/>
        <v>134.23583662714097</v>
      </c>
    </row>
    <row r="270" spans="2:25" ht="12.75">
      <c r="B270" s="10" t="s">
        <v>178</v>
      </c>
      <c r="C270" s="10" t="s">
        <v>303</v>
      </c>
      <c r="D270" s="10" t="s">
        <v>71</v>
      </c>
      <c r="E270" s="10" t="s">
        <v>15</v>
      </c>
      <c r="G270" s="44"/>
      <c r="H270" s="10"/>
      <c r="I270" s="44"/>
      <c r="J270" s="10"/>
      <c r="K270" s="44"/>
      <c r="X270" s="27"/>
      <c r="Y270" s="41">
        <f t="shared" si="8"/>
        <v>1.1532938076416335</v>
      </c>
    </row>
    <row r="271" spans="2:25" ht="12.75">
      <c r="B271" s="10" t="s">
        <v>106</v>
      </c>
      <c r="C271" s="10" t="s">
        <v>303</v>
      </c>
      <c r="D271" s="10" t="s">
        <v>71</v>
      </c>
      <c r="E271" s="10" t="s">
        <v>15</v>
      </c>
      <c r="G271" s="44"/>
      <c r="H271" s="10"/>
      <c r="I271" s="44"/>
      <c r="J271" s="10"/>
      <c r="K271" s="44"/>
      <c r="X271" s="27"/>
      <c r="Y271" s="41">
        <f t="shared" si="8"/>
        <v>2.8359683794466397</v>
      </c>
    </row>
    <row r="272" spans="2:25" ht="12.75">
      <c r="B272" s="10" t="s">
        <v>201</v>
      </c>
      <c r="C272" s="10" t="s">
        <v>303</v>
      </c>
      <c r="D272" s="10" t="s">
        <v>71</v>
      </c>
      <c r="E272" s="10" t="s">
        <v>15</v>
      </c>
      <c r="G272" s="44"/>
      <c r="H272" s="10"/>
      <c r="I272" s="44"/>
      <c r="J272" s="10"/>
      <c r="K272" s="44"/>
      <c r="X272" s="27">
        <v>100</v>
      </c>
      <c r="Y272" s="41">
        <f t="shared" si="8"/>
        <v>1.1343873517786562</v>
      </c>
    </row>
    <row r="273" spans="2:25" ht="12.75">
      <c r="B273" s="10" t="s">
        <v>107</v>
      </c>
      <c r="C273" s="10" t="s">
        <v>303</v>
      </c>
      <c r="D273" s="10" t="s">
        <v>71</v>
      </c>
      <c r="E273" s="10" t="s">
        <v>15</v>
      </c>
      <c r="G273" s="44"/>
      <c r="H273" s="10"/>
      <c r="I273" s="44"/>
      <c r="J273" s="10"/>
      <c r="K273" s="44"/>
      <c r="X273" s="27"/>
      <c r="Y273" s="41">
        <f t="shared" si="8"/>
        <v>68.06324110671936</v>
      </c>
    </row>
    <row r="274" spans="2:25" ht="12.75">
      <c r="B274" s="10" t="s">
        <v>108</v>
      </c>
      <c r="C274" s="10" t="s">
        <v>303</v>
      </c>
      <c r="D274" s="10" t="s">
        <v>71</v>
      </c>
      <c r="E274" s="10" t="s">
        <v>15</v>
      </c>
      <c r="G274" s="44"/>
      <c r="H274" s="10"/>
      <c r="I274" s="44"/>
      <c r="J274" s="10"/>
      <c r="K274" s="44"/>
      <c r="X274" s="27"/>
      <c r="Y274" s="41">
        <f t="shared" si="8"/>
        <v>0.24578392621870876</v>
      </c>
    </row>
    <row r="275" spans="2:25" ht="12.75">
      <c r="B275" s="10" t="s">
        <v>119</v>
      </c>
      <c r="C275" s="10" t="s">
        <v>303</v>
      </c>
      <c r="D275" s="10" t="s">
        <v>71</v>
      </c>
      <c r="E275" s="10" t="s">
        <v>15</v>
      </c>
      <c r="G275" s="44"/>
      <c r="H275" s="10"/>
      <c r="I275" s="44"/>
      <c r="J275" s="10"/>
      <c r="K275" s="44"/>
      <c r="X275" s="27"/>
      <c r="Y275" s="41">
        <f t="shared" si="8"/>
        <v>0.1323451910408432</v>
      </c>
    </row>
    <row r="276" spans="2:25" ht="12.75">
      <c r="B276" s="15" t="s">
        <v>124</v>
      </c>
      <c r="C276" s="10" t="s">
        <v>303</v>
      </c>
      <c r="D276" s="10" t="s">
        <v>71</v>
      </c>
      <c r="E276" s="10" t="s">
        <v>15</v>
      </c>
      <c r="G276" s="44"/>
      <c r="H276" s="10"/>
      <c r="I276" s="44"/>
      <c r="J276" s="10"/>
      <c r="K276" s="44"/>
      <c r="X276" s="27"/>
      <c r="Y276" s="41">
        <f t="shared" si="8"/>
        <v>105.87615283267456</v>
      </c>
    </row>
    <row r="277" spans="2:25" ht="12.75">
      <c r="B277" s="10" t="s">
        <v>72</v>
      </c>
      <c r="C277" s="10" t="s">
        <v>303</v>
      </c>
      <c r="D277" s="10" t="s">
        <v>71</v>
      </c>
      <c r="E277" s="10" t="s">
        <v>15</v>
      </c>
      <c r="G277" s="11"/>
      <c r="H277" s="10"/>
      <c r="I277" s="11"/>
      <c r="J277" s="10"/>
      <c r="K277" s="11"/>
      <c r="X277" s="27"/>
      <c r="Y277" s="31">
        <f>Y269+Y265</f>
        <v>143.5</v>
      </c>
    </row>
    <row r="278" spans="2:25" ht="12.75">
      <c r="B278" s="10" t="s">
        <v>73</v>
      </c>
      <c r="C278" s="10" t="s">
        <v>303</v>
      </c>
      <c r="D278" s="10" t="s">
        <v>71</v>
      </c>
      <c r="E278" s="10" t="s">
        <v>15</v>
      </c>
      <c r="G278" s="12"/>
      <c r="H278" s="12"/>
      <c r="I278" s="12"/>
      <c r="J278" s="12"/>
      <c r="K278" s="12"/>
      <c r="X278" s="27"/>
      <c r="Y278" s="31">
        <f>Y264+Y262+Y266</f>
        <v>3.1573781291172596</v>
      </c>
    </row>
    <row r="280" spans="1:25" ht="12.75">
      <c r="A280" s="25">
        <v>1</v>
      </c>
      <c r="B280" s="29" t="s">
        <v>205</v>
      </c>
      <c r="C280" s="29"/>
      <c r="G280" s="27" t="s">
        <v>174</v>
      </c>
      <c r="H280" s="27"/>
      <c r="I280" s="28" t="s">
        <v>175</v>
      </c>
      <c r="J280" s="27"/>
      <c r="K280" s="27" t="s">
        <v>176</v>
      </c>
      <c r="M280" s="27" t="s">
        <v>211</v>
      </c>
      <c r="N280" s="27"/>
      <c r="O280" s="27" t="s">
        <v>212</v>
      </c>
      <c r="P280" s="27"/>
      <c r="Q280" s="27" t="s">
        <v>213</v>
      </c>
      <c r="R280" s="27"/>
      <c r="S280" s="27" t="s">
        <v>214</v>
      </c>
      <c r="T280" s="27"/>
      <c r="U280" s="27" t="s">
        <v>215</v>
      </c>
      <c r="V280" s="27"/>
      <c r="W280" s="27" t="s">
        <v>216</v>
      </c>
      <c r="X280" s="27"/>
      <c r="Y280" s="25" t="s">
        <v>48</v>
      </c>
    </row>
    <row r="281" spans="2:24" ht="12.75">
      <c r="B281" s="10"/>
      <c r="C281" s="10"/>
      <c r="D281" s="37"/>
      <c r="E281" s="37"/>
      <c r="F281" s="37"/>
      <c r="G281" s="37"/>
      <c r="H281" s="37"/>
      <c r="I281" s="76"/>
      <c r="J281" s="37"/>
      <c r="K281" s="37"/>
      <c r="X281" s="27"/>
    </row>
    <row r="282" spans="2:25" ht="12.75">
      <c r="B282" s="10" t="s">
        <v>13</v>
      </c>
      <c r="C282" s="10" t="s">
        <v>303</v>
      </c>
      <c r="D282" s="10" t="s">
        <v>14</v>
      </c>
      <c r="E282" s="10" t="s">
        <v>15</v>
      </c>
      <c r="G282" s="37">
        <v>0.0021</v>
      </c>
      <c r="H282" s="37"/>
      <c r="I282" s="76">
        <v>0.0032</v>
      </c>
      <c r="J282" s="37"/>
      <c r="K282" s="37">
        <v>0.0031</v>
      </c>
      <c r="X282" s="27"/>
      <c r="Y282" s="30">
        <f>AVERAGE(K282,I282,G282)</f>
        <v>0.0028</v>
      </c>
    </row>
    <row r="283" spans="2:25" ht="12.75">
      <c r="B283" s="10"/>
      <c r="C283" s="10"/>
      <c r="G283" s="32"/>
      <c r="H283" s="32"/>
      <c r="I283" s="33"/>
      <c r="J283" s="32"/>
      <c r="K283" s="32"/>
      <c r="X283" s="27"/>
      <c r="Y283" s="34"/>
    </row>
    <row r="284" spans="2:25" ht="12.75">
      <c r="B284" s="10" t="s">
        <v>100</v>
      </c>
      <c r="C284" s="10"/>
      <c r="D284" s="10" t="s">
        <v>50</v>
      </c>
      <c r="F284" s="25"/>
      <c r="G284" s="37"/>
      <c r="H284" s="37"/>
      <c r="I284" s="37"/>
      <c r="J284" s="37"/>
      <c r="K284" s="37"/>
      <c r="X284" s="37"/>
      <c r="Y284" s="37">
        <v>0.001</v>
      </c>
    </row>
    <row r="285" spans="2:25" ht="12.75">
      <c r="B285" s="10" t="s">
        <v>101</v>
      </c>
      <c r="C285" s="10"/>
      <c r="D285" s="10" t="s">
        <v>50</v>
      </c>
      <c r="F285" s="25"/>
      <c r="G285" s="37"/>
      <c r="H285" s="37"/>
      <c r="I285" s="37"/>
      <c r="J285" s="37"/>
      <c r="K285" s="37"/>
      <c r="X285" s="37"/>
      <c r="Y285" s="47">
        <v>6.3E-05</v>
      </c>
    </row>
    <row r="286" spans="2:25" ht="12.75">
      <c r="B286" s="10" t="s">
        <v>102</v>
      </c>
      <c r="C286" s="10"/>
      <c r="D286" s="10" t="s">
        <v>50</v>
      </c>
      <c r="F286" s="25"/>
      <c r="G286" s="37"/>
      <c r="I286" s="37"/>
      <c r="K286" s="37"/>
      <c r="X286" s="37"/>
      <c r="Y286" s="37">
        <v>0.024</v>
      </c>
    </row>
    <row r="287" spans="2:25" ht="12.75">
      <c r="B287" s="10" t="s">
        <v>103</v>
      </c>
      <c r="C287" s="10"/>
      <c r="D287" s="10" t="s">
        <v>50</v>
      </c>
      <c r="F287" s="25"/>
      <c r="G287" s="37"/>
      <c r="I287" s="37"/>
      <c r="K287" s="37"/>
      <c r="X287" s="37"/>
      <c r="Y287" s="47">
        <v>1.17E-06</v>
      </c>
    </row>
    <row r="288" spans="2:25" ht="12.75">
      <c r="B288" s="10" t="s">
        <v>104</v>
      </c>
      <c r="C288" s="10"/>
      <c r="D288" s="10" t="s">
        <v>50</v>
      </c>
      <c r="G288" s="32"/>
      <c r="H288" s="10"/>
      <c r="I288" s="33"/>
      <c r="J288" s="10"/>
      <c r="K288" s="32"/>
      <c r="X288" s="27"/>
      <c r="Y288" s="61">
        <v>0.0006</v>
      </c>
    </row>
    <row r="289" spans="2:25" ht="12.75">
      <c r="B289" s="10" t="s">
        <v>121</v>
      </c>
      <c r="C289" s="10"/>
      <c r="D289" s="10" t="s">
        <v>50</v>
      </c>
      <c r="G289" s="32"/>
      <c r="H289" s="10"/>
      <c r="I289" s="33"/>
      <c r="J289" s="10"/>
      <c r="K289" s="32"/>
      <c r="X289" s="27"/>
      <c r="Y289" s="61">
        <v>0.0001</v>
      </c>
    </row>
    <row r="290" spans="2:25" ht="12.75">
      <c r="B290" s="10" t="s">
        <v>116</v>
      </c>
      <c r="C290" s="10"/>
      <c r="D290" s="10" t="s">
        <v>50</v>
      </c>
      <c r="G290" s="32"/>
      <c r="H290" s="10"/>
      <c r="I290" s="33"/>
      <c r="J290" s="10"/>
      <c r="K290" s="32"/>
      <c r="X290" s="27"/>
      <c r="Y290" s="61">
        <v>8.7E-06</v>
      </c>
    </row>
    <row r="291" spans="2:25" ht="12.75">
      <c r="B291" s="10" t="s">
        <v>117</v>
      </c>
      <c r="C291" s="10"/>
      <c r="D291" s="10" t="s">
        <v>50</v>
      </c>
      <c r="G291" s="32"/>
      <c r="H291" s="10"/>
      <c r="I291" s="33"/>
      <c r="J291" s="10"/>
      <c r="K291" s="32"/>
      <c r="X291" s="27"/>
      <c r="Y291" s="61">
        <v>0.00039</v>
      </c>
    </row>
    <row r="292" spans="2:25" ht="12.75">
      <c r="B292" s="10" t="s">
        <v>99</v>
      </c>
      <c r="C292" s="10"/>
      <c r="D292" s="10" t="s">
        <v>50</v>
      </c>
      <c r="G292" s="32"/>
      <c r="H292" s="10"/>
      <c r="I292" s="33"/>
      <c r="J292" s="10"/>
      <c r="K292" s="32"/>
      <c r="X292" s="27"/>
      <c r="Y292" s="61">
        <v>0.0014</v>
      </c>
    </row>
    <row r="293" spans="2:25" ht="12.75">
      <c r="B293" s="10" t="s">
        <v>178</v>
      </c>
      <c r="C293" s="10"/>
      <c r="D293" s="10" t="s">
        <v>50</v>
      </c>
      <c r="G293" s="32"/>
      <c r="H293" s="10"/>
      <c r="I293" s="33"/>
      <c r="J293" s="10"/>
      <c r="K293" s="32"/>
      <c r="X293" s="27"/>
      <c r="Y293" s="61">
        <v>0.00014</v>
      </c>
    </row>
    <row r="294" spans="2:25" ht="12.75">
      <c r="B294" s="10" t="s">
        <v>105</v>
      </c>
      <c r="C294" s="10"/>
      <c r="D294" s="10" t="s">
        <v>50</v>
      </c>
      <c r="G294" s="32"/>
      <c r="H294" s="10"/>
      <c r="I294" s="33"/>
      <c r="J294" s="10"/>
      <c r="K294" s="32"/>
      <c r="X294" s="27"/>
      <c r="Y294" s="61">
        <v>0.00018</v>
      </c>
    </row>
    <row r="295" spans="2:25" ht="12.75">
      <c r="B295" s="10" t="s">
        <v>106</v>
      </c>
      <c r="C295" s="10"/>
      <c r="D295" s="10" t="s">
        <v>50</v>
      </c>
      <c r="G295" s="32"/>
      <c r="H295" s="10"/>
      <c r="I295" s="33"/>
      <c r="J295" s="10"/>
      <c r="K295" s="32"/>
      <c r="X295" s="27"/>
      <c r="Y295" s="61">
        <v>0.00014</v>
      </c>
    </row>
    <row r="296" spans="2:25" ht="12.75">
      <c r="B296" s="10" t="s">
        <v>201</v>
      </c>
      <c r="C296" s="10"/>
      <c r="D296" s="10" t="s">
        <v>50</v>
      </c>
      <c r="G296" s="32"/>
      <c r="H296" s="10"/>
      <c r="I296" s="33"/>
      <c r="J296" s="10"/>
      <c r="K296" s="32"/>
      <c r="X296" s="27"/>
      <c r="Y296" s="61">
        <v>0.00086</v>
      </c>
    </row>
    <row r="297" spans="2:25" ht="12.75">
      <c r="B297" s="10" t="s">
        <v>107</v>
      </c>
      <c r="C297" s="10"/>
      <c r="D297" s="10" t="s">
        <v>50</v>
      </c>
      <c r="G297" s="32"/>
      <c r="H297" s="10"/>
      <c r="I297" s="25"/>
      <c r="J297" s="10"/>
      <c r="K297" s="32"/>
      <c r="X297" s="27"/>
      <c r="Y297" s="61">
        <v>0.0021</v>
      </c>
    </row>
    <row r="298" spans="2:25" ht="12.75">
      <c r="B298" s="10" t="s">
        <v>108</v>
      </c>
      <c r="C298" s="10"/>
      <c r="D298" s="10" t="s">
        <v>50</v>
      </c>
      <c r="G298" s="32"/>
      <c r="H298" s="10"/>
      <c r="I298" s="33"/>
      <c r="J298" s="10"/>
      <c r="K298" s="32"/>
      <c r="X298" s="27"/>
      <c r="Y298" s="61">
        <v>0.001085</v>
      </c>
    </row>
    <row r="299" spans="2:25" ht="12.75">
      <c r="B299" s="10" t="s">
        <v>119</v>
      </c>
      <c r="C299" s="10"/>
      <c r="D299" s="10" t="s">
        <v>50</v>
      </c>
      <c r="G299" s="32"/>
      <c r="H299" s="32"/>
      <c r="I299" s="33"/>
      <c r="J299" s="32"/>
      <c r="K299" s="32"/>
      <c r="X299" s="27"/>
      <c r="Y299" s="61">
        <v>2.4E-06</v>
      </c>
    </row>
    <row r="300" spans="2:25" ht="12.75">
      <c r="B300" s="15" t="s">
        <v>124</v>
      </c>
      <c r="C300" s="10"/>
      <c r="D300" s="10" t="s">
        <v>50</v>
      </c>
      <c r="G300" s="32"/>
      <c r="H300" s="32"/>
      <c r="I300" s="33"/>
      <c r="J300" s="32"/>
      <c r="K300" s="32"/>
      <c r="X300" s="27"/>
      <c r="Y300" s="61">
        <v>0.0066</v>
      </c>
    </row>
    <row r="301" spans="3:25" ht="12.75">
      <c r="C301" s="10"/>
      <c r="G301" s="32"/>
      <c r="H301" s="32"/>
      <c r="I301" s="33"/>
      <c r="J301" s="32"/>
      <c r="K301" s="32"/>
      <c r="X301" s="27"/>
      <c r="Y301" s="61"/>
    </row>
    <row r="302" spans="2:25" ht="12.75">
      <c r="B302" s="10" t="s">
        <v>123</v>
      </c>
      <c r="C302" s="10" t="s">
        <v>161</v>
      </c>
      <c r="D302" s="10" t="s">
        <v>303</v>
      </c>
      <c r="X302" s="27"/>
      <c r="Y302" s="35"/>
    </row>
    <row r="303" spans="2:25" ht="12.75">
      <c r="B303" s="10" t="s">
        <v>98</v>
      </c>
      <c r="C303" s="10"/>
      <c r="D303" s="10" t="s">
        <v>17</v>
      </c>
      <c r="G303" s="32"/>
      <c r="H303" s="32"/>
      <c r="I303" s="33"/>
      <c r="J303" s="14"/>
      <c r="K303" s="32"/>
      <c r="X303" s="27"/>
      <c r="Y303" s="31">
        <v>13750.630994447249</v>
      </c>
    </row>
    <row r="304" spans="2:25" ht="12.75">
      <c r="B304" s="10" t="s">
        <v>114</v>
      </c>
      <c r="C304" s="10"/>
      <c r="D304" s="10" t="s">
        <v>18</v>
      </c>
      <c r="G304" s="32"/>
      <c r="H304" s="32"/>
      <c r="I304" s="33"/>
      <c r="J304" s="32"/>
      <c r="K304" s="32"/>
      <c r="Y304" s="31"/>
    </row>
    <row r="305" spans="2:25" ht="12.75">
      <c r="B305" s="10" t="s">
        <v>115</v>
      </c>
      <c r="C305" s="10"/>
      <c r="D305" s="10" t="s">
        <v>18</v>
      </c>
      <c r="G305" s="32"/>
      <c r="H305" s="32"/>
      <c r="I305" s="33"/>
      <c r="J305" s="32"/>
      <c r="K305" s="32"/>
      <c r="Y305" s="31"/>
    </row>
    <row r="306" spans="2:25" ht="12.75">
      <c r="B306" s="10" t="s">
        <v>97</v>
      </c>
      <c r="C306" s="10"/>
      <c r="D306" s="10" t="s">
        <v>19</v>
      </c>
      <c r="G306" s="32"/>
      <c r="H306" s="32"/>
      <c r="I306" s="33"/>
      <c r="J306" s="32"/>
      <c r="K306" s="32"/>
      <c r="Y306" s="31"/>
    </row>
    <row r="307" spans="2:25" ht="13.5" customHeight="1">
      <c r="B307" s="10"/>
      <c r="C307" s="10"/>
      <c r="G307" s="32"/>
      <c r="H307" s="32"/>
      <c r="I307" s="33"/>
      <c r="J307" s="32"/>
      <c r="K307" s="32"/>
      <c r="Y307" s="35"/>
    </row>
    <row r="308" spans="2:25" ht="12.75">
      <c r="B308" s="10" t="s">
        <v>100</v>
      </c>
      <c r="C308" s="10" t="s">
        <v>303</v>
      </c>
      <c r="D308" s="10" t="s">
        <v>71</v>
      </c>
      <c r="E308" s="10" t="s">
        <v>15</v>
      </c>
      <c r="F308" s="25"/>
      <c r="G308" s="44"/>
      <c r="I308" s="44"/>
      <c r="K308" s="44"/>
      <c r="X308" s="37"/>
      <c r="Y308" s="41">
        <f aca="true" t="shared" si="9" ref="Y308:Y324">Y284*454/60/0.0283/Y$303*1000000</f>
        <v>19.444444444444446</v>
      </c>
    </row>
    <row r="309" spans="2:25" ht="12.75">
      <c r="B309" s="10" t="s">
        <v>101</v>
      </c>
      <c r="C309" s="10" t="s">
        <v>303</v>
      </c>
      <c r="D309" s="10" t="s">
        <v>71</v>
      </c>
      <c r="E309" s="10" t="s">
        <v>15</v>
      </c>
      <c r="F309" s="25"/>
      <c r="G309" s="44"/>
      <c r="I309" s="44"/>
      <c r="K309" s="44"/>
      <c r="X309" s="37"/>
      <c r="Y309" s="41">
        <f t="shared" si="9"/>
        <v>1.225</v>
      </c>
    </row>
    <row r="310" spans="2:25" ht="12.75">
      <c r="B310" s="10" t="s">
        <v>102</v>
      </c>
      <c r="C310" s="10" t="s">
        <v>303</v>
      </c>
      <c r="D310" s="10" t="s">
        <v>71</v>
      </c>
      <c r="E310" s="10" t="s">
        <v>15</v>
      </c>
      <c r="F310" s="25"/>
      <c r="G310" s="44"/>
      <c r="I310" s="44"/>
      <c r="K310" s="44"/>
      <c r="X310" s="37"/>
      <c r="Y310" s="41">
        <f t="shared" si="9"/>
        <v>466.66666666666674</v>
      </c>
    </row>
    <row r="311" spans="2:25" ht="12.75">
      <c r="B311" s="10" t="s">
        <v>103</v>
      </c>
      <c r="C311" s="10" t="s">
        <v>303</v>
      </c>
      <c r="D311" s="10" t="s">
        <v>71</v>
      </c>
      <c r="E311" s="10" t="s">
        <v>15</v>
      </c>
      <c r="F311" s="25"/>
      <c r="G311" s="44"/>
      <c r="I311" s="44"/>
      <c r="K311" s="44"/>
      <c r="X311" s="37"/>
      <c r="Y311" s="41">
        <f t="shared" si="9"/>
        <v>0.022750000000000003</v>
      </c>
    </row>
    <row r="312" spans="2:25" ht="12.75">
      <c r="B312" s="10" t="s">
        <v>104</v>
      </c>
      <c r="C312" s="10" t="s">
        <v>303</v>
      </c>
      <c r="D312" s="10" t="s">
        <v>71</v>
      </c>
      <c r="E312" s="10" t="s">
        <v>15</v>
      </c>
      <c r="G312" s="44"/>
      <c r="H312" s="10"/>
      <c r="I312" s="44"/>
      <c r="J312" s="10"/>
      <c r="K312" s="44"/>
      <c r="X312" s="27"/>
      <c r="Y312" s="41">
        <f t="shared" si="9"/>
        <v>11.666666666666666</v>
      </c>
    </row>
    <row r="313" spans="2:25" ht="12.75">
      <c r="B313" s="10" t="s">
        <v>121</v>
      </c>
      <c r="C313" s="10" t="s">
        <v>303</v>
      </c>
      <c r="D313" s="10" t="s">
        <v>71</v>
      </c>
      <c r="E313" s="10" t="s">
        <v>15</v>
      </c>
      <c r="G313" s="44"/>
      <c r="H313" s="10"/>
      <c r="I313" s="44"/>
      <c r="J313" s="10"/>
      <c r="K313" s="44"/>
      <c r="X313" s="27"/>
      <c r="Y313" s="41">
        <f t="shared" si="9"/>
        <v>1.9444444444444444</v>
      </c>
    </row>
    <row r="314" spans="2:25" ht="12.75">
      <c r="B314" s="10" t="s">
        <v>116</v>
      </c>
      <c r="C314" s="10" t="s">
        <v>303</v>
      </c>
      <c r="D314" s="10" t="s">
        <v>71</v>
      </c>
      <c r="E314" s="10" t="s">
        <v>15</v>
      </c>
      <c r="G314" s="44"/>
      <c r="H314" s="10"/>
      <c r="I314" s="44"/>
      <c r="J314" s="10"/>
      <c r="K314" s="44"/>
      <c r="X314" s="27"/>
      <c r="Y314" s="41">
        <f t="shared" si="9"/>
        <v>0.1691666666666667</v>
      </c>
    </row>
    <row r="315" spans="2:25" ht="12.75">
      <c r="B315" s="10" t="s">
        <v>117</v>
      </c>
      <c r="C315" s="10" t="s">
        <v>303</v>
      </c>
      <c r="D315" s="10" t="s">
        <v>71</v>
      </c>
      <c r="E315" s="10" t="s">
        <v>15</v>
      </c>
      <c r="G315" s="44"/>
      <c r="H315" s="10"/>
      <c r="I315" s="44"/>
      <c r="J315" s="10"/>
      <c r="K315" s="44"/>
      <c r="X315" s="27"/>
      <c r="Y315" s="41">
        <f t="shared" si="9"/>
        <v>7.583333333333334</v>
      </c>
    </row>
    <row r="316" spans="2:25" ht="12.75">
      <c r="B316" s="10" t="s">
        <v>99</v>
      </c>
      <c r="C316" s="10" t="s">
        <v>303</v>
      </c>
      <c r="D316" s="10" t="s">
        <v>71</v>
      </c>
      <c r="E316" s="10" t="s">
        <v>15</v>
      </c>
      <c r="G316" s="44"/>
      <c r="H316" s="10"/>
      <c r="I316" s="44"/>
      <c r="J316" s="10"/>
      <c r="K316" s="44"/>
      <c r="X316" s="27"/>
      <c r="Y316" s="41">
        <f t="shared" si="9"/>
        <v>27.222222222222225</v>
      </c>
    </row>
    <row r="317" spans="2:25" ht="12.75">
      <c r="B317" s="10" t="s">
        <v>178</v>
      </c>
      <c r="C317" s="10" t="s">
        <v>303</v>
      </c>
      <c r="D317" s="10" t="s">
        <v>71</v>
      </c>
      <c r="E317" s="10" t="s">
        <v>15</v>
      </c>
      <c r="G317" s="44"/>
      <c r="H317" s="10"/>
      <c r="I317" s="44"/>
      <c r="J317" s="10"/>
      <c r="K317" s="44"/>
      <c r="X317" s="27"/>
      <c r="Y317" s="41">
        <f t="shared" si="9"/>
        <v>2.722222222222222</v>
      </c>
    </row>
    <row r="318" spans="2:25" ht="12.75">
      <c r="B318" s="10" t="s">
        <v>105</v>
      </c>
      <c r="C318" s="10" t="s">
        <v>303</v>
      </c>
      <c r="D318" s="10" t="s">
        <v>71</v>
      </c>
      <c r="E318" s="10" t="s">
        <v>15</v>
      </c>
      <c r="G318" s="44"/>
      <c r="H318" s="10"/>
      <c r="I318" s="44"/>
      <c r="J318" s="10"/>
      <c r="K318" s="44"/>
      <c r="X318" s="27"/>
      <c r="Y318" s="41">
        <f t="shared" si="9"/>
        <v>3.5</v>
      </c>
    </row>
    <row r="319" spans="2:25" ht="12.75">
      <c r="B319" s="10" t="s">
        <v>106</v>
      </c>
      <c r="C319" s="10" t="s">
        <v>303</v>
      </c>
      <c r="D319" s="10" t="s">
        <v>71</v>
      </c>
      <c r="E319" s="10" t="s">
        <v>15</v>
      </c>
      <c r="G319" s="44"/>
      <c r="H319" s="10"/>
      <c r="I319" s="44"/>
      <c r="J319" s="10"/>
      <c r="K319" s="44"/>
      <c r="X319" s="27"/>
      <c r="Y319" s="41">
        <f t="shared" si="9"/>
        <v>2.722222222222222</v>
      </c>
    </row>
    <row r="320" spans="2:25" ht="12.75">
      <c r="B320" s="10" t="s">
        <v>201</v>
      </c>
      <c r="C320" s="10" t="s">
        <v>303</v>
      </c>
      <c r="D320" s="10" t="s">
        <v>71</v>
      </c>
      <c r="E320" s="10" t="s">
        <v>15</v>
      </c>
      <c r="G320" s="44"/>
      <c r="H320" s="10"/>
      <c r="I320" s="44"/>
      <c r="J320" s="10"/>
      <c r="K320" s="44"/>
      <c r="X320" s="27"/>
      <c r="Y320" s="41">
        <f t="shared" si="9"/>
        <v>16.722222222222225</v>
      </c>
    </row>
    <row r="321" spans="2:25" ht="12.75">
      <c r="B321" s="10" t="s">
        <v>107</v>
      </c>
      <c r="C321" s="10" t="s">
        <v>303</v>
      </c>
      <c r="D321" s="10" t="s">
        <v>71</v>
      </c>
      <c r="E321" s="10" t="s">
        <v>15</v>
      </c>
      <c r="G321" s="44"/>
      <c r="H321" s="10"/>
      <c r="I321" s="44"/>
      <c r="J321" s="10"/>
      <c r="K321" s="44"/>
      <c r="X321" s="27"/>
      <c r="Y321" s="41">
        <f t="shared" si="9"/>
        <v>40.83333333333333</v>
      </c>
    </row>
    <row r="322" spans="2:25" ht="12.75">
      <c r="B322" s="10" t="s">
        <v>108</v>
      </c>
      <c r="C322" s="10" t="s">
        <v>303</v>
      </c>
      <c r="D322" s="10" t="s">
        <v>71</v>
      </c>
      <c r="E322" s="10" t="s">
        <v>15</v>
      </c>
      <c r="G322" s="44"/>
      <c r="H322" s="10"/>
      <c r="I322" s="44"/>
      <c r="J322" s="10"/>
      <c r="K322" s="44"/>
      <c r="X322" s="27"/>
      <c r="Y322" s="41">
        <f t="shared" si="9"/>
        <v>21.097222222222225</v>
      </c>
    </row>
    <row r="323" spans="2:25" ht="12.75">
      <c r="B323" s="10" t="s">
        <v>119</v>
      </c>
      <c r="C323" s="10" t="s">
        <v>303</v>
      </c>
      <c r="D323" s="10" t="s">
        <v>71</v>
      </c>
      <c r="E323" s="10" t="s">
        <v>15</v>
      </c>
      <c r="G323" s="44"/>
      <c r="H323" s="10"/>
      <c r="I323" s="44"/>
      <c r="J323" s="10"/>
      <c r="K323" s="44"/>
      <c r="X323" s="27"/>
      <c r="Y323" s="41">
        <f t="shared" si="9"/>
        <v>0.04666666666666667</v>
      </c>
    </row>
    <row r="324" spans="2:25" ht="12.75">
      <c r="B324" s="15" t="s">
        <v>124</v>
      </c>
      <c r="C324" s="10" t="s">
        <v>303</v>
      </c>
      <c r="D324" s="10" t="s">
        <v>71</v>
      </c>
      <c r="E324" s="10" t="s">
        <v>15</v>
      </c>
      <c r="G324" s="44"/>
      <c r="H324" s="10"/>
      <c r="I324" s="44"/>
      <c r="J324" s="10"/>
      <c r="K324" s="44"/>
      <c r="X324" s="27"/>
      <c r="Y324" s="41">
        <f t="shared" si="9"/>
        <v>128.33333333333331</v>
      </c>
    </row>
    <row r="325" spans="2:25" ht="12.75">
      <c r="B325" s="10" t="s">
        <v>72</v>
      </c>
      <c r="C325" s="10" t="s">
        <v>303</v>
      </c>
      <c r="D325" s="10" t="s">
        <v>71</v>
      </c>
      <c r="E325" s="10" t="s">
        <v>15</v>
      </c>
      <c r="G325" s="11"/>
      <c r="H325" s="10"/>
      <c r="I325" s="11"/>
      <c r="J325" s="10"/>
      <c r="K325" s="11"/>
      <c r="X325" s="27"/>
      <c r="Y325" s="31">
        <f>Y316+Y312</f>
        <v>38.88888888888889</v>
      </c>
    </row>
    <row r="326" spans="2:25" ht="12.75">
      <c r="B326" s="10" t="s">
        <v>73</v>
      </c>
      <c r="C326" s="10" t="s">
        <v>303</v>
      </c>
      <c r="D326" s="10" t="s">
        <v>71</v>
      </c>
      <c r="E326" s="10" t="s">
        <v>15</v>
      </c>
      <c r="G326" s="12"/>
      <c r="H326" s="12"/>
      <c r="I326" s="12"/>
      <c r="J326" s="12"/>
      <c r="K326" s="12"/>
      <c r="X326" s="27"/>
      <c r="Y326" s="31">
        <f>Y309+Y311+Y313</f>
        <v>3.1921944444444446</v>
      </c>
    </row>
    <row r="328" spans="1:25" ht="12.75">
      <c r="A328" s="25">
        <v>8</v>
      </c>
      <c r="B328" s="29" t="s">
        <v>206</v>
      </c>
      <c r="C328" s="29"/>
      <c r="G328" s="27" t="s">
        <v>174</v>
      </c>
      <c r="H328" s="27"/>
      <c r="I328" s="28" t="s">
        <v>175</v>
      </c>
      <c r="J328" s="27"/>
      <c r="K328" s="27" t="s">
        <v>176</v>
      </c>
      <c r="M328" s="27" t="s">
        <v>211</v>
      </c>
      <c r="N328" s="27"/>
      <c r="O328" s="27" t="s">
        <v>212</v>
      </c>
      <c r="P328" s="27"/>
      <c r="Q328" s="27" t="s">
        <v>213</v>
      </c>
      <c r="R328" s="27"/>
      <c r="S328" s="27" t="s">
        <v>214</v>
      </c>
      <c r="T328" s="27"/>
      <c r="U328" s="27" t="s">
        <v>215</v>
      </c>
      <c r="V328" s="27"/>
      <c r="W328" s="27" t="s">
        <v>216</v>
      </c>
      <c r="X328" s="27"/>
      <c r="Y328" s="25" t="s">
        <v>48</v>
      </c>
    </row>
    <row r="329" spans="2:24" ht="12.75">
      <c r="B329" s="10"/>
      <c r="C329" s="10"/>
      <c r="D329" s="37"/>
      <c r="E329" s="37"/>
      <c r="F329" s="37"/>
      <c r="G329" s="37"/>
      <c r="H329" s="37"/>
      <c r="I329" s="76"/>
      <c r="J329" s="37"/>
      <c r="K329" s="37"/>
      <c r="X329" s="27"/>
    </row>
    <row r="330" spans="2:25" ht="12.75">
      <c r="B330" s="10" t="s">
        <v>13</v>
      </c>
      <c r="C330" s="10" t="s">
        <v>303</v>
      </c>
      <c r="D330" s="10" t="s">
        <v>14</v>
      </c>
      <c r="E330" s="10" t="s">
        <v>15</v>
      </c>
      <c r="G330" s="37">
        <v>0.0038</v>
      </c>
      <c r="H330" s="37"/>
      <c r="I330" s="76">
        <v>0.0047</v>
      </c>
      <c r="J330" s="37"/>
      <c r="K330" s="37">
        <v>0.0031</v>
      </c>
      <c r="X330" s="27"/>
      <c r="Y330" s="30">
        <f>AVERAGE(K330,I330,G330)</f>
        <v>0.0038666666666666663</v>
      </c>
    </row>
    <row r="331" spans="2:25" ht="12.75">
      <c r="B331" s="10"/>
      <c r="C331" s="10"/>
      <c r="G331" s="32"/>
      <c r="H331" s="32"/>
      <c r="I331" s="33"/>
      <c r="J331" s="32"/>
      <c r="K331" s="32"/>
      <c r="X331" s="27"/>
      <c r="Y331" s="34"/>
    </row>
    <row r="332" spans="2:25" ht="12.75">
      <c r="B332" s="10" t="s">
        <v>100</v>
      </c>
      <c r="C332" s="10"/>
      <c r="D332" s="10" t="s">
        <v>50</v>
      </c>
      <c r="F332" s="25"/>
      <c r="G332" s="37"/>
      <c r="H332" s="37"/>
      <c r="I332" s="37"/>
      <c r="J332" s="37"/>
      <c r="K332" s="37"/>
      <c r="X332" s="37"/>
      <c r="Y332" s="37">
        <v>0.00072</v>
      </c>
    </row>
    <row r="333" spans="2:25" ht="12.75">
      <c r="B333" s="10" t="s">
        <v>101</v>
      </c>
      <c r="C333" s="10"/>
      <c r="D333" s="10" t="s">
        <v>50</v>
      </c>
      <c r="F333" s="25"/>
      <c r="G333" s="37"/>
      <c r="H333" s="37"/>
      <c r="I333" s="37"/>
      <c r="J333" s="37"/>
      <c r="K333" s="37"/>
      <c r="X333" s="37"/>
      <c r="Y333" s="47">
        <v>2.9E-05</v>
      </c>
    </row>
    <row r="334" spans="2:25" ht="12.75">
      <c r="B334" s="10" t="s">
        <v>102</v>
      </c>
      <c r="C334" s="10"/>
      <c r="D334" s="10" t="s">
        <v>50</v>
      </c>
      <c r="F334" s="25"/>
      <c r="G334" s="37"/>
      <c r="I334" s="37"/>
      <c r="K334" s="37"/>
      <c r="X334" s="37"/>
      <c r="Y334" s="37">
        <v>0.01</v>
      </c>
    </row>
    <row r="335" spans="2:25" ht="12.75">
      <c r="B335" s="10" t="s">
        <v>103</v>
      </c>
      <c r="C335" s="10"/>
      <c r="D335" s="10" t="s">
        <v>50</v>
      </c>
      <c r="F335" s="25"/>
      <c r="G335" s="37"/>
      <c r="I335" s="37"/>
      <c r="K335" s="37"/>
      <c r="X335" s="37"/>
      <c r="Y335" s="47">
        <v>5.7E-07</v>
      </c>
    </row>
    <row r="336" spans="2:25" ht="12.75">
      <c r="B336" s="10" t="s">
        <v>104</v>
      </c>
      <c r="C336" s="10"/>
      <c r="D336" s="10" t="s">
        <v>50</v>
      </c>
      <c r="G336" s="32"/>
      <c r="H336" s="10"/>
      <c r="I336" s="33"/>
      <c r="J336" s="10"/>
      <c r="K336" s="32"/>
      <c r="X336" s="27"/>
      <c r="Y336" s="61">
        <v>0.00028</v>
      </c>
    </row>
    <row r="337" spans="2:25" ht="12.75">
      <c r="B337" s="10" t="s">
        <v>121</v>
      </c>
      <c r="C337" s="10"/>
      <c r="D337" s="10" t="s">
        <v>50</v>
      </c>
      <c r="G337" s="32"/>
      <c r="H337" s="10"/>
      <c r="I337" s="33"/>
      <c r="J337" s="10"/>
      <c r="K337" s="32"/>
      <c r="X337" s="27"/>
      <c r="Y337" s="61">
        <v>0.00011</v>
      </c>
    </row>
    <row r="338" spans="2:25" ht="12.75">
      <c r="B338" s="10" t="s">
        <v>116</v>
      </c>
      <c r="C338" s="10"/>
      <c r="D338" s="10" t="s">
        <v>50</v>
      </c>
      <c r="G338" s="32"/>
      <c r="H338" s="10"/>
      <c r="I338" s="33"/>
      <c r="J338" s="10"/>
      <c r="K338" s="32"/>
      <c r="X338" s="27"/>
      <c r="Y338" s="61">
        <v>1.2E-06</v>
      </c>
    </row>
    <row r="339" spans="2:25" ht="12.75">
      <c r="B339" s="10" t="s">
        <v>117</v>
      </c>
      <c r="C339" s="10"/>
      <c r="D339" s="10" t="s">
        <v>50</v>
      </c>
      <c r="G339" s="32"/>
      <c r="H339" s="10"/>
      <c r="I339" s="33"/>
      <c r="J339" s="10"/>
      <c r="K339" s="32"/>
      <c r="X339" s="27"/>
      <c r="Y339" s="61">
        <v>0.00015</v>
      </c>
    </row>
    <row r="340" spans="2:25" ht="12.75">
      <c r="B340" s="10" t="s">
        <v>99</v>
      </c>
      <c r="C340" s="10"/>
      <c r="D340" s="10" t="s">
        <v>50</v>
      </c>
      <c r="G340" s="32"/>
      <c r="H340" s="10"/>
      <c r="I340" s="33"/>
      <c r="J340" s="10"/>
      <c r="K340" s="32"/>
      <c r="X340" s="27"/>
      <c r="Y340" s="61">
        <v>0.00038</v>
      </c>
    </row>
    <row r="341" spans="2:25" ht="12.75">
      <c r="B341" s="10" t="s">
        <v>178</v>
      </c>
      <c r="C341" s="10"/>
      <c r="D341" s="10" t="s">
        <v>50</v>
      </c>
      <c r="G341" s="32"/>
      <c r="H341" s="10"/>
      <c r="I341" s="33"/>
      <c r="J341" s="10"/>
      <c r="K341" s="32"/>
      <c r="X341" s="27"/>
      <c r="Y341" s="61">
        <v>0.00015</v>
      </c>
    </row>
    <row r="342" spans="2:25" ht="12.75">
      <c r="B342" s="10" t="s">
        <v>105</v>
      </c>
      <c r="C342" s="10"/>
      <c r="D342" s="10" t="s">
        <v>50</v>
      </c>
      <c r="G342" s="32"/>
      <c r="H342" s="10"/>
      <c r="I342" s="33"/>
      <c r="J342" s="10"/>
      <c r="K342" s="32"/>
      <c r="X342" s="27"/>
      <c r="Y342" s="61">
        <v>0.00066</v>
      </c>
    </row>
    <row r="343" spans="2:25" ht="12.75">
      <c r="B343" s="10" t="s">
        <v>106</v>
      </c>
      <c r="C343" s="10"/>
      <c r="D343" s="10" t="s">
        <v>50</v>
      </c>
      <c r="G343" s="32"/>
      <c r="H343" s="10"/>
      <c r="I343" s="33"/>
      <c r="J343" s="10"/>
      <c r="K343" s="32"/>
      <c r="X343" s="27"/>
      <c r="Y343" s="61">
        <v>0.00012</v>
      </c>
    </row>
    <row r="344" spans="2:25" ht="12.75">
      <c r="B344" s="10" t="s">
        <v>201</v>
      </c>
      <c r="C344" s="10"/>
      <c r="D344" s="10" t="s">
        <v>50</v>
      </c>
      <c r="G344" s="32"/>
      <c r="H344" s="10"/>
      <c r="I344" s="33"/>
      <c r="J344" s="10"/>
      <c r="K344" s="32"/>
      <c r="X344" s="27"/>
      <c r="Y344" s="61">
        <v>0.0007</v>
      </c>
    </row>
    <row r="345" spans="2:25" ht="12.75">
      <c r="B345" s="10" t="s">
        <v>107</v>
      </c>
      <c r="C345" s="10"/>
      <c r="D345" s="10" t="s">
        <v>50</v>
      </c>
      <c r="G345" s="32"/>
      <c r="H345" s="10"/>
      <c r="I345" s="25"/>
      <c r="J345" s="10"/>
      <c r="K345" s="32"/>
      <c r="X345" s="27"/>
      <c r="Y345" s="61">
        <v>0.0012</v>
      </c>
    </row>
    <row r="346" spans="2:25" ht="12.75">
      <c r="B346" s="10" t="s">
        <v>108</v>
      </c>
      <c r="C346" s="10"/>
      <c r="D346" s="10" t="s">
        <v>50</v>
      </c>
      <c r="G346" s="32"/>
      <c r="H346" s="10"/>
      <c r="I346" s="33"/>
      <c r="J346" s="10"/>
      <c r="K346" s="32"/>
      <c r="X346" s="27"/>
      <c r="Y346" s="61">
        <v>0</v>
      </c>
    </row>
    <row r="347" spans="2:25" ht="12.75">
      <c r="B347" s="10" t="s">
        <v>119</v>
      </c>
      <c r="C347" s="10"/>
      <c r="D347" s="10" t="s">
        <v>50</v>
      </c>
      <c r="G347" s="32"/>
      <c r="H347" s="32"/>
      <c r="I347" s="33"/>
      <c r="J347" s="32"/>
      <c r="K347" s="32"/>
      <c r="X347" s="27"/>
      <c r="Y347" s="61">
        <v>2.9E-06</v>
      </c>
    </row>
    <row r="348" spans="2:25" ht="12.75">
      <c r="B348" s="15" t="s">
        <v>124</v>
      </c>
      <c r="C348" s="10"/>
      <c r="D348" s="10" t="s">
        <v>50</v>
      </c>
      <c r="G348" s="32"/>
      <c r="H348" s="32"/>
      <c r="I348" s="33"/>
      <c r="J348" s="32"/>
      <c r="K348" s="32"/>
      <c r="X348" s="27"/>
      <c r="Y348" s="61">
        <v>0.0067</v>
      </c>
    </row>
    <row r="349" spans="3:25" ht="12.75">
      <c r="C349" s="10"/>
      <c r="G349" s="32"/>
      <c r="H349" s="32"/>
      <c r="I349" s="33"/>
      <c r="J349" s="32"/>
      <c r="K349" s="32"/>
      <c r="X349" s="27"/>
      <c r="Y349" s="61"/>
    </row>
    <row r="350" spans="2:25" ht="12.75">
      <c r="B350" s="10" t="s">
        <v>123</v>
      </c>
      <c r="C350" s="10" t="s">
        <v>161</v>
      </c>
      <c r="D350" s="10" t="s">
        <v>303</v>
      </c>
      <c r="X350" s="27"/>
      <c r="Y350" s="35"/>
    </row>
    <row r="351" spans="2:25" ht="12.75">
      <c r="B351" s="10" t="s">
        <v>98</v>
      </c>
      <c r="C351" s="10"/>
      <c r="D351" s="10" t="s">
        <v>17</v>
      </c>
      <c r="G351" s="32"/>
      <c r="H351" s="32"/>
      <c r="I351" s="33"/>
      <c r="J351" s="14"/>
      <c r="K351" s="32"/>
      <c r="X351" s="27"/>
      <c r="Y351" s="31">
        <v>10180.7556401196</v>
      </c>
    </row>
    <row r="352" spans="2:25" ht="12.75">
      <c r="B352" s="10" t="s">
        <v>114</v>
      </c>
      <c r="C352" s="10"/>
      <c r="D352" s="10" t="s">
        <v>18</v>
      </c>
      <c r="G352" s="32"/>
      <c r="H352" s="32"/>
      <c r="I352" s="33"/>
      <c r="J352" s="32"/>
      <c r="K352" s="32"/>
      <c r="Y352" s="31"/>
    </row>
    <row r="353" spans="2:25" ht="12.75">
      <c r="B353" s="10" t="s">
        <v>115</v>
      </c>
      <c r="C353" s="10"/>
      <c r="D353" s="10" t="s">
        <v>18</v>
      </c>
      <c r="G353" s="32"/>
      <c r="H353" s="32"/>
      <c r="I353" s="33"/>
      <c r="J353" s="32"/>
      <c r="K353" s="32"/>
      <c r="Y353" s="31"/>
    </row>
    <row r="354" spans="2:25" ht="12.75">
      <c r="B354" s="10" t="s">
        <v>97</v>
      </c>
      <c r="C354" s="10"/>
      <c r="D354" s="10" t="s">
        <v>19</v>
      </c>
      <c r="G354" s="32"/>
      <c r="H354" s="32"/>
      <c r="I354" s="33"/>
      <c r="J354" s="32"/>
      <c r="K354" s="32"/>
      <c r="Y354" s="31"/>
    </row>
    <row r="355" spans="2:25" ht="13.5" customHeight="1">
      <c r="B355" s="10"/>
      <c r="C355" s="10"/>
      <c r="G355" s="32"/>
      <c r="H355" s="32"/>
      <c r="I355" s="33"/>
      <c r="J355" s="32"/>
      <c r="K355" s="32"/>
      <c r="Y355" s="35"/>
    </row>
    <row r="356" spans="2:25" ht="12.75">
      <c r="B356" s="10" t="s">
        <v>100</v>
      </c>
      <c r="C356" s="10" t="s">
        <v>303</v>
      </c>
      <c r="D356" s="10" t="s">
        <v>71</v>
      </c>
      <c r="E356" s="10" t="s">
        <v>15</v>
      </c>
      <c r="F356" s="25"/>
      <c r="G356" s="44"/>
      <c r="I356" s="44"/>
      <c r="K356" s="44"/>
      <c r="X356" s="37"/>
      <c r="Y356" s="41">
        <f aca="true" t="shared" si="10" ref="Y356:Y372">Y332*454/60/0.0283/Y$303*1000000</f>
        <v>14</v>
      </c>
    </row>
    <row r="357" spans="2:25" ht="12.75">
      <c r="B357" s="10" t="s">
        <v>101</v>
      </c>
      <c r="C357" s="10" t="s">
        <v>303</v>
      </c>
      <c r="D357" s="10" t="s">
        <v>71</v>
      </c>
      <c r="E357" s="10" t="s">
        <v>15</v>
      </c>
      <c r="F357" s="25"/>
      <c r="G357" s="44"/>
      <c r="I357" s="44"/>
      <c r="K357" s="44"/>
      <c r="X357" s="37"/>
      <c r="Y357" s="41">
        <f t="shared" si="10"/>
        <v>0.5638888888888889</v>
      </c>
    </row>
    <row r="358" spans="2:25" ht="12.75">
      <c r="B358" s="10" t="s">
        <v>102</v>
      </c>
      <c r="C358" s="10" t="s">
        <v>303</v>
      </c>
      <c r="D358" s="10" t="s">
        <v>71</v>
      </c>
      <c r="E358" s="10" t="s">
        <v>15</v>
      </c>
      <c r="F358" s="25"/>
      <c r="G358" s="44"/>
      <c r="I358" s="44"/>
      <c r="K358" s="44"/>
      <c r="X358" s="37"/>
      <c r="Y358" s="41">
        <f t="shared" si="10"/>
        <v>194.44444444444446</v>
      </c>
    </row>
    <row r="359" spans="2:25" ht="12.75">
      <c r="B359" s="10" t="s">
        <v>103</v>
      </c>
      <c r="C359" s="10" t="s">
        <v>303</v>
      </c>
      <c r="D359" s="10" t="s">
        <v>71</v>
      </c>
      <c r="E359" s="10" t="s">
        <v>15</v>
      </c>
      <c r="F359" s="25"/>
      <c r="G359" s="44"/>
      <c r="I359" s="44"/>
      <c r="K359" s="44"/>
      <c r="X359" s="37"/>
      <c r="Y359" s="41">
        <f t="shared" si="10"/>
        <v>0.011083333333333334</v>
      </c>
    </row>
    <row r="360" spans="2:25" ht="12.75">
      <c r="B360" s="10" t="s">
        <v>104</v>
      </c>
      <c r="C360" s="10" t="s">
        <v>303</v>
      </c>
      <c r="D360" s="10" t="s">
        <v>71</v>
      </c>
      <c r="E360" s="10" t="s">
        <v>15</v>
      </c>
      <c r="G360" s="44"/>
      <c r="H360" s="10"/>
      <c r="I360" s="44"/>
      <c r="J360" s="10"/>
      <c r="K360" s="44"/>
      <c r="X360" s="27"/>
      <c r="Y360" s="41">
        <f t="shared" si="10"/>
        <v>5.444444444444444</v>
      </c>
    </row>
    <row r="361" spans="2:25" ht="12.75">
      <c r="B361" s="10" t="s">
        <v>121</v>
      </c>
      <c r="C361" s="10" t="s">
        <v>303</v>
      </c>
      <c r="D361" s="10" t="s">
        <v>71</v>
      </c>
      <c r="E361" s="10" t="s">
        <v>15</v>
      </c>
      <c r="G361" s="44"/>
      <c r="H361" s="10"/>
      <c r="I361" s="44"/>
      <c r="J361" s="10"/>
      <c r="K361" s="44"/>
      <c r="X361" s="27"/>
      <c r="Y361" s="41">
        <f t="shared" si="10"/>
        <v>2.1388888888888893</v>
      </c>
    </row>
    <row r="362" spans="2:25" ht="12.75">
      <c r="B362" s="10" t="s">
        <v>116</v>
      </c>
      <c r="C362" s="10" t="s">
        <v>303</v>
      </c>
      <c r="D362" s="10" t="s">
        <v>71</v>
      </c>
      <c r="E362" s="10" t="s">
        <v>15</v>
      </c>
      <c r="G362" s="44"/>
      <c r="H362" s="10"/>
      <c r="I362" s="44"/>
      <c r="J362" s="10"/>
      <c r="K362" s="44"/>
      <c r="X362" s="27"/>
      <c r="Y362" s="41">
        <f t="shared" si="10"/>
        <v>0.023333333333333334</v>
      </c>
    </row>
    <row r="363" spans="2:25" ht="12.75">
      <c r="B363" s="10" t="s">
        <v>117</v>
      </c>
      <c r="C363" s="10" t="s">
        <v>303</v>
      </c>
      <c r="D363" s="10" t="s">
        <v>71</v>
      </c>
      <c r="E363" s="10" t="s">
        <v>15</v>
      </c>
      <c r="G363" s="44"/>
      <c r="H363" s="10"/>
      <c r="I363" s="44"/>
      <c r="J363" s="10"/>
      <c r="K363" s="44"/>
      <c r="X363" s="27"/>
      <c r="Y363" s="41">
        <f t="shared" si="10"/>
        <v>2.9166666666666665</v>
      </c>
    </row>
    <row r="364" spans="2:25" ht="12.75">
      <c r="B364" s="10" t="s">
        <v>99</v>
      </c>
      <c r="C364" s="10" t="s">
        <v>303</v>
      </c>
      <c r="D364" s="10" t="s">
        <v>71</v>
      </c>
      <c r="E364" s="10" t="s">
        <v>15</v>
      </c>
      <c r="G364" s="44"/>
      <c r="H364" s="10"/>
      <c r="I364" s="44"/>
      <c r="J364" s="10"/>
      <c r="K364" s="44"/>
      <c r="X364" s="27"/>
      <c r="Y364" s="41">
        <f t="shared" si="10"/>
        <v>7.388888888888889</v>
      </c>
    </row>
    <row r="365" spans="2:25" ht="12.75">
      <c r="B365" s="10" t="s">
        <v>178</v>
      </c>
      <c r="C365" s="10" t="s">
        <v>303</v>
      </c>
      <c r="D365" s="10" t="s">
        <v>71</v>
      </c>
      <c r="E365" s="10" t="s">
        <v>15</v>
      </c>
      <c r="G365" s="44"/>
      <c r="H365" s="10"/>
      <c r="I365" s="44"/>
      <c r="J365" s="10"/>
      <c r="K365" s="44"/>
      <c r="X365" s="27"/>
      <c r="Y365" s="41">
        <f t="shared" si="10"/>
        <v>2.9166666666666665</v>
      </c>
    </row>
    <row r="366" spans="2:25" ht="12.75">
      <c r="B366" s="10" t="s">
        <v>105</v>
      </c>
      <c r="C366" s="10" t="s">
        <v>303</v>
      </c>
      <c r="D366" s="10" t="s">
        <v>71</v>
      </c>
      <c r="E366" s="10" t="s">
        <v>15</v>
      </c>
      <c r="G366" s="44"/>
      <c r="H366" s="10"/>
      <c r="I366" s="44"/>
      <c r="J366" s="10"/>
      <c r="K366" s="44"/>
      <c r="X366" s="27"/>
      <c r="Y366" s="41">
        <f t="shared" si="10"/>
        <v>12.833333333333334</v>
      </c>
    </row>
    <row r="367" spans="2:25" ht="12.75">
      <c r="B367" s="10" t="s">
        <v>106</v>
      </c>
      <c r="C367" s="10" t="s">
        <v>303</v>
      </c>
      <c r="D367" s="10" t="s">
        <v>71</v>
      </c>
      <c r="E367" s="10" t="s">
        <v>15</v>
      </c>
      <c r="G367" s="44"/>
      <c r="H367" s="10"/>
      <c r="I367" s="44"/>
      <c r="J367" s="10"/>
      <c r="K367" s="44"/>
      <c r="X367" s="27"/>
      <c r="Y367" s="41">
        <f t="shared" si="10"/>
        <v>2.333333333333334</v>
      </c>
    </row>
    <row r="368" spans="2:25" ht="12.75">
      <c r="B368" s="10" t="s">
        <v>201</v>
      </c>
      <c r="C368" s="10" t="s">
        <v>303</v>
      </c>
      <c r="D368" s="10" t="s">
        <v>71</v>
      </c>
      <c r="E368" s="10" t="s">
        <v>15</v>
      </c>
      <c r="G368" s="44"/>
      <c r="H368" s="10"/>
      <c r="I368" s="44"/>
      <c r="J368" s="10"/>
      <c r="K368" s="44"/>
      <c r="X368" s="27"/>
      <c r="Y368" s="41">
        <f t="shared" si="10"/>
        <v>13.611111111111112</v>
      </c>
    </row>
    <row r="369" spans="2:25" ht="12.75">
      <c r="B369" s="10" t="s">
        <v>107</v>
      </c>
      <c r="C369" s="10" t="s">
        <v>303</v>
      </c>
      <c r="D369" s="10" t="s">
        <v>71</v>
      </c>
      <c r="E369" s="10" t="s">
        <v>15</v>
      </c>
      <c r="G369" s="44"/>
      <c r="H369" s="10"/>
      <c r="I369" s="44"/>
      <c r="J369" s="10"/>
      <c r="K369" s="44"/>
      <c r="X369" s="27"/>
      <c r="Y369" s="41">
        <f t="shared" si="10"/>
        <v>23.333333333333332</v>
      </c>
    </row>
    <row r="370" spans="2:25" ht="12.75">
      <c r="B370" s="10" t="s">
        <v>108</v>
      </c>
      <c r="C370" s="10" t="s">
        <v>303</v>
      </c>
      <c r="D370" s="10" t="s">
        <v>71</v>
      </c>
      <c r="E370" s="10" t="s">
        <v>15</v>
      </c>
      <c r="G370" s="44"/>
      <c r="H370" s="10"/>
      <c r="I370" s="44"/>
      <c r="J370" s="10"/>
      <c r="K370" s="44"/>
      <c r="X370" s="27"/>
      <c r="Y370" s="41">
        <f t="shared" si="10"/>
        <v>0</v>
      </c>
    </row>
    <row r="371" spans="2:25" ht="12.75">
      <c r="B371" s="10" t="s">
        <v>119</v>
      </c>
      <c r="C371" s="10" t="s">
        <v>303</v>
      </c>
      <c r="D371" s="10" t="s">
        <v>71</v>
      </c>
      <c r="E371" s="10" t="s">
        <v>15</v>
      </c>
      <c r="G371" s="44"/>
      <c r="H371" s="10"/>
      <c r="I371" s="44"/>
      <c r="J371" s="10"/>
      <c r="K371" s="44"/>
      <c r="X371" s="27"/>
      <c r="Y371" s="41">
        <f t="shared" si="10"/>
        <v>0.0563888888888889</v>
      </c>
    </row>
    <row r="372" spans="2:25" ht="12.75">
      <c r="B372" s="15" t="s">
        <v>124</v>
      </c>
      <c r="C372" s="10" t="s">
        <v>303</v>
      </c>
      <c r="D372" s="10" t="s">
        <v>71</v>
      </c>
      <c r="E372" s="10" t="s">
        <v>15</v>
      </c>
      <c r="G372" s="44"/>
      <c r="H372" s="10"/>
      <c r="I372" s="44"/>
      <c r="J372" s="10"/>
      <c r="K372" s="44"/>
      <c r="X372" s="27"/>
      <c r="Y372" s="41">
        <f t="shared" si="10"/>
        <v>130.2777777777778</v>
      </c>
    </row>
    <row r="373" spans="2:25" ht="12.75">
      <c r="B373" s="10" t="s">
        <v>72</v>
      </c>
      <c r="C373" s="10" t="s">
        <v>303</v>
      </c>
      <c r="D373" s="10" t="s">
        <v>71</v>
      </c>
      <c r="E373" s="10" t="s">
        <v>15</v>
      </c>
      <c r="G373" s="11"/>
      <c r="H373" s="10"/>
      <c r="I373" s="11"/>
      <c r="J373" s="10"/>
      <c r="K373" s="11"/>
      <c r="X373" s="27"/>
      <c r="Y373" s="31">
        <f>Y364+Y360</f>
        <v>12.833333333333332</v>
      </c>
    </row>
    <row r="374" spans="2:25" ht="12.75">
      <c r="B374" s="10" t="s">
        <v>73</v>
      </c>
      <c r="C374" s="10" t="s">
        <v>303</v>
      </c>
      <c r="D374" s="10" t="s">
        <v>71</v>
      </c>
      <c r="E374" s="10" t="s">
        <v>15</v>
      </c>
      <c r="G374" s="12"/>
      <c r="H374" s="12"/>
      <c r="I374" s="12"/>
      <c r="J374" s="12"/>
      <c r="K374" s="12"/>
      <c r="X374" s="27"/>
      <c r="Y374" s="31">
        <f>Y357+Y359+Y361</f>
        <v>2.7138611111111115</v>
      </c>
    </row>
    <row r="376" spans="1:25" ht="12.75">
      <c r="A376" s="25">
        <v>9</v>
      </c>
      <c r="B376" s="29" t="s">
        <v>187</v>
      </c>
      <c r="C376" s="29"/>
      <c r="G376" s="27" t="s">
        <v>174</v>
      </c>
      <c r="H376" s="27"/>
      <c r="I376" s="28" t="s">
        <v>175</v>
      </c>
      <c r="J376" s="27"/>
      <c r="K376" s="27" t="s">
        <v>176</v>
      </c>
      <c r="M376" s="27" t="s">
        <v>211</v>
      </c>
      <c r="N376" s="27"/>
      <c r="O376" s="27" t="s">
        <v>212</v>
      </c>
      <c r="P376" s="27"/>
      <c r="Q376" s="27" t="s">
        <v>213</v>
      </c>
      <c r="R376" s="27"/>
      <c r="S376" s="27" t="s">
        <v>214</v>
      </c>
      <c r="T376" s="27"/>
      <c r="U376" s="27" t="s">
        <v>215</v>
      </c>
      <c r="V376" s="27"/>
      <c r="W376" s="27" t="s">
        <v>216</v>
      </c>
      <c r="X376" s="27"/>
      <c r="Y376" s="25" t="s">
        <v>48</v>
      </c>
    </row>
    <row r="377" spans="2:24" ht="12.75">
      <c r="B377" s="10"/>
      <c r="C377" s="10"/>
      <c r="D377" s="37"/>
      <c r="E377" s="37"/>
      <c r="F377" s="37"/>
      <c r="G377" s="37"/>
      <c r="H377" s="37"/>
      <c r="I377" s="76"/>
      <c r="J377" s="37"/>
      <c r="K377" s="37"/>
      <c r="X377" s="27"/>
    </row>
    <row r="378" spans="2:25" ht="12.75">
      <c r="B378" s="10" t="s">
        <v>13</v>
      </c>
      <c r="C378" s="10" t="s">
        <v>303</v>
      </c>
      <c r="D378" s="10" t="s">
        <v>14</v>
      </c>
      <c r="E378" s="10" t="s">
        <v>15</v>
      </c>
      <c r="G378" s="37">
        <v>0.0023</v>
      </c>
      <c r="H378" s="37"/>
      <c r="I378" s="76">
        <v>0.002</v>
      </c>
      <c r="J378" s="37"/>
      <c r="K378" s="37">
        <v>0.0013</v>
      </c>
      <c r="X378" s="27"/>
      <c r="Y378" s="30">
        <f>AVERAGE(K378,I378,G378)</f>
        <v>0.0018666666666666666</v>
      </c>
    </row>
    <row r="379" spans="2:25" ht="12.75">
      <c r="B379" s="10" t="s">
        <v>120</v>
      </c>
      <c r="C379" s="10" t="s">
        <v>303</v>
      </c>
      <c r="D379" s="10" t="s">
        <v>16</v>
      </c>
      <c r="E379" s="10" t="s">
        <v>15</v>
      </c>
      <c r="G379" s="37">
        <v>2.3</v>
      </c>
      <c r="H379" s="37"/>
      <c r="I379" s="76">
        <v>4.7</v>
      </c>
      <c r="J379" s="37"/>
      <c r="K379" s="37">
        <v>9.7</v>
      </c>
      <c r="X379" s="27"/>
      <c r="Y379" s="30">
        <f>AVERAGE(K379,I379,G379)</f>
        <v>5.566666666666666</v>
      </c>
    </row>
    <row r="380" spans="2:25" ht="12.75">
      <c r="B380" s="10"/>
      <c r="C380" s="10"/>
      <c r="G380" s="32"/>
      <c r="H380" s="32"/>
      <c r="I380" s="33"/>
      <c r="J380" s="32"/>
      <c r="K380" s="32"/>
      <c r="X380" s="27"/>
      <c r="Y380" s="34"/>
    </row>
    <row r="381" spans="2:25" ht="12.75">
      <c r="B381" s="10" t="s">
        <v>105</v>
      </c>
      <c r="C381" s="10" t="s">
        <v>303</v>
      </c>
      <c r="D381" s="10" t="s">
        <v>71</v>
      </c>
      <c r="E381" s="10" t="s">
        <v>15</v>
      </c>
      <c r="F381" s="25"/>
      <c r="G381" s="37">
        <v>14</v>
      </c>
      <c r="H381" s="37"/>
      <c r="I381" s="37">
        <v>20</v>
      </c>
      <c r="J381" s="37"/>
      <c r="K381" s="37">
        <v>14</v>
      </c>
      <c r="X381" s="37"/>
      <c r="Y381" s="34">
        <f>AVERAGE(K381,I381,G381)</f>
        <v>16</v>
      </c>
    </row>
    <row r="382" spans="2:25" ht="12.75">
      <c r="B382" s="10" t="s">
        <v>72</v>
      </c>
      <c r="C382" s="10" t="s">
        <v>303</v>
      </c>
      <c r="D382" s="10" t="s">
        <v>71</v>
      </c>
      <c r="E382" s="10" t="s">
        <v>15</v>
      </c>
      <c r="F382" s="25"/>
      <c r="G382" s="25">
        <v>225</v>
      </c>
      <c r="I382" s="25">
        <v>229</v>
      </c>
      <c r="K382" s="25">
        <v>116</v>
      </c>
      <c r="X382" s="37"/>
      <c r="Y382" s="34">
        <f>AVERAGE(K382,I382,G382)</f>
        <v>190</v>
      </c>
    </row>
    <row r="383" spans="2:25" ht="12.75">
      <c r="B383" s="10" t="s">
        <v>73</v>
      </c>
      <c r="C383" s="10" t="s">
        <v>303</v>
      </c>
      <c r="D383" s="10" t="s">
        <v>71</v>
      </c>
      <c r="E383" s="10" t="s">
        <v>15</v>
      </c>
      <c r="G383" s="37">
        <v>11</v>
      </c>
      <c r="H383" s="37"/>
      <c r="I383" s="37">
        <v>19</v>
      </c>
      <c r="J383" s="37"/>
      <c r="K383" s="37">
        <v>6</v>
      </c>
      <c r="Y383" s="34">
        <f>AVERAGE(K383,I383,G383)</f>
        <v>12</v>
      </c>
    </row>
    <row r="385" spans="2:25" ht="12.75">
      <c r="B385" s="10" t="s">
        <v>123</v>
      </c>
      <c r="C385" s="10" t="s">
        <v>161</v>
      </c>
      <c r="D385" s="10" t="s">
        <v>303</v>
      </c>
      <c r="X385" s="27"/>
      <c r="Y385" s="35"/>
    </row>
    <row r="386" spans="2:25" ht="12.75">
      <c r="B386" s="10" t="s">
        <v>98</v>
      </c>
      <c r="C386" s="10"/>
      <c r="D386" s="10" t="s">
        <v>17</v>
      </c>
      <c r="G386" s="11">
        <v>11395.108568253445</v>
      </c>
      <c r="H386" s="11"/>
      <c r="I386" s="11">
        <v>10777.770079370579</v>
      </c>
      <c r="J386" s="11"/>
      <c r="K386" s="11">
        <v>11690.663291317265</v>
      </c>
      <c r="X386" s="27"/>
      <c r="Y386" s="31">
        <f>AVERAGE(K386,I386,G386)</f>
        <v>11287.847312980432</v>
      </c>
    </row>
    <row r="387" spans="2:25" ht="12.75">
      <c r="B387" s="10" t="s">
        <v>114</v>
      </c>
      <c r="C387" s="10"/>
      <c r="D387" s="10" t="s">
        <v>18</v>
      </c>
      <c r="G387" s="32">
        <v>6.2</v>
      </c>
      <c r="H387" s="32"/>
      <c r="I387" s="33">
        <v>7.4</v>
      </c>
      <c r="J387" s="32"/>
      <c r="K387" s="32">
        <v>7.6</v>
      </c>
      <c r="Y387" s="31">
        <f>AVERAGE(K387,I387,G387)</f>
        <v>7.066666666666666</v>
      </c>
    </row>
    <row r="388" spans="2:25" ht="12.75">
      <c r="B388" s="10" t="s">
        <v>115</v>
      </c>
      <c r="C388" s="10"/>
      <c r="D388" s="10" t="s">
        <v>18</v>
      </c>
      <c r="G388" s="32"/>
      <c r="H388" s="32"/>
      <c r="I388" s="33"/>
      <c r="J388" s="32"/>
      <c r="K388" s="32"/>
      <c r="Y388" s="31"/>
    </row>
    <row r="389" spans="2:25" ht="12.75">
      <c r="B389" s="10" t="s">
        <v>97</v>
      </c>
      <c r="C389" s="10"/>
      <c r="D389" s="10" t="s">
        <v>19</v>
      </c>
      <c r="G389" s="32"/>
      <c r="H389" s="32"/>
      <c r="I389" s="33"/>
      <c r="J389" s="32"/>
      <c r="K389" s="32"/>
      <c r="Y389" s="31"/>
    </row>
    <row r="391" spans="1:25" ht="12.75">
      <c r="A391" s="25">
        <v>10</v>
      </c>
      <c r="B391" s="29" t="s">
        <v>202</v>
      </c>
      <c r="C391" s="29"/>
      <c r="G391" s="27" t="s">
        <v>174</v>
      </c>
      <c r="H391" s="27"/>
      <c r="I391" s="28" t="s">
        <v>175</v>
      </c>
      <c r="J391" s="27"/>
      <c r="K391" s="27" t="s">
        <v>176</v>
      </c>
      <c r="M391" s="27" t="s">
        <v>211</v>
      </c>
      <c r="N391" s="27"/>
      <c r="O391" s="27" t="s">
        <v>212</v>
      </c>
      <c r="P391" s="27"/>
      <c r="Q391" s="27" t="s">
        <v>213</v>
      </c>
      <c r="R391" s="27"/>
      <c r="S391" s="27" t="s">
        <v>214</v>
      </c>
      <c r="T391" s="27"/>
      <c r="U391" s="27" t="s">
        <v>215</v>
      </c>
      <c r="V391" s="27"/>
      <c r="W391" s="27" t="s">
        <v>216</v>
      </c>
      <c r="X391" s="27"/>
      <c r="Y391" s="25" t="s">
        <v>48</v>
      </c>
    </row>
    <row r="392" spans="2:24" ht="12.75">
      <c r="B392" s="10"/>
      <c r="C392" s="10"/>
      <c r="D392" s="37"/>
      <c r="E392" s="37"/>
      <c r="F392" s="37"/>
      <c r="G392" s="37"/>
      <c r="H392" s="37"/>
      <c r="I392" s="76"/>
      <c r="J392" s="37"/>
      <c r="K392" s="37"/>
      <c r="X392" s="27"/>
    </row>
    <row r="393" spans="2:25" ht="12.75">
      <c r="B393" s="10" t="s">
        <v>13</v>
      </c>
      <c r="C393" s="10" t="s">
        <v>303</v>
      </c>
      <c r="D393" s="10" t="s">
        <v>14</v>
      </c>
      <c r="E393" s="10" t="s">
        <v>15</v>
      </c>
      <c r="G393" s="37">
        <v>0.00069</v>
      </c>
      <c r="H393" s="37"/>
      <c r="I393" s="76">
        <v>0.0024</v>
      </c>
      <c r="J393" s="37"/>
      <c r="K393" s="37">
        <v>0.00084</v>
      </c>
      <c r="X393" s="27"/>
      <c r="Y393" s="30">
        <f>AVERAGE(K393,I393,G393)</f>
        <v>0.0013099999999999997</v>
      </c>
    </row>
    <row r="394" spans="2:25" ht="12.75">
      <c r="B394" s="10" t="s">
        <v>120</v>
      </c>
      <c r="C394" s="10" t="s">
        <v>303</v>
      </c>
      <c r="D394" s="10" t="s">
        <v>16</v>
      </c>
      <c r="E394" s="10" t="s">
        <v>15</v>
      </c>
      <c r="G394" s="37">
        <v>9</v>
      </c>
      <c r="H394" s="37"/>
      <c r="I394" s="76">
        <v>7</v>
      </c>
      <c r="J394" s="37"/>
      <c r="K394" s="37">
        <v>6</v>
      </c>
      <c r="X394" s="27"/>
      <c r="Y394" s="30">
        <f>AVERAGE(K394,I394,G394)</f>
        <v>7.333333333333333</v>
      </c>
    </row>
    <row r="395" spans="2:25" ht="12.75">
      <c r="B395" s="10"/>
      <c r="C395" s="10"/>
      <c r="G395" s="32"/>
      <c r="H395" s="32"/>
      <c r="I395" s="33"/>
      <c r="J395" s="32"/>
      <c r="K395" s="32"/>
      <c r="X395" s="27"/>
      <c r="Y395" s="34"/>
    </row>
    <row r="396" spans="2:25" ht="12.75">
      <c r="B396" s="10" t="s">
        <v>105</v>
      </c>
      <c r="C396" s="10" t="s">
        <v>303</v>
      </c>
      <c r="D396" s="10" t="s">
        <v>71</v>
      </c>
      <c r="E396" s="10" t="s">
        <v>15</v>
      </c>
      <c r="F396" s="25"/>
      <c r="G396" s="37">
        <v>21</v>
      </c>
      <c r="H396" s="37"/>
      <c r="I396" s="37">
        <v>20</v>
      </c>
      <c r="J396" s="37"/>
      <c r="K396" s="37">
        <v>14</v>
      </c>
      <c r="X396" s="37"/>
      <c r="Y396" s="34">
        <f>AVERAGE(K396,I396,G396)</f>
        <v>18.333333333333332</v>
      </c>
    </row>
    <row r="397" spans="2:25" ht="12.75">
      <c r="B397" s="10" t="s">
        <v>72</v>
      </c>
      <c r="C397" s="10" t="s">
        <v>303</v>
      </c>
      <c r="D397" s="10" t="s">
        <v>71</v>
      </c>
      <c r="E397" s="10" t="s">
        <v>15</v>
      </c>
      <c r="F397" s="25"/>
      <c r="G397" s="25">
        <v>112</v>
      </c>
      <c r="I397" s="25">
        <v>116</v>
      </c>
      <c r="K397" s="25">
        <v>34</v>
      </c>
      <c r="X397" s="37"/>
      <c r="Y397" s="34">
        <f>AVERAGE(K397,I397,G397)</f>
        <v>87.33333333333333</v>
      </c>
    </row>
    <row r="398" spans="2:25" ht="12.75">
      <c r="B398" s="10" t="s">
        <v>73</v>
      </c>
      <c r="C398" s="10" t="s">
        <v>303</v>
      </c>
      <c r="D398" s="10" t="s">
        <v>71</v>
      </c>
      <c r="E398" s="10" t="s">
        <v>15</v>
      </c>
      <c r="G398" s="37">
        <v>60</v>
      </c>
      <c r="H398" s="37"/>
      <c r="I398" s="37">
        <v>15</v>
      </c>
      <c r="J398" s="37"/>
      <c r="K398" s="37">
        <v>12</v>
      </c>
      <c r="Y398" s="34">
        <f>AVERAGE(K398,I398,G398)</f>
        <v>29</v>
      </c>
    </row>
    <row r="400" spans="2:25" ht="12.75">
      <c r="B400" s="10" t="s">
        <v>123</v>
      </c>
      <c r="C400" s="10" t="s">
        <v>161</v>
      </c>
      <c r="D400" s="10" t="s">
        <v>303</v>
      </c>
      <c r="X400" s="27"/>
      <c r="Y400" s="35"/>
    </row>
    <row r="401" spans="2:25" ht="12.75">
      <c r="B401" s="10" t="s">
        <v>98</v>
      </c>
      <c r="C401" s="10"/>
      <c r="D401" s="10" t="s">
        <v>17</v>
      </c>
      <c r="G401" s="32"/>
      <c r="H401" s="32"/>
      <c r="I401" s="33"/>
      <c r="J401" s="14"/>
      <c r="K401" s="32"/>
      <c r="X401" s="27"/>
      <c r="Y401" s="31"/>
    </row>
    <row r="402" spans="2:25" ht="12.75">
      <c r="B402" s="10" t="s">
        <v>114</v>
      </c>
      <c r="C402" s="10"/>
      <c r="D402" s="10" t="s">
        <v>18</v>
      </c>
      <c r="G402" s="32">
        <v>7.6</v>
      </c>
      <c r="H402" s="32"/>
      <c r="I402" s="33">
        <v>6.9</v>
      </c>
      <c r="J402" s="32"/>
      <c r="K402" s="32">
        <v>6.2</v>
      </c>
      <c r="Y402" s="31">
        <f>AVERAGE(K402,I402,G402)</f>
        <v>6.900000000000001</v>
      </c>
    </row>
    <row r="403" spans="2:25" ht="12.75">
      <c r="B403" s="10" t="s">
        <v>115</v>
      </c>
      <c r="C403" s="10"/>
      <c r="D403" s="10" t="s">
        <v>18</v>
      </c>
      <c r="G403" s="32"/>
      <c r="H403" s="32"/>
      <c r="I403" s="33"/>
      <c r="J403" s="32"/>
      <c r="K403" s="32"/>
      <c r="Y403" s="31"/>
    </row>
    <row r="404" spans="2:25" ht="12.75">
      <c r="B404" s="10" t="s">
        <v>97</v>
      </c>
      <c r="C404" s="10"/>
      <c r="D404" s="10" t="s">
        <v>19</v>
      </c>
      <c r="G404" s="32"/>
      <c r="H404" s="32"/>
      <c r="I404" s="33"/>
      <c r="J404" s="32"/>
      <c r="K404" s="32"/>
      <c r="Y404" s="31"/>
    </row>
    <row r="405" spans="2:24" ht="12.75">
      <c r="B405" s="37"/>
      <c r="C405" s="37"/>
      <c r="G405" s="27"/>
      <c r="H405" s="27"/>
      <c r="I405" s="28"/>
      <c r="J405" s="27"/>
      <c r="K405" s="27"/>
      <c r="X405" s="27"/>
    </row>
    <row r="406" spans="1:25" ht="12.75">
      <c r="A406" s="25">
        <v>11</v>
      </c>
      <c r="B406" s="29" t="s">
        <v>208</v>
      </c>
      <c r="C406" s="29"/>
      <c r="G406" s="27" t="s">
        <v>174</v>
      </c>
      <c r="H406" s="27"/>
      <c r="I406" s="28" t="s">
        <v>175</v>
      </c>
      <c r="J406" s="27"/>
      <c r="K406" s="27" t="s">
        <v>176</v>
      </c>
      <c r="M406" s="27" t="s">
        <v>211</v>
      </c>
      <c r="N406" s="27"/>
      <c r="O406" s="27" t="s">
        <v>212</v>
      </c>
      <c r="P406" s="27"/>
      <c r="Q406" s="27" t="s">
        <v>213</v>
      </c>
      <c r="R406" s="27"/>
      <c r="S406" s="27" t="s">
        <v>214</v>
      </c>
      <c r="T406" s="27"/>
      <c r="U406" s="27" t="s">
        <v>215</v>
      </c>
      <c r="V406" s="27"/>
      <c r="W406" s="27" t="s">
        <v>216</v>
      </c>
      <c r="X406" s="27"/>
      <c r="Y406" s="25" t="s">
        <v>48</v>
      </c>
    </row>
    <row r="407" spans="2:24" ht="12.75">
      <c r="B407" s="10"/>
      <c r="C407" s="10"/>
      <c r="D407" s="37"/>
      <c r="E407" s="37"/>
      <c r="F407" s="37"/>
      <c r="G407" s="37"/>
      <c r="H407" s="37"/>
      <c r="I407" s="76"/>
      <c r="J407" s="37"/>
      <c r="K407" s="37"/>
      <c r="X407" s="27"/>
    </row>
    <row r="408" spans="2:25" ht="12.75">
      <c r="B408" s="10" t="s">
        <v>13</v>
      </c>
      <c r="C408" s="10" t="s">
        <v>303</v>
      </c>
      <c r="D408" s="10" t="s">
        <v>14</v>
      </c>
      <c r="E408" s="10" t="s">
        <v>15</v>
      </c>
      <c r="G408" s="37">
        <v>0.018</v>
      </c>
      <c r="H408" s="37"/>
      <c r="I408" s="76">
        <v>0.019</v>
      </c>
      <c r="J408" s="37"/>
      <c r="K408" s="37"/>
      <c r="X408" s="27"/>
      <c r="Y408" s="30">
        <f>AVERAGE(G408,I408,K408)</f>
        <v>0.0185</v>
      </c>
    </row>
    <row r="409" spans="2:25" ht="12.75">
      <c r="B409" s="10" t="s">
        <v>120</v>
      </c>
      <c r="C409" s="10" t="s">
        <v>303</v>
      </c>
      <c r="D409" s="10" t="s">
        <v>16</v>
      </c>
      <c r="E409" s="10" t="s">
        <v>15</v>
      </c>
      <c r="G409" s="32">
        <v>1.84</v>
      </c>
      <c r="H409" s="32"/>
      <c r="I409" s="33">
        <v>1.51</v>
      </c>
      <c r="J409" s="32"/>
      <c r="K409" s="32"/>
      <c r="X409" s="27"/>
      <c r="Y409" s="35">
        <f>AVERAGE(G409,I409,K409)</f>
        <v>1.675</v>
      </c>
    </row>
    <row r="410" spans="2:25" ht="12.75">
      <c r="B410" s="10"/>
      <c r="C410" s="10"/>
      <c r="G410" s="32"/>
      <c r="H410" s="32"/>
      <c r="I410" s="33"/>
      <c r="J410" s="32"/>
      <c r="K410" s="32"/>
      <c r="X410" s="27"/>
      <c r="Y410" s="35"/>
    </row>
    <row r="411" spans="2:25" ht="12.75">
      <c r="B411" s="10" t="s">
        <v>55</v>
      </c>
      <c r="C411" s="10" t="s">
        <v>303</v>
      </c>
      <c r="D411" s="10" t="s">
        <v>16</v>
      </c>
      <c r="E411" s="10" t="s">
        <v>15</v>
      </c>
      <c r="G411" s="32">
        <v>0.206</v>
      </c>
      <c r="H411" s="32"/>
      <c r="I411" s="33">
        <v>0.0353</v>
      </c>
      <c r="J411" s="32"/>
      <c r="K411" s="32"/>
      <c r="X411" s="27"/>
      <c r="Y411" s="35">
        <f>AVERAGE(G411,I411,K411)</f>
        <v>0.12065</v>
      </c>
    </row>
    <row r="412" spans="2:25" ht="12.75">
      <c r="B412" s="10" t="s">
        <v>56</v>
      </c>
      <c r="C412" s="10" t="s">
        <v>303</v>
      </c>
      <c r="D412" s="10" t="s">
        <v>16</v>
      </c>
      <c r="E412" s="10" t="s">
        <v>15</v>
      </c>
      <c r="G412" s="32">
        <v>0.184</v>
      </c>
      <c r="H412" s="32"/>
      <c r="I412" s="33">
        <v>0.058</v>
      </c>
      <c r="J412" s="32"/>
      <c r="K412" s="32"/>
      <c r="X412" s="27"/>
      <c r="Y412" s="35">
        <f>AVERAGE(G412,I412,K412)</f>
        <v>0.121</v>
      </c>
    </row>
    <row r="413" spans="2:25" ht="12.75">
      <c r="B413" s="10" t="s">
        <v>122</v>
      </c>
      <c r="C413" s="10" t="s">
        <v>303</v>
      </c>
      <c r="D413" s="10" t="s">
        <v>16</v>
      </c>
      <c r="E413" s="10" t="s">
        <v>15</v>
      </c>
      <c r="F413" s="37"/>
      <c r="G413" s="37">
        <f>G412*2+G411</f>
        <v>0.574</v>
      </c>
      <c r="H413" s="37"/>
      <c r="I413" s="37">
        <f>I412*2+I411</f>
        <v>0.1513</v>
      </c>
      <c r="J413" s="37"/>
      <c r="K413" s="37"/>
      <c r="X413" s="37"/>
      <c r="Y413" s="35">
        <f>AVERAGE(G413,I413,K413)</f>
        <v>0.36265</v>
      </c>
    </row>
    <row r="414" spans="2:25" ht="12.75">
      <c r="B414" s="10"/>
      <c r="C414" s="10"/>
      <c r="F414" s="37"/>
      <c r="G414" s="37"/>
      <c r="H414" s="37"/>
      <c r="I414" s="37"/>
      <c r="J414" s="37"/>
      <c r="K414" s="37"/>
      <c r="X414" s="37"/>
      <c r="Y414" s="37"/>
    </row>
    <row r="415" spans="2:25" ht="12.75">
      <c r="B415" s="10" t="s">
        <v>89</v>
      </c>
      <c r="C415" s="10" t="s">
        <v>58</v>
      </c>
      <c r="F415" s="37"/>
      <c r="G415" s="37"/>
      <c r="H415" s="37"/>
      <c r="I415" s="37"/>
      <c r="J415" s="37"/>
      <c r="K415" s="37"/>
      <c r="X415" s="37"/>
      <c r="Y415" s="37"/>
    </row>
    <row r="416" spans="2:25" ht="12.75">
      <c r="B416" s="10" t="s">
        <v>112</v>
      </c>
      <c r="C416" s="10"/>
      <c r="D416" s="10" t="s">
        <v>59</v>
      </c>
      <c r="F416" s="37"/>
      <c r="G416" s="37">
        <v>23</v>
      </c>
      <c r="H416" s="37"/>
      <c r="I416" s="37">
        <v>23</v>
      </c>
      <c r="J416" s="37"/>
      <c r="K416" s="37"/>
      <c r="X416" s="37"/>
      <c r="Y416" s="37"/>
    </row>
    <row r="417" spans="2:25" ht="12.75">
      <c r="B417" s="10" t="s">
        <v>113</v>
      </c>
      <c r="C417" s="10" t="s">
        <v>303</v>
      </c>
      <c r="D417" s="10" t="s">
        <v>59</v>
      </c>
      <c r="F417" s="37" t="s">
        <v>29</v>
      </c>
      <c r="G417" s="47">
        <v>0.00041</v>
      </c>
      <c r="H417" s="37" t="s">
        <v>29</v>
      </c>
      <c r="I417" s="47">
        <v>0.00037</v>
      </c>
      <c r="J417" s="37"/>
      <c r="K417" s="47"/>
      <c r="X417" s="37"/>
      <c r="Y417" s="37"/>
    </row>
    <row r="418" spans="2:25" ht="12.75">
      <c r="B418" s="10" t="s">
        <v>57</v>
      </c>
      <c r="C418" s="10" t="s">
        <v>303</v>
      </c>
      <c r="D418" s="10" t="s">
        <v>18</v>
      </c>
      <c r="F418" s="25"/>
      <c r="G418" s="37">
        <v>99.998</v>
      </c>
      <c r="H418" s="37"/>
      <c r="I418" s="37">
        <v>99.998</v>
      </c>
      <c r="J418" s="37"/>
      <c r="K418" s="37"/>
      <c r="X418" s="37"/>
      <c r="Y418" s="37"/>
    </row>
    <row r="419" spans="2:25" ht="12.75">
      <c r="B419" s="10"/>
      <c r="C419" s="10"/>
      <c r="G419" s="32"/>
      <c r="H419" s="32"/>
      <c r="I419" s="33"/>
      <c r="J419" s="32"/>
      <c r="K419" s="32"/>
      <c r="X419" s="27"/>
      <c r="Y419" s="34"/>
    </row>
    <row r="420" spans="2:25" ht="12.75">
      <c r="B420" s="10" t="s">
        <v>123</v>
      </c>
      <c r="C420" s="10" t="s">
        <v>111</v>
      </c>
      <c r="D420" s="10" t="s">
        <v>303</v>
      </c>
      <c r="X420" s="27"/>
      <c r="Y420" s="35"/>
    </row>
    <row r="421" spans="2:25" ht="12.75">
      <c r="B421" s="10" t="s">
        <v>98</v>
      </c>
      <c r="C421" s="10"/>
      <c r="D421" s="10" t="s">
        <v>17</v>
      </c>
      <c r="G421" s="32">
        <v>11794</v>
      </c>
      <c r="H421" s="32"/>
      <c r="I421" s="33">
        <v>11426</v>
      </c>
      <c r="J421" s="14"/>
      <c r="K421" s="32"/>
      <c r="X421" s="27"/>
      <c r="Y421" s="31">
        <f>AVERAGE(G421,I421,K421)</f>
        <v>11610</v>
      </c>
    </row>
    <row r="422" spans="2:25" ht="12.75">
      <c r="B422" s="10" t="s">
        <v>114</v>
      </c>
      <c r="C422" s="10"/>
      <c r="D422" s="10" t="s">
        <v>18</v>
      </c>
      <c r="G422" s="32">
        <v>5.5</v>
      </c>
      <c r="H422" s="32"/>
      <c r="I422" s="33">
        <v>5.5</v>
      </c>
      <c r="J422" s="32"/>
      <c r="K422" s="32"/>
      <c r="Y422" s="31">
        <f>AVERAGE(G422,I422,K422)</f>
        <v>5.5</v>
      </c>
    </row>
    <row r="423" spans="2:25" ht="12.75">
      <c r="B423" s="10" t="s">
        <v>115</v>
      </c>
      <c r="C423" s="10"/>
      <c r="D423" s="10" t="s">
        <v>18</v>
      </c>
      <c r="G423" s="32"/>
      <c r="H423" s="32"/>
      <c r="I423" s="33"/>
      <c r="J423" s="32"/>
      <c r="K423" s="32"/>
      <c r="Y423" s="35"/>
    </row>
    <row r="424" spans="2:25" ht="12.75">
      <c r="B424" s="10" t="s">
        <v>97</v>
      </c>
      <c r="C424" s="10"/>
      <c r="D424" s="10" t="s">
        <v>19</v>
      </c>
      <c r="G424" s="32"/>
      <c r="H424" s="32"/>
      <c r="I424" s="33"/>
      <c r="J424" s="32"/>
      <c r="K424" s="32"/>
      <c r="Y424" s="35"/>
    </row>
    <row r="426" spans="1:33" ht="12.75">
      <c r="A426" s="25">
        <v>12</v>
      </c>
      <c r="B426" s="29" t="s">
        <v>209</v>
      </c>
      <c r="C426" s="29"/>
      <c r="G426" s="27" t="s">
        <v>174</v>
      </c>
      <c r="H426" s="27"/>
      <c r="I426" s="28" t="s">
        <v>175</v>
      </c>
      <c r="J426" s="27"/>
      <c r="K426" s="27" t="s">
        <v>176</v>
      </c>
      <c r="L426" s="27"/>
      <c r="M426" s="25" t="s">
        <v>211</v>
      </c>
      <c r="O426" s="25" t="s">
        <v>212</v>
      </c>
      <c r="Q426" s="25" t="s">
        <v>213</v>
      </c>
      <c r="S426" s="25" t="s">
        <v>214</v>
      </c>
      <c r="U426" s="25" t="s">
        <v>215</v>
      </c>
      <c r="W426" s="25" t="s">
        <v>216</v>
      </c>
      <c r="Y426" s="25" t="s">
        <v>48</v>
      </c>
      <c r="AA426" s="77"/>
      <c r="AB426" s="77"/>
      <c r="AC426" s="77"/>
      <c r="AD426" s="77"/>
      <c r="AE426" s="77"/>
      <c r="AF426" s="77"/>
      <c r="AG426" s="77"/>
    </row>
    <row r="427" spans="2:12" ht="12.75">
      <c r="B427" s="10"/>
      <c r="C427" s="10"/>
      <c r="D427" s="37"/>
      <c r="E427" s="37"/>
      <c r="F427" s="37"/>
      <c r="G427" s="37"/>
      <c r="H427" s="37"/>
      <c r="I427" s="76"/>
      <c r="J427" s="37"/>
      <c r="K427" s="37"/>
      <c r="L427" s="27"/>
    </row>
    <row r="428" spans="2:25" ht="12.75">
      <c r="B428" s="10" t="s">
        <v>13</v>
      </c>
      <c r="C428" s="10" t="s">
        <v>303</v>
      </c>
      <c r="D428" s="10" t="s">
        <v>14</v>
      </c>
      <c r="E428" s="10" t="s">
        <v>15</v>
      </c>
      <c r="G428" s="37">
        <v>0.0011</v>
      </c>
      <c r="H428" s="37"/>
      <c r="I428" s="76">
        <v>0.0019</v>
      </c>
      <c r="J428" s="37"/>
      <c r="K428" s="37">
        <v>0.0007</v>
      </c>
      <c r="L428" s="27"/>
      <c r="M428" s="30">
        <v>0.001</v>
      </c>
      <c r="O428" s="25">
        <v>0.001</v>
      </c>
      <c r="Q428" s="25">
        <v>0.002</v>
      </c>
      <c r="S428" s="25">
        <v>0.0022</v>
      </c>
      <c r="U428" s="25">
        <v>0.0013</v>
      </c>
      <c r="W428" s="25">
        <v>0.0015</v>
      </c>
      <c r="Y428" s="30">
        <f>AVERAGE(W428,U428,S428,Q428,M428,O428,K428,I428,G428)</f>
        <v>0.0014111111111111112</v>
      </c>
    </row>
    <row r="429" spans="2:25" ht="12.75">
      <c r="B429" s="10" t="s">
        <v>120</v>
      </c>
      <c r="C429" s="10" t="s">
        <v>303</v>
      </c>
      <c r="D429" s="10" t="s">
        <v>16</v>
      </c>
      <c r="E429" s="10" t="s">
        <v>15</v>
      </c>
      <c r="G429" s="32">
        <v>1.26</v>
      </c>
      <c r="H429" s="32"/>
      <c r="I429" s="33">
        <v>1.25</v>
      </c>
      <c r="J429" s="32"/>
      <c r="K429" s="32">
        <v>1.25</v>
      </c>
      <c r="L429" s="27"/>
      <c r="M429" s="35">
        <v>1.6</v>
      </c>
      <c r="O429" s="25">
        <v>1.25</v>
      </c>
      <c r="Q429" s="25">
        <v>1.25</v>
      </c>
      <c r="S429" s="25">
        <v>1.26</v>
      </c>
      <c r="U429" s="25">
        <v>1.26</v>
      </c>
      <c r="W429" s="25">
        <v>1.25</v>
      </c>
      <c r="Y429" s="30">
        <f>AVERAGE(W429,U429,S429,Q429,M429,O429,K429,I429,G429)</f>
        <v>1.2922222222222222</v>
      </c>
    </row>
    <row r="430" spans="2:13" ht="12.75">
      <c r="B430" s="10"/>
      <c r="C430" s="10"/>
      <c r="G430" s="32"/>
      <c r="H430" s="32"/>
      <c r="I430" s="33"/>
      <c r="J430" s="32"/>
      <c r="K430" s="32"/>
      <c r="L430" s="27"/>
      <c r="M430" s="35"/>
    </row>
    <row r="431" spans="2:25" ht="12.75">
      <c r="B431" s="10" t="s">
        <v>55</v>
      </c>
      <c r="C431" s="10" t="s">
        <v>303</v>
      </c>
      <c r="D431" s="10" t="s">
        <v>16</v>
      </c>
      <c r="E431" s="10" t="s">
        <v>15</v>
      </c>
      <c r="F431" s="10" t="s">
        <v>29</v>
      </c>
      <c r="G431" s="32">
        <v>0.038</v>
      </c>
      <c r="H431" s="10" t="s">
        <v>29</v>
      </c>
      <c r="I431" s="33">
        <v>0.035</v>
      </c>
      <c r="J431" s="10" t="s">
        <v>29</v>
      </c>
      <c r="K431" s="32">
        <v>0.041</v>
      </c>
      <c r="L431" s="10" t="s">
        <v>29</v>
      </c>
      <c r="M431" s="35">
        <v>0.031</v>
      </c>
      <c r="N431" s="10" t="s">
        <v>29</v>
      </c>
      <c r="O431" s="25">
        <v>0.035</v>
      </c>
      <c r="P431" s="10" t="s">
        <v>29</v>
      </c>
      <c r="Q431" s="25">
        <v>0.106</v>
      </c>
      <c r="R431" s="10" t="s">
        <v>29</v>
      </c>
      <c r="S431" s="25">
        <v>0.038</v>
      </c>
      <c r="T431" s="10" t="s">
        <v>29</v>
      </c>
      <c r="U431" s="25">
        <v>0.035</v>
      </c>
      <c r="V431" s="10" t="s">
        <v>29</v>
      </c>
      <c r="W431" s="25">
        <v>0.04</v>
      </c>
      <c r="Y431" s="30">
        <f>AVERAGE(W431,U431,S431,Q431,M431,O431,K431,I431,G431)</f>
        <v>0.04433333333333333</v>
      </c>
    </row>
    <row r="432" spans="2:25" ht="12.75">
      <c r="B432" s="10" t="s">
        <v>56</v>
      </c>
      <c r="C432" s="10" t="s">
        <v>303</v>
      </c>
      <c r="D432" s="10" t="s">
        <v>16</v>
      </c>
      <c r="E432" s="10" t="s">
        <v>15</v>
      </c>
      <c r="G432" s="32">
        <v>0.1</v>
      </c>
      <c r="H432" s="32"/>
      <c r="I432" s="33">
        <v>0.05</v>
      </c>
      <c r="J432" s="32"/>
      <c r="K432" s="32">
        <v>0.05</v>
      </c>
      <c r="L432" s="27"/>
      <c r="M432" s="35">
        <v>0.04</v>
      </c>
      <c r="O432" s="25">
        <v>0.04</v>
      </c>
      <c r="P432" s="10" t="s">
        <v>29</v>
      </c>
      <c r="Q432" s="25">
        <v>0.033</v>
      </c>
      <c r="R432" s="10" t="s">
        <v>29</v>
      </c>
      <c r="S432" s="25">
        <v>0.043</v>
      </c>
      <c r="T432" s="10" t="s">
        <v>29</v>
      </c>
      <c r="U432" s="25">
        <v>0.036</v>
      </c>
      <c r="V432" s="10" t="s">
        <v>29</v>
      </c>
      <c r="W432" s="25">
        <v>0.041</v>
      </c>
      <c r="Y432" s="30">
        <f>AVERAGE(W432,U432,S432,Q432,M432,O432,K432,I432,G432)</f>
        <v>0.04811111111111112</v>
      </c>
    </row>
    <row r="433" spans="2:25" ht="12.75">
      <c r="B433" s="10" t="s">
        <v>122</v>
      </c>
      <c r="C433" s="10" t="s">
        <v>303</v>
      </c>
      <c r="D433" s="10" t="s">
        <v>16</v>
      </c>
      <c r="E433" s="10" t="s">
        <v>15</v>
      </c>
      <c r="F433" s="37"/>
      <c r="G433" s="37">
        <f>G432*2+G431/2</f>
        <v>0.219</v>
      </c>
      <c r="H433" s="37"/>
      <c r="I433" s="37">
        <f>I432*2+I431/2</f>
        <v>0.11750000000000001</v>
      </c>
      <c r="J433" s="37"/>
      <c r="K433" s="37">
        <f>K432*2+K431/2</f>
        <v>0.12050000000000001</v>
      </c>
      <c r="L433" s="37"/>
      <c r="M433" s="37">
        <f>M432*2+M431/2</f>
        <v>0.0955</v>
      </c>
      <c r="O433" s="37">
        <f>O432*2+O431/2</f>
        <v>0.0975</v>
      </c>
      <c r="Q433" s="37">
        <f>(Q432*2+Q431)/2</f>
        <v>0.086</v>
      </c>
      <c r="S433" s="37">
        <f>(S432*2+S431)/2</f>
        <v>0.062</v>
      </c>
      <c r="U433" s="37">
        <f>(U432*2+U431)/2</f>
        <v>0.0535</v>
      </c>
      <c r="W433" s="37">
        <f>(W432*2+W431)/2</f>
        <v>0.061</v>
      </c>
      <c r="Y433" s="30">
        <f>AVERAGE(W433,U433,S433,Q433,M433,O433,K433,I433,G433)</f>
        <v>0.1013888888888889</v>
      </c>
    </row>
    <row r="434" spans="2:13" ht="12.75">
      <c r="B434" s="10"/>
      <c r="C434" s="10"/>
      <c r="F434" s="37"/>
      <c r="G434" s="37"/>
      <c r="H434" s="37"/>
      <c r="I434" s="37"/>
      <c r="J434" s="37"/>
      <c r="K434" s="37"/>
      <c r="L434" s="37"/>
      <c r="M434" s="35"/>
    </row>
    <row r="435" spans="2:25" ht="12.75">
      <c r="B435" s="10" t="s">
        <v>100</v>
      </c>
      <c r="C435" s="10" t="s">
        <v>303</v>
      </c>
      <c r="D435" s="10" t="s">
        <v>71</v>
      </c>
      <c r="E435" s="10" t="s">
        <v>15</v>
      </c>
      <c r="F435" s="37"/>
      <c r="G435" s="37">
        <v>52</v>
      </c>
      <c r="H435" s="37"/>
      <c r="I435" s="37">
        <v>20</v>
      </c>
      <c r="J435" s="37"/>
      <c r="K435" s="37">
        <v>36</v>
      </c>
      <c r="L435" s="37"/>
      <c r="M435" s="34">
        <v>4.1</v>
      </c>
      <c r="O435" s="25">
        <v>33</v>
      </c>
      <c r="Q435" s="25">
        <v>95</v>
      </c>
      <c r="S435" s="25">
        <v>63</v>
      </c>
      <c r="U435" s="25">
        <v>18</v>
      </c>
      <c r="W435" s="25">
        <v>17</v>
      </c>
      <c r="Y435" s="31">
        <f aca="true" t="shared" si="11" ref="Y435:Y444">AVERAGE(W435,U435,S435,Q435,M435,O435,K435,I435,G435)</f>
        <v>37.56666666666667</v>
      </c>
    </row>
    <row r="436" spans="2:25" ht="12.75">
      <c r="B436" s="10" t="s">
        <v>101</v>
      </c>
      <c r="C436" s="10" t="s">
        <v>303</v>
      </c>
      <c r="D436" s="10" t="s">
        <v>71</v>
      </c>
      <c r="E436" s="10" t="s">
        <v>15</v>
      </c>
      <c r="F436" s="37"/>
      <c r="G436" s="37">
        <v>1.7</v>
      </c>
      <c r="H436" s="37"/>
      <c r="I436" s="37">
        <v>2</v>
      </c>
      <c r="J436" s="37"/>
      <c r="K436" s="37">
        <v>1.1</v>
      </c>
      <c r="L436" s="37"/>
      <c r="M436" s="34">
        <v>1.2</v>
      </c>
      <c r="O436" s="25">
        <v>1.2</v>
      </c>
      <c r="Q436" s="25">
        <v>4.1</v>
      </c>
      <c r="S436" s="25">
        <v>3.2</v>
      </c>
      <c r="U436" s="25">
        <v>1.1</v>
      </c>
      <c r="W436" s="25">
        <v>0.71</v>
      </c>
      <c r="Y436" s="31">
        <f t="shared" si="11"/>
        <v>1.8122222222222222</v>
      </c>
    </row>
    <row r="437" spans="2:25" ht="12.75">
      <c r="B437" s="10" t="s">
        <v>102</v>
      </c>
      <c r="C437" s="10" t="s">
        <v>303</v>
      </c>
      <c r="D437" s="10" t="s">
        <v>71</v>
      </c>
      <c r="E437" s="10" t="s">
        <v>15</v>
      </c>
      <c r="F437" s="37"/>
      <c r="G437" s="37">
        <v>2.9</v>
      </c>
      <c r="H437" s="37"/>
      <c r="I437" s="37">
        <v>3.6</v>
      </c>
      <c r="J437" s="37"/>
      <c r="K437" s="37">
        <v>2.5</v>
      </c>
      <c r="L437" s="37"/>
      <c r="M437" s="34">
        <v>0.78</v>
      </c>
      <c r="O437" s="25">
        <v>1.4</v>
      </c>
      <c r="Q437" s="25">
        <v>2.3</v>
      </c>
      <c r="S437" s="25">
        <v>1.8</v>
      </c>
      <c r="U437" s="25">
        <v>0.28</v>
      </c>
      <c r="W437" s="25">
        <v>0.09</v>
      </c>
      <c r="Y437" s="31">
        <f t="shared" si="11"/>
        <v>1.738888888888889</v>
      </c>
    </row>
    <row r="438" spans="2:25" ht="12.75">
      <c r="B438" s="10" t="s">
        <v>103</v>
      </c>
      <c r="C438" s="10" t="s">
        <v>303</v>
      </c>
      <c r="D438" s="10" t="s">
        <v>71</v>
      </c>
      <c r="E438" s="10" t="s">
        <v>15</v>
      </c>
      <c r="F438" s="37"/>
      <c r="G438" s="37">
        <v>0.022</v>
      </c>
      <c r="H438" s="37"/>
      <c r="I438" s="37">
        <v>0.046</v>
      </c>
      <c r="J438" s="37"/>
      <c r="K438" s="37">
        <v>0.017</v>
      </c>
      <c r="L438" s="37"/>
      <c r="M438" s="35">
        <v>0.01</v>
      </c>
      <c r="O438" s="25">
        <v>0.011</v>
      </c>
      <c r="Q438" s="25">
        <v>0.046</v>
      </c>
      <c r="S438" s="25">
        <v>0.027</v>
      </c>
      <c r="U438" s="25">
        <v>0.035</v>
      </c>
      <c r="W438" s="25">
        <v>0.021</v>
      </c>
      <c r="Y438" s="31">
        <f t="shared" si="11"/>
        <v>0.026111111111111113</v>
      </c>
    </row>
    <row r="439" spans="2:25" ht="12.75">
      <c r="B439" s="10" t="s">
        <v>104</v>
      </c>
      <c r="C439" s="10" t="s">
        <v>303</v>
      </c>
      <c r="D439" s="10" t="s">
        <v>71</v>
      </c>
      <c r="E439" s="10" t="s">
        <v>15</v>
      </c>
      <c r="F439" s="37"/>
      <c r="G439" s="37">
        <v>41</v>
      </c>
      <c r="H439" s="37"/>
      <c r="I439" s="37">
        <v>72</v>
      </c>
      <c r="J439" s="37"/>
      <c r="K439" s="37">
        <v>27</v>
      </c>
      <c r="L439" s="37"/>
      <c r="M439" s="34">
        <v>22</v>
      </c>
      <c r="O439" s="25">
        <v>19</v>
      </c>
      <c r="Q439" s="25">
        <v>58</v>
      </c>
      <c r="S439" s="25">
        <v>40</v>
      </c>
      <c r="U439" s="25">
        <v>35</v>
      </c>
      <c r="W439" s="25">
        <v>20</v>
      </c>
      <c r="Y439" s="31">
        <f t="shared" si="11"/>
        <v>37.111111111111114</v>
      </c>
    </row>
    <row r="440" spans="2:25" ht="12.75">
      <c r="B440" s="10" t="s">
        <v>121</v>
      </c>
      <c r="C440" s="10" t="s">
        <v>303</v>
      </c>
      <c r="D440" s="10" t="s">
        <v>71</v>
      </c>
      <c r="E440" s="10" t="s">
        <v>15</v>
      </c>
      <c r="F440" s="37"/>
      <c r="G440" s="37">
        <v>11</v>
      </c>
      <c r="H440" s="37"/>
      <c r="I440" s="37">
        <v>20</v>
      </c>
      <c r="J440" s="37"/>
      <c r="K440" s="37">
        <v>7.5</v>
      </c>
      <c r="L440" s="37"/>
      <c r="M440" s="34">
        <v>4.2</v>
      </c>
      <c r="O440" s="25">
        <v>9.4</v>
      </c>
      <c r="Q440" s="25">
        <v>12</v>
      </c>
      <c r="S440" s="25">
        <v>6.6</v>
      </c>
      <c r="U440" s="25">
        <v>5.1</v>
      </c>
      <c r="W440" s="25">
        <v>5.6</v>
      </c>
      <c r="Y440" s="31">
        <f t="shared" si="11"/>
        <v>9.044444444444444</v>
      </c>
    </row>
    <row r="441" spans="2:25" ht="12.75">
      <c r="B441" s="10" t="s">
        <v>116</v>
      </c>
      <c r="C441" s="10" t="s">
        <v>303</v>
      </c>
      <c r="D441" s="10" t="s">
        <v>71</v>
      </c>
      <c r="E441" s="10" t="s">
        <v>15</v>
      </c>
      <c r="F441" s="37"/>
      <c r="G441" s="37">
        <v>13</v>
      </c>
      <c r="H441" s="37"/>
      <c r="I441" s="37">
        <v>0.031</v>
      </c>
      <c r="J441" s="37"/>
      <c r="K441" s="37">
        <v>9.1</v>
      </c>
      <c r="L441" s="37"/>
      <c r="M441" s="34">
        <v>6.8</v>
      </c>
      <c r="O441" s="25">
        <v>0.016</v>
      </c>
      <c r="Q441" s="25">
        <v>0.89</v>
      </c>
      <c r="S441" s="25">
        <v>2.8</v>
      </c>
      <c r="U441" s="25">
        <v>0.19</v>
      </c>
      <c r="W441" s="25">
        <v>0.08</v>
      </c>
      <c r="Y441" s="31">
        <f t="shared" si="11"/>
        <v>3.656333333333333</v>
      </c>
    </row>
    <row r="442" spans="2:25" ht="12.75">
      <c r="B442" s="10" t="s">
        <v>117</v>
      </c>
      <c r="C442" s="10" t="s">
        <v>303</v>
      </c>
      <c r="D442" s="10" t="s">
        <v>71</v>
      </c>
      <c r="E442" s="10" t="s">
        <v>15</v>
      </c>
      <c r="F442" s="37"/>
      <c r="G442" s="37">
        <v>23</v>
      </c>
      <c r="H442" s="37"/>
      <c r="I442" s="37">
        <v>29</v>
      </c>
      <c r="J442" s="37"/>
      <c r="K442" s="37">
        <v>8.6</v>
      </c>
      <c r="L442" s="37"/>
      <c r="M442" s="34">
        <v>8.2</v>
      </c>
      <c r="O442" s="25">
        <v>9</v>
      </c>
      <c r="Q442" s="25">
        <v>24</v>
      </c>
      <c r="S442" s="25">
        <v>20</v>
      </c>
      <c r="U442" s="25">
        <v>10</v>
      </c>
      <c r="W442" s="25">
        <v>6.7</v>
      </c>
      <c r="Y442" s="31">
        <f t="shared" si="11"/>
        <v>15.38888888888889</v>
      </c>
    </row>
    <row r="443" spans="2:25" ht="12.75">
      <c r="B443" s="10" t="s">
        <v>99</v>
      </c>
      <c r="C443" s="10" t="s">
        <v>303</v>
      </c>
      <c r="D443" s="10" t="s">
        <v>71</v>
      </c>
      <c r="E443" s="10" t="s">
        <v>15</v>
      </c>
      <c r="F443" s="37"/>
      <c r="G443" s="37">
        <v>106</v>
      </c>
      <c r="H443" s="37"/>
      <c r="I443" s="37">
        <v>154</v>
      </c>
      <c r="J443" s="37"/>
      <c r="K443" s="37">
        <v>60</v>
      </c>
      <c r="L443" s="37"/>
      <c r="M443" s="34">
        <v>52</v>
      </c>
      <c r="O443" s="25">
        <v>69</v>
      </c>
      <c r="Q443" s="25">
        <v>197</v>
      </c>
      <c r="S443" s="25">
        <v>136</v>
      </c>
      <c r="U443" s="25">
        <v>75</v>
      </c>
      <c r="W443" s="25">
        <v>48</v>
      </c>
      <c r="Y443" s="31">
        <f t="shared" si="11"/>
        <v>99.66666666666667</v>
      </c>
    </row>
    <row r="444" spans="2:25" ht="12.75">
      <c r="B444" s="10" t="s">
        <v>118</v>
      </c>
      <c r="C444" s="10" t="s">
        <v>303</v>
      </c>
      <c r="D444" s="10" t="s">
        <v>71</v>
      </c>
      <c r="E444" s="10" t="s">
        <v>15</v>
      </c>
      <c r="F444" s="37"/>
      <c r="G444" s="37">
        <v>2.8</v>
      </c>
      <c r="H444" s="37"/>
      <c r="I444" s="37">
        <v>1.1</v>
      </c>
      <c r="J444" s="37"/>
      <c r="K444" s="37">
        <v>0.93</v>
      </c>
      <c r="L444" s="37"/>
      <c r="M444" s="34">
        <v>3.4</v>
      </c>
      <c r="O444" s="25">
        <v>0.88</v>
      </c>
      <c r="Q444" s="25">
        <v>8</v>
      </c>
      <c r="S444" s="25">
        <v>3.4</v>
      </c>
      <c r="U444" s="25">
        <v>5</v>
      </c>
      <c r="W444" s="25">
        <v>7.7</v>
      </c>
      <c r="Y444" s="31">
        <f t="shared" si="11"/>
        <v>3.6899999999999995</v>
      </c>
    </row>
    <row r="445" spans="2:35" ht="12.75">
      <c r="B445" s="10" t="s">
        <v>105</v>
      </c>
      <c r="C445" s="10" t="s">
        <v>303</v>
      </c>
      <c r="D445" s="10" t="s">
        <v>71</v>
      </c>
      <c r="E445" s="10" t="s">
        <v>15</v>
      </c>
      <c r="F445" s="37"/>
      <c r="G445" s="37">
        <v>13</v>
      </c>
      <c r="H445" s="37"/>
      <c r="I445" s="37">
        <v>10</v>
      </c>
      <c r="J445" s="37"/>
      <c r="K445" s="37">
        <v>48</v>
      </c>
      <c r="L445" s="37"/>
      <c r="M445" s="34">
        <v>20</v>
      </c>
      <c r="O445" s="25">
        <v>13</v>
      </c>
      <c r="Q445" s="25">
        <v>5.7</v>
      </c>
      <c r="S445" s="25">
        <v>20</v>
      </c>
      <c r="U445" s="25">
        <v>5.9</v>
      </c>
      <c r="W445" s="25">
        <v>29</v>
      </c>
      <c r="Y445" s="31">
        <f>AVERAGE(W445,U445,S445,Q445,M445,O445,K445,I445,G445)</f>
        <v>18.288888888888888</v>
      </c>
      <c r="AA445"/>
      <c r="AB445"/>
      <c r="AC445"/>
      <c r="AD445"/>
      <c r="AE445"/>
      <c r="AF445"/>
      <c r="AG445"/>
      <c r="AI445" s="31"/>
    </row>
    <row r="446" spans="2:33" ht="12.75">
      <c r="B446" s="10" t="s">
        <v>106</v>
      </c>
      <c r="C446" s="10" t="s">
        <v>303</v>
      </c>
      <c r="D446" s="10" t="s">
        <v>71</v>
      </c>
      <c r="E446" s="10" t="s">
        <v>15</v>
      </c>
      <c r="F446" s="37"/>
      <c r="G446" s="37">
        <v>32</v>
      </c>
      <c r="H446" s="37"/>
      <c r="I446" s="37">
        <v>10</v>
      </c>
      <c r="J446" s="37"/>
      <c r="K446" s="37">
        <v>21</v>
      </c>
      <c r="L446" s="37"/>
      <c r="M446" s="34">
        <v>2</v>
      </c>
      <c r="O446" s="25">
        <v>20</v>
      </c>
      <c r="Q446" s="25">
        <v>30</v>
      </c>
      <c r="S446" s="25">
        <v>1.5</v>
      </c>
      <c r="U446" s="25">
        <v>2.6</v>
      </c>
      <c r="W446" s="25">
        <v>1.2</v>
      </c>
      <c r="Y446" s="31">
        <f aca="true" t="shared" si="12" ref="Y446:Y451">AVERAGE(W446,U446,S446,Q446,M446,O446,K446,I446,G446)</f>
        <v>13.366666666666667</v>
      </c>
      <c r="AA446"/>
      <c r="AB446"/>
      <c r="AC446"/>
      <c r="AD446"/>
      <c r="AE446"/>
      <c r="AF446"/>
      <c r="AG446"/>
    </row>
    <row r="447" spans="2:33" ht="12.75">
      <c r="B447" s="10" t="s">
        <v>201</v>
      </c>
      <c r="C447" s="10" t="s">
        <v>303</v>
      </c>
      <c r="D447" s="10" t="s">
        <v>71</v>
      </c>
      <c r="E447" s="10" t="s">
        <v>15</v>
      </c>
      <c r="F447" s="37"/>
      <c r="G447" s="37">
        <v>0.76</v>
      </c>
      <c r="H447" s="37"/>
      <c r="I447" s="37">
        <v>0.83</v>
      </c>
      <c r="J447" s="37"/>
      <c r="K447" s="37">
        <v>0.41</v>
      </c>
      <c r="L447" s="37"/>
      <c r="M447" s="35">
        <v>0.25</v>
      </c>
      <c r="O447" s="25">
        <v>0.38</v>
      </c>
      <c r="Q447" s="25">
        <v>1.3</v>
      </c>
      <c r="S447" s="25">
        <v>0.75</v>
      </c>
      <c r="U447" s="25">
        <v>0.18</v>
      </c>
      <c r="W447" s="25">
        <v>0.43</v>
      </c>
      <c r="Y447" s="31">
        <f t="shared" si="12"/>
        <v>0.5877777777777777</v>
      </c>
      <c r="AA447"/>
      <c r="AB447"/>
      <c r="AC447"/>
      <c r="AD447"/>
      <c r="AE447"/>
      <c r="AF447"/>
      <c r="AG447"/>
    </row>
    <row r="448" spans="2:33" ht="12.75">
      <c r="B448" s="10" t="s">
        <v>107</v>
      </c>
      <c r="C448" s="10" t="s">
        <v>303</v>
      </c>
      <c r="D448" s="10" t="s">
        <v>71</v>
      </c>
      <c r="E448" s="10" t="s">
        <v>15</v>
      </c>
      <c r="F448" s="37"/>
      <c r="G448" s="37">
        <v>72</v>
      </c>
      <c r="H448" s="37"/>
      <c r="I448" s="37">
        <v>21</v>
      </c>
      <c r="J448" s="37"/>
      <c r="K448" s="25">
        <v>90</v>
      </c>
      <c r="L448" s="37"/>
      <c r="M448" s="34">
        <v>24</v>
      </c>
      <c r="O448" s="25">
        <v>68</v>
      </c>
      <c r="Q448" s="25">
        <v>56</v>
      </c>
      <c r="S448" s="25">
        <v>45</v>
      </c>
      <c r="U448" s="25">
        <v>12</v>
      </c>
      <c r="W448" s="25">
        <v>22</v>
      </c>
      <c r="Y448" s="31">
        <f t="shared" si="12"/>
        <v>45.55555555555556</v>
      </c>
      <c r="AA448"/>
      <c r="AB448"/>
      <c r="AC448"/>
      <c r="AD448"/>
      <c r="AE448"/>
      <c r="AF448"/>
      <c r="AG448"/>
    </row>
    <row r="449" spans="2:33" ht="12.75">
      <c r="B449" s="10" t="s">
        <v>108</v>
      </c>
      <c r="C449" s="10" t="s">
        <v>303</v>
      </c>
      <c r="D449" s="10" t="s">
        <v>71</v>
      </c>
      <c r="E449" s="10" t="s">
        <v>15</v>
      </c>
      <c r="F449" s="37"/>
      <c r="G449" s="37">
        <v>6.9</v>
      </c>
      <c r="H449" s="37"/>
      <c r="I449" s="37">
        <v>10</v>
      </c>
      <c r="J449" s="37"/>
      <c r="K449" s="37">
        <v>4.1</v>
      </c>
      <c r="L449" s="37"/>
      <c r="M449" s="34">
        <v>3.6</v>
      </c>
      <c r="O449" s="25">
        <v>3.5</v>
      </c>
      <c r="Q449" s="25">
        <v>10</v>
      </c>
      <c r="S449" s="25">
        <v>7.6</v>
      </c>
      <c r="U449" s="25">
        <v>4.9</v>
      </c>
      <c r="W449" s="25">
        <v>2.3</v>
      </c>
      <c r="Y449" s="31">
        <f t="shared" si="12"/>
        <v>5.877777777777777</v>
      </c>
      <c r="AA449"/>
      <c r="AB449"/>
      <c r="AC449"/>
      <c r="AD449"/>
      <c r="AE449"/>
      <c r="AF449"/>
      <c r="AG449"/>
    </row>
    <row r="450" spans="2:33" ht="12.75">
      <c r="B450" s="10" t="s">
        <v>119</v>
      </c>
      <c r="C450" s="10" t="s">
        <v>303</v>
      </c>
      <c r="D450" s="10" t="s">
        <v>71</v>
      </c>
      <c r="E450" s="10" t="s">
        <v>15</v>
      </c>
      <c r="F450" s="37"/>
      <c r="G450" s="37">
        <v>0.13</v>
      </c>
      <c r="H450" s="37"/>
      <c r="I450" s="37">
        <v>0.19</v>
      </c>
      <c r="J450" s="37"/>
      <c r="K450" s="37">
        <v>0.08</v>
      </c>
      <c r="L450" s="37"/>
      <c r="M450" s="35">
        <v>0.1</v>
      </c>
      <c r="O450" s="25">
        <v>0.075</v>
      </c>
      <c r="Q450" s="25">
        <v>15</v>
      </c>
      <c r="S450" s="25">
        <v>0.16</v>
      </c>
      <c r="U450" s="25">
        <v>0.13</v>
      </c>
      <c r="W450" s="25">
        <v>0.064</v>
      </c>
      <c r="Y450" s="31">
        <f t="shared" si="12"/>
        <v>1.7698888888888886</v>
      </c>
      <c r="AA450"/>
      <c r="AB450"/>
      <c r="AC450"/>
      <c r="AD450"/>
      <c r="AE450"/>
      <c r="AF450"/>
      <c r="AG450"/>
    </row>
    <row r="451" spans="2:33" ht="12.75">
      <c r="B451" s="10" t="s">
        <v>124</v>
      </c>
      <c r="C451" s="10" t="s">
        <v>303</v>
      </c>
      <c r="D451" s="10" t="s">
        <v>71</v>
      </c>
      <c r="E451" s="10" t="s">
        <v>15</v>
      </c>
      <c r="F451" s="37"/>
      <c r="G451" s="37">
        <v>76</v>
      </c>
      <c r="H451" s="37"/>
      <c r="I451" s="37">
        <v>97</v>
      </c>
      <c r="J451" s="37"/>
      <c r="K451" s="37">
        <v>29</v>
      </c>
      <c r="L451" s="37"/>
      <c r="M451" s="34">
        <v>28</v>
      </c>
      <c r="O451" s="25">
        <v>38</v>
      </c>
      <c r="Q451" s="25">
        <v>93</v>
      </c>
      <c r="S451" s="25">
        <v>58</v>
      </c>
      <c r="U451" s="25">
        <v>35</v>
      </c>
      <c r="W451" s="25">
        <v>28</v>
      </c>
      <c r="Y451" s="31">
        <f t="shared" si="12"/>
        <v>53.55555555555556</v>
      </c>
      <c r="AA451"/>
      <c r="AB451"/>
      <c r="AC451"/>
      <c r="AD451"/>
      <c r="AE451"/>
      <c r="AF451"/>
      <c r="AG451"/>
    </row>
    <row r="452" spans="2:35" ht="12.75">
      <c r="B452" s="10" t="s">
        <v>72</v>
      </c>
      <c r="C452" s="10" t="s">
        <v>303</v>
      </c>
      <c r="D452" s="10" t="s">
        <v>71</v>
      </c>
      <c r="E452" s="10" t="s">
        <v>15</v>
      </c>
      <c r="G452" s="31">
        <f>G443+G439</f>
        <v>147</v>
      </c>
      <c r="I452" s="31">
        <f>I443+I439</f>
        <v>226</v>
      </c>
      <c r="K452" s="31">
        <f>K443+K439</f>
        <v>87</v>
      </c>
      <c r="M452" s="31">
        <f>M443+M439</f>
        <v>74</v>
      </c>
      <c r="O452" s="31">
        <f>O443+O439</f>
        <v>88</v>
      </c>
      <c r="Q452" s="31">
        <f>Q443+Q439</f>
        <v>255</v>
      </c>
      <c r="S452" s="31">
        <f>S443+S439</f>
        <v>176</v>
      </c>
      <c r="U452" s="31">
        <f>U443+U439</f>
        <v>110</v>
      </c>
      <c r="W452" s="31">
        <f>W443+W439</f>
        <v>68</v>
      </c>
      <c r="Y452" s="31">
        <f>AVERAGE(W452,U452,S452,Q452,M452,O452,K452,I452,G452)</f>
        <v>136.77777777777777</v>
      </c>
      <c r="AA452"/>
      <c r="AB452"/>
      <c r="AC452"/>
      <c r="AD452"/>
      <c r="AE452"/>
      <c r="AF452"/>
      <c r="AG452"/>
      <c r="AI452" s="34"/>
    </row>
    <row r="453" spans="2:35" ht="12.75">
      <c r="B453" s="10" t="s">
        <v>73</v>
      </c>
      <c r="C453" s="10" t="s">
        <v>303</v>
      </c>
      <c r="D453" s="10" t="s">
        <v>71</v>
      </c>
      <c r="E453" s="10" t="s">
        <v>15</v>
      </c>
      <c r="G453" s="31">
        <f>G436+G438+G440</f>
        <v>12.722</v>
      </c>
      <c r="I453" s="31">
        <f>I436+I438+I440</f>
        <v>22.046</v>
      </c>
      <c r="K453" s="31">
        <f>K436+K438+K440</f>
        <v>8.617</v>
      </c>
      <c r="M453" s="31">
        <f>M436+M438+M440</f>
        <v>5.41</v>
      </c>
      <c r="O453" s="31">
        <f>O436+O438+O440</f>
        <v>10.611</v>
      </c>
      <c r="Q453" s="31">
        <f>Q436+Q438+Q440</f>
        <v>16.146</v>
      </c>
      <c r="S453" s="31">
        <f>S436+S438+S440</f>
        <v>9.827</v>
      </c>
      <c r="U453" s="31">
        <f>U436+U438+U440</f>
        <v>6.234999999999999</v>
      </c>
      <c r="W453" s="31">
        <f>W436+W438+W440</f>
        <v>6.3309999999999995</v>
      </c>
      <c r="Y453" s="31">
        <f>AVERAGE(W453,U453,S453,Q453,M453,O453,K453,I453,G453)</f>
        <v>10.882777777777779</v>
      </c>
      <c r="AA453"/>
      <c r="AB453"/>
      <c r="AC453"/>
      <c r="AD453"/>
      <c r="AE453"/>
      <c r="AF453"/>
      <c r="AG453"/>
      <c r="AI453" s="31"/>
    </row>
    <row r="454" spans="2:13" ht="12.75">
      <c r="B454" s="10"/>
      <c r="C454" s="10"/>
      <c r="F454" s="37"/>
      <c r="G454" s="37"/>
      <c r="H454" s="37"/>
      <c r="I454" s="37"/>
      <c r="J454" s="37"/>
      <c r="K454" s="37"/>
      <c r="L454" s="37"/>
      <c r="M454" s="35"/>
    </row>
    <row r="455" spans="2:13" ht="12.75">
      <c r="B455" s="10" t="s">
        <v>123</v>
      </c>
      <c r="C455" s="10" t="s">
        <v>161</v>
      </c>
      <c r="D455" s="10" t="s">
        <v>303</v>
      </c>
      <c r="L455" s="27"/>
      <c r="M455" s="35"/>
    </row>
    <row r="456" spans="2:25" ht="12.75">
      <c r="B456" s="10" t="s">
        <v>98</v>
      </c>
      <c r="C456" s="10"/>
      <c r="D456" s="10" t="s">
        <v>17</v>
      </c>
      <c r="G456" s="11">
        <v>12340.309866811634</v>
      </c>
      <c r="H456" s="31"/>
      <c r="I456" s="11">
        <v>13101.295641931685</v>
      </c>
      <c r="K456" s="11">
        <v>11883.261353226018</v>
      </c>
      <c r="L456" s="31"/>
      <c r="M456" s="11">
        <v>12390.473728058838</v>
      </c>
      <c r="N456" s="31"/>
      <c r="O456" s="11">
        <v>12153.335474890247</v>
      </c>
      <c r="P456" s="31"/>
      <c r="Q456" s="66">
        <v>12946.500526935715</v>
      </c>
      <c r="R456" s="31"/>
      <c r="S456" s="31">
        <v>12307.66354441266</v>
      </c>
      <c r="T456" s="31"/>
      <c r="U456" s="31">
        <v>12923.046721633295</v>
      </c>
      <c r="V456" s="31"/>
      <c r="W456" s="31">
        <v>12896.833645118824</v>
      </c>
      <c r="Y456" s="31">
        <f>AVERAGE(W456,U456,S456,Q456,M456,O456,K456,I456,G456)</f>
        <v>12549.1911670021</v>
      </c>
    </row>
    <row r="457" spans="2:13" ht="12.75">
      <c r="B457" s="10" t="s">
        <v>114</v>
      </c>
      <c r="C457" s="10"/>
      <c r="D457" s="10" t="s">
        <v>18</v>
      </c>
      <c r="G457" s="32"/>
      <c r="H457" s="32"/>
      <c r="I457" s="33"/>
      <c r="J457" s="32"/>
      <c r="K457" s="32"/>
      <c r="M457" s="31"/>
    </row>
    <row r="458" spans="2:13" ht="12.75">
      <c r="B458" s="10" t="s">
        <v>115</v>
      </c>
      <c r="C458" s="10"/>
      <c r="D458" s="10" t="s">
        <v>18</v>
      </c>
      <c r="G458" s="32"/>
      <c r="H458" s="32"/>
      <c r="I458" s="33"/>
      <c r="J458" s="32"/>
      <c r="K458" s="32"/>
      <c r="M458" s="35"/>
    </row>
    <row r="459" spans="2:13" ht="12.75">
      <c r="B459" s="10" t="s">
        <v>97</v>
      </c>
      <c r="C459" s="10"/>
      <c r="D459" s="10" t="s">
        <v>19</v>
      </c>
      <c r="G459" s="32"/>
      <c r="H459" s="32"/>
      <c r="I459" s="33"/>
      <c r="J459" s="32"/>
      <c r="K459" s="32"/>
      <c r="M459" s="35"/>
    </row>
    <row r="462" spans="1:25" ht="12.75">
      <c r="A462" s="25">
        <v>13</v>
      </c>
      <c r="B462" s="29" t="s">
        <v>268</v>
      </c>
      <c r="C462" s="29"/>
      <c r="D462" s="10" t="s">
        <v>12</v>
      </c>
      <c r="E462" s="10" t="s">
        <v>83</v>
      </c>
      <c r="G462" s="27" t="s">
        <v>174</v>
      </c>
      <c r="H462" s="27"/>
      <c r="I462" s="28" t="s">
        <v>175</v>
      </c>
      <c r="J462" s="27"/>
      <c r="K462" s="27" t="s">
        <v>176</v>
      </c>
      <c r="M462" s="27" t="s">
        <v>211</v>
      </c>
      <c r="N462" s="27"/>
      <c r="O462" s="27" t="s">
        <v>212</v>
      </c>
      <c r="P462" s="27"/>
      <c r="Q462" s="27" t="s">
        <v>213</v>
      </c>
      <c r="R462" s="27"/>
      <c r="S462" s="27" t="s">
        <v>214</v>
      </c>
      <c r="T462" s="27"/>
      <c r="U462" s="27" t="s">
        <v>215</v>
      </c>
      <c r="V462" s="27"/>
      <c r="W462" s="27" t="s">
        <v>216</v>
      </c>
      <c r="X462" s="27"/>
      <c r="Y462" s="27" t="s">
        <v>48</v>
      </c>
    </row>
    <row r="463" spans="2:24" ht="12.75">
      <c r="B463" s="10"/>
      <c r="C463" s="10"/>
      <c r="D463" s="37"/>
      <c r="E463" s="37"/>
      <c r="F463" s="37"/>
      <c r="G463" s="37"/>
      <c r="H463" s="37"/>
      <c r="I463" s="76"/>
      <c r="J463" s="37"/>
      <c r="K463" s="37"/>
      <c r="X463" s="27"/>
    </row>
    <row r="464" spans="2:25" ht="12.75">
      <c r="B464" s="10" t="s">
        <v>13</v>
      </c>
      <c r="C464" s="10" t="s">
        <v>303</v>
      </c>
      <c r="D464" s="10" t="s">
        <v>14</v>
      </c>
      <c r="E464" s="10" t="s">
        <v>15</v>
      </c>
      <c r="G464" s="37">
        <v>0.0037</v>
      </c>
      <c r="H464" s="37"/>
      <c r="I464" s="76">
        <v>0.0037</v>
      </c>
      <c r="J464" s="37"/>
      <c r="K464" s="37">
        <v>0.0025</v>
      </c>
      <c r="X464" s="27"/>
      <c r="Y464" s="30">
        <f>AVERAGE(G464,I464,K464)</f>
        <v>0.0033000000000000004</v>
      </c>
    </row>
    <row r="465" spans="2:25" ht="12.75">
      <c r="B465" s="10" t="s">
        <v>120</v>
      </c>
      <c r="C465" s="10"/>
      <c r="D465" s="10" t="s">
        <v>16</v>
      </c>
      <c r="G465" s="32">
        <v>1.6</v>
      </c>
      <c r="H465" s="32"/>
      <c r="I465" s="33">
        <v>1.5</v>
      </c>
      <c r="J465" s="32"/>
      <c r="K465" s="32">
        <v>1.6</v>
      </c>
      <c r="X465" s="27"/>
      <c r="Y465" s="35"/>
    </row>
    <row r="466" spans="2:25" ht="12.75">
      <c r="B466" s="10" t="s">
        <v>231</v>
      </c>
      <c r="C466" s="10"/>
      <c r="D466" s="10" t="s">
        <v>16</v>
      </c>
      <c r="G466" s="32">
        <v>1.92</v>
      </c>
      <c r="H466" s="32"/>
      <c r="I466" s="33">
        <v>0.96</v>
      </c>
      <c r="J466" s="32"/>
      <c r="K466" s="32">
        <v>1.35</v>
      </c>
      <c r="X466" s="27"/>
      <c r="Y466" s="35"/>
    </row>
    <row r="467" spans="2:25" ht="12.75">
      <c r="B467" s="10"/>
      <c r="C467" s="10"/>
      <c r="G467" s="32"/>
      <c r="H467" s="32"/>
      <c r="I467" s="33"/>
      <c r="J467" s="32"/>
      <c r="K467" s="32"/>
      <c r="X467" s="27"/>
      <c r="Y467" s="35"/>
    </row>
    <row r="468" spans="2:25" ht="12.75">
      <c r="B468" s="10" t="s">
        <v>55</v>
      </c>
      <c r="C468" s="10" t="s">
        <v>303</v>
      </c>
      <c r="D468" s="10" t="s">
        <v>16</v>
      </c>
      <c r="E468" s="10" t="s">
        <v>15</v>
      </c>
      <c r="G468" s="32">
        <v>0.14</v>
      </c>
      <c r="H468" s="10"/>
      <c r="I468" s="33">
        <v>0.14</v>
      </c>
      <c r="J468" s="10"/>
      <c r="K468" s="32">
        <v>0.11</v>
      </c>
      <c r="N468" s="10"/>
      <c r="X468" s="10"/>
      <c r="Y468" s="61">
        <f>AVERAGE(G468,I468,K468)</f>
        <v>0.13</v>
      </c>
    </row>
    <row r="469" spans="2:25" ht="12.75">
      <c r="B469" s="10" t="s">
        <v>56</v>
      </c>
      <c r="C469" s="10" t="s">
        <v>303</v>
      </c>
      <c r="D469" s="10" t="s">
        <v>16</v>
      </c>
      <c r="E469" s="10" t="s">
        <v>15</v>
      </c>
      <c r="F469" s="10" t="s">
        <v>29</v>
      </c>
      <c r="G469" s="32">
        <v>0.015</v>
      </c>
      <c r="H469" s="10" t="s">
        <v>29</v>
      </c>
      <c r="I469" s="33">
        <v>0.015</v>
      </c>
      <c r="J469" s="10" t="s">
        <v>29</v>
      </c>
      <c r="K469" s="32">
        <v>0.016</v>
      </c>
      <c r="X469" s="27">
        <v>100</v>
      </c>
      <c r="Y469" s="61">
        <f>AVERAGE(G469,I469,K469)/2</f>
        <v>0.007666666666666666</v>
      </c>
    </row>
    <row r="470" spans="2:25" ht="12.75">
      <c r="B470" s="10" t="s">
        <v>122</v>
      </c>
      <c r="C470" s="10" t="s">
        <v>303</v>
      </c>
      <c r="D470" s="10" t="s">
        <v>16</v>
      </c>
      <c r="E470" s="10" t="s">
        <v>15</v>
      </c>
      <c r="F470" s="37"/>
      <c r="G470" s="43">
        <f>G468+2*G469</f>
        <v>0.17</v>
      </c>
      <c r="H470" s="37"/>
      <c r="I470" s="43">
        <f>I468+2*I469</f>
        <v>0.17</v>
      </c>
      <c r="J470" s="37"/>
      <c r="K470" s="43">
        <f>K468+2*K469</f>
        <v>0.14200000000000002</v>
      </c>
      <c r="O470" s="37"/>
      <c r="X470" s="37"/>
      <c r="Y470" s="61">
        <f>AVERAGE(G470,I470,K470)</f>
        <v>0.16066666666666668</v>
      </c>
    </row>
    <row r="472" spans="2:11" ht="12.75">
      <c r="B472" s="10" t="s">
        <v>240</v>
      </c>
      <c r="D472" s="10" t="s">
        <v>50</v>
      </c>
      <c r="F472" s="10" t="s">
        <v>29</v>
      </c>
      <c r="G472" s="25">
        <v>2.1</v>
      </c>
      <c r="H472" s="10" t="s">
        <v>29</v>
      </c>
      <c r="I472" s="26">
        <v>2</v>
      </c>
      <c r="J472" s="10" t="s">
        <v>29</v>
      </c>
      <c r="K472" s="31">
        <v>2</v>
      </c>
    </row>
    <row r="473" spans="2:11" ht="12.75">
      <c r="B473" s="10" t="s">
        <v>241</v>
      </c>
      <c r="D473" s="10" t="s">
        <v>50</v>
      </c>
      <c r="F473" s="10" t="s">
        <v>29</v>
      </c>
      <c r="G473" s="25">
        <v>2.1</v>
      </c>
      <c r="H473" s="10" t="s">
        <v>29</v>
      </c>
      <c r="I473" s="26">
        <v>2.1</v>
      </c>
      <c r="J473" s="10" t="s">
        <v>29</v>
      </c>
      <c r="K473" s="31">
        <v>2</v>
      </c>
    </row>
    <row r="474" spans="8:10" ht="12.75">
      <c r="H474" s="10"/>
      <c r="J474" s="10"/>
    </row>
    <row r="475" spans="2:11" ht="12.75">
      <c r="B475" s="10" t="s">
        <v>242</v>
      </c>
      <c r="D475" s="10" t="s">
        <v>50</v>
      </c>
      <c r="F475" s="10" t="s">
        <v>29</v>
      </c>
      <c r="G475" s="25">
        <v>0.52</v>
      </c>
      <c r="H475" s="10" t="s">
        <v>29</v>
      </c>
      <c r="I475" s="26">
        <v>0.53</v>
      </c>
      <c r="J475" s="10" t="s">
        <v>29</v>
      </c>
      <c r="K475" s="25">
        <v>0.51</v>
      </c>
    </row>
    <row r="476" spans="2:11" ht="12.75">
      <c r="B476" s="10" t="s">
        <v>243</v>
      </c>
      <c r="D476" s="10" t="s">
        <v>50</v>
      </c>
      <c r="F476" s="10" t="s">
        <v>29</v>
      </c>
      <c r="G476" s="31">
        <v>1</v>
      </c>
      <c r="H476" s="10" t="s">
        <v>29</v>
      </c>
      <c r="I476" s="26">
        <v>1.1</v>
      </c>
      <c r="J476" s="10" t="s">
        <v>29</v>
      </c>
      <c r="K476" s="31">
        <v>1</v>
      </c>
    </row>
    <row r="477" spans="8:10" ht="12.75">
      <c r="H477" s="10"/>
      <c r="J477" s="10"/>
    </row>
    <row r="478" spans="2:11" ht="12.75">
      <c r="B478" s="10" t="s">
        <v>244</v>
      </c>
      <c r="D478" s="10" t="s">
        <v>50</v>
      </c>
      <c r="F478" s="10" t="s">
        <v>29</v>
      </c>
      <c r="G478" s="25">
        <v>10</v>
      </c>
      <c r="H478" s="10" t="s">
        <v>29</v>
      </c>
      <c r="I478" s="26">
        <v>11</v>
      </c>
      <c r="J478" s="10" t="s">
        <v>29</v>
      </c>
      <c r="K478" s="25">
        <v>10</v>
      </c>
    </row>
    <row r="479" spans="2:11" ht="12.75">
      <c r="B479" s="10" t="s">
        <v>245</v>
      </c>
      <c r="D479" s="10" t="s">
        <v>50</v>
      </c>
      <c r="F479" s="10" t="s">
        <v>29</v>
      </c>
      <c r="G479" s="25">
        <v>10</v>
      </c>
      <c r="H479" s="10" t="s">
        <v>29</v>
      </c>
      <c r="I479" s="26">
        <v>11</v>
      </c>
      <c r="J479" s="10" t="s">
        <v>29</v>
      </c>
      <c r="K479" s="25">
        <v>10</v>
      </c>
    </row>
    <row r="482" spans="2:3" ht="12.75">
      <c r="B482" s="25" t="s">
        <v>89</v>
      </c>
      <c r="C482" s="25" t="s">
        <v>58</v>
      </c>
    </row>
    <row r="483" spans="2:25" ht="12.75">
      <c r="B483" s="25" t="s">
        <v>246</v>
      </c>
      <c r="D483" s="10" t="s">
        <v>59</v>
      </c>
      <c r="G483" s="25">
        <v>71.8</v>
      </c>
      <c r="I483" s="26">
        <v>72</v>
      </c>
      <c r="K483" s="25">
        <v>71.6</v>
      </c>
      <c r="Y483" s="25">
        <f>AVERAGE(G483,I483,K483)</f>
        <v>71.8</v>
      </c>
    </row>
    <row r="484" spans="2:25" ht="12.75">
      <c r="B484" s="25" t="s">
        <v>113</v>
      </c>
      <c r="C484" s="25" t="s">
        <v>303</v>
      </c>
      <c r="D484" s="10" t="s">
        <v>59</v>
      </c>
      <c r="F484" s="10" t="s">
        <v>29</v>
      </c>
      <c r="G484" s="25">
        <v>5.4E-05</v>
      </c>
      <c r="H484" s="25" t="s">
        <v>29</v>
      </c>
      <c r="I484" s="26">
        <v>5.6E-05</v>
      </c>
      <c r="J484" s="25" t="s">
        <v>29</v>
      </c>
      <c r="K484" s="25">
        <v>5.2E-05</v>
      </c>
      <c r="X484" s="25" t="s">
        <v>29</v>
      </c>
      <c r="Y484" s="25">
        <f>AVERAGE(G484,I484,K484)</f>
        <v>5.399999999999999E-05</v>
      </c>
    </row>
    <row r="485" spans="2:11" ht="12.75">
      <c r="B485" s="25" t="s">
        <v>57</v>
      </c>
      <c r="C485" s="25" t="s">
        <v>303</v>
      </c>
      <c r="D485" s="10" t="s">
        <v>18</v>
      </c>
      <c r="F485" s="10" t="s">
        <v>247</v>
      </c>
      <c r="G485" s="71">
        <f>(G483-G484)/G483</f>
        <v>0.9999992479108635</v>
      </c>
      <c r="H485" s="25" t="s">
        <v>247</v>
      </c>
      <c r="I485" s="71">
        <f>(I483-I484)/I483</f>
        <v>0.9999992222222223</v>
      </c>
      <c r="J485" s="25" t="s">
        <v>247</v>
      </c>
      <c r="K485" s="71">
        <f>(K483-K484)/K483</f>
        <v>0.9999992737430168</v>
      </c>
    </row>
    <row r="487" spans="2:3" ht="12.75">
      <c r="B487" s="25" t="s">
        <v>89</v>
      </c>
      <c r="C487" s="25" t="s">
        <v>143</v>
      </c>
    </row>
    <row r="488" spans="2:25" ht="12.75">
      <c r="B488" s="25" t="s">
        <v>246</v>
      </c>
      <c r="D488" s="10" t="s">
        <v>59</v>
      </c>
      <c r="G488" s="25">
        <v>21</v>
      </c>
      <c r="I488" s="26">
        <v>22</v>
      </c>
      <c r="K488" s="25">
        <v>18</v>
      </c>
      <c r="Y488" s="31">
        <f>AVERAGE(G488,I488,K488)</f>
        <v>20.333333333333332</v>
      </c>
    </row>
    <row r="489" spans="2:25" ht="12.75">
      <c r="B489" s="25" t="s">
        <v>113</v>
      </c>
      <c r="C489" s="25" t="s">
        <v>303</v>
      </c>
      <c r="D489" s="10" t="s">
        <v>59</v>
      </c>
      <c r="F489" s="10" t="s">
        <v>29</v>
      </c>
      <c r="G489" s="25">
        <v>0.00039</v>
      </c>
      <c r="H489" s="25" t="s">
        <v>29</v>
      </c>
      <c r="I489" s="26">
        <v>0.00021</v>
      </c>
      <c r="J489" s="25" t="s">
        <v>29</v>
      </c>
      <c r="K489" s="25">
        <v>0.00018</v>
      </c>
      <c r="X489" s="25" t="s">
        <v>29</v>
      </c>
      <c r="Y489" s="25">
        <f>AVERAGE(G489,I489,K489)</f>
        <v>0.00026000000000000003</v>
      </c>
    </row>
    <row r="490" spans="2:11" ht="12.75">
      <c r="B490" s="25" t="s">
        <v>57</v>
      </c>
      <c r="C490" s="25" t="s">
        <v>303</v>
      </c>
      <c r="D490" s="10" t="s">
        <v>18</v>
      </c>
      <c r="F490" s="10" t="s">
        <v>247</v>
      </c>
      <c r="G490" s="72">
        <f>(G488-G489)/G488</f>
        <v>0.9999814285714286</v>
      </c>
      <c r="H490" s="25" t="s">
        <v>247</v>
      </c>
      <c r="I490" s="72">
        <f>(I488-I489)/I488</f>
        <v>0.9999904545454545</v>
      </c>
      <c r="J490" s="25" t="s">
        <v>247</v>
      </c>
      <c r="K490" s="72">
        <f>(K488-K489)/K488</f>
        <v>0.9999899999999999</v>
      </c>
    </row>
    <row r="493" spans="2:4" ht="12.75">
      <c r="B493" s="10" t="s">
        <v>123</v>
      </c>
      <c r="C493" s="10" t="s">
        <v>13</v>
      </c>
      <c r="D493" s="10" t="s">
        <v>303</v>
      </c>
    </row>
    <row r="494" spans="2:25" ht="12.75">
      <c r="B494" s="10" t="s">
        <v>98</v>
      </c>
      <c r="C494" s="10"/>
      <c r="D494" s="10" t="s">
        <v>17</v>
      </c>
      <c r="G494" s="25">
        <v>14350</v>
      </c>
      <c r="I494" s="26">
        <v>14927</v>
      </c>
      <c r="K494" s="25">
        <v>13812</v>
      </c>
      <c r="Y494" s="31">
        <f>AVERAGE(G494,I494,K494)</f>
        <v>14363</v>
      </c>
    </row>
    <row r="495" spans="2:25" ht="12.75">
      <c r="B495" s="10" t="s">
        <v>114</v>
      </c>
      <c r="C495" s="10"/>
      <c r="D495" s="10" t="s">
        <v>18</v>
      </c>
      <c r="G495" s="25">
        <v>7.86</v>
      </c>
      <c r="I495" s="26">
        <v>8.2</v>
      </c>
      <c r="K495" s="25">
        <v>7.61</v>
      </c>
      <c r="Y495" s="31">
        <f>AVERAGE(G495,I495,K495)</f>
        <v>7.89</v>
      </c>
    </row>
    <row r="496" spans="2:25" ht="12.75">
      <c r="B496" s="10" t="s">
        <v>115</v>
      </c>
      <c r="C496" s="10"/>
      <c r="D496" s="10" t="s">
        <v>18</v>
      </c>
      <c r="G496" s="25">
        <v>7.56</v>
      </c>
      <c r="I496" s="26">
        <v>7.25</v>
      </c>
      <c r="K496" s="25">
        <v>8.12</v>
      </c>
      <c r="Y496" s="31">
        <f>AVERAGE(G496,I496,K496)</f>
        <v>7.6433333333333335</v>
      </c>
    </row>
    <row r="497" spans="2:25" ht="12.75">
      <c r="B497" s="10" t="s">
        <v>97</v>
      </c>
      <c r="C497" s="10"/>
      <c r="D497" s="10" t="s">
        <v>19</v>
      </c>
      <c r="G497" s="25">
        <v>174.1</v>
      </c>
      <c r="I497" s="26">
        <v>172.4</v>
      </c>
      <c r="K497" s="25">
        <v>171.5</v>
      </c>
      <c r="Y497" s="31">
        <f>AVERAGE(G497,I497,K497)</f>
        <v>172.66666666666666</v>
      </c>
    </row>
    <row r="499" spans="2:4" ht="12.75">
      <c r="B499" s="10" t="s">
        <v>123</v>
      </c>
      <c r="C499" s="10" t="s">
        <v>248</v>
      </c>
      <c r="D499" s="10" t="s">
        <v>304</v>
      </c>
    </row>
    <row r="500" spans="2:25" ht="12.75">
      <c r="B500" s="10" t="s">
        <v>98</v>
      </c>
      <c r="C500" s="10"/>
      <c r="D500" s="10" t="s">
        <v>17</v>
      </c>
      <c r="G500" s="25">
        <v>14256</v>
      </c>
      <c r="I500" s="26">
        <v>14728</v>
      </c>
      <c r="K500" s="25">
        <v>14151</v>
      </c>
      <c r="Y500" s="34">
        <f>AVERAGE(G500,I500,K500)</f>
        <v>14378.333333333334</v>
      </c>
    </row>
    <row r="501" spans="2:25" ht="12.75">
      <c r="B501" s="10" t="s">
        <v>114</v>
      </c>
      <c r="C501" s="10"/>
      <c r="D501" s="10" t="s">
        <v>18</v>
      </c>
      <c r="G501" s="25">
        <v>7.86</v>
      </c>
      <c r="I501" s="26">
        <v>8.2</v>
      </c>
      <c r="K501" s="25">
        <v>7.61</v>
      </c>
      <c r="Y501" s="35">
        <f>AVERAGE(G501,I501,K501)</f>
        <v>7.89</v>
      </c>
    </row>
    <row r="502" spans="2:25" ht="12.75">
      <c r="B502" s="10" t="s">
        <v>115</v>
      </c>
      <c r="C502" s="10"/>
      <c r="D502" s="10" t="s">
        <v>18</v>
      </c>
      <c r="G502" s="25">
        <v>7.47</v>
      </c>
      <c r="I502" s="26">
        <v>7.48</v>
      </c>
      <c r="K502" s="25">
        <v>7.49</v>
      </c>
      <c r="Y502" s="31">
        <f>AVERAGE(G502,I502,K502)</f>
        <v>7.4799999999999995</v>
      </c>
    </row>
    <row r="503" spans="2:25" ht="12.75">
      <c r="B503" s="10" t="s">
        <v>97</v>
      </c>
      <c r="C503" s="10"/>
      <c r="D503" s="10" t="s">
        <v>19</v>
      </c>
      <c r="G503" s="25">
        <v>166.5</v>
      </c>
      <c r="I503" s="26">
        <v>164.7</v>
      </c>
      <c r="K503" s="25">
        <v>164.6</v>
      </c>
      <c r="Y503" s="31">
        <f>AVERAGE(G503,I503,K503)</f>
        <v>165.26666666666665</v>
      </c>
    </row>
    <row r="506" spans="2:25" ht="12.75">
      <c r="B506" s="10" t="s">
        <v>120</v>
      </c>
      <c r="C506" s="10" t="s">
        <v>303</v>
      </c>
      <c r="D506" s="10" t="s">
        <v>16</v>
      </c>
      <c r="E506" s="10" t="s">
        <v>15</v>
      </c>
      <c r="G506" s="31">
        <f>G465*(21-7)/(21-G495)</f>
        <v>1.7047184170471843</v>
      </c>
      <c r="I506" s="31">
        <f>I465*(21-7)/(21-I495)</f>
        <v>1.640625</v>
      </c>
      <c r="K506" s="31">
        <f>K465*(21-7)/(21-K495)</f>
        <v>1.672890216579537</v>
      </c>
      <c r="Y506" s="31">
        <f>AVERAGE(G506,I506,K506)</f>
        <v>1.6727445445422404</v>
      </c>
    </row>
    <row r="507" spans="2:25" ht="12.75">
      <c r="B507" s="10" t="s">
        <v>231</v>
      </c>
      <c r="C507" s="10" t="s">
        <v>303</v>
      </c>
      <c r="D507" s="10" t="s">
        <v>16</v>
      </c>
      <c r="E507" s="10" t="s">
        <v>15</v>
      </c>
      <c r="G507" s="31">
        <f>G466*(21-7)/(21-G496)</f>
        <v>1.9999999999999998</v>
      </c>
      <c r="I507" s="31">
        <f>I466*(21-7)/(21-I496)</f>
        <v>0.9774545454545455</v>
      </c>
      <c r="K507" s="31">
        <f>K466*(21-7)/(21-K496)</f>
        <v>1.4673913043478262</v>
      </c>
      <c r="Y507" s="31">
        <f>AVERAGE(G507,I507,K507)</f>
        <v>1.4816152832674572</v>
      </c>
    </row>
    <row r="510" spans="1:25" ht="12.75">
      <c r="A510" s="25">
        <v>14</v>
      </c>
      <c r="B510" s="29" t="s">
        <v>269</v>
      </c>
      <c r="C510" s="29"/>
      <c r="D510" s="10" t="s">
        <v>12</v>
      </c>
      <c r="E510" s="10" t="s">
        <v>83</v>
      </c>
      <c r="F510" s="73"/>
      <c r="G510" s="27" t="s">
        <v>174</v>
      </c>
      <c r="H510" s="27"/>
      <c r="I510" s="28" t="s">
        <v>175</v>
      </c>
      <c r="J510" s="27"/>
      <c r="K510" s="27" t="s">
        <v>176</v>
      </c>
      <c r="M510" s="27" t="s">
        <v>211</v>
      </c>
      <c r="N510" s="27"/>
      <c r="O510" s="27" t="s">
        <v>212</v>
      </c>
      <c r="P510" s="27"/>
      <c r="Q510" s="27" t="s">
        <v>213</v>
      </c>
      <c r="R510" s="27"/>
      <c r="S510" s="27" t="s">
        <v>214</v>
      </c>
      <c r="T510" s="27"/>
      <c r="U510" s="27" t="s">
        <v>215</v>
      </c>
      <c r="V510" s="27"/>
      <c r="W510" s="27" t="s">
        <v>216</v>
      </c>
      <c r="X510" s="27"/>
      <c r="Y510" s="27" t="s">
        <v>48</v>
      </c>
    </row>
    <row r="511" spans="2:24" ht="12.75">
      <c r="B511" s="10"/>
      <c r="C511" s="10"/>
      <c r="D511" s="37"/>
      <c r="E511" s="37"/>
      <c r="F511" s="37"/>
      <c r="G511" s="37"/>
      <c r="H511" s="37"/>
      <c r="I511" s="76"/>
      <c r="J511" s="37"/>
      <c r="K511" s="37"/>
      <c r="X511" s="27"/>
    </row>
    <row r="512" spans="2:25" ht="12.75">
      <c r="B512" s="10" t="s">
        <v>13</v>
      </c>
      <c r="C512" s="10" t="s">
        <v>303</v>
      </c>
      <c r="D512" s="10" t="s">
        <v>14</v>
      </c>
      <c r="E512" s="10" t="s">
        <v>15</v>
      </c>
      <c r="G512" s="37">
        <v>0.0023</v>
      </c>
      <c r="H512" s="37"/>
      <c r="I512" s="37">
        <v>0.0023</v>
      </c>
      <c r="J512" s="37"/>
      <c r="K512" s="37">
        <v>0.0024</v>
      </c>
      <c r="X512" s="27"/>
      <c r="Y512" s="30">
        <f>AVERAGE(G512,I512,K512)</f>
        <v>0.002333333333333333</v>
      </c>
    </row>
    <row r="513" spans="2:25" ht="12.75">
      <c r="B513" s="10" t="s">
        <v>120</v>
      </c>
      <c r="C513" s="10"/>
      <c r="D513" s="10" t="s">
        <v>16</v>
      </c>
      <c r="E513" s="10" t="s">
        <v>305</v>
      </c>
      <c r="G513" s="32">
        <v>1.2</v>
      </c>
      <c r="H513" s="32"/>
      <c r="I513" s="33">
        <v>1.4</v>
      </c>
      <c r="J513" s="32"/>
      <c r="K513" s="32">
        <v>1.6</v>
      </c>
      <c r="X513" s="27"/>
      <c r="Y513" s="35"/>
    </row>
    <row r="514" spans="2:25" ht="12.75">
      <c r="B514" s="10" t="s">
        <v>231</v>
      </c>
      <c r="C514" s="10"/>
      <c r="D514" s="10" t="s">
        <v>16</v>
      </c>
      <c r="E514" s="10" t="s">
        <v>305</v>
      </c>
      <c r="G514" s="32">
        <v>0.8</v>
      </c>
      <c r="H514" s="32"/>
      <c r="I514" s="33">
        <v>1.1</v>
      </c>
      <c r="J514" s="32"/>
      <c r="K514" s="32">
        <v>0.97</v>
      </c>
      <c r="X514" s="27"/>
      <c r="Y514" s="35"/>
    </row>
    <row r="515" spans="2:25" ht="12.75">
      <c r="B515" s="10"/>
      <c r="C515" s="10"/>
      <c r="G515" s="32"/>
      <c r="H515" s="32"/>
      <c r="I515" s="33"/>
      <c r="J515" s="32"/>
      <c r="K515" s="32"/>
      <c r="X515" s="27"/>
      <c r="Y515" s="35"/>
    </row>
    <row r="516" spans="2:25" ht="12.75">
      <c r="B516" s="10" t="s">
        <v>55</v>
      </c>
      <c r="C516" s="10" t="s">
        <v>303</v>
      </c>
      <c r="D516" s="10" t="s">
        <v>16</v>
      </c>
      <c r="E516" s="10" t="s">
        <v>15</v>
      </c>
      <c r="G516" s="32">
        <v>0.14</v>
      </c>
      <c r="H516" s="10"/>
      <c r="I516" s="33">
        <v>0.14</v>
      </c>
      <c r="J516" s="10"/>
      <c r="K516" s="32">
        <v>0.13</v>
      </c>
      <c r="N516" s="10"/>
      <c r="X516" s="10"/>
      <c r="Y516" s="61">
        <f>AVERAGE(G516,I516,K516)</f>
        <v>0.1366666666666667</v>
      </c>
    </row>
    <row r="517" spans="2:25" ht="12.75">
      <c r="B517" s="10" t="s">
        <v>56</v>
      </c>
      <c r="C517" s="10" t="s">
        <v>303</v>
      </c>
      <c r="D517" s="10" t="s">
        <v>16</v>
      </c>
      <c r="E517" s="10" t="s">
        <v>15</v>
      </c>
      <c r="F517" s="10" t="s">
        <v>29</v>
      </c>
      <c r="G517" s="32">
        <v>0.016</v>
      </c>
      <c r="H517" s="10" t="s">
        <v>29</v>
      </c>
      <c r="I517" s="32">
        <v>0.016</v>
      </c>
      <c r="J517" s="10" t="s">
        <v>29</v>
      </c>
      <c r="K517" s="32">
        <v>0.015</v>
      </c>
      <c r="X517" s="27">
        <v>100</v>
      </c>
      <c r="Y517" s="61">
        <f>AVERAGE(G517,I517,K517)/2</f>
        <v>0.007833333333333333</v>
      </c>
    </row>
    <row r="518" spans="2:25" ht="12.75">
      <c r="B518" s="10" t="s">
        <v>122</v>
      </c>
      <c r="C518" s="10" t="s">
        <v>303</v>
      </c>
      <c r="D518" s="10" t="s">
        <v>16</v>
      </c>
      <c r="E518" s="10" t="s">
        <v>15</v>
      </c>
      <c r="F518" s="37"/>
      <c r="G518" s="43">
        <f>G516+2*G517</f>
        <v>0.17200000000000001</v>
      </c>
      <c r="H518" s="37"/>
      <c r="I518" s="43">
        <f>I516+2*I517</f>
        <v>0.17200000000000001</v>
      </c>
      <c r="J518" s="37"/>
      <c r="K518" s="43">
        <f>K516+2*K517</f>
        <v>0.16</v>
      </c>
      <c r="O518" s="37"/>
      <c r="X518" s="37"/>
      <c r="Y518" s="61">
        <f>AVERAGE(G518,I518,K518)</f>
        <v>0.168</v>
      </c>
    </row>
    <row r="520" spans="2:11" ht="12.75">
      <c r="B520" s="10" t="s">
        <v>240</v>
      </c>
      <c r="D520" s="10" t="s">
        <v>50</v>
      </c>
      <c r="F520" s="10" t="s">
        <v>29</v>
      </c>
      <c r="G520" s="25">
        <v>2.1</v>
      </c>
      <c r="H520" s="10" t="s">
        <v>29</v>
      </c>
      <c r="I520" s="25">
        <v>2.1</v>
      </c>
      <c r="J520" s="10" t="s">
        <v>29</v>
      </c>
      <c r="K520" s="25">
        <v>2.1</v>
      </c>
    </row>
    <row r="521" spans="2:11" ht="12.75">
      <c r="B521" s="10" t="s">
        <v>241</v>
      </c>
      <c r="D521" s="10" t="s">
        <v>50</v>
      </c>
      <c r="F521" s="10" t="s">
        <v>29</v>
      </c>
      <c r="G521" s="25">
        <v>2.1</v>
      </c>
      <c r="H521" s="10" t="s">
        <v>29</v>
      </c>
      <c r="I521" s="25">
        <v>2.1</v>
      </c>
      <c r="J521" s="10" t="s">
        <v>29</v>
      </c>
      <c r="K521" s="25">
        <v>2.1</v>
      </c>
    </row>
    <row r="522" spans="8:10" ht="12.75">
      <c r="H522" s="10"/>
      <c r="J522" s="10"/>
    </row>
    <row r="523" spans="2:11" ht="12.75">
      <c r="B523" s="10" t="s">
        <v>242</v>
      </c>
      <c r="D523" s="10" t="s">
        <v>50</v>
      </c>
      <c r="F523" s="10" t="s">
        <v>29</v>
      </c>
      <c r="G523" s="25">
        <v>0.52</v>
      </c>
      <c r="H523" s="10" t="s">
        <v>29</v>
      </c>
      <c r="I523" s="25">
        <v>0.51</v>
      </c>
      <c r="J523" s="10" t="s">
        <v>29</v>
      </c>
      <c r="K523" s="25">
        <v>0.51</v>
      </c>
    </row>
    <row r="524" spans="2:11" ht="12.75">
      <c r="B524" s="10" t="s">
        <v>243</v>
      </c>
      <c r="D524" s="10" t="s">
        <v>50</v>
      </c>
      <c r="F524" s="10" t="s">
        <v>29</v>
      </c>
      <c r="G524" s="31">
        <v>1</v>
      </c>
      <c r="H524" s="10" t="s">
        <v>29</v>
      </c>
      <c r="I524" s="31">
        <v>1</v>
      </c>
      <c r="J524" s="10" t="s">
        <v>29</v>
      </c>
      <c r="K524" s="31">
        <v>1</v>
      </c>
    </row>
    <row r="525" spans="8:10" ht="12.75">
      <c r="H525" s="10"/>
      <c r="J525" s="10"/>
    </row>
    <row r="526" spans="2:11" ht="12.75">
      <c r="B526" s="10" t="s">
        <v>244</v>
      </c>
      <c r="D526" s="10" t="s">
        <v>50</v>
      </c>
      <c r="F526" s="10" t="s">
        <v>29</v>
      </c>
      <c r="G526" s="25">
        <v>10</v>
      </c>
      <c r="H526" s="10" t="s">
        <v>29</v>
      </c>
      <c r="I526" s="25">
        <v>10</v>
      </c>
      <c r="J526" s="10" t="s">
        <v>29</v>
      </c>
      <c r="K526" s="25">
        <v>10</v>
      </c>
    </row>
    <row r="527" spans="2:11" ht="12.75">
      <c r="B527" s="10" t="s">
        <v>245</v>
      </c>
      <c r="D527" s="10" t="s">
        <v>50</v>
      </c>
      <c r="F527" s="10" t="s">
        <v>29</v>
      </c>
      <c r="G527" s="25">
        <v>10</v>
      </c>
      <c r="H527" s="10" t="s">
        <v>29</v>
      </c>
      <c r="I527" s="25">
        <v>10</v>
      </c>
      <c r="J527" s="10" t="s">
        <v>29</v>
      </c>
      <c r="K527" s="25">
        <v>10</v>
      </c>
    </row>
    <row r="530" spans="2:25" ht="12.75">
      <c r="B530" s="25" t="s">
        <v>250</v>
      </c>
      <c r="C530" s="25" t="s">
        <v>304</v>
      </c>
      <c r="D530" s="10" t="s">
        <v>71</v>
      </c>
      <c r="E530" s="27" t="s">
        <v>15</v>
      </c>
      <c r="G530" s="25">
        <v>35</v>
      </c>
      <c r="I530" s="26">
        <v>35</v>
      </c>
      <c r="K530" s="25">
        <v>33</v>
      </c>
      <c r="Y530" s="31">
        <f aca="true" t="shared" si="13" ref="Y530:Y545">AVERAGE(G530,I530,K530)</f>
        <v>34.333333333333336</v>
      </c>
    </row>
    <row r="531" spans="2:25" ht="12.75">
      <c r="B531" s="25" t="s">
        <v>101</v>
      </c>
      <c r="C531" s="25" t="s">
        <v>304</v>
      </c>
      <c r="D531" s="10" t="s">
        <v>71</v>
      </c>
      <c r="E531" s="27" t="s">
        <v>15</v>
      </c>
      <c r="G531" s="25">
        <v>3.9</v>
      </c>
      <c r="I531" s="26">
        <v>3.4</v>
      </c>
      <c r="K531" s="25">
        <v>3.4</v>
      </c>
      <c r="Y531" s="31">
        <f t="shared" si="13"/>
        <v>3.5666666666666664</v>
      </c>
    </row>
    <row r="532" spans="2:25" ht="12.75">
      <c r="B532" s="25" t="s">
        <v>102</v>
      </c>
      <c r="C532" s="25" t="s">
        <v>304</v>
      </c>
      <c r="D532" s="10" t="s">
        <v>71</v>
      </c>
      <c r="E532" s="27" t="s">
        <v>15</v>
      </c>
      <c r="G532" s="25">
        <v>2.2</v>
      </c>
      <c r="I532" s="26">
        <v>2.3</v>
      </c>
      <c r="K532" s="25">
        <v>3.7</v>
      </c>
      <c r="Y532" s="31">
        <f t="shared" si="13"/>
        <v>2.733333333333333</v>
      </c>
    </row>
    <row r="533" spans="2:25" ht="12.75">
      <c r="B533" s="25" t="s">
        <v>103</v>
      </c>
      <c r="C533" s="25" t="s">
        <v>304</v>
      </c>
      <c r="D533" s="10" t="s">
        <v>71</v>
      </c>
      <c r="E533" s="27" t="s">
        <v>15</v>
      </c>
      <c r="G533" s="25">
        <v>0.032</v>
      </c>
      <c r="I533" s="26">
        <v>0.046</v>
      </c>
      <c r="K533" s="25">
        <v>0.048</v>
      </c>
      <c r="Y533" s="31">
        <f t="shared" si="13"/>
        <v>0.042</v>
      </c>
    </row>
    <row r="534" spans="2:25" ht="12.75">
      <c r="B534" s="25" t="s">
        <v>104</v>
      </c>
      <c r="C534" s="25" t="s">
        <v>304</v>
      </c>
      <c r="D534" s="10" t="s">
        <v>71</v>
      </c>
      <c r="E534" s="27" t="s">
        <v>15</v>
      </c>
      <c r="G534" s="25">
        <v>82</v>
      </c>
      <c r="I534" s="26">
        <v>94</v>
      </c>
      <c r="K534" s="25">
        <v>110</v>
      </c>
      <c r="Y534" s="31">
        <f t="shared" si="13"/>
        <v>95.33333333333333</v>
      </c>
    </row>
    <row r="535" spans="2:25" ht="12.75">
      <c r="B535" s="25" t="s">
        <v>121</v>
      </c>
      <c r="C535" s="25" t="s">
        <v>304</v>
      </c>
      <c r="D535" s="10" t="s">
        <v>71</v>
      </c>
      <c r="E535" s="27" t="s">
        <v>15</v>
      </c>
      <c r="G535" s="25">
        <v>6.8</v>
      </c>
      <c r="I535" s="26">
        <v>8.6</v>
      </c>
      <c r="K535" s="25">
        <v>8.4</v>
      </c>
      <c r="Y535" s="31">
        <f t="shared" si="13"/>
        <v>7.933333333333333</v>
      </c>
    </row>
    <row r="536" spans="2:25" ht="12.75">
      <c r="B536" s="25" t="s">
        <v>116</v>
      </c>
      <c r="C536" s="25" t="s">
        <v>304</v>
      </c>
      <c r="D536" s="10" t="s">
        <v>71</v>
      </c>
      <c r="E536" s="27" t="s">
        <v>15</v>
      </c>
      <c r="G536" s="25">
        <v>0.11</v>
      </c>
      <c r="I536" s="26">
        <v>0.15</v>
      </c>
      <c r="K536" s="25">
        <v>0.13</v>
      </c>
      <c r="Y536" s="31">
        <f t="shared" si="13"/>
        <v>0.13</v>
      </c>
    </row>
    <row r="537" spans="2:25" ht="12.75">
      <c r="B537" s="25" t="s">
        <v>117</v>
      </c>
      <c r="C537" s="25" t="s">
        <v>304</v>
      </c>
      <c r="D537" s="10" t="s">
        <v>71</v>
      </c>
      <c r="E537" s="27" t="s">
        <v>15</v>
      </c>
      <c r="G537" s="25">
        <v>92</v>
      </c>
      <c r="I537" s="26">
        <v>101</v>
      </c>
      <c r="K537" s="25">
        <v>97</v>
      </c>
      <c r="Y537" s="31">
        <f t="shared" si="13"/>
        <v>96.66666666666667</v>
      </c>
    </row>
    <row r="538" spans="2:25" ht="12.75">
      <c r="B538" s="25" t="s">
        <v>99</v>
      </c>
      <c r="C538" s="25" t="s">
        <v>304</v>
      </c>
      <c r="D538" s="10" t="s">
        <v>71</v>
      </c>
      <c r="E538" s="27" t="s">
        <v>15</v>
      </c>
      <c r="G538" s="25">
        <v>366</v>
      </c>
      <c r="I538" s="26">
        <v>343</v>
      </c>
      <c r="K538" s="25">
        <v>436</v>
      </c>
      <c r="Y538" s="31">
        <f t="shared" si="13"/>
        <v>381.6666666666667</v>
      </c>
    </row>
    <row r="539" spans="2:25" ht="12.75">
      <c r="B539" s="25" t="s">
        <v>118</v>
      </c>
      <c r="C539" s="25" t="s">
        <v>304</v>
      </c>
      <c r="D539" s="10" t="s">
        <v>71</v>
      </c>
      <c r="E539" s="27" t="s">
        <v>15</v>
      </c>
      <c r="G539" s="25">
        <v>3.8</v>
      </c>
      <c r="I539" s="26">
        <v>5</v>
      </c>
      <c r="K539" s="25">
        <v>9</v>
      </c>
      <c r="Y539" s="31">
        <f t="shared" si="13"/>
        <v>5.933333333333334</v>
      </c>
    </row>
    <row r="540" spans="2:25" ht="12.75">
      <c r="B540" s="25" t="s">
        <v>106</v>
      </c>
      <c r="C540" s="25" t="s">
        <v>304</v>
      </c>
      <c r="D540" s="10" t="s">
        <v>71</v>
      </c>
      <c r="E540" s="27" t="s">
        <v>15</v>
      </c>
      <c r="G540" s="25">
        <v>3.2</v>
      </c>
      <c r="I540" s="26">
        <v>1.2</v>
      </c>
      <c r="K540" s="25">
        <v>1</v>
      </c>
      <c r="Y540" s="31">
        <f t="shared" si="13"/>
        <v>1.8</v>
      </c>
    </row>
    <row r="541" spans="2:25" ht="12.75">
      <c r="B541" s="25" t="s">
        <v>201</v>
      </c>
      <c r="C541" s="25" t="s">
        <v>304</v>
      </c>
      <c r="D541" s="10" t="s">
        <v>71</v>
      </c>
      <c r="E541" s="27" t="s">
        <v>15</v>
      </c>
      <c r="G541" s="25">
        <v>1.7</v>
      </c>
      <c r="I541" s="26">
        <v>1.6</v>
      </c>
      <c r="K541" s="25">
        <v>2.1</v>
      </c>
      <c r="Y541" s="31">
        <f t="shared" si="13"/>
        <v>1.8</v>
      </c>
    </row>
    <row r="542" spans="2:25" ht="12.75">
      <c r="B542" s="25" t="s">
        <v>107</v>
      </c>
      <c r="C542" s="25" t="s">
        <v>304</v>
      </c>
      <c r="D542" s="10" t="s">
        <v>71</v>
      </c>
      <c r="E542" s="27" t="s">
        <v>15</v>
      </c>
      <c r="G542" s="25">
        <v>43</v>
      </c>
      <c r="I542" s="26">
        <v>24</v>
      </c>
      <c r="K542" s="25">
        <v>30</v>
      </c>
      <c r="Y542" s="31">
        <f t="shared" si="13"/>
        <v>32.333333333333336</v>
      </c>
    </row>
    <row r="543" spans="2:25" ht="12.75">
      <c r="B543" s="25" t="s">
        <v>108</v>
      </c>
      <c r="C543" s="25" t="s">
        <v>304</v>
      </c>
      <c r="D543" s="10" t="s">
        <v>71</v>
      </c>
      <c r="E543" s="27" t="s">
        <v>15</v>
      </c>
      <c r="G543" s="25">
        <v>34</v>
      </c>
      <c r="I543" s="26">
        <v>39</v>
      </c>
      <c r="K543" s="25">
        <v>41</v>
      </c>
      <c r="Y543" s="31">
        <f t="shared" si="13"/>
        <v>38</v>
      </c>
    </row>
    <row r="544" spans="2:25" ht="12.75">
      <c r="B544" s="25" t="s">
        <v>119</v>
      </c>
      <c r="C544" s="25" t="s">
        <v>304</v>
      </c>
      <c r="D544" s="10" t="s">
        <v>71</v>
      </c>
      <c r="E544" s="27" t="s">
        <v>15</v>
      </c>
      <c r="G544" s="25">
        <v>0.24</v>
      </c>
      <c r="I544" s="26">
        <v>0.3</v>
      </c>
      <c r="K544" s="25">
        <v>0.3</v>
      </c>
      <c r="Y544" s="31">
        <f t="shared" si="13"/>
        <v>0.28</v>
      </c>
    </row>
    <row r="545" spans="2:25" ht="12.75">
      <c r="B545" s="25" t="s">
        <v>124</v>
      </c>
      <c r="C545" s="25" t="s">
        <v>304</v>
      </c>
      <c r="D545" s="10" t="s">
        <v>71</v>
      </c>
      <c r="E545" s="27" t="s">
        <v>15</v>
      </c>
      <c r="G545" s="25">
        <v>97</v>
      </c>
      <c r="I545" s="26">
        <v>82</v>
      </c>
      <c r="K545" s="25">
        <v>91</v>
      </c>
      <c r="Y545" s="31">
        <f t="shared" si="13"/>
        <v>90</v>
      </c>
    </row>
    <row r="547" spans="2:25" ht="12.75">
      <c r="B547" s="25" t="s">
        <v>72</v>
      </c>
      <c r="C547" s="25" t="s">
        <v>304</v>
      </c>
      <c r="D547" s="10" t="s">
        <v>71</v>
      </c>
      <c r="E547" s="27" t="s">
        <v>15</v>
      </c>
      <c r="G547" s="25">
        <f>G534+G538</f>
        <v>448</v>
      </c>
      <c r="I547" s="25">
        <f>I534+I538</f>
        <v>437</v>
      </c>
      <c r="K547" s="25">
        <f>K534+K538</f>
        <v>546</v>
      </c>
      <c r="Y547" s="25">
        <f>AVERAGE(G547,I547,K547)</f>
        <v>477</v>
      </c>
    </row>
    <row r="548" spans="2:25" ht="12.75">
      <c r="B548" s="25" t="s">
        <v>73</v>
      </c>
      <c r="C548" s="25" t="s">
        <v>304</v>
      </c>
      <c r="D548" s="10" t="s">
        <v>71</v>
      </c>
      <c r="E548" s="27" t="s">
        <v>15</v>
      </c>
      <c r="G548" s="31">
        <f>G531+G533+G535</f>
        <v>10.732</v>
      </c>
      <c r="I548" s="31">
        <f>I531+I533+I535</f>
        <v>12.046</v>
      </c>
      <c r="K548" s="31">
        <f>K531+K533+K535</f>
        <v>11.848</v>
      </c>
      <c r="Y548" s="31">
        <f>AVERAGE(G548,I548,K548)</f>
        <v>11.542</v>
      </c>
    </row>
    <row r="550" spans="2:4" ht="12.75">
      <c r="B550" s="10" t="s">
        <v>123</v>
      </c>
      <c r="C550" s="10" t="s">
        <v>111</v>
      </c>
      <c r="D550" s="25" t="s">
        <v>303</v>
      </c>
    </row>
    <row r="551" spans="2:25" ht="12.75">
      <c r="B551" s="10" t="s">
        <v>98</v>
      </c>
      <c r="C551" s="10"/>
      <c r="D551" s="10" t="s">
        <v>17</v>
      </c>
      <c r="G551" s="25">
        <v>12068</v>
      </c>
      <c r="I551" s="26">
        <v>12637</v>
      </c>
      <c r="K551" s="25">
        <v>12876</v>
      </c>
      <c r="Y551" s="31">
        <f>AVERAGE(G551,I551,K551)</f>
        <v>12527</v>
      </c>
    </row>
    <row r="552" spans="2:25" ht="12.75">
      <c r="B552" s="10" t="s">
        <v>114</v>
      </c>
      <c r="C552" s="10"/>
      <c r="D552" s="10" t="s">
        <v>18</v>
      </c>
      <c r="G552" s="25">
        <v>6.15</v>
      </c>
      <c r="I552" s="26">
        <v>6.38</v>
      </c>
      <c r="K552" s="25">
        <v>6.64</v>
      </c>
      <c r="Y552" s="31">
        <f>AVERAGE(G552,I552,K552)</f>
        <v>6.390000000000001</v>
      </c>
    </row>
    <row r="553" spans="2:25" ht="12.75">
      <c r="B553" s="10" t="s">
        <v>115</v>
      </c>
      <c r="C553" s="10"/>
      <c r="D553" s="10" t="s">
        <v>18</v>
      </c>
      <c r="G553" s="25">
        <v>6.94</v>
      </c>
      <c r="I553" s="26">
        <v>7.34</v>
      </c>
      <c r="K553" s="25">
        <v>7.66</v>
      </c>
      <c r="Y553" s="31">
        <f>AVERAGE(G553,I553,K553)</f>
        <v>7.3133333333333335</v>
      </c>
    </row>
    <row r="554" spans="2:25" ht="12.75">
      <c r="B554" s="10" t="s">
        <v>97</v>
      </c>
      <c r="C554" s="10"/>
      <c r="D554" s="10" t="s">
        <v>19</v>
      </c>
      <c r="G554" s="25">
        <v>169</v>
      </c>
      <c r="I554" s="26">
        <v>168.4</v>
      </c>
      <c r="K554" s="25">
        <v>169.8</v>
      </c>
      <c r="Y554" s="31">
        <f>AVERAGE(G554,I554,K554)</f>
        <v>169.06666666666666</v>
      </c>
    </row>
    <row r="556" spans="2:4" ht="12.75">
      <c r="B556" s="10" t="s">
        <v>123</v>
      </c>
      <c r="C556" s="10" t="s">
        <v>251</v>
      </c>
      <c r="D556" s="10" t="s">
        <v>304</v>
      </c>
    </row>
    <row r="557" spans="2:25" ht="12.75">
      <c r="B557" s="10" t="s">
        <v>98</v>
      </c>
      <c r="C557" s="10"/>
      <c r="D557" s="10" t="s">
        <v>17</v>
      </c>
      <c r="G557" s="25">
        <v>12395</v>
      </c>
      <c r="I557" s="26">
        <v>12696</v>
      </c>
      <c r="K557" s="25">
        <v>12745</v>
      </c>
      <c r="Y557" s="34">
        <f>AVERAGE(G557,I557,K557)</f>
        <v>12612</v>
      </c>
    </row>
    <row r="558" spans="2:25" ht="12.75">
      <c r="B558" s="10" t="s">
        <v>114</v>
      </c>
      <c r="C558" s="10"/>
      <c r="D558" s="10" t="s">
        <v>18</v>
      </c>
      <c r="G558" s="25">
        <v>6.15</v>
      </c>
      <c r="I558" s="26">
        <v>6.38</v>
      </c>
      <c r="K558" s="25">
        <v>6.64</v>
      </c>
      <c r="Y558" s="35">
        <f>AVERAGE(G558,I558,K558)</f>
        <v>6.390000000000001</v>
      </c>
    </row>
    <row r="559" spans="2:25" ht="12.75">
      <c r="B559" s="10" t="s">
        <v>115</v>
      </c>
      <c r="C559" s="10"/>
      <c r="D559" s="10" t="s">
        <v>18</v>
      </c>
      <c r="G559" s="25">
        <v>7.44</v>
      </c>
      <c r="I559" s="26">
        <v>7.76</v>
      </c>
      <c r="K559" s="25">
        <v>8.11</v>
      </c>
      <c r="Y559" s="31">
        <f>AVERAGE(G559,I559,K559)</f>
        <v>7.77</v>
      </c>
    </row>
    <row r="560" spans="2:25" ht="12.75">
      <c r="B560" s="10" t="s">
        <v>97</v>
      </c>
      <c r="C560" s="10"/>
      <c r="D560" s="10" t="s">
        <v>19</v>
      </c>
      <c r="G560" s="25">
        <v>170.5</v>
      </c>
      <c r="I560" s="26">
        <v>171.1</v>
      </c>
      <c r="K560" s="25">
        <v>170.3</v>
      </c>
      <c r="Y560" s="31">
        <f>AVERAGE(G560,I560,K560)</f>
        <v>170.63333333333335</v>
      </c>
    </row>
    <row r="563" spans="2:25" ht="12.75">
      <c r="B563" s="10" t="s">
        <v>120</v>
      </c>
      <c r="C563" s="10" t="s">
        <v>303</v>
      </c>
      <c r="D563" s="10" t="s">
        <v>16</v>
      </c>
      <c r="E563" s="10" t="s">
        <v>15</v>
      </c>
      <c r="G563" s="31">
        <f>G513*(21-7)/(21-G552)</f>
        <v>1.1313131313131315</v>
      </c>
      <c r="I563" s="31">
        <f>I513*(21-7)/(21-I552)</f>
        <v>1.3406292749658</v>
      </c>
      <c r="K563" s="31">
        <f>K513*(21-7)/(21-K552)</f>
        <v>1.5598885793871868</v>
      </c>
      <c r="Y563" s="31">
        <f>AVERAGE(G563,I563,K563)</f>
        <v>1.3439436618887062</v>
      </c>
    </row>
    <row r="564" spans="2:25" ht="12.75">
      <c r="B564" s="10" t="s">
        <v>231</v>
      </c>
      <c r="C564" s="10" t="s">
        <v>303</v>
      </c>
      <c r="D564" s="10" t="s">
        <v>16</v>
      </c>
      <c r="E564" s="10" t="s">
        <v>15</v>
      </c>
      <c r="G564" s="31">
        <f>G514*(21-7)/(21-G553)</f>
        <v>0.7965860597439546</v>
      </c>
      <c r="I564" s="31">
        <f>I514*(21-7)/(21-I553)</f>
        <v>1.1273792093704247</v>
      </c>
      <c r="K564" s="31">
        <f>K514*(21-7)/(21-K553)</f>
        <v>1.0179910044977512</v>
      </c>
      <c r="Y564" s="31">
        <f>AVERAGE(G564,I564,K564)</f>
        <v>0.9806520912040435</v>
      </c>
    </row>
    <row r="567" spans="1:25" ht="12.75">
      <c r="A567" s="25">
        <v>15</v>
      </c>
      <c r="B567" s="29" t="s">
        <v>270</v>
      </c>
      <c r="C567" s="29"/>
      <c r="D567" s="10" t="s">
        <v>12</v>
      </c>
      <c r="E567" s="10" t="s">
        <v>83</v>
      </c>
      <c r="F567" s="73"/>
      <c r="G567" s="27" t="s">
        <v>174</v>
      </c>
      <c r="H567" s="27"/>
      <c r="I567" s="28" t="s">
        <v>175</v>
      </c>
      <c r="J567" s="27"/>
      <c r="K567" s="27" t="s">
        <v>176</v>
      </c>
      <c r="M567" s="27" t="s">
        <v>211</v>
      </c>
      <c r="N567" s="27"/>
      <c r="O567" s="27" t="s">
        <v>212</v>
      </c>
      <c r="P567" s="27"/>
      <c r="Q567" s="27" t="s">
        <v>213</v>
      </c>
      <c r="R567" s="27"/>
      <c r="S567" s="27" t="s">
        <v>214</v>
      </c>
      <c r="T567" s="27"/>
      <c r="U567" s="27" t="s">
        <v>215</v>
      </c>
      <c r="V567" s="27"/>
      <c r="W567" s="27" t="s">
        <v>216</v>
      </c>
      <c r="X567" s="27"/>
      <c r="Y567" s="27" t="s">
        <v>48</v>
      </c>
    </row>
    <row r="568" spans="2:24" ht="12.75">
      <c r="B568" s="10"/>
      <c r="C568" s="10"/>
      <c r="D568" s="37"/>
      <c r="E568" s="37"/>
      <c r="F568" s="37"/>
      <c r="G568" s="37"/>
      <c r="H568" s="37"/>
      <c r="I568" s="76"/>
      <c r="J568" s="37"/>
      <c r="K568" s="37"/>
      <c r="X568" s="27"/>
    </row>
    <row r="569" spans="2:25" ht="12.75">
      <c r="B569" s="10" t="s">
        <v>13</v>
      </c>
      <c r="C569" s="10" t="s">
        <v>303</v>
      </c>
      <c r="D569" s="10" t="s">
        <v>14</v>
      </c>
      <c r="E569" s="10" t="s">
        <v>15</v>
      </c>
      <c r="G569" s="37">
        <v>0.00034</v>
      </c>
      <c r="H569" s="37"/>
      <c r="I569" s="37">
        <v>0.0011</v>
      </c>
      <c r="J569" s="37"/>
      <c r="K569" s="37">
        <v>0.0011</v>
      </c>
      <c r="X569" s="27"/>
      <c r="Y569" s="30">
        <f>AVERAGE(G569,I569,K569)</f>
        <v>0.0008466666666666667</v>
      </c>
    </row>
    <row r="570" spans="2:25" ht="12.75">
      <c r="B570" s="10" t="s">
        <v>120</v>
      </c>
      <c r="C570" s="10"/>
      <c r="D570" s="10" t="s">
        <v>16</v>
      </c>
      <c r="G570" s="32">
        <v>1.8</v>
      </c>
      <c r="H570" s="32"/>
      <c r="I570" s="11">
        <v>2</v>
      </c>
      <c r="J570" s="32"/>
      <c r="K570" s="32">
        <v>2.1</v>
      </c>
      <c r="X570" s="27"/>
      <c r="Y570" s="35"/>
    </row>
    <row r="571" spans="2:25" ht="12.75">
      <c r="B571" s="10" t="s">
        <v>231</v>
      </c>
      <c r="C571" s="10"/>
      <c r="D571" s="10" t="s">
        <v>16</v>
      </c>
      <c r="G571" s="32">
        <v>0.77</v>
      </c>
      <c r="H571" s="32"/>
      <c r="I571" s="33">
        <v>0.84</v>
      </c>
      <c r="J571" s="32"/>
      <c r="K571" s="32">
        <v>0.8</v>
      </c>
      <c r="X571" s="27"/>
      <c r="Y571" s="35"/>
    </row>
    <row r="572" spans="2:25" ht="12.75">
      <c r="B572" s="10"/>
      <c r="C572" s="10"/>
      <c r="G572" s="32"/>
      <c r="H572" s="32"/>
      <c r="I572" s="33"/>
      <c r="J572" s="32"/>
      <c r="K572" s="32"/>
      <c r="X572" s="27"/>
      <c r="Y572" s="35"/>
    </row>
    <row r="574" spans="2:3" ht="12.75">
      <c r="B574" s="25" t="s">
        <v>89</v>
      </c>
      <c r="C574" s="25" t="s">
        <v>58</v>
      </c>
    </row>
    <row r="575" spans="2:25" ht="12.75">
      <c r="B575" s="25" t="s">
        <v>246</v>
      </c>
      <c r="D575" s="10" t="s">
        <v>59</v>
      </c>
      <c r="G575" s="25">
        <v>35.6</v>
      </c>
      <c r="I575" s="26">
        <v>36</v>
      </c>
      <c r="K575" s="25">
        <v>36</v>
      </c>
      <c r="Y575" s="25">
        <f>AVERAGE(G575,I575,K575)</f>
        <v>35.86666666666667</v>
      </c>
    </row>
    <row r="576" spans="2:25" ht="12.75">
      <c r="B576" s="25" t="s">
        <v>113</v>
      </c>
      <c r="C576" s="25" t="s">
        <v>303</v>
      </c>
      <c r="D576" s="10" t="s">
        <v>59</v>
      </c>
      <c r="F576" s="10" t="s">
        <v>29</v>
      </c>
      <c r="G576" s="25">
        <v>3.8E-05</v>
      </c>
      <c r="H576" s="10" t="s">
        <v>29</v>
      </c>
      <c r="I576" s="25">
        <v>4E-05</v>
      </c>
      <c r="J576" s="10" t="s">
        <v>29</v>
      </c>
      <c r="K576" s="25">
        <v>3.9E-05</v>
      </c>
      <c r="X576" s="25" t="s">
        <v>29</v>
      </c>
      <c r="Y576" s="25">
        <f>AVERAGE(G576,I576,K576)</f>
        <v>3.9E-05</v>
      </c>
    </row>
    <row r="577" spans="2:11" ht="12.75">
      <c r="B577" s="25" t="s">
        <v>57</v>
      </c>
      <c r="C577" s="25" t="s">
        <v>303</v>
      </c>
      <c r="D577" s="10" t="s">
        <v>18</v>
      </c>
      <c r="F577" s="10" t="s">
        <v>247</v>
      </c>
      <c r="G577" s="72">
        <f>(G575-G576)/G575</f>
        <v>0.9999989325842695</v>
      </c>
      <c r="H577" s="25" t="s">
        <v>247</v>
      </c>
      <c r="I577" s="72">
        <f>(I575-I576)/I575</f>
        <v>0.9999988888888889</v>
      </c>
      <c r="J577" s="25" t="s">
        <v>247</v>
      </c>
      <c r="K577" s="72">
        <f>(K575-K576)/K575</f>
        <v>0.9999989166666666</v>
      </c>
    </row>
    <row r="579" spans="2:3" ht="12.75">
      <c r="B579" s="25" t="s">
        <v>89</v>
      </c>
      <c r="C579" s="25" t="s">
        <v>143</v>
      </c>
    </row>
    <row r="580" spans="2:25" ht="12.75">
      <c r="B580" s="25" t="s">
        <v>246</v>
      </c>
      <c r="D580" s="10" t="s">
        <v>59</v>
      </c>
      <c r="G580" s="25">
        <v>10.5</v>
      </c>
      <c r="I580" s="26">
        <v>10.4</v>
      </c>
      <c r="K580" s="31">
        <v>7</v>
      </c>
      <c r="Y580" s="31">
        <f>AVERAGE(G580,I580,K580)</f>
        <v>9.299999999999999</v>
      </c>
    </row>
    <row r="581" spans="2:25" ht="12.75">
      <c r="B581" s="25" t="s">
        <v>113</v>
      </c>
      <c r="C581" s="25" t="s">
        <v>303</v>
      </c>
      <c r="D581" s="10" t="s">
        <v>59</v>
      </c>
      <c r="F581" s="10" t="s">
        <v>29</v>
      </c>
      <c r="G581" s="25">
        <v>0.00015</v>
      </c>
      <c r="H581" s="10" t="s">
        <v>29</v>
      </c>
      <c r="I581" s="25">
        <v>0.00018</v>
      </c>
      <c r="J581" s="10" t="s">
        <v>29</v>
      </c>
      <c r="K581" s="25">
        <v>0.00023</v>
      </c>
      <c r="X581" s="25" t="s">
        <v>29</v>
      </c>
      <c r="Y581" s="25">
        <f>AVERAGE(G581,I581,K581)</f>
        <v>0.00018666666666666666</v>
      </c>
    </row>
    <row r="582" spans="2:11" ht="12.75">
      <c r="B582" s="25" t="s">
        <v>57</v>
      </c>
      <c r="C582" s="25" t="s">
        <v>303</v>
      </c>
      <c r="D582" s="10" t="s">
        <v>18</v>
      </c>
      <c r="F582" s="10" t="s">
        <v>247</v>
      </c>
      <c r="G582" s="72">
        <f>(G580-G581)/G580</f>
        <v>0.9999857142857144</v>
      </c>
      <c r="H582" s="25" t="s">
        <v>247</v>
      </c>
      <c r="I582" s="72">
        <f>(I580-I581)/I580</f>
        <v>0.9999826923076923</v>
      </c>
      <c r="J582" s="25" t="s">
        <v>247</v>
      </c>
      <c r="K582" s="72">
        <f>(K580-K581)/K580</f>
        <v>0.9999671428571428</v>
      </c>
    </row>
    <row r="585" spans="2:4" ht="12.75">
      <c r="B585" s="10" t="s">
        <v>123</v>
      </c>
      <c r="C585" s="10" t="s">
        <v>13</v>
      </c>
      <c r="D585" s="10" t="s">
        <v>303</v>
      </c>
    </row>
    <row r="586" spans="2:25" ht="12.75">
      <c r="B586" s="10" t="s">
        <v>98</v>
      </c>
      <c r="C586" s="10"/>
      <c r="D586" s="10" t="s">
        <v>17</v>
      </c>
      <c r="G586" s="25">
        <v>9978</v>
      </c>
      <c r="I586" s="26">
        <v>10385</v>
      </c>
      <c r="K586" s="25">
        <v>10462</v>
      </c>
      <c r="Y586" s="31">
        <f>AVERAGE(G586,I586,K586)</f>
        <v>10275</v>
      </c>
    </row>
    <row r="587" spans="2:25" ht="12.75">
      <c r="B587" s="10" t="s">
        <v>114</v>
      </c>
      <c r="C587" s="10"/>
      <c r="D587" s="10" t="s">
        <v>18</v>
      </c>
      <c r="G587" s="25">
        <v>9.87</v>
      </c>
      <c r="I587" s="26">
        <v>10.4</v>
      </c>
      <c r="K587" s="25">
        <v>10.6</v>
      </c>
      <c r="Y587" s="31">
        <f>AVERAGE(G587,I587,K587)</f>
        <v>10.29</v>
      </c>
    </row>
    <row r="588" spans="2:25" ht="12.75">
      <c r="B588" s="10" t="s">
        <v>115</v>
      </c>
      <c r="C588" s="10"/>
      <c r="D588" s="10" t="s">
        <v>18</v>
      </c>
      <c r="G588" s="25">
        <v>5.18</v>
      </c>
      <c r="I588" s="26">
        <v>5.36</v>
      </c>
      <c r="K588" s="25">
        <v>5.37</v>
      </c>
      <c r="Y588" s="31">
        <f>AVERAGE(G588,I588,K588)</f>
        <v>5.303333333333334</v>
      </c>
    </row>
    <row r="589" spans="2:25" ht="12.75">
      <c r="B589" s="10" t="s">
        <v>97</v>
      </c>
      <c r="C589" s="10"/>
      <c r="D589" s="10" t="s">
        <v>19</v>
      </c>
      <c r="G589" s="25">
        <v>158.4</v>
      </c>
      <c r="I589" s="26">
        <v>157.7</v>
      </c>
      <c r="K589" s="25">
        <v>158.3</v>
      </c>
      <c r="Y589" s="31">
        <f>AVERAGE(G589,I589,K589)</f>
        <v>158.13333333333335</v>
      </c>
    </row>
    <row r="591" spans="2:25" ht="12.75">
      <c r="B591" s="10" t="s">
        <v>120</v>
      </c>
      <c r="C591" s="10" t="s">
        <v>303</v>
      </c>
      <c r="D591" s="10" t="s">
        <v>16</v>
      </c>
      <c r="E591" s="10" t="s">
        <v>15</v>
      </c>
      <c r="G591" s="31">
        <f>G570*(21-7)/(21-G587)</f>
        <v>2.2641509433962264</v>
      </c>
      <c r="I591" s="31">
        <f>I570*(21-7)/(21-I587)</f>
        <v>2.6415094339622645</v>
      </c>
      <c r="K591" s="31">
        <f>K570*(21-7)/(21-K587)</f>
        <v>2.826923076923077</v>
      </c>
      <c r="Y591" s="31">
        <f>AVERAGE(G591,I591,K591)</f>
        <v>2.5775278180938557</v>
      </c>
    </row>
    <row r="592" spans="2:25" ht="12.75">
      <c r="B592" s="10" t="s">
        <v>231</v>
      </c>
      <c r="C592" s="10" t="s">
        <v>303</v>
      </c>
      <c r="D592" s="10" t="s">
        <v>16</v>
      </c>
      <c r="E592" s="10" t="s">
        <v>15</v>
      </c>
      <c r="G592" s="31">
        <f>G571*(21-7)/(21-G587)</f>
        <v>0.9685534591194969</v>
      </c>
      <c r="I592" s="31">
        <f>I571*(21-7)/(21-I587)</f>
        <v>1.109433962264151</v>
      </c>
      <c r="K592" s="31">
        <f>K571*(21-7)/(21-K587)</f>
        <v>1.076923076923077</v>
      </c>
      <c r="Y592" s="31">
        <f>AVERAGE(G592,I592,K592)</f>
        <v>1.0516368327689083</v>
      </c>
    </row>
  </sheetData>
  <printOptions headings="1" horizontalCentered="1"/>
  <pageMargins left="0.17" right="0.19" top="0.5" bottom="0.5" header="0.25" footer="0.25"/>
  <pageSetup horizontalDpi="600" verticalDpi="600" orientation="landscape" pageOrder="overThenDown" scale="75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566"/>
  <sheetViews>
    <sheetView workbookViewId="0" topLeftCell="P405">
      <selection activeCell="C14" sqref="C14"/>
    </sheetView>
  </sheetViews>
  <sheetFormatPr defaultColWidth="9.140625" defaultRowHeight="12.75"/>
  <cols>
    <col min="1" max="1" width="2.7109375" style="37" hidden="1" customWidth="1"/>
    <col min="2" max="2" width="20.140625" style="15" customWidth="1"/>
    <col min="3" max="3" width="3.421875" style="15" customWidth="1"/>
    <col min="4" max="4" width="9.28125" style="15" customWidth="1"/>
    <col min="5" max="5" width="3.7109375" style="37" customWidth="1"/>
    <col min="6" max="6" width="10.57421875" style="38" customWidth="1"/>
    <col min="7" max="7" width="4.7109375" style="39" customWidth="1"/>
    <col min="8" max="8" width="9.00390625" style="37" customWidth="1"/>
    <col min="9" max="9" width="3.8515625" style="37" customWidth="1"/>
    <col min="10" max="10" width="9.00390625" style="38" customWidth="1"/>
    <col min="11" max="11" width="4.8515625" style="37" customWidth="1"/>
    <col min="12" max="12" width="8.7109375" style="37" customWidth="1"/>
    <col min="13" max="13" width="3.7109375" style="37" customWidth="1"/>
    <col min="14" max="14" width="9.00390625" style="37" customWidth="1"/>
    <col min="15" max="15" width="4.140625" style="37" customWidth="1"/>
    <col min="16" max="16" width="9.00390625" style="37" customWidth="1"/>
    <col min="17" max="17" width="4.00390625" style="37" customWidth="1"/>
    <col min="18" max="18" width="8.8515625" style="37" customWidth="1"/>
    <col min="19" max="19" width="3.7109375" style="37" customWidth="1"/>
    <col min="20" max="20" width="8.8515625" style="37" customWidth="1"/>
    <col min="21" max="21" width="2.28125" style="37" customWidth="1"/>
    <col min="22" max="22" width="8.8515625" style="37" customWidth="1"/>
    <col min="23" max="23" width="3.7109375" style="37" customWidth="1"/>
    <col min="24" max="24" width="8.8515625" style="37" customWidth="1"/>
    <col min="25" max="25" width="2.8515625" style="37" customWidth="1"/>
    <col min="26" max="26" width="8.8515625" style="37" customWidth="1"/>
    <col min="27" max="27" width="2.57421875" style="37" customWidth="1"/>
    <col min="28" max="28" width="8.8515625" style="37" customWidth="1"/>
    <col min="29" max="29" width="2.28125" style="37" customWidth="1"/>
    <col min="30" max="30" width="8.8515625" style="37" customWidth="1"/>
    <col min="31" max="31" width="1.8515625" style="37" customWidth="1"/>
    <col min="32" max="32" width="8.8515625" style="37" customWidth="1"/>
    <col min="33" max="33" width="2.00390625" style="37" customWidth="1"/>
    <col min="34" max="34" width="8.8515625" style="37" customWidth="1"/>
    <col min="35" max="35" width="2.57421875" style="37" customWidth="1"/>
    <col min="36" max="36" width="8.8515625" style="37" customWidth="1"/>
    <col min="37" max="37" width="2.421875" style="37" customWidth="1"/>
    <col min="38" max="38" width="8.8515625" style="37" customWidth="1"/>
    <col min="39" max="39" width="1.7109375" style="37" customWidth="1"/>
    <col min="40" max="40" width="8.8515625" style="37" customWidth="1"/>
    <col min="41" max="41" width="2.00390625" style="37" customWidth="1"/>
    <col min="42" max="42" width="8.8515625" style="37" customWidth="1"/>
    <col min="43" max="43" width="1.8515625" style="37" customWidth="1"/>
    <col min="44" max="16384" width="8.8515625" style="37" customWidth="1"/>
  </cols>
  <sheetData>
    <row r="1" spans="2:3" ht="12.75">
      <c r="B1" s="36" t="s">
        <v>292</v>
      </c>
      <c r="C1" s="36"/>
    </row>
    <row r="2" ht="12.75">
      <c r="F2" s="37"/>
    </row>
    <row r="3" spans="1:8" ht="12.75">
      <c r="A3" s="37" t="s">
        <v>126</v>
      </c>
      <c r="B3" s="36" t="s">
        <v>144</v>
      </c>
      <c r="C3" s="36" t="s">
        <v>125</v>
      </c>
      <c r="F3" s="38" t="s">
        <v>48</v>
      </c>
      <c r="H3" s="38" t="s">
        <v>48</v>
      </c>
    </row>
    <row r="4" spans="2:3" ht="12.75">
      <c r="B4" s="36"/>
      <c r="C4" s="36"/>
    </row>
    <row r="5" spans="2:8" ht="12.75">
      <c r="B5" s="15" t="s">
        <v>325</v>
      </c>
      <c r="C5" s="36"/>
      <c r="F5" s="38" t="s">
        <v>327</v>
      </c>
      <c r="H5" s="37" t="s">
        <v>243</v>
      </c>
    </row>
    <row r="6" spans="2:8" ht="12.75">
      <c r="B6" s="15" t="s">
        <v>326</v>
      </c>
      <c r="F6" s="38" t="s">
        <v>165</v>
      </c>
      <c r="H6" s="37" t="s">
        <v>25</v>
      </c>
    </row>
    <row r="7" spans="2:8" ht="12.75">
      <c r="B7" s="15" t="s">
        <v>331</v>
      </c>
      <c r="F7" s="38" t="s">
        <v>80</v>
      </c>
      <c r="H7" s="37" t="s">
        <v>25</v>
      </c>
    </row>
    <row r="8" spans="2:16" ht="12.75">
      <c r="B8" s="15" t="s">
        <v>49</v>
      </c>
      <c r="F8" s="38" t="s">
        <v>165</v>
      </c>
      <c r="G8" s="38"/>
      <c r="H8" s="37" t="s">
        <v>25</v>
      </c>
      <c r="I8" s="38"/>
      <c r="K8" s="38"/>
      <c r="L8" s="38"/>
      <c r="M8" s="38"/>
      <c r="N8" s="38"/>
      <c r="O8" s="38"/>
      <c r="P8" s="38"/>
    </row>
    <row r="9" spans="2:13" ht="12.75">
      <c r="B9" s="15" t="s">
        <v>128</v>
      </c>
      <c r="D9" s="15" t="s">
        <v>59</v>
      </c>
      <c r="F9" s="40">
        <v>3950</v>
      </c>
      <c r="L9" s="41"/>
      <c r="M9" s="41"/>
    </row>
    <row r="10" spans="2:13" ht="12.75">
      <c r="B10" s="15" t="s">
        <v>127</v>
      </c>
      <c r="D10" s="15" t="s">
        <v>68</v>
      </c>
      <c r="F10" s="40"/>
      <c r="H10" s="41"/>
      <c r="I10" s="41"/>
      <c r="L10" s="41"/>
      <c r="M10" s="41"/>
    </row>
    <row r="11" spans="2:9" ht="12.75">
      <c r="B11" s="10" t="s">
        <v>101</v>
      </c>
      <c r="D11" s="15" t="s">
        <v>50</v>
      </c>
      <c r="E11" s="39"/>
      <c r="F11" s="42">
        <v>52</v>
      </c>
      <c r="H11" s="42"/>
      <c r="I11" s="42"/>
    </row>
    <row r="12" spans="2:11" ht="12.75">
      <c r="B12" s="10" t="s">
        <v>103</v>
      </c>
      <c r="D12" s="15" t="s">
        <v>50</v>
      </c>
      <c r="E12" s="39" t="s">
        <v>29</v>
      </c>
      <c r="F12" s="42">
        <v>0.072</v>
      </c>
      <c r="H12" s="38"/>
      <c r="I12" s="38"/>
      <c r="K12" s="38"/>
    </row>
    <row r="13" spans="2:11" ht="12.75">
      <c r="B13" s="10" t="s">
        <v>104</v>
      </c>
      <c r="D13" s="15" t="s">
        <v>50</v>
      </c>
      <c r="E13" s="39"/>
      <c r="F13" s="38">
        <v>34</v>
      </c>
      <c r="K13" s="38"/>
    </row>
    <row r="14" spans="2:11" ht="12.75">
      <c r="B14" s="10" t="s">
        <v>121</v>
      </c>
      <c r="D14" s="15" t="s">
        <v>50</v>
      </c>
      <c r="E14" s="39"/>
      <c r="F14" s="38">
        <v>179</v>
      </c>
      <c r="H14" s="38"/>
      <c r="I14" s="38"/>
      <c r="K14" s="38"/>
    </row>
    <row r="15" spans="2:11" ht="12.75">
      <c r="B15" s="10" t="s">
        <v>100</v>
      </c>
      <c r="D15" s="15" t="s">
        <v>50</v>
      </c>
      <c r="E15" s="39"/>
      <c r="F15" s="38">
        <v>251</v>
      </c>
      <c r="H15" s="38"/>
      <c r="I15" s="38"/>
      <c r="K15" s="38"/>
    </row>
    <row r="16" spans="2:15" ht="12.75">
      <c r="B16" s="10" t="s">
        <v>102</v>
      </c>
      <c r="D16" s="15" t="s">
        <v>50</v>
      </c>
      <c r="E16" s="39"/>
      <c r="F16" s="38">
        <v>1971</v>
      </c>
      <c r="H16" s="38"/>
      <c r="I16" s="38"/>
      <c r="K16" s="38"/>
      <c r="N16" s="41"/>
      <c r="O16" s="41"/>
    </row>
    <row r="17" spans="2:15" ht="12.75">
      <c r="B17" s="10" t="s">
        <v>116</v>
      </c>
      <c r="D17" s="15" t="s">
        <v>50</v>
      </c>
      <c r="E17" s="39"/>
      <c r="F17" s="38">
        <v>9.7</v>
      </c>
      <c r="H17" s="38"/>
      <c r="I17" s="38"/>
      <c r="K17" s="38"/>
      <c r="L17" s="38"/>
      <c r="M17" s="38"/>
      <c r="N17" s="41"/>
      <c r="O17" s="41"/>
    </row>
    <row r="18" spans="2:11" ht="12.75">
      <c r="B18" s="10" t="s">
        <v>117</v>
      </c>
      <c r="D18" s="15" t="s">
        <v>50</v>
      </c>
      <c r="E18" s="39"/>
      <c r="F18" s="42">
        <v>376</v>
      </c>
      <c r="H18" s="38"/>
      <c r="I18" s="38"/>
      <c r="K18" s="39"/>
    </row>
    <row r="19" spans="2:11" ht="12.75">
      <c r="B19" s="10" t="s">
        <v>99</v>
      </c>
      <c r="D19" s="15" t="s">
        <v>50</v>
      </c>
      <c r="E19" s="39"/>
      <c r="F19" s="38">
        <v>412</v>
      </c>
      <c r="H19" s="38"/>
      <c r="I19" s="38"/>
      <c r="K19" s="39"/>
    </row>
    <row r="20" spans="2:11" ht="12.75">
      <c r="B20" s="10" t="s">
        <v>118</v>
      </c>
      <c r="D20" s="15" t="s">
        <v>50</v>
      </c>
      <c r="E20" s="39"/>
      <c r="F20" s="38">
        <v>5913</v>
      </c>
      <c r="H20" s="38"/>
      <c r="I20" s="38"/>
      <c r="K20" s="39"/>
    </row>
    <row r="21" spans="2:11" ht="12.75">
      <c r="B21" s="10" t="s">
        <v>106</v>
      </c>
      <c r="D21" s="15" t="s">
        <v>50</v>
      </c>
      <c r="E21" s="39"/>
      <c r="F21" s="38">
        <v>59</v>
      </c>
      <c r="H21" s="38"/>
      <c r="I21" s="38"/>
      <c r="K21" s="39"/>
    </row>
    <row r="22" spans="2:11" ht="12.75">
      <c r="B22" s="10" t="s">
        <v>107</v>
      </c>
      <c r="D22" s="15" t="s">
        <v>50</v>
      </c>
      <c r="E22" s="39"/>
      <c r="F22" s="38">
        <v>502</v>
      </c>
      <c r="H22" s="38"/>
      <c r="I22" s="38"/>
      <c r="K22" s="39"/>
    </row>
    <row r="23" spans="2:11" ht="12.75">
      <c r="B23" s="10" t="s">
        <v>108</v>
      </c>
      <c r="D23" s="15" t="s">
        <v>50</v>
      </c>
      <c r="E23" s="39" t="s">
        <v>29</v>
      </c>
      <c r="F23" s="38">
        <v>7.1</v>
      </c>
      <c r="H23" s="38"/>
      <c r="I23" s="38"/>
      <c r="K23" s="39"/>
    </row>
    <row r="24" spans="2:11" ht="12.75">
      <c r="B24" s="10" t="s">
        <v>119</v>
      </c>
      <c r="D24" s="15" t="s">
        <v>50</v>
      </c>
      <c r="E24" s="39"/>
      <c r="F24" s="38">
        <v>23</v>
      </c>
      <c r="H24" s="38"/>
      <c r="I24" s="38"/>
      <c r="K24" s="39"/>
    </row>
    <row r="25" spans="2:11" ht="12.75">
      <c r="B25" s="10" t="s">
        <v>124</v>
      </c>
      <c r="D25" s="15" t="s">
        <v>50</v>
      </c>
      <c r="E25" s="39"/>
      <c r="F25" s="38">
        <v>4479</v>
      </c>
      <c r="H25" s="38"/>
      <c r="I25" s="38"/>
      <c r="K25" s="39"/>
    </row>
    <row r="26" spans="5:11" ht="12.75">
      <c r="E26" s="39"/>
      <c r="H26" s="38"/>
      <c r="I26" s="38"/>
      <c r="K26" s="39"/>
    </row>
    <row r="27" spans="5:11" ht="12.75">
      <c r="E27" s="39"/>
      <c r="H27" s="38"/>
      <c r="I27" s="38"/>
      <c r="K27" s="39"/>
    </row>
    <row r="28" spans="2:11" ht="12.75">
      <c r="B28" s="15" t="s">
        <v>77</v>
      </c>
      <c r="D28" s="15" t="s">
        <v>17</v>
      </c>
      <c r="E28" s="39"/>
      <c r="F28" s="17">
        <v>14357</v>
      </c>
      <c r="H28" s="38"/>
      <c r="I28" s="38"/>
      <c r="K28" s="39"/>
    </row>
    <row r="29" spans="2:11" ht="12.75">
      <c r="B29" s="15" t="s">
        <v>78</v>
      </c>
      <c r="D29" s="15" t="s">
        <v>18</v>
      </c>
      <c r="E29" s="39"/>
      <c r="F29" s="38">
        <v>8.1</v>
      </c>
      <c r="H29" s="38"/>
      <c r="I29" s="38"/>
      <c r="K29" s="39"/>
    </row>
    <row r="30" spans="5:11" ht="12.75">
      <c r="E30" s="39"/>
      <c r="H30" s="38"/>
      <c r="I30" s="38"/>
      <c r="K30" s="39"/>
    </row>
    <row r="31" spans="2:16" ht="12.75">
      <c r="B31" s="15" t="s">
        <v>127</v>
      </c>
      <c r="D31" s="15" t="s">
        <v>69</v>
      </c>
      <c r="E31" s="39"/>
      <c r="F31" s="16"/>
      <c r="G31" s="18"/>
      <c r="H31" s="16"/>
      <c r="I31" s="16"/>
      <c r="K31" s="39"/>
      <c r="P31" s="41"/>
    </row>
    <row r="32" spans="2:16" ht="12.75">
      <c r="B32" s="15" t="s">
        <v>333</v>
      </c>
      <c r="D32" s="15" t="s">
        <v>69</v>
      </c>
      <c r="E32" s="39"/>
      <c r="F32" s="37"/>
      <c r="G32" s="18"/>
      <c r="H32" s="16"/>
      <c r="I32" s="16"/>
      <c r="K32" s="39"/>
      <c r="P32" s="16"/>
    </row>
    <row r="33" spans="5:16" ht="12.75">
      <c r="E33" s="39"/>
      <c r="F33" s="37"/>
      <c r="G33" s="18"/>
      <c r="H33" s="16"/>
      <c r="I33" s="16"/>
      <c r="K33" s="39"/>
      <c r="P33" s="16"/>
    </row>
    <row r="34" spans="2:16" ht="12.75">
      <c r="B34" s="59" t="s">
        <v>93</v>
      </c>
      <c r="C34" s="59"/>
      <c r="E34" s="39"/>
      <c r="F34" s="37"/>
      <c r="G34" s="18"/>
      <c r="H34" s="16"/>
      <c r="I34" s="16"/>
      <c r="K34" s="39"/>
      <c r="P34" s="16"/>
    </row>
    <row r="35" spans="2:11" ht="12.75">
      <c r="B35" s="10" t="s">
        <v>101</v>
      </c>
      <c r="D35" s="15" t="s">
        <v>71</v>
      </c>
      <c r="E35" s="39"/>
      <c r="F35" s="16">
        <v>2314.9428971922594</v>
      </c>
      <c r="H35" s="16">
        <f>F35</f>
        <v>2314.9428971922594</v>
      </c>
      <c r="I35" s="16"/>
      <c r="K35" s="39"/>
    </row>
    <row r="36" spans="2:11" ht="12.75">
      <c r="B36" s="10" t="s">
        <v>103</v>
      </c>
      <c r="D36" s="15" t="s">
        <v>71</v>
      </c>
      <c r="E36" s="39">
        <v>100</v>
      </c>
      <c r="F36" s="16">
        <v>3.205305549958513</v>
      </c>
      <c r="G36" s="39">
        <v>100</v>
      </c>
      <c r="H36" s="16">
        <f aca="true" t="shared" si="0" ref="H36:H49">F36</f>
        <v>3.205305549958513</v>
      </c>
      <c r="I36" s="16"/>
      <c r="K36" s="39"/>
    </row>
    <row r="37" spans="2:11" ht="12.75">
      <c r="B37" s="10" t="s">
        <v>104</v>
      </c>
      <c r="D37" s="15" t="s">
        <v>71</v>
      </c>
      <c r="E37" s="39"/>
      <c r="F37" s="16">
        <v>1513.6165097026312</v>
      </c>
      <c r="H37" s="16">
        <f t="shared" si="0"/>
        <v>1513.6165097026312</v>
      </c>
      <c r="I37" s="16"/>
      <c r="K37" s="39"/>
    </row>
    <row r="38" spans="2:15" ht="12.75">
      <c r="B38" s="10" t="s">
        <v>121</v>
      </c>
      <c r="D38" s="15" t="s">
        <v>71</v>
      </c>
      <c r="E38" s="39"/>
      <c r="F38" s="16">
        <v>7968.745742257971</v>
      </c>
      <c r="H38" s="16">
        <f t="shared" si="0"/>
        <v>7968.745742257971</v>
      </c>
      <c r="I38" s="16"/>
      <c r="K38" s="39"/>
      <c r="N38" s="16"/>
      <c r="O38" s="16"/>
    </row>
    <row r="39" spans="2:15" ht="12.75">
      <c r="B39" s="10" t="s">
        <v>100</v>
      </c>
      <c r="D39" s="15" t="s">
        <v>71</v>
      </c>
      <c r="E39" s="39"/>
      <c r="F39" s="16">
        <v>11174.051292216485</v>
      </c>
      <c r="H39" s="16">
        <f t="shared" si="0"/>
        <v>11174.051292216485</v>
      </c>
      <c r="I39" s="16"/>
      <c r="K39" s="39"/>
      <c r="N39" s="16"/>
      <c r="O39" s="16"/>
    </row>
    <row r="40" spans="2:11" ht="12.75">
      <c r="B40" s="10" t="s">
        <v>102</v>
      </c>
      <c r="D40" s="15" t="s">
        <v>71</v>
      </c>
      <c r="E40" s="39"/>
      <c r="F40" s="16">
        <v>87745.2394301143</v>
      </c>
      <c r="H40" s="16">
        <f t="shared" si="0"/>
        <v>87745.2394301143</v>
      </c>
      <c r="I40" s="16"/>
      <c r="K40" s="39"/>
    </row>
    <row r="41" spans="2:11" ht="12.75">
      <c r="B41" s="10" t="s">
        <v>116</v>
      </c>
      <c r="D41" s="15" t="s">
        <v>71</v>
      </c>
      <c r="E41" s="39"/>
      <c r="F41" s="16">
        <v>431.8258865916329</v>
      </c>
      <c r="H41" s="16">
        <f t="shared" si="0"/>
        <v>431.8258865916329</v>
      </c>
      <c r="I41" s="16"/>
      <c r="K41" s="39"/>
    </row>
    <row r="42" spans="2:11" ht="12.75">
      <c r="B42" s="10" t="s">
        <v>117</v>
      </c>
      <c r="D42" s="15" t="s">
        <v>71</v>
      </c>
      <c r="E42" s="39"/>
      <c r="F42" s="16">
        <v>16738.81787200557</v>
      </c>
      <c r="H42" s="16">
        <f t="shared" si="0"/>
        <v>16738.81787200557</v>
      </c>
      <c r="I42" s="16"/>
      <c r="K42" s="39"/>
    </row>
    <row r="43" spans="2:15" ht="12.75">
      <c r="B43" s="10" t="s">
        <v>99</v>
      </c>
      <c r="D43" s="15" t="s">
        <v>71</v>
      </c>
      <c r="E43" s="39"/>
      <c r="F43" s="16">
        <v>18341.47064698482</v>
      </c>
      <c r="G43" s="18"/>
      <c r="H43" s="16">
        <f t="shared" si="0"/>
        <v>18341.47064698482</v>
      </c>
      <c r="I43" s="16"/>
      <c r="K43" s="39"/>
      <c r="N43" s="41"/>
      <c r="O43" s="41"/>
    </row>
    <row r="44" spans="2:15" ht="12.75">
      <c r="B44" s="10" t="s">
        <v>118</v>
      </c>
      <c r="D44" s="15" t="s">
        <v>71</v>
      </c>
      <c r="E44" s="39"/>
      <c r="F44" s="16">
        <v>263235.71829034295</v>
      </c>
      <c r="G44" s="18"/>
      <c r="H44" s="16">
        <f t="shared" si="0"/>
        <v>263235.71829034295</v>
      </c>
      <c r="I44" s="16"/>
      <c r="K44" s="39"/>
      <c r="N44" s="16"/>
      <c r="O44" s="16"/>
    </row>
    <row r="45" spans="2:11" ht="12.75">
      <c r="B45" s="10" t="s">
        <v>106</v>
      </c>
      <c r="D45" s="15" t="s">
        <v>71</v>
      </c>
      <c r="E45" s="39"/>
      <c r="F45" s="16">
        <v>2626.5698256604483</v>
      </c>
      <c r="H45" s="16">
        <f t="shared" si="0"/>
        <v>2626.5698256604483</v>
      </c>
      <c r="I45" s="38"/>
      <c r="K45" s="39"/>
    </row>
    <row r="46" spans="1:9" ht="12.75">
      <c r="A46" s="37" t="s">
        <v>126</v>
      </c>
      <c r="B46" s="10" t="s">
        <v>107</v>
      </c>
      <c r="C46" s="36"/>
      <c r="D46" s="15" t="s">
        <v>71</v>
      </c>
      <c r="E46" s="39"/>
      <c r="F46" s="16">
        <v>22348.10258443297</v>
      </c>
      <c r="H46" s="16">
        <f t="shared" si="0"/>
        <v>22348.10258443297</v>
      </c>
      <c r="I46" s="38"/>
    </row>
    <row r="47" spans="2:8" ht="12.75">
      <c r="B47" s="10" t="s">
        <v>108</v>
      </c>
      <c r="D47" s="15" t="s">
        <v>71</v>
      </c>
      <c r="E47" s="39">
        <v>100</v>
      </c>
      <c r="F47" s="16">
        <v>316.0787417320201</v>
      </c>
      <c r="G47" s="39">
        <v>100</v>
      </c>
      <c r="H47" s="16">
        <f t="shared" si="0"/>
        <v>316.0787417320201</v>
      </c>
    </row>
    <row r="48" spans="2:15" ht="12.75">
      <c r="B48" s="10" t="s">
        <v>119</v>
      </c>
      <c r="D48" s="15" t="s">
        <v>71</v>
      </c>
      <c r="F48" s="16">
        <v>1023.917050681192</v>
      </c>
      <c r="G48" s="38"/>
      <c r="H48" s="16">
        <f t="shared" si="0"/>
        <v>1023.917050681192</v>
      </c>
      <c r="I48" s="38"/>
      <c r="K48" s="38"/>
      <c r="L48" s="38"/>
      <c r="M48" s="38"/>
      <c r="N48" s="38"/>
      <c r="O48" s="38"/>
    </row>
    <row r="49" spans="2:9" ht="12.75">
      <c r="B49" s="10" t="s">
        <v>124</v>
      </c>
      <c r="D49" s="15" t="s">
        <v>71</v>
      </c>
      <c r="F49" s="16">
        <v>199396.71608700254</v>
      </c>
      <c r="H49" s="16">
        <f t="shared" si="0"/>
        <v>199396.71608700254</v>
      </c>
      <c r="I49" s="41"/>
    </row>
    <row r="50" spans="2:10" ht="12.75">
      <c r="B50" s="15" t="s">
        <v>72</v>
      </c>
      <c r="D50" s="15" t="s">
        <v>71</v>
      </c>
      <c r="F50" s="16">
        <v>19855.087156687452</v>
      </c>
      <c r="H50" s="16">
        <f>F50</f>
        <v>19855.087156687452</v>
      </c>
      <c r="J50" s="16"/>
    </row>
    <row r="51" spans="2:10" ht="12.75">
      <c r="B51" s="15" t="s">
        <v>73</v>
      </c>
      <c r="D51" s="15" t="s">
        <v>71</v>
      </c>
      <c r="E51" s="37">
        <f>F36/F51*100</f>
        <v>0.031163974445540955</v>
      </c>
      <c r="F51" s="16">
        <v>10285.291292225209</v>
      </c>
      <c r="G51" s="37">
        <f>H36/H51*100</f>
        <v>0.031163974445540955</v>
      </c>
      <c r="H51" s="16">
        <f>F51</f>
        <v>10285.291292225209</v>
      </c>
      <c r="J51" s="16"/>
    </row>
    <row r="53" spans="1:6" ht="12.75">
      <c r="A53" s="37" t="s">
        <v>126</v>
      </c>
      <c r="B53" s="36" t="s">
        <v>145</v>
      </c>
      <c r="C53" s="36" t="s">
        <v>125</v>
      </c>
      <c r="F53" s="38" t="s">
        <v>48</v>
      </c>
    </row>
    <row r="54" spans="2:3" ht="12.75">
      <c r="B54" s="36"/>
      <c r="C54" s="36"/>
    </row>
    <row r="55" spans="2:6" ht="12.75">
      <c r="B55" s="15" t="s">
        <v>325</v>
      </c>
      <c r="C55" s="36"/>
      <c r="F55" s="38" t="s">
        <v>327</v>
      </c>
    </row>
    <row r="56" spans="2:6" ht="12.75">
      <c r="B56" s="15" t="s">
        <v>326</v>
      </c>
      <c r="F56" s="38" t="s">
        <v>328</v>
      </c>
    </row>
    <row r="57" spans="2:16" ht="12.75">
      <c r="B57" s="15" t="s">
        <v>49</v>
      </c>
      <c r="F57" s="38" t="s">
        <v>146</v>
      </c>
      <c r="G57" s="38"/>
      <c r="H57" s="38"/>
      <c r="I57" s="38"/>
      <c r="K57" s="38"/>
      <c r="L57" s="38"/>
      <c r="M57" s="38"/>
      <c r="N57" s="38"/>
      <c r="O57" s="38"/>
      <c r="P57" s="38"/>
    </row>
    <row r="58" spans="2:13" ht="12.75">
      <c r="B58" s="15" t="s">
        <v>128</v>
      </c>
      <c r="D58" s="15" t="s">
        <v>59</v>
      </c>
      <c r="F58" s="40">
        <v>3918.3333333333335</v>
      </c>
      <c r="L58" s="41"/>
      <c r="M58" s="41"/>
    </row>
    <row r="59" spans="2:13" ht="12.75">
      <c r="B59" s="15" t="s">
        <v>127</v>
      </c>
      <c r="D59" s="15" t="s">
        <v>68</v>
      </c>
      <c r="F59" s="40"/>
      <c r="H59" s="41"/>
      <c r="I59" s="41"/>
      <c r="L59" s="41"/>
      <c r="M59" s="41"/>
    </row>
    <row r="60" spans="2:15" ht="12.75">
      <c r="B60" s="15" t="s">
        <v>53</v>
      </c>
      <c r="D60" s="15" t="s">
        <v>59</v>
      </c>
      <c r="E60" s="39"/>
      <c r="F60" s="16"/>
      <c r="H60" s="16"/>
      <c r="I60" s="16"/>
      <c r="K60" s="38"/>
      <c r="L60" s="38"/>
      <c r="M60" s="38"/>
      <c r="N60" s="38"/>
      <c r="O60" s="38"/>
    </row>
    <row r="61" spans="2:15" ht="12.75">
      <c r="B61" s="15" t="s">
        <v>54</v>
      </c>
      <c r="D61" s="15" t="s">
        <v>59</v>
      </c>
      <c r="E61" s="39"/>
      <c r="F61" s="17"/>
      <c r="H61" s="38"/>
      <c r="I61" s="38"/>
      <c r="K61" s="38"/>
      <c r="L61" s="38"/>
      <c r="M61" s="38"/>
      <c r="N61" s="38"/>
      <c r="O61" s="38"/>
    </row>
    <row r="62" ht="12.75">
      <c r="F62" s="37"/>
    </row>
    <row r="63" spans="1:10" ht="12.75">
      <c r="A63" s="37" t="s">
        <v>126</v>
      </c>
      <c r="B63" s="36" t="s">
        <v>164</v>
      </c>
      <c r="C63" s="36" t="s">
        <v>125</v>
      </c>
      <c r="F63" s="38" t="s">
        <v>48</v>
      </c>
      <c r="H63" s="38" t="s">
        <v>48</v>
      </c>
      <c r="J63" s="38" t="s">
        <v>48</v>
      </c>
    </row>
    <row r="64" spans="2:8" ht="12.75">
      <c r="B64" s="36"/>
      <c r="C64" s="36"/>
      <c r="H64" s="38"/>
    </row>
    <row r="65" spans="2:10" ht="12.75">
      <c r="B65" s="15" t="s">
        <v>325</v>
      </c>
      <c r="C65" s="36"/>
      <c r="F65" s="38" t="s">
        <v>327</v>
      </c>
      <c r="H65" s="38" t="s">
        <v>243</v>
      </c>
      <c r="J65" s="38" t="s">
        <v>329</v>
      </c>
    </row>
    <row r="66" spans="2:10" ht="12.75">
      <c r="B66" s="15" t="s">
        <v>326</v>
      </c>
      <c r="F66" s="38" t="s">
        <v>328</v>
      </c>
      <c r="H66" s="38" t="s">
        <v>70</v>
      </c>
      <c r="I66" s="38"/>
      <c r="J66" s="38" t="s">
        <v>25</v>
      </c>
    </row>
    <row r="67" spans="2:10" ht="12.75">
      <c r="B67" s="15" t="s">
        <v>331</v>
      </c>
      <c r="F67" s="38" t="s">
        <v>332</v>
      </c>
      <c r="H67" s="38" t="s">
        <v>70</v>
      </c>
      <c r="I67" s="38"/>
      <c r="J67" s="38" t="s">
        <v>25</v>
      </c>
    </row>
    <row r="68" spans="2:16" ht="12.75">
      <c r="B68" s="15" t="s">
        <v>49</v>
      </c>
      <c r="F68" s="38" t="s">
        <v>146</v>
      </c>
      <c r="G68" s="38"/>
      <c r="H68" s="38" t="s">
        <v>70</v>
      </c>
      <c r="I68" s="38"/>
      <c r="J68" s="38" t="s">
        <v>25</v>
      </c>
      <c r="K68" s="38"/>
      <c r="L68" s="38"/>
      <c r="M68" s="38"/>
      <c r="N68" s="38"/>
      <c r="O68" s="38"/>
      <c r="P68" s="38"/>
    </row>
    <row r="69" spans="2:13" ht="12.75">
      <c r="B69" s="15" t="s">
        <v>128</v>
      </c>
      <c r="D69" s="15" t="s">
        <v>59</v>
      </c>
      <c r="F69" s="40">
        <v>3880.6666666666665</v>
      </c>
      <c r="L69" s="41"/>
      <c r="M69" s="41"/>
    </row>
    <row r="70" spans="2:13" ht="12.75">
      <c r="B70" s="15" t="s">
        <v>127</v>
      </c>
      <c r="D70" s="15" t="s">
        <v>68</v>
      </c>
      <c r="F70" s="40"/>
      <c r="H70" s="41"/>
      <c r="I70" s="41"/>
      <c r="L70" s="41"/>
      <c r="M70" s="41"/>
    </row>
    <row r="71" spans="2:9" ht="12.75">
      <c r="B71" s="10" t="s">
        <v>107</v>
      </c>
      <c r="D71" s="15" t="s">
        <v>50</v>
      </c>
      <c r="E71" s="39"/>
      <c r="F71" s="42">
        <v>2067.5</v>
      </c>
      <c r="H71" s="42"/>
      <c r="I71" s="42"/>
    </row>
    <row r="72" spans="2:11" ht="12.75">
      <c r="B72" s="10" t="s">
        <v>102</v>
      </c>
      <c r="D72" s="15" t="s">
        <v>50</v>
      </c>
      <c r="E72" s="39"/>
      <c r="F72" s="42">
        <v>657.33</v>
      </c>
      <c r="H72" s="38"/>
      <c r="I72" s="38"/>
      <c r="K72" s="38"/>
    </row>
    <row r="73" spans="2:11" ht="12.75">
      <c r="B73" s="10" t="s">
        <v>116</v>
      </c>
      <c r="D73" s="15" t="s">
        <v>50</v>
      </c>
      <c r="E73" s="39"/>
      <c r="F73" s="38">
        <v>48.25</v>
      </c>
      <c r="K73" s="38"/>
    </row>
    <row r="74" spans="2:11" ht="12.75">
      <c r="B74" s="10" t="s">
        <v>117</v>
      </c>
      <c r="D74" s="15" t="s">
        <v>50</v>
      </c>
      <c r="E74" s="39"/>
      <c r="F74" s="38">
        <v>211.97</v>
      </c>
      <c r="H74" s="38"/>
      <c r="I74" s="38"/>
      <c r="K74" s="38"/>
    </row>
    <row r="75" spans="2:11" ht="12.75">
      <c r="B75" s="10" t="s">
        <v>118</v>
      </c>
      <c r="D75" s="15" t="s">
        <v>50</v>
      </c>
      <c r="E75" s="39"/>
      <c r="F75" s="38">
        <v>6727.37</v>
      </c>
      <c r="H75" s="38"/>
      <c r="I75" s="38"/>
      <c r="K75" s="38"/>
    </row>
    <row r="76" spans="2:15" ht="12.75">
      <c r="B76" s="10" t="s">
        <v>106</v>
      </c>
      <c r="D76" s="15" t="s">
        <v>50</v>
      </c>
      <c r="E76" s="39"/>
      <c r="F76" s="38">
        <v>22.13</v>
      </c>
      <c r="H76" s="38"/>
      <c r="I76" s="38"/>
      <c r="K76" s="38"/>
      <c r="N76" s="41"/>
      <c r="O76" s="41"/>
    </row>
    <row r="77" spans="2:15" ht="12.75">
      <c r="B77" s="10" t="s">
        <v>119</v>
      </c>
      <c r="D77" s="15" t="s">
        <v>50</v>
      </c>
      <c r="E77" s="39"/>
      <c r="F77" s="38">
        <v>24.07</v>
      </c>
      <c r="H77" s="38"/>
      <c r="I77" s="38"/>
      <c r="K77" s="38"/>
      <c r="L77" s="38"/>
      <c r="M77" s="38"/>
      <c r="N77" s="41"/>
      <c r="O77" s="41"/>
    </row>
    <row r="78" spans="2:11" ht="12.75">
      <c r="B78" s="10" t="s">
        <v>124</v>
      </c>
      <c r="D78" s="15" t="s">
        <v>50</v>
      </c>
      <c r="E78" s="39"/>
      <c r="F78" s="42">
        <v>3631.33</v>
      </c>
      <c r="H78" s="38"/>
      <c r="I78" s="38"/>
      <c r="K78" s="39"/>
    </row>
    <row r="79" spans="2:11" ht="12.75">
      <c r="B79" s="10" t="s">
        <v>101</v>
      </c>
      <c r="D79" s="15" t="s">
        <v>50</v>
      </c>
      <c r="E79" s="39"/>
      <c r="F79" s="38">
        <v>255.43</v>
      </c>
      <c r="H79" s="38">
        <v>224</v>
      </c>
      <c r="I79" s="38"/>
      <c r="K79" s="39"/>
    </row>
    <row r="80" spans="2:11" ht="12.75">
      <c r="B80" s="10" t="s">
        <v>103</v>
      </c>
      <c r="D80" s="15" t="s">
        <v>50</v>
      </c>
      <c r="E80" s="39"/>
      <c r="F80" s="38">
        <v>0.5</v>
      </c>
      <c r="H80" s="38"/>
      <c r="I80" s="38"/>
      <c r="K80" s="39"/>
    </row>
    <row r="81" spans="2:11" ht="12.75">
      <c r="B81" s="10" t="s">
        <v>104</v>
      </c>
      <c r="D81" s="15" t="s">
        <v>50</v>
      </c>
      <c r="E81" s="39"/>
      <c r="F81" s="38">
        <v>261.62</v>
      </c>
      <c r="H81" s="38">
        <v>242</v>
      </c>
      <c r="I81" s="38"/>
      <c r="K81" s="39"/>
    </row>
    <row r="82" spans="2:11" ht="12.75">
      <c r="B82" s="10" t="s">
        <v>121</v>
      </c>
      <c r="D82" s="15" t="s">
        <v>50</v>
      </c>
      <c r="E82" s="39"/>
      <c r="F82" s="38">
        <v>884.34</v>
      </c>
      <c r="H82" s="38">
        <v>600</v>
      </c>
      <c r="I82" s="38"/>
      <c r="K82" s="39"/>
    </row>
    <row r="83" spans="2:11" ht="12.75">
      <c r="B83" s="10" t="s">
        <v>99</v>
      </c>
      <c r="D83" s="15" t="s">
        <v>50</v>
      </c>
      <c r="E83" s="39"/>
      <c r="F83" s="38">
        <v>2027.11</v>
      </c>
      <c r="H83" s="38">
        <v>1722</v>
      </c>
      <c r="I83" s="38"/>
      <c r="K83" s="39"/>
    </row>
    <row r="84" spans="2:11" ht="12.75">
      <c r="B84" s="10" t="s">
        <v>100</v>
      </c>
      <c r="D84" s="15" t="s">
        <v>50</v>
      </c>
      <c r="E84" s="39"/>
      <c r="F84" s="38">
        <v>148.46</v>
      </c>
      <c r="H84" s="38"/>
      <c r="I84" s="38"/>
      <c r="K84" s="39"/>
    </row>
    <row r="85" spans="2:11" ht="12.75">
      <c r="B85" s="10" t="s">
        <v>108</v>
      </c>
      <c r="D85" s="15" t="s">
        <v>50</v>
      </c>
      <c r="E85" s="39"/>
      <c r="F85" s="38">
        <v>3.91</v>
      </c>
      <c r="H85" s="38"/>
      <c r="I85" s="38"/>
      <c r="K85" s="39"/>
    </row>
    <row r="86" spans="5:11" ht="12.75">
      <c r="E86" s="39"/>
      <c r="H86" s="38"/>
      <c r="I86" s="38"/>
      <c r="K86" s="39"/>
    </row>
    <row r="87" spans="5:11" ht="12.75">
      <c r="E87" s="39"/>
      <c r="H87" s="38"/>
      <c r="I87" s="38"/>
      <c r="K87" s="39"/>
    </row>
    <row r="88" spans="2:11" ht="12.75">
      <c r="B88" s="15" t="s">
        <v>77</v>
      </c>
      <c r="D88" s="15" t="s">
        <v>17</v>
      </c>
      <c r="E88" s="39"/>
      <c r="F88" s="17">
        <v>14357</v>
      </c>
      <c r="H88" s="38"/>
      <c r="I88" s="38"/>
      <c r="K88" s="39"/>
    </row>
    <row r="89" spans="2:11" ht="12.75">
      <c r="B89" s="15" t="s">
        <v>78</v>
      </c>
      <c r="D89" s="15" t="s">
        <v>18</v>
      </c>
      <c r="E89" s="39"/>
      <c r="F89" s="38">
        <v>8.1</v>
      </c>
      <c r="H89" s="38"/>
      <c r="I89" s="38"/>
      <c r="K89" s="39"/>
    </row>
    <row r="90" spans="5:11" ht="12.75">
      <c r="E90" s="39"/>
      <c r="H90" s="38"/>
      <c r="I90" s="38"/>
      <c r="K90" s="39"/>
    </row>
    <row r="91" spans="2:16" ht="12.75">
      <c r="B91" s="15" t="s">
        <v>127</v>
      </c>
      <c r="D91" s="15" t="s">
        <v>69</v>
      </c>
      <c r="E91" s="39"/>
      <c r="F91" s="16"/>
      <c r="G91" s="18"/>
      <c r="H91" s="16"/>
      <c r="I91" s="16"/>
      <c r="K91" s="39"/>
      <c r="P91" s="41"/>
    </row>
    <row r="92" spans="2:16" ht="12.75">
      <c r="B92" s="15" t="s">
        <v>333</v>
      </c>
      <c r="D92" s="15" t="s">
        <v>69</v>
      </c>
      <c r="E92" s="39"/>
      <c r="F92" s="37"/>
      <c r="G92" s="18"/>
      <c r="H92" s="16"/>
      <c r="I92" s="16"/>
      <c r="K92" s="39"/>
      <c r="P92" s="16"/>
    </row>
    <row r="93" spans="5:16" ht="12.75">
      <c r="E93" s="39"/>
      <c r="F93" s="37"/>
      <c r="G93" s="18"/>
      <c r="H93" s="16"/>
      <c r="I93" s="16"/>
      <c r="K93" s="39"/>
      <c r="P93" s="16"/>
    </row>
    <row r="94" spans="2:16" ht="12.75">
      <c r="B94" s="59" t="s">
        <v>93</v>
      </c>
      <c r="C94" s="59"/>
      <c r="E94" s="39"/>
      <c r="F94" s="37"/>
      <c r="G94" s="18"/>
      <c r="H94" s="16"/>
      <c r="I94" s="16"/>
      <c r="K94" s="39"/>
      <c r="P94" s="16"/>
    </row>
    <row r="95" spans="2:11" ht="12.75">
      <c r="B95" s="10" t="s">
        <v>107</v>
      </c>
      <c r="D95" s="15" t="s">
        <v>71</v>
      </c>
      <c r="E95" s="39"/>
      <c r="F95" s="16">
        <v>92041.23922971147</v>
      </c>
      <c r="H95" s="16"/>
      <c r="I95" s="16"/>
      <c r="J95" s="16">
        <f>SUM(F95,H95)</f>
        <v>92041.23922971147</v>
      </c>
      <c r="K95" s="39"/>
    </row>
    <row r="96" spans="2:11" ht="12.75">
      <c r="B96" s="10" t="s">
        <v>102</v>
      </c>
      <c r="D96" s="15" t="s">
        <v>71</v>
      </c>
      <c r="E96" s="39"/>
      <c r="F96" s="16">
        <v>29263.104127142076</v>
      </c>
      <c r="H96" s="16"/>
      <c r="I96" s="16"/>
      <c r="J96" s="16">
        <f aca="true" t="shared" si="1" ref="J96:J111">SUM(F96,H96)</f>
        <v>29263.104127142076</v>
      </c>
      <c r="K96" s="39"/>
    </row>
    <row r="97" spans="2:11" ht="12.75">
      <c r="B97" s="10" t="s">
        <v>116</v>
      </c>
      <c r="D97" s="15" t="s">
        <v>71</v>
      </c>
      <c r="E97" s="39"/>
      <c r="F97" s="16">
        <v>2147.999899798587</v>
      </c>
      <c r="H97" s="16"/>
      <c r="I97" s="16"/>
      <c r="J97" s="16">
        <f t="shared" si="1"/>
        <v>2147.999899798587</v>
      </c>
      <c r="K97" s="39"/>
    </row>
    <row r="98" spans="2:15" ht="12.75">
      <c r="B98" s="10" t="s">
        <v>117</v>
      </c>
      <c r="D98" s="15" t="s">
        <v>71</v>
      </c>
      <c r="E98" s="39"/>
      <c r="F98" s="16">
        <v>9436.50857534314</v>
      </c>
      <c r="H98" s="16"/>
      <c r="I98" s="16"/>
      <c r="J98" s="16">
        <f t="shared" si="1"/>
        <v>9436.50857534314</v>
      </c>
      <c r="K98" s="39"/>
      <c r="N98" s="16"/>
      <c r="O98" s="16"/>
    </row>
    <row r="99" spans="2:15" ht="12.75">
      <c r="B99" s="10" t="s">
        <v>118</v>
      </c>
      <c r="D99" s="15" t="s">
        <v>71</v>
      </c>
      <c r="E99" s="39"/>
      <c r="F99" s="16">
        <v>299489.9499670056</v>
      </c>
      <c r="H99" s="16"/>
      <c r="I99" s="16"/>
      <c r="J99" s="16">
        <f t="shared" si="1"/>
        <v>299489.9499670056</v>
      </c>
      <c r="K99" s="39"/>
      <c r="N99" s="16"/>
      <c r="O99" s="16"/>
    </row>
    <row r="100" spans="2:11" ht="12.75">
      <c r="B100" s="10" t="s">
        <v>106</v>
      </c>
      <c r="D100" s="15" t="s">
        <v>71</v>
      </c>
      <c r="E100" s="39"/>
      <c r="F100" s="16">
        <v>985.1862752858596</v>
      </c>
      <c r="H100" s="16"/>
      <c r="I100" s="16"/>
      <c r="J100" s="16">
        <f t="shared" si="1"/>
        <v>985.1862752858596</v>
      </c>
      <c r="K100" s="39"/>
    </row>
    <row r="101" spans="2:11" ht="12.75">
      <c r="B101" s="10" t="s">
        <v>119</v>
      </c>
      <c r="D101" s="15" t="s">
        <v>71</v>
      </c>
      <c r="E101" s="39"/>
      <c r="F101" s="16">
        <v>1071.5514526041864</v>
      </c>
      <c r="H101" s="16"/>
      <c r="I101" s="16"/>
      <c r="J101" s="16">
        <f t="shared" si="1"/>
        <v>1071.5514526041864</v>
      </c>
      <c r="K101" s="39"/>
    </row>
    <row r="102" spans="2:11" ht="12.75">
      <c r="B102" s="10" t="s">
        <v>124</v>
      </c>
      <c r="D102" s="15" t="s">
        <v>71</v>
      </c>
      <c r="E102" s="39"/>
      <c r="F102" s="16">
        <v>161660.030593484</v>
      </c>
      <c r="H102" s="16"/>
      <c r="I102" s="16"/>
      <c r="J102" s="16">
        <f t="shared" si="1"/>
        <v>161660.030593484</v>
      </c>
      <c r="K102" s="39"/>
    </row>
    <row r="103" spans="2:15" ht="12.75">
      <c r="B103" s="10" t="s">
        <v>101</v>
      </c>
      <c r="D103" s="15" t="s">
        <v>71</v>
      </c>
      <c r="E103" s="39"/>
      <c r="F103" s="16">
        <v>11371.26661980421</v>
      </c>
      <c r="G103" s="18"/>
      <c r="H103" s="16">
        <v>9972.061710982041</v>
      </c>
      <c r="I103" s="16"/>
      <c r="J103" s="16">
        <f t="shared" si="1"/>
        <v>21343.32833078625</v>
      </c>
      <c r="K103" s="39"/>
      <c r="N103" s="41"/>
      <c r="O103" s="41"/>
    </row>
    <row r="104" spans="2:15" ht="12.75">
      <c r="B104" s="10" t="s">
        <v>103</v>
      </c>
      <c r="D104" s="15" t="s">
        <v>71</v>
      </c>
      <c r="E104" s="39"/>
      <c r="F104" s="16">
        <v>22.259066319156343</v>
      </c>
      <c r="G104" s="18"/>
      <c r="H104" s="16"/>
      <c r="I104" s="16"/>
      <c r="J104" s="16">
        <f t="shared" si="1"/>
        <v>22.259066319156343</v>
      </c>
      <c r="K104" s="39"/>
      <c r="N104" s="16"/>
      <c r="O104" s="16"/>
    </row>
    <row r="105" spans="2:11" ht="12.75">
      <c r="B105" s="10" t="s">
        <v>104</v>
      </c>
      <c r="D105" s="15" t="s">
        <v>71</v>
      </c>
      <c r="E105" s="39"/>
      <c r="F105" s="16">
        <v>11646.833860835366</v>
      </c>
      <c r="H105" s="16">
        <v>10773.38809847167</v>
      </c>
      <c r="I105" s="38"/>
      <c r="J105" s="16">
        <f t="shared" si="1"/>
        <v>22420.221959307037</v>
      </c>
      <c r="K105" s="39"/>
    </row>
    <row r="106" spans="1:10" ht="12.75">
      <c r="A106" s="37" t="s">
        <v>126</v>
      </c>
      <c r="B106" s="10" t="s">
        <v>121</v>
      </c>
      <c r="C106" s="36"/>
      <c r="D106" s="15" t="s">
        <v>71</v>
      </c>
      <c r="F106" s="16">
        <v>39369.165417365446</v>
      </c>
      <c r="H106" s="16">
        <v>26710.879582987614</v>
      </c>
      <c r="I106" s="38"/>
      <c r="J106" s="16">
        <f t="shared" si="1"/>
        <v>66080.04500035306</v>
      </c>
    </row>
    <row r="107" spans="2:10" ht="12.75">
      <c r="B107" s="10" t="s">
        <v>99</v>
      </c>
      <c r="D107" s="15" t="s">
        <v>71</v>
      </c>
      <c r="F107" s="16">
        <v>90243.15185245001</v>
      </c>
      <c r="H107" s="16">
        <v>76660.22440317443</v>
      </c>
      <c r="J107" s="16">
        <f t="shared" si="1"/>
        <v>166903.37625562446</v>
      </c>
    </row>
    <row r="108" spans="2:15" ht="12.75">
      <c r="B108" s="10" t="s">
        <v>100</v>
      </c>
      <c r="D108" s="15" t="s">
        <v>71</v>
      </c>
      <c r="F108" s="16">
        <v>6609.161971483902</v>
      </c>
      <c r="G108" s="38"/>
      <c r="H108" s="38"/>
      <c r="I108" s="38"/>
      <c r="J108" s="16">
        <f t="shared" si="1"/>
        <v>6609.161971483902</v>
      </c>
      <c r="K108" s="38"/>
      <c r="L108" s="38"/>
      <c r="M108" s="38"/>
      <c r="N108" s="38"/>
      <c r="O108" s="38"/>
    </row>
    <row r="109" spans="2:10" ht="12.75">
      <c r="B109" s="10" t="s">
        <v>108</v>
      </c>
      <c r="D109" s="15" t="s">
        <v>71</v>
      </c>
      <c r="F109" s="16">
        <v>174.0658986158026</v>
      </c>
      <c r="H109" s="41"/>
      <c r="I109" s="41"/>
      <c r="J109" s="16">
        <f t="shared" si="1"/>
        <v>174.0658986158026</v>
      </c>
    </row>
    <row r="110" spans="2:10" ht="12.75">
      <c r="B110" s="15" t="s">
        <v>72</v>
      </c>
      <c r="D110" s="15" t="s">
        <v>71</v>
      </c>
      <c r="F110" s="16">
        <v>101889.98571328538</v>
      </c>
      <c r="H110" s="41">
        <v>87433.6125016461</v>
      </c>
      <c r="J110" s="16">
        <f t="shared" si="1"/>
        <v>189323.5982149315</v>
      </c>
    </row>
    <row r="111" spans="2:10" ht="12.75">
      <c r="B111" s="15" t="s">
        <v>73</v>
      </c>
      <c r="D111" s="15" t="s">
        <v>71</v>
      </c>
      <c r="F111" s="16">
        <v>50762.69110348881</v>
      </c>
      <c r="H111" s="41">
        <v>36682.941293969656</v>
      </c>
      <c r="J111" s="16">
        <f t="shared" si="1"/>
        <v>87445.63239745847</v>
      </c>
    </row>
    <row r="113" ht="12.75">
      <c r="F113" s="37"/>
    </row>
    <row r="114" spans="1:20" ht="12.75">
      <c r="A114" s="37" t="s">
        <v>126</v>
      </c>
      <c r="B114" s="36" t="s">
        <v>173</v>
      </c>
      <c r="C114" s="36" t="s">
        <v>125</v>
      </c>
      <c r="F114" s="39" t="s">
        <v>174</v>
      </c>
      <c r="H114" s="39" t="s">
        <v>175</v>
      </c>
      <c r="I114" s="39"/>
      <c r="J114" s="38" t="s">
        <v>176</v>
      </c>
      <c r="K114" s="39"/>
      <c r="L114" s="39" t="s">
        <v>177</v>
      </c>
      <c r="N114" s="39" t="s">
        <v>174</v>
      </c>
      <c r="O114" s="39"/>
      <c r="P114" s="39" t="s">
        <v>175</v>
      </c>
      <c r="Q114" s="39"/>
      <c r="R114" s="39" t="s">
        <v>176</v>
      </c>
      <c r="S114" s="39"/>
      <c r="T114" s="39" t="s">
        <v>177</v>
      </c>
    </row>
    <row r="115" spans="2:12" ht="12.75">
      <c r="B115" s="36"/>
      <c r="C115" s="36"/>
      <c r="F115" s="39"/>
      <c r="H115" s="39"/>
      <c r="I115" s="39"/>
      <c r="K115" s="39"/>
      <c r="L115" s="39"/>
    </row>
    <row r="116" spans="2:20" ht="12.75">
      <c r="B116" s="15" t="s">
        <v>325</v>
      </c>
      <c r="C116" s="36"/>
      <c r="F116" s="39" t="s">
        <v>327</v>
      </c>
      <c r="H116" s="39" t="s">
        <v>327</v>
      </c>
      <c r="I116" s="39"/>
      <c r="J116" s="38" t="s">
        <v>327</v>
      </c>
      <c r="K116" s="39"/>
      <c r="L116" s="39" t="s">
        <v>327</v>
      </c>
      <c r="N116" s="37" t="s">
        <v>243</v>
      </c>
      <c r="P116" s="37" t="s">
        <v>243</v>
      </c>
      <c r="R116" s="37" t="s">
        <v>243</v>
      </c>
      <c r="T116" s="37" t="s">
        <v>243</v>
      </c>
    </row>
    <row r="117" spans="2:20" ht="12.75">
      <c r="B117" s="15" t="s">
        <v>326</v>
      </c>
      <c r="F117" s="37" t="s">
        <v>328</v>
      </c>
      <c r="G117" s="37"/>
      <c r="H117" s="37" t="s">
        <v>328</v>
      </c>
      <c r="J117" s="38" t="s">
        <v>328</v>
      </c>
      <c r="L117" s="37" t="s">
        <v>328</v>
      </c>
      <c r="N117" s="38" t="s">
        <v>25</v>
      </c>
      <c r="O117" s="38"/>
      <c r="P117" s="38" t="s">
        <v>25</v>
      </c>
      <c r="R117" s="37" t="s">
        <v>25</v>
      </c>
      <c r="T117" s="37" t="s">
        <v>25</v>
      </c>
    </row>
    <row r="118" spans="2:20" ht="12.75">
      <c r="B118" s="15" t="s">
        <v>331</v>
      </c>
      <c r="F118" s="37" t="s">
        <v>332</v>
      </c>
      <c r="G118" s="37"/>
      <c r="H118" s="37" t="s">
        <v>332</v>
      </c>
      <c r="J118" s="37" t="s">
        <v>332</v>
      </c>
      <c r="L118" s="37" t="s">
        <v>332</v>
      </c>
      <c r="N118" s="38" t="s">
        <v>25</v>
      </c>
      <c r="O118" s="38"/>
      <c r="P118" s="38" t="s">
        <v>25</v>
      </c>
      <c r="R118" s="37" t="s">
        <v>25</v>
      </c>
      <c r="T118" s="37" t="s">
        <v>25</v>
      </c>
    </row>
    <row r="119" spans="2:20" ht="12.75">
      <c r="B119" s="15" t="s">
        <v>49</v>
      </c>
      <c r="F119" s="38" t="s">
        <v>146</v>
      </c>
      <c r="G119" s="38"/>
      <c r="H119" s="38" t="s">
        <v>146</v>
      </c>
      <c r="I119" s="38"/>
      <c r="J119" s="38" t="s">
        <v>146</v>
      </c>
      <c r="K119" s="38"/>
      <c r="L119" s="38" t="s">
        <v>146</v>
      </c>
      <c r="M119" s="38"/>
      <c r="N119" s="38" t="s">
        <v>25</v>
      </c>
      <c r="O119" s="38"/>
      <c r="P119" s="38" t="s">
        <v>25</v>
      </c>
      <c r="R119" s="37" t="s">
        <v>25</v>
      </c>
      <c r="T119" s="37" t="s">
        <v>25</v>
      </c>
    </row>
    <row r="120" spans="2:13" ht="12.75">
      <c r="B120" s="15" t="s">
        <v>128</v>
      </c>
      <c r="D120" s="15" t="s">
        <v>59</v>
      </c>
      <c r="F120" s="40">
        <v>3900</v>
      </c>
      <c r="H120" s="37">
        <v>3900</v>
      </c>
      <c r="J120" s="38">
        <v>3900</v>
      </c>
      <c r="L120" s="41"/>
      <c r="M120" s="41"/>
    </row>
    <row r="121" spans="2:13" ht="12.75">
      <c r="B121" s="15" t="s">
        <v>51</v>
      </c>
      <c r="D121" s="15" t="s">
        <v>52</v>
      </c>
      <c r="F121" s="40">
        <v>6720</v>
      </c>
      <c r="H121" s="37">
        <v>6760</v>
      </c>
      <c r="J121" s="38">
        <v>6790</v>
      </c>
      <c r="L121" s="41"/>
      <c r="M121" s="41"/>
    </row>
    <row r="122" spans="2:13" ht="12.75">
      <c r="B122" s="15" t="s">
        <v>81</v>
      </c>
      <c r="D122" s="15" t="s">
        <v>18</v>
      </c>
      <c r="F122" s="40">
        <v>77.2</v>
      </c>
      <c r="H122" s="37">
        <v>78.5</v>
      </c>
      <c r="J122" s="38">
        <v>78.6</v>
      </c>
      <c r="L122" s="41"/>
      <c r="M122" s="41"/>
    </row>
    <row r="123" spans="2:13" ht="12.75">
      <c r="B123" s="15" t="s">
        <v>127</v>
      </c>
      <c r="D123" s="15" t="s">
        <v>68</v>
      </c>
      <c r="F123" s="37"/>
      <c r="H123" s="41"/>
      <c r="I123" s="41"/>
      <c r="L123" s="41"/>
      <c r="M123" s="41"/>
    </row>
    <row r="124" spans="2:15" ht="12.75">
      <c r="B124" s="15" t="s">
        <v>53</v>
      </c>
      <c r="D124" s="15" t="s">
        <v>18</v>
      </c>
      <c r="E124" s="39"/>
      <c r="F124" s="37">
        <v>22</v>
      </c>
      <c r="H124" s="16">
        <v>20.4</v>
      </c>
      <c r="I124" s="16"/>
      <c r="J124" s="38">
        <v>20.4</v>
      </c>
      <c r="K124" s="38"/>
      <c r="L124" s="38"/>
      <c r="M124" s="38"/>
      <c r="N124" s="38"/>
      <c r="O124" s="38"/>
    </row>
    <row r="125" spans="2:15" ht="12.75">
      <c r="B125" s="15" t="s">
        <v>54</v>
      </c>
      <c r="D125" s="15" t="s">
        <v>18</v>
      </c>
      <c r="E125" s="39"/>
      <c r="F125" s="37">
        <v>0.04</v>
      </c>
      <c r="H125" s="38">
        <v>0.17</v>
      </c>
      <c r="I125" s="38"/>
      <c r="J125" s="38">
        <v>0.12</v>
      </c>
      <c r="K125" s="38"/>
      <c r="L125" s="38"/>
      <c r="M125" s="38"/>
      <c r="N125" s="38"/>
      <c r="O125" s="38"/>
    </row>
    <row r="126" spans="2:10" ht="12.75">
      <c r="B126" s="10" t="s">
        <v>100</v>
      </c>
      <c r="D126" s="15" t="s">
        <v>50</v>
      </c>
      <c r="E126" s="39"/>
      <c r="F126" s="40">
        <v>805</v>
      </c>
      <c r="H126" s="42">
        <v>673</v>
      </c>
      <c r="I126" s="42"/>
      <c r="J126" s="38">
        <v>628</v>
      </c>
    </row>
    <row r="127" spans="2:11" ht="12.75">
      <c r="B127" s="10" t="s">
        <v>101</v>
      </c>
      <c r="D127" s="15" t="s">
        <v>50</v>
      </c>
      <c r="E127" s="39"/>
      <c r="F127" s="16">
        <v>41.36</v>
      </c>
      <c r="H127" s="38">
        <v>39.97</v>
      </c>
      <c r="I127" s="38"/>
      <c r="J127" s="38">
        <v>38.11</v>
      </c>
      <c r="K127" s="38"/>
    </row>
    <row r="128" spans="2:11" ht="12.75">
      <c r="B128" s="10" t="s">
        <v>102</v>
      </c>
      <c r="D128" s="15" t="s">
        <v>50</v>
      </c>
      <c r="E128" s="39"/>
      <c r="F128" s="17">
        <v>4211</v>
      </c>
      <c r="H128" s="37">
        <v>4606</v>
      </c>
      <c r="J128" s="38">
        <v>4122</v>
      </c>
      <c r="K128" s="38"/>
    </row>
    <row r="129" spans="2:11" ht="12.75">
      <c r="B129" s="10" t="s">
        <v>103</v>
      </c>
      <c r="D129" s="15" t="s">
        <v>50</v>
      </c>
      <c r="E129" s="39" t="s">
        <v>29</v>
      </c>
      <c r="F129" s="42">
        <v>1.65</v>
      </c>
      <c r="G129" s="39" t="s">
        <v>29</v>
      </c>
      <c r="H129" s="38">
        <v>1.67</v>
      </c>
      <c r="I129" s="39" t="s">
        <v>29</v>
      </c>
      <c r="J129" s="38">
        <v>1.63</v>
      </c>
      <c r="K129" s="38"/>
    </row>
    <row r="130" spans="2:11" ht="12.75">
      <c r="B130" s="10" t="s">
        <v>104</v>
      </c>
      <c r="D130" s="15" t="s">
        <v>50</v>
      </c>
      <c r="E130" s="39"/>
      <c r="F130" s="42">
        <v>32.62</v>
      </c>
      <c r="H130" s="38">
        <v>28.19</v>
      </c>
      <c r="I130" s="39"/>
      <c r="J130" s="38">
        <v>27.48</v>
      </c>
      <c r="K130" s="38"/>
    </row>
    <row r="131" spans="2:15" ht="12.75">
      <c r="B131" s="10" t="s">
        <v>121</v>
      </c>
      <c r="D131" s="15" t="s">
        <v>50</v>
      </c>
      <c r="E131" s="39"/>
      <c r="F131" s="38">
        <v>339.6</v>
      </c>
      <c r="H131" s="38">
        <v>281.9</v>
      </c>
      <c r="I131" s="39"/>
      <c r="J131" s="38">
        <v>274.8</v>
      </c>
      <c r="K131" s="38"/>
      <c r="N131" s="41"/>
      <c r="O131" s="41"/>
    </row>
    <row r="132" spans="2:15" ht="12.75">
      <c r="B132" s="10" t="s">
        <v>116</v>
      </c>
      <c r="D132" s="15" t="s">
        <v>50</v>
      </c>
      <c r="E132" s="39"/>
      <c r="F132" s="38">
        <v>13.3</v>
      </c>
      <c r="H132" s="38">
        <v>9.2</v>
      </c>
      <c r="I132" s="39"/>
      <c r="J132" s="38">
        <v>8.07</v>
      </c>
      <c r="K132" s="38"/>
      <c r="L132" s="38"/>
      <c r="M132" s="38"/>
      <c r="N132" s="41"/>
      <c r="O132" s="41"/>
    </row>
    <row r="133" spans="2:11" ht="12.75">
      <c r="B133" s="10" t="s">
        <v>117</v>
      </c>
      <c r="D133" s="15" t="s">
        <v>50</v>
      </c>
      <c r="E133" s="39"/>
      <c r="F133" s="38">
        <v>681</v>
      </c>
      <c r="H133" s="38">
        <v>585</v>
      </c>
      <c r="I133" s="39"/>
      <c r="J133" s="38">
        <v>596</v>
      </c>
      <c r="K133" s="39"/>
    </row>
    <row r="134" spans="2:11" ht="12.75">
      <c r="B134" s="10" t="s">
        <v>99</v>
      </c>
      <c r="D134" s="15" t="s">
        <v>50</v>
      </c>
      <c r="E134" s="39"/>
      <c r="F134" s="38">
        <v>1048</v>
      </c>
      <c r="H134" s="38">
        <v>877</v>
      </c>
      <c r="I134" s="39"/>
      <c r="J134" s="38">
        <v>856</v>
      </c>
      <c r="K134" s="39"/>
    </row>
    <row r="135" spans="2:11" ht="12.75">
      <c r="B135" s="10" t="s">
        <v>118</v>
      </c>
      <c r="D135" s="15" t="s">
        <v>50</v>
      </c>
      <c r="E135" s="39"/>
      <c r="F135" s="38">
        <v>4106</v>
      </c>
      <c r="H135" s="38">
        <v>3833</v>
      </c>
      <c r="I135" s="39"/>
      <c r="J135" s="38">
        <v>3859</v>
      </c>
      <c r="K135" s="39"/>
    </row>
    <row r="136" spans="2:11" ht="12.75">
      <c r="B136" s="10" t="s">
        <v>105</v>
      </c>
      <c r="D136" s="15" t="s">
        <v>50</v>
      </c>
      <c r="E136" s="39" t="s">
        <v>29</v>
      </c>
      <c r="F136" s="42">
        <v>0.639</v>
      </c>
      <c r="G136" s="39" t="s">
        <v>29</v>
      </c>
      <c r="H136" s="38">
        <v>0.689</v>
      </c>
      <c r="I136" s="39" t="s">
        <v>29</v>
      </c>
      <c r="J136" s="38">
        <v>0.691</v>
      </c>
      <c r="K136" s="39"/>
    </row>
    <row r="137" spans="2:11" ht="12.75">
      <c r="B137" s="10" t="s">
        <v>106</v>
      </c>
      <c r="D137" s="15" t="s">
        <v>50</v>
      </c>
      <c r="E137" s="39"/>
      <c r="F137" s="38">
        <v>322.1</v>
      </c>
      <c r="H137" s="38">
        <v>251.7</v>
      </c>
      <c r="I137" s="39"/>
      <c r="J137" s="38">
        <v>234.9</v>
      </c>
      <c r="K137" s="39"/>
    </row>
    <row r="138" spans="2:11" ht="12.75">
      <c r="B138" s="10" t="s">
        <v>107</v>
      </c>
      <c r="D138" s="15" t="s">
        <v>50</v>
      </c>
      <c r="E138" s="39"/>
      <c r="F138" s="38">
        <v>556</v>
      </c>
      <c r="H138" s="38">
        <v>527</v>
      </c>
      <c r="I138" s="39"/>
      <c r="J138" s="38">
        <v>521</v>
      </c>
      <c r="K138" s="39"/>
    </row>
    <row r="139" spans="2:11" ht="12.75">
      <c r="B139" s="10" t="s">
        <v>108</v>
      </c>
      <c r="D139" s="15" t="s">
        <v>50</v>
      </c>
      <c r="E139" s="39" t="s">
        <v>29</v>
      </c>
      <c r="F139" s="38">
        <v>8.27</v>
      </c>
      <c r="G139" s="39" t="s">
        <v>29</v>
      </c>
      <c r="H139" s="38">
        <v>8.33</v>
      </c>
      <c r="I139" s="39" t="s">
        <v>29</v>
      </c>
      <c r="J139" s="38">
        <v>8.13</v>
      </c>
      <c r="K139" s="39"/>
    </row>
    <row r="140" spans="2:11" ht="12.75">
      <c r="B140" s="10" t="s">
        <v>119</v>
      </c>
      <c r="D140" s="15" t="s">
        <v>50</v>
      </c>
      <c r="E140" s="39"/>
      <c r="F140" s="38">
        <v>22.06</v>
      </c>
      <c r="H140" s="38">
        <v>17.21</v>
      </c>
      <c r="I140" s="38"/>
      <c r="J140" s="38">
        <v>16.24</v>
      </c>
      <c r="K140" s="39"/>
    </row>
    <row r="141" spans="2:11" ht="12.75">
      <c r="B141" s="15" t="s">
        <v>124</v>
      </c>
      <c r="D141" s="15" t="s">
        <v>50</v>
      </c>
      <c r="E141" s="39"/>
      <c r="F141" s="38">
        <v>7561</v>
      </c>
      <c r="H141" s="38">
        <v>6467</v>
      </c>
      <c r="I141" s="38"/>
      <c r="J141" s="38">
        <v>6338</v>
      </c>
      <c r="K141" s="39"/>
    </row>
    <row r="142" spans="5:11" ht="12.75">
      <c r="E142" s="39"/>
      <c r="H142" s="38"/>
      <c r="I142" s="38"/>
      <c r="K142" s="39"/>
    </row>
    <row r="143" spans="2:12" ht="12.75">
      <c r="B143" s="15" t="s">
        <v>77</v>
      </c>
      <c r="D143" s="15" t="s">
        <v>17</v>
      </c>
      <c r="E143" s="39"/>
      <c r="F143" s="17">
        <v>14338</v>
      </c>
      <c r="H143" s="38">
        <v>14051</v>
      </c>
      <c r="I143" s="38"/>
      <c r="J143" s="38">
        <v>15500</v>
      </c>
      <c r="K143" s="39"/>
      <c r="L143" s="37">
        <v>14629.666666666666</v>
      </c>
    </row>
    <row r="144" spans="2:12" ht="12.75">
      <c r="B144" s="15" t="s">
        <v>78</v>
      </c>
      <c r="D144" s="15" t="s">
        <v>18</v>
      </c>
      <c r="E144" s="39"/>
      <c r="F144" s="38">
        <v>8.53</v>
      </c>
      <c r="H144" s="38">
        <v>8.8</v>
      </c>
      <c r="I144" s="38"/>
      <c r="J144" s="38">
        <v>8.47</v>
      </c>
      <c r="K144" s="39"/>
      <c r="L144" s="37">
        <v>8.6</v>
      </c>
    </row>
    <row r="145" spans="5:11" ht="12.75">
      <c r="E145" s="39"/>
      <c r="H145" s="38"/>
      <c r="I145" s="38"/>
      <c r="K145" s="39"/>
    </row>
    <row r="146" spans="2:16" ht="12.75">
      <c r="B146" s="15" t="s">
        <v>127</v>
      </c>
      <c r="D146" s="15" t="s">
        <v>69</v>
      </c>
      <c r="E146" s="39"/>
      <c r="F146" s="16"/>
      <c r="G146" s="18"/>
      <c r="H146" s="16"/>
      <c r="I146" s="16"/>
      <c r="K146" s="39"/>
      <c r="P146" s="41"/>
    </row>
    <row r="147" spans="2:16" ht="12.75">
      <c r="B147" s="15" t="s">
        <v>333</v>
      </c>
      <c r="D147" s="15" t="s">
        <v>69</v>
      </c>
      <c r="E147" s="39"/>
      <c r="F147" s="37"/>
      <c r="G147" s="18"/>
      <c r="H147" s="16"/>
      <c r="I147" s="16"/>
      <c r="K147" s="39"/>
      <c r="P147" s="16"/>
    </row>
    <row r="148" spans="5:16" ht="12.75">
      <c r="E148" s="39"/>
      <c r="F148" s="37"/>
      <c r="G148" s="18"/>
      <c r="H148" s="16"/>
      <c r="I148" s="16"/>
      <c r="K148" s="39"/>
      <c r="P148" s="16"/>
    </row>
    <row r="149" spans="2:16" ht="12.75">
      <c r="B149" s="59" t="s">
        <v>93</v>
      </c>
      <c r="C149" s="59"/>
      <c r="E149" s="39"/>
      <c r="K149" s="39"/>
      <c r="P149" s="16"/>
    </row>
    <row r="150" spans="2:20" ht="12.75">
      <c r="B150" s="15" t="s">
        <v>53</v>
      </c>
      <c r="D150" s="15" t="s">
        <v>79</v>
      </c>
      <c r="E150" s="39"/>
      <c r="F150" s="41">
        <f>F120*F124/100*454*1000/60*1/(0.0283*F143)*(21-7)/(21-F144)</f>
        <v>17962.983085399635</v>
      </c>
      <c r="G150" s="18"/>
      <c r="H150" s="41">
        <f>H120*H124/100*454*1000/60*1/(0.0283*H143)*(21-7)/(21-H144)</f>
        <v>17372.96371635287</v>
      </c>
      <c r="I150" s="16"/>
      <c r="J150" s="16">
        <f>J120*J124/100*454*1000/60*1/(0.0283*J143)*(21-7)/(21-J144)</f>
        <v>15334.097061387562</v>
      </c>
      <c r="K150" s="39"/>
      <c r="L150" s="41">
        <f>AVERAGE(F150,H150,J150)</f>
        <v>16890.01462104669</v>
      </c>
      <c r="N150" s="16">
        <f>F150</f>
        <v>17962.983085399635</v>
      </c>
      <c r="O150" s="16"/>
      <c r="P150" s="16">
        <f>H150</f>
        <v>17372.96371635287</v>
      </c>
      <c r="R150" s="16">
        <f>J150</f>
        <v>15334.097061387562</v>
      </c>
      <c r="T150" s="16">
        <f>AVERAGE(R150,P150,N150)</f>
        <v>16890.01462104669</v>
      </c>
    </row>
    <row r="151" spans="2:20" ht="12.75">
      <c r="B151" s="15" t="s">
        <v>54</v>
      </c>
      <c r="D151" s="15" t="s">
        <v>71</v>
      </c>
      <c r="E151" s="39"/>
      <c r="F151" s="16">
        <v>32659.969246181157</v>
      </c>
      <c r="G151" s="19"/>
      <c r="H151" s="16">
        <v>144774.69763627395</v>
      </c>
      <c r="I151" s="17"/>
      <c r="J151" s="16">
        <v>90200.5709493386</v>
      </c>
      <c r="K151" s="17"/>
      <c r="L151" s="41">
        <f aca="true" t="shared" si="2" ref="L151:L167">AVERAGE(F151,H151,J151)</f>
        <v>89211.74594393124</v>
      </c>
      <c r="N151" s="16">
        <f>F151</f>
        <v>32659.969246181157</v>
      </c>
      <c r="P151" s="16">
        <f>H151</f>
        <v>144774.69763627395</v>
      </c>
      <c r="R151" s="16">
        <f>J151</f>
        <v>90200.5709493386</v>
      </c>
      <c r="T151" s="16">
        <f aca="true" t="shared" si="3" ref="T151:T169">AVERAGE(R151,P151,N151)</f>
        <v>89211.74594393122</v>
      </c>
    </row>
    <row r="152" spans="2:20" ht="12.75">
      <c r="B152" s="10" t="s">
        <v>100</v>
      </c>
      <c r="D152" s="15" t="s">
        <v>71</v>
      </c>
      <c r="E152" s="39"/>
      <c r="F152" s="16">
        <v>37121.98582849857</v>
      </c>
      <c r="H152" s="16">
        <v>32369.675785945725</v>
      </c>
      <c r="I152" s="16"/>
      <c r="J152" s="16">
        <v>26660.4345778195</v>
      </c>
      <c r="K152" s="39"/>
      <c r="L152" s="41">
        <f t="shared" si="2"/>
        <v>32050.698730754597</v>
      </c>
      <c r="N152" s="16">
        <f>F152</f>
        <v>37121.98582849857</v>
      </c>
      <c r="P152" s="16">
        <f>H152</f>
        <v>32369.675785945725</v>
      </c>
      <c r="R152" s="16">
        <f>J152</f>
        <v>26660.4345778195</v>
      </c>
      <c r="T152" s="16">
        <f t="shared" si="3"/>
        <v>32050.698730754597</v>
      </c>
    </row>
    <row r="153" spans="2:20" ht="12.75">
      <c r="B153" s="10" t="s">
        <v>101</v>
      </c>
      <c r="D153" s="15" t="s">
        <v>71</v>
      </c>
      <c r="E153" s="39"/>
      <c r="F153" s="16">
        <v>1907.286129026958</v>
      </c>
      <c r="H153" s="16">
        <v>1922.460536648218</v>
      </c>
      <c r="I153" s="16"/>
      <c r="J153" s="16">
        <v>1617.8808308291416</v>
      </c>
      <c r="K153" s="39"/>
      <c r="L153" s="41">
        <f t="shared" si="2"/>
        <v>1815.875832168106</v>
      </c>
      <c r="N153" s="16">
        <f>F153</f>
        <v>1907.286129026958</v>
      </c>
      <c r="P153" s="16">
        <f>H153</f>
        <v>1922.460536648218</v>
      </c>
      <c r="R153" s="16">
        <f>J153</f>
        <v>1617.8808308291416</v>
      </c>
      <c r="T153" s="16">
        <f t="shared" si="3"/>
        <v>1815.875832168106</v>
      </c>
    </row>
    <row r="154" spans="2:20" ht="12.75">
      <c r="B154" s="10" t="s">
        <v>102</v>
      </c>
      <c r="D154" s="15" t="s">
        <v>71</v>
      </c>
      <c r="E154" s="39"/>
      <c r="F154" s="16">
        <v>194187.183010941</v>
      </c>
      <c r="H154" s="16">
        <v>221537.48390797328</v>
      </c>
      <c r="I154" s="16"/>
      <c r="J154" s="16">
        <v>174990.94160791716</v>
      </c>
      <c r="K154" s="39"/>
      <c r="L154" s="41">
        <f t="shared" si="2"/>
        <v>196905.20284227715</v>
      </c>
      <c r="N154" s="16">
        <f>F154</f>
        <v>194187.183010941</v>
      </c>
      <c r="P154" s="16">
        <f>H154</f>
        <v>221537.48390797328</v>
      </c>
      <c r="R154" s="16">
        <f>J154</f>
        <v>174990.94160791716</v>
      </c>
      <c r="T154" s="16">
        <f t="shared" si="3"/>
        <v>196905.20284227715</v>
      </c>
    </row>
    <row r="155" spans="2:20" ht="12.75">
      <c r="B155" s="10" t="s">
        <v>103</v>
      </c>
      <c r="D155" s="15" t="s">
        <v>71</v>
      </c>
      <c r="E155" s="39">
        <v>100</v>
      </c>
      <c r="F155" s="16">
        <v>76.08854238139457</v>
      </c>
      <c r="G155" s="39">
        <v>100</v>
      </c>
      <c r="H155" s="16">
        <v>80.32296963228731</v>
      </c>
      <c r="I155" s="39">
        <v>100</v>
      </c>
      <c r="J155" s="16">
        <v>69.19826172268436</v>
      </c>
      <c r="K155" s="39">
        <v>100</v>
      </c>
      <c r="L155" s="41">
        <f t="shared" si="2"/>
        <v>75.20325791212208</v>
      </c>
      <c r="M155" s="39">
        <v>100</v>
      </c>
      <c r="N155" s="16">
        <f>F155/2</f>
        <v>38.04427119069729</v>
      </c>
      <c r="O155" s="39">
        <v>100</v>
      </c>
      <c r="P155" s="16">
        <f>H155/2</f>
        <v>40.161484816143656</v>
      </c>
      <c r="Q155" s="39">
        <v>100</v>
      </c>
      <c r="R155" s="16">
        <f>J155/2</f>
        <v>34.59913086134218</v>
      </c>
      <c r="S155" s="39">
        <v>100</v>
      </c>
      <c r="T155" s="16">
        <f t="shared" si="3"/>
        <v>37.60162895606104</v>
      </c>
    </row>
    <row r="156" spans="2:20" ht="12.75">
      <c r="B156" s="10" t="s">
        <v>104</v>
      </c>
      <c r="D156" s="15" t="s">
        <v>71</v>
      </c>
      <c r="E156" s="39"/>
      <c r="F156" s="16">
        <v>1504.2474257461158</v>
      </c>
      <c r="H156" s="16">
        <v>1355.8709664276525</v>
      </c>
      <c r="I156" s="39"/>
      <c r="J156" s="16">
        <v>1166.6062773861142</v>
      </c>
      <c r="K156" s="39"/>
      <c r="L156" s="41">
        <f t="shared" si="2"/>
        <v>1342.2415565199608</v>
      </c>
      <c r="M156" s="39"/>
      <c r="N156" s="16">
        <f aca="true" t="shared" si="4" ref="N156:N161">F156</f>
        <v>1504.2474257461158</v>
      </c>
      <c r="O156" s="39"/>
      <c r="P156" s="16">
        <f aca="true" t="shared" si="5" ref="P156:P161">H156</f>
        <v>1355.8709664276525</v>
      </c>
      <c r="Q156" s="39"/>
      <c r="R156" s="16">
        <f aca="true" t="shared" si="6" ref="R156:R161">J156</f>
        <v>1166.6062773861142</v>
      </c>
      <c r="S156" s="39"/>
      <c r="T156" s="16">
        <f t="shared" si="3"/>
        <v>1342.241556519961</v>
      </c>
    </row>
    <row r="157" spans="2:20" ht="12.75">
      <c r="B157" s="10" t="s">
        <v>121</v>
      </c>
      <c r="D157" s="15" t="s">
        <v>71</v>
      </c>
      <c r="E157" s="39"/>
      <c r="F157" s="16">
        <v>15660.405450134303</v>
      </c>
      <c r="H157" s="16">
        <v>13558.709664276523</v>
      </c>
      <c r="I157" s="39"/>
      <c r="J157" s="16">
        <v>11666.062773861144</v>
      </c>
      <c r="K157" s="39"/>
      <c r="L157" s="41">
        <f t="shared" si="2"/>
        <v>13628.392629423988</v>
      </c>
      <c r="M157" s="39"/>
      <c r="N157" s="16">
        <f t="shared" si="4"/>
        <v>15660.405450134303</v>
      </c>
      <c r="O157" s="39"/>
      <c r="P157" s="16">
        <f t="shared" si="5"/>
        <v>13558.709664276523</v>
      </c>
      <c r="Q157" s="39"/>
      <c r="R157" s="16">
        <f t="shared" si="6"/>
        <v>11666.062773861144</v>
      </c>
      <c r="S157" s="39"/>
      <c r="T157" s="16">
        <f t="shared" si="3"/>
        <v>13628.392629423992</v>
      </c>
    </row>
    <row r="158" spans="2:20" ht="12.75">
      <c r="B158" s="10" t="s">
        <v>116</v>
      </c>
      <c r="D158" s="15" t="s">
        <v>71</v>
      </c>
      <c r="E158" s="39"/>
      <c r="F158" s="16">
        <v>613.3197658621502</v>
      </c>
      <c r="H158" s="16">
        <v>442.4977967766726</v>
      </c>
      <c r="I158" s="39"/>
      <c r="J158" s="16">
        <v>342.595074909241</v>
      </c>
      <c r="K158" s="39"/>
      <c r="L158" s="41">
        <f t="shared" si="2"/>
        <v>466.13754584935464</v>
      </c>
      <c r="M158" s="39"/>
      <c r="N158" s="16">
        <f t="shared" si="4"/>
        <v>613.3197658621502</v>
      </c>
      <c r="O158" s="39"/>
      <c r="P158" s="16">
        <f t="shared" si="5"/>
        <v>442.4977967766726</v>
      </c>
      <c r="Q158" s="39"/>
      <c r="R158" s="16">
        <f t="shared" si="6"/>
        <v>342.595074909241</v>
      </c>
      <c r="S158" s="39"/>
      <c r="T158" s="16">
        <f t="shared" si="3"/>
        <v>466.13754584935464</v>
      </c>
    </row>
    <row r="159" spans="2:20" ht="12.75">
      <c r="B159" s="10" t="s">
        <v>117</v>
      </c>
      <c r="D159" s="15" t="s">
        <v>71</v>
      </c>
      <c r="E159" s="39"/>
      <c r="F159" s="16">
        <v>31403.816582866493</v>
      </c>
      <c r="H159" s="16">
        <v>28137.088164603643</v>
      </c>
      <c r="I159" s="39"/>
      <c r="J159" s="16">
        <v>25301.94109614717</v>
      </c>
      <c r="K159" s="39"/>
      <c r="L159" s="41">
        <f t="shared" si="2"/>
        <v>28280.948614539102</v>
      </c>
      <c r="M159" s="39"/>
      <c r="N159" s="16">
        <f t="shared" si="4"/>
        <v>31403.816582866493</v>
      </c>
      <c r="O159" s="39"/>
      <c r="P159" s="16">
        <f t="shared" si="5"/>
        <v>28137.088164603643</v>
      </c>
      <c r="Q159" s="39"/>
      <c r="R159" s="16">
        <f t="shared" si="6"/>
        <v>25301.94109614717</v>
      </c>
      <c r="S159" s="39"/>
      <c r="T159" s="16">
        <f t="shared" si="3"/>
        <v>28280.948614539102</v>
      </c>
    </row>
    <row r="160" spans="2:20" ht="12.75">
      <c r="B160" s="10" t="s">
        <v>99</v>
      </c>
      <c r="D160" s="15" t="s">
        <v>71</v>
      </c>
      <c r="E160" s="39"/>
      <c r="F160" s="16">
        <v>48327.752979213044</v>
      </c>
      <c r="H160" s="16">
        <v>42181.58345360238</v>
      </c>
      <c r="I160" s="39"/>
      <c r="J160" s="16">
        <v>36339.70063473486</v>
      </c>
      <c r="K160" s="39"/>
      <c r="L160" s="41">
        <f t="shared" si="2"/>
        <v>42283.0123558501</v>
      </c>
      <c r="M160" s="39"/>
      <c r="N160" s="16">
        <f t="shared" si="4"/>
        <v>48327.752979213044</v>
      </c>
      <c r="O160" s="39"/>
      <c r="P160" s="16">
        <f t="shared" si="5"/>
        <v>42181.58345360238</v>
      </c>
      <c r="Q160" s="39"/>
      <c r="R160" s="16">
        <f t="shared" si="6"/>
        <v>36339.70063473486</v>
      </c>
      <c r="S160" s="39"/>
      <c r="T160" s="16">
        <f t="shared" si="3"/>
        <v>42283.0123558501</v>
      </c>
    </row>
    <row r="161" spans="2:20" ht="12.75">
      <c r="B161" s="10" t="s">
        <v>118</v>
      </c>
      <c r="D161" s="15" t="s">
        <v>71</v>
      </c>
      <c r="E161" s="39"/>
      <c r="F161" s="16">
        <v>189345.18485939773</v>
      </c>
      <c r="H161" s="16">
        <v>184358.04946141157</v>
      </c>
      <c r="I161" s="39"/>
      <c r="J161" s="16">
        <v>163825.82330542267</v>
      </c>
      <c r="K161" s="39"/>
      <c r="L161" s="41">
        <f t="shared" si="2"/>
        <v>179176.35254207734</v>
      </c>
      <c r="M161" s="39"/>
      <c r="N161" s="16">
        <f t="shared" si="4"/>
        <v>189345.18485939773</v>
      </c>
      <c r="O161" s="39"/>
      <c r="P161" s="16">
        <f t="shared" si="5"/>
        <v>184358.04946141157</v>
      </c>
      <c r="Q161" s="39"/>
      <c r="R161" s="16">
        <f t="shared" si="6"/>
        <v>163825.82330542267</v>
      </c>
      <c r="S161" s="39"/>
      <c r="T161" s="16">
        <f t="shared" si="3"/>
        <v>179176.3525420773</v>
      </c>
    </row>
    <row r="162" spans="2:20" ht="12.75">
      <c r="B162" s="10" t="s">
        <v>105</v>
      </c>
      <c r="D162" s="15" t="s">
        <v>71</v>
      </c>
      <c r="E162" s="39">
        <v>100</v>
      </c>
      <c r="F162" s="16">
        <v>29.467017322249177</v>
      </c>
      <c r="G162" s="39">
        <v>100</v>
      </c>
      <c r="H162" s="16">
        <v>33.13923717164429</v>
      </c>
      <c r="I162" s="39">
        <v>100</v>
      </c>
      <c r="J162" s="16">
        <v>29.334968619861893</v>
      </c>
      <c r="K162" s="39">
        <v>100</v>
      </c>
      <c r="L162" s="41">
        <f t="shared" si="2"/>
        <v>30.647074371251787</v>
      </c>
      <c r="M162" s="39">
        <v>100</v>
      </c>
      <c r="N162" s="16">
        <f>F162/2</f>
        <v>14.733508661124588</v>
      </c>
      <c r="O162" s="39">
        <v>100</v>
      </c>
      <c r="P162" s="16">
        <f>H162/2</f>
        <v>16.569618585822145</v>
      </c>
      <c r="Q162" s="39">
        <v>100</v>
      </c>
      <c r="R162" s="16">
        <f>J162/2</f>
        <v>14.667484309930947</v>
      </c>
      <c r="S162" s="39">
        <v>100</v>
      </c>
      <c r="T162" s="16">
        <f t="shared" si="3"/>
        <v>15.323537185625893</v>
      </c>
    </row>
    <row r="163" spans="1:20" ht="12.75">
      <c r="A163" s="37" t="s">
        <v>126</v>
      </c>
      <c r="B163" s="10" t="s">
        <v>106</v>
      </c>
      <c r="C163" s="36"/>
      <c r="D163" s="15" t="s">
        <v>71</v>
      </c>
      <c r="E163" s="39"/>
      <c r="F163" s="16">
        <v>14853.405758210423</v>
      </c>
      <c r="H163" s="16">
        <v>12106.162548770488</v>
      </c>
      <c r="I163" s="39"/>
      <c r="J163" s="16">
        <v>9972.191213900955</v>
      </c>
      <c r="K163" s="39"/>
      <c r="L163" s="41">
        <f t="shared" si="2"/>
        <v>12310.586506960623</v>
      </c>
      <c r="M163" s="39"/>
      <c r="N163" s="16">
        <f>F163</f>
        <v>14853.405758210423</v>
      </c>
      <c r="O163" s="39"/>
      <c r="P163" s="16">
        <f>H163</f>
        <v>12106.162548770488</v>
      </c>
      <c r="Q163" s="39"/>
      <c r="R163" s="16">
        <f>J163</f>
        <v>9972.191213900955</v>
      </c>
      <c r="S163" s="39"/>
      <c r="T163" s="16">
        <f t="shared" si="3"/>
        <v>12310.586506960623</v>
      </c>
    </row>
    <row r="164" spans="2:20" ht="12.75">
      <c r="B164" s="10" t="s">
        <v>107</v>
      </c>
      <c r="D164" s="15" t="s">
        <v>71</v>
      </c>
      <c r="E164" s="39"/>
      <c r="F164" s="16">
        <v>25639.533069124485</v>
      </c>
      <c r="H164" s="16">
        <v>25347.42814144636</v>
      </c>
      <c r="I164" s="39"/>
      <c r="J164" s="16">
        <v>22117.971998477646</v>
      </c>
      <c r="K164" s="39"/>
      <c r="L164" s="41">
        <f t="shared" si="2"/>
        <v>24368.311069682833</v>
      </c>
      <c r="M164" s="39"/>
      <c r="N164" s="16">
        <f>F164</f>
        <v>25639.533069124485</v>
      </c>
      <c r="O164" s="39"/>
      <c r="P164" s="16">
        <f>H164</f>
        <v>25347.42814144636</v>
      </c>
      <c r="Q164" s="39"/>
      <c r="R164" s="16">
        <f>J164</f>
        <v>22117.971998477646</v>
      </c>
      <c r="S164" s="39"/>
      <c r="T164" s="16">
        <f t="shared" si="3"/>
        <v>24368.311069682833</v>
      </c>
    </row>
    <row r="165" spans="2:20" ht="12.75">
      <c r="B165" s="10" t="s">
        <v>108</v>
      </c>
      <c r="D165" s="15" t="s">
        <v>71</v>
      </c>
      <c r="E165" s="39">
        <v>100</v>
      </c>
      <c r="F165" s="16">
        <v>381.36499726917157</v>
      </c>
      <c r="G165" s="39">
        <v>100</v>
      </c>
      <c r="H165" s="16">
        <v>400.6528964293134</v>
      </c>
      <c r="I165" s="39">
        <v>100</v>
      </c>
      <c r="J165" s="16">
        <v>345.1422501873766</v>
      </c>
      <c r="K165" s="39">
        <v>100</v>
      </c>
      <c r="L165" s="41">
        <f t="shared" si="2"/>
        <v>375.72004796195387</v>
      </c>
      <c r="M165" s="39">
        <v>100</v>
      </c>
      <c r="N165" s="16">
        <f>F165/2</f>
        <v>190.68249863458578</v>
      </c>
      <c r="O165" s="39">
        <v>100</v>
      </c>
      <c r="P165" s="16">
        <f>H165/2</f>
        <v>200.3264482146567</v>
      </c>
      <c r="Q165" s="39">
        <v>100</v>
      </c>
      <c r="R165" s="16">
        <f>J165/2</f>
        <v>172.5711250936883</v>
      </c>
      <c r="S165" s="39">
        <v>100</v>
      </c>
      <c r="T165" s="16">
        <f t="shared" si="3"/>
        <v>187.86002398097693</v>
      </c>
    </row>
    <row r="166" spans="2:20" ht="12.75">
      <c r="B166" s="10" t="s">
        <v>119</v>
      </c>
      <c r="D166" s="15" t="s">
        <v>71</v>
      </c>
      <c r="F166" s="16">
        <v>1017.2807545051905</v>
      </c>
      <c r="H166" s="16">
        <v>827.759465492015</v>
      </c>
      <c r="I166" s="41"/>
      <c r="J166" s="16">
        <v>689.4354419487081</v>
      </c>
      <c r="L166" s="41">
        <f t="shared" si="2"/>
        <v>844.8252206486378</v>
      </c>
      <c r="N166" s="16">
        <f>F166</f>
        <v>1017.2807545051905</v>
      </c>
      <c r="P166" s="16">
        <f>H166</f>
        <v>827.759465492015</v>
      </c>
      <c r="R166" s="16">
        <f>J166</f>
        <v>689.4354419487081</v>
      </c>
      <c r="T166" s="16">
        <f t="shared" si="3"/>
        <v>844.8252206486378</v>
      </c>
    </row>
    <row r="167" spans="2:20" ht="12.75">
      <c r="B167" s="15" t="s">
        <v>124</v>
      </c>
      <c r="D167" s="15" t="s">
        <v>71</v>
      </c>
      <c r="F167" s="16">
        <v>348669.981179227</v>
      </c>
      <c r="H167" s="16">
        <v>311047.09258203715</v>
      </c>
      <c r="J167" s="16">
        <v>269066.6152137261</v>
      </c>
      <c r="L167" s="41">
        <f t="shared" si="2"/>
        <v>309594.5629916634</v>
      </c>
      <c r="N167" s="16">
        <f>F167</f>
        <v>348669.981179227</v>
      </c>
      <c r="P167" s="16">
        <f>H167</f>
        <v>311047.09258203715</v>
      </c>
      <c r="R167" s="16">
        <f>J167</f>
        <v>269066.6152137261</v>
      </c>
      <c r="T167" s="16">
        <f t="shared" si="3"/>
        <v>309594.5629916634</v>
      </c>
    </row>
    <row r="168" spans="2:20" ht="12.75">
      <c r="B168" s="15" t="s">
        <v>72</v>
      </c>
      <c r="D168" s="15" t="s">
        <v>71</v>
      </c>
      <c r="F168" s="16">
        <v>49832.00040495916</v>
      </c>
      <c r="H168" s="16">
        <v>43537.45442003004</v>
      </c>
      <c r="J168" s="16">
        <v>37506.30691212097</v>
      </c>
      <c r="L168" s="41">
        <f>AVERAGE(F168,H168,J168)</f>
        <v>43625.253912370055</v>
      </c>
      <c r="N168" s="16">
        <f aca="true" t="shared" si="7" ref="N168:R169">F168</f>
        <v>49832.00040495916</v>
      </c>
      <c r="P168" s="16">
        <f t="shared" si="7"/>
        <v>43537.45442003004</v>
      </c>
      <c r="R168" s="16">
        <f t="shared" si="7"/>
        <v>37506.30691212097</v>
      </c>
      <c r="T168" s="16">
        <f t="shared" si="3"/>
        <v>43625.25391237006</v>
      </c>
    </row>
    <row r="169" spans="2:20" ht="12.75">
      <c r="B169" s="15" t="s">
        <v>73</v>
      </c>
      <c r="D169" s="15" t="s">
        <v>71</v>
      </c>
      <c r="F169" s="16">
        <v>17605.735850351957</v>
      </c>
      <c r="H169" s="16">
        <v>15521.331685740884</v>
      </c>
      <c r="J169" s="16">
        <v>13318.542735551628</v>
      </c>
      <c r="L169" s="41">
        <f>AVERAGE(F169,H169,J169)</f>
        <v>15481.870090548158</v>
      </c>
      <c r="N169" s="16">
        <f t="shared" si="7"/>
        <v>17605.735850351957</v>
      </c>
      <c r="P169" s="16">
        <f t="shared" si="7"/>
        <v>15521.331685740884</v>
      </c>
      <c r="R169" s="16">
        <f t="shared" si="7"/>
        <v>13318.542735551628</v>
      </c>
      <c r="T169" s="16">
        <f t="shared" si="3"/>
        <v>15481.870090548158</v>
      </c>
    </row>
    <row r="170" ht="12.75">
      <c r="F170" s="37"/>
    </row>
    <row r="171" spans="1:8" ht="12.75">
      <c r="A171" s="37" t="s">
        <v>126</v>
      </c>
      <c r="B171" s="36" t="s">
        <v>203</v>
      </c>
      <c r="C171" s="36" t="s">
        <v>125</v>
      </c>
      <c r="F171" s="38" t="s">
        <v>48</v>
      </c>
      <c r="H171" s="38" t="s">
        <v>48</v>
      </c>
    </row>
    <row r="172" spans="2:3" ht="12.75">
      <c r="B172" s="36"/>
      <c r="C172" s="36"/>
    </row>
    <row r="173" spans="2:8" ht="12.75">
      <c r="B173" s="15" t="s">
        <v>325</v>
      </c>
      <c r="C173" s="36"/>
      <c r="F173" s="38" t="s">
        <v>327</v>
      </c>
      <c r="H173" s="37" t="s">
        <v>243</v>
      </c>
    </row>
    <row r="174" spans="2:8" ht="12.75">
      <c r="B174" s="15" t="s">
        <v>326</v>
      </c>
      <c r="F174" s="38" t="s">
        <v>328</v>
      </c>
      <c r="H174" s="37" t="s">
        <v>25</v>
      </c>
    </row>
    <row r="175" spans="2:8" ht="12.75">
      <c r="B175" s="15" t="s">
        <v>331</v>
      </c>
      <c r="H175" s="25" t="s">
        <v>25</v>
      </c>
    </row>
    <row r="176" spans="2:16" ht="12.75">
      <c r="B176" s="15" t="s">
        <v>49</v>
      </c>
      <c r="F176" s="38" t="s">
        <v>146</v>
      </c>
      <c r="G176" s="38"/>
      <c r="H176" s="38" t="s">
        <v>25</v>
      </c>
      <c r="I176" s="38"/>
      <c r="K176" s="38"/>
      <c r="L176" s="38"/>
      <c r="M176" s="38"/>
      <c r="N176" s="38"/>
      <c r="O176" s="38"/>
      <c r="P176" s="38"/>
    </row>
    <row r="177" spans="2:13" ht="12.75">
      <c r="B177" s="15" t="s">
        <v>128</v>
      </c>
      <c r="D177" s="15" t="s">
        <v>59</v>
      </c>
      <c r="F177" s="40"/>
      <c r="L177" s="41"/>
      <c r="M177" s="41"/>
    </row>
    <row r="178" spans="2:13" ht="12.75">
      <c r="B178" s="15" t="s">
        <v>51</v>
      </c>
      <c r="D178" s="15" t="s">
        <v>52</v>
      </c>
      <c r="F178" s="40"/>
      <c r="L178" s="41"/>
      <c r="M178" s="41"/>
    </row>
    <row r="179" spans="2:9" ht="12.75">
      <c r="B179" s="10" t="s">
        <v>100</v>
      </c>
      <c r="D179" s="15" t="s">
        <v>59</v>
      </c>
      <c r="E179" s="39"/>
      <c r="F179" s="37">
        <v>0.62997543</v>
      </c>
      <c r="I179" s="42"/>
    </row>
    <row r="180" spans="2:11" ht="12.75">
      <c r="B180" s="10" t="s">
        <v>101</v>
      </c>
      <c r="D180" s="15" t="s">
        <v>59</v>
      </c>
      <c r="E180" s="39"/>
      <c r="F180" s="37">
        <v>0.027998291999999998</v>
      </c>
      <c r="I180" s="38"/>
      <c r="K180" s="38"/>
    </row>
    <row r="181" spans="2:11" ht="12.75">
      <c r="B181" s="10" t="s">
        <v>102</v>
      </c>
      <c r="D181" s="15" t="s">
        <v>59</v>
      </c>
      <c r="E181" s="39"/>
      <c r="F181" s="37">
        <v>0.15999856</v>
      </c>
      <c r="K181" s="38"/>
    </row>
    <row r="182" spans="2:11" ht="12.75">
      <c r="B182" s="10" t="s">
        <v>104</v>
      </c>
      <c r="D182" s="15" t="s">
        <v>59</v>
      </c>
      <c r="E182" s="39"/>
      <c r="F182" s="37">
        <v>0.13997564</v>
      </c>
      <c r="H182" s="61"/>
      <c r="I182" s="39"/>
      <c r="K182" s="38"/>
    </row>
    <row r="183" spans="2:15" ht="12.75">
      <c r="B183" s="10" t="s">
        <v>121</v>
      </c>
      <c r="D183" s="15" t="s">
        <v>59</v>
      </c>
      <c r="E183" s="39"/>
      <c r="F183" s="37">
        <v>0.016999928600000002</v>
      </c>
      <c r="H183" s="61"/>
      <c r="I183" s="39"/>
      <c r="K183" s="38"/>
      <c r="N183" s="41"/>
      <c r="O183" s="41"/>
    </row>
    <row r="184" spans="2:11" ht="12.75">
      <c r="B184" s="10" t="s">
        <v>117</v>
      </c>
      <c r="D184" s="15" t="s">
        <v>59</v>
      </c>
      <c r="E184" s="39"/>
      <c r="F184" s="37">
        <v>0.2199945</v>
      </c>
      <c r="H184" s="61"/>
      <c r="I184" s="39"/>
      <c r="K184" s="39"/>
    </row>
    <row r="185" spans="2:11" ht="12.75">
      <c r="B185" s="10" t="s">
        <v>99</v>
      </c>
      <c r="D185" s="15" t="s">
        <v>59</v>
      </c>
      <c r="E185" s="39"/>
      <c r="F185" s="37">
        <v>1.7998379999999998</v>
      </c>
      <c r="H185" s="61"/>
      <c r="I185" s="39"/>
      <c r="K185" s="39"/>
    </row>
    <row r="186" spans="2:11" ht="12.75">
      <c r="B186" s="10" t="s">
        <v>118</v>
      </c>
      <c r="D186" s="15" t="s">
        <v>59</v>
      </c>
      <c r="E186" s="39"/>
      <c r="F186" s="37">
        <v>0.013999998599999999</v>
      </c>
      <c r="H186" s="61"/>
      <c r="I186" s="39"/>
      <c r="K186" s="39"/>
    </row>
    <row r="187" spans="2:11" ht="12.75">
      <c r="B187" s="10" t="s">
        <v>106</v>
      </c>
      <c r="D187" s="15" t="s">
        <v>59</v>
      </c>
      <c r="E187" s="39"/>
      <c r="F187" s="37">
        <v>0.014999354999999999</v>
      </c>
      <c r="H187" s="61"/>
      <c r="I187" s="39"/>
      <c r="K187" s="39"/>
    </row>
    <row r="188" spans="2:11" ht="12.75">
      <c r="B188" s="37" t="s">
        <v>201</v>
      </c>
      <c r="D188" s="15" t="s">
        <v>59</v>
      </c>
      <c r="E188" s="39"/>
      <c r="F188" s="37">
        <v>0.009199622800000001</v>
      </c>
      <c r="H188" s="61"/>
      <c r="I188" s="39"/>
      <c r="K188" s="39"/>
    </row>
    <row r="189" spans="2:11" ht="12.75">
      <c r="B189" s="10" t="s">
        <v>107</v>
      </c>
      <c r="D189" s="15" t="s">
        <v>59</v>
      </c>
      <c r="E189" s="39"/>
      <c r="F189" s="37">
        <v>0.63992512</v>
      </c>
      <c r="H189" s="61"/>
      <c r="I189" s="38"/>
      <c r="K189" s="39"/>
    </row>
    <row r="190" spans="2:11" ht="12.75">
      <c r="B190" s="10" t="s">
        <v>119</v>
      </c>
      <c r="D190" s="15" t="s">
        <v>59</v>
      </c>
      <c r="E190" s="39"/>
      <c r="F190" s="37">
        <v>0.000129999961</v>
      </c>
      <c r="H190" s="61"/>
      <c r="I190" s="38"/>
      <c r="K190" s="39"/>
    </row>
    <row r="191" spans="2:11" ht="12.75">
      <c r="B191" s="15" t="s">
        <v>124</v>
      </c>
      <c r="D191" s="15" t="s">
        <v>59</v>
      </c>
      <c r="E191" s="39"/>
      <c r="F191" s="37">
        <v>1.2999726999999999</v>
      </c>
      <c r="H191" s="61"/>
      <c r="I191" s="38"/>
      <c r="K191" s="39"/>
    </row>
    <row r="192" spans="5:11" ht="12.75">
      <c r="E192" s="39"/>
      <c r="H192" s="61"/>
      <c r="I192" s="38"/>
      <c r="K192" s="39"/>
    </row>
    <row r="193" spans="2:11" ht="12.75">
      <c r="B193" s="15" t="s">
        <v>77</v>
      </c>
      <c r="D193" s="15" t="s">
        <v>17</v>
      </c>
      <c r="E193" s="39"/>
      <c r="F193" s="17">
        <v>16732.39864736502</v>
      </c>
      <c r="H193" s="38"/>
      <c r="I193" s="38"/>
      <c r="K193" s="39"/>
    </row>
    <row r="194" spans="2:11" ht="12.75">
      <c r="B194" s="15" t="s">
        <v>78</v>
      </c>
      <c r="D194" s="15" t="s">
        <v>18</v>
      </c>
      <c r="E194" s="39"/>
      <c r="H194" s="38"/>
      <c r="I194" s="38"/>
      <c r="K194" s="39"/>
    </row>
    <row r="195" spans="5:11" ht="12.75">
      <c r="E195" s="39"/>
      <c r="H195" s="38"/>
      <c r="I195" s="38"/>
      <c r="K195" s="39"/>
    </row>
    <row r="196" spans="2:16" ht="12.75">
      <c r="B196" s="15" t="s">
        <v>127</v>
      </c>
      <c r="D196" s="15" t="s">
        <v>69</v>
      </c>
      <c r="E196" s="39"/>
      <c r="F196" s="16"/>
      <c r="G196" s="18"/>
      <c r="H196" s="16"/>
      <c r="I196" s="16"/>
      <c r="K196" s="39"/>
      <c r="P196" s="41"/>
    </row>
    <row r="197" spans="2:16" ht="12.75">
      <c r="B197" s="15" t="s">
        <v>333</v>
      </c>
      <c r="D197" s="15" t="s">
        <v>69</v>
      </c>
      <c r="E197" s="39"/>
      <c r="F197" s="37"/>
      <c r="G197" s="18"/>
      <c r="H197" s="16"/>
      <c r="I197" s="16"/>
      <c r="K197" s="39"/>
      <c r="P197" s="16"/>
    </row>
    <row r="198" spans="5:16" ht="12.75">
      <c r="E198" s="39"/>
      <c r="F198" s="37"/>
      <c r="G198" s="18"/>
      <c r="H198" s="16"/>
      <c r="I198" s="16"/>
      <c r="K198" s="39"/>
      <c r="P198" s="16"/>
    </row>
    <row r="199" spans="2:16" ht="12.75">
      <c r="B199" s="59" t="s">
        <v>93</v>
      </c>
      <c r="C199" s="59"/>
      <c r="E199" s="39"/>
      <c r="F199" s="37"/>
      <c r="G199" s="18"/>
      <c r="H199" s="16"/>
      <c r="I199" s="16"/>
      <c r="K199" s="39"/>
      <c r="P199" s="16"/>
    </row>
    <row r="200" spans="2:11" ht="12.75">
      <c r="B200" s="10" t="s">
        <v>100</v>
      </c>
      <c r="D200" s="15" t="s">
        <v>71</v>
      </c>
      <c r="E200" s="39"/>
      <c r="F200" s="16">
        <v>10066.617695876292</v>
      </c>
      <c r="H200" s="16">
        <f>F200</f>
        <v>10066.617695876292</v>
      </c>
      <c r="I200" s="16"/>
      <c r="J200" s="16"/>
      <c r="K200" s="39"/>
    </row>
    <row r="201" spans="2:11" ht="12.75">
      <c r="B201" s="10" t="s">
        <v>101</v>
      </c>
      <c r="D201" s="15" t="s">
        <v>71</v>
      </c>
      <c r="E201" s="39"/>
      <c r="F201" s="16">
        <v>447.39538762886605</v>
      </c>
      <c r="H201" s="16">
        <f aca="true" t="shared" si="8" ref="H201:H214">F201</f>
        <v>447.39538762886605</v>
      </c>
      <c r="I201" s="16"/>
      <c r="J201" s="16"/>
      <c r="K201" s="39"/>
    </row>
    <row r="202" spans="2:11" ht="12.75">
      <c r="B202" s="10" t="s">
        <v>102</v>
      </c>
      <c r="D202" s="15" t="s">
        <v>71</v>
      </c>
      <c r="E202" s="39"/>
      <c r="F202" s="16">
        <v>2556.678020618557</v>
      </c>
      <c r="H202" s="16">
        <f t="shared" si="8"/>
        <v>2556.678020618557</v>
      </c>
      <c r="I202" s="16"/>
      <c r="J202" s="16"/>
      <c r="K202" s="39"/>
    </row>
    <row r="203" spans="2:15" ht="12.75">
      <c r="B203" s="10" t="s">
        <v>104</v>
      </c>
      <c r="D203" s="15" t="s">
        <v>71</v>
      </c>
      <c r="E203" s="39"/>
      <c r="F203" s="16">
        <v>2236.724144329897</v>
      </c>
      <c r="H203" s="16">
        <f t="shared" si="8"/>
        <v>2236.724144329897</v>
      </c>
      <c r="I203" s="39"/>
      <c r="J203" s="16"/>
      <c r="K203" s="39"/>
      <c r="N203" s="16"/>
      <c r="O203" s="16"/>
    </row>
    <row r="204" spans="2:11" ht="12.75">
      <c r="B204" s="10" t="s">
        <v>121</v>
      </c>
      <c r="D204" s="15" t="s">
        <v>71</v>
      </c>
      <c r="E204" s="39"/>
      <c r="F204" s="16">
        <v>271.64834360824756</v>
      </c>
      <c r="H204" s="16">
        <f t="shared" si="8"/>
        <v>271.64834360824756</v>
      </c>
      <c r="I204" s="39"/>
      <c r="J204" s="16"/>
      <c r="K204" s="39"/>
    </row>
    <row r="205" spans="2:11" ht="12.75">
      <c r="B205" s="10" t="s">
        <v>117</v>
      </c>
      <c r="D205" s="15" t="s">
        <v>71</v>
      </c>
      <c r="E205" s="39"/>
      <c r="F205" s="16">
        <v>3515.376030927836</v>
      </c>
      <c r="H205" s="16">
        <f t="shared" si="8"/>
        <v>3515.376030927836</v>
      </c>
      <c r="I205" s="39"/>
      <c r="J205" s="16"/>
      <c r="K205" s="39"/>
    </row>
    <row r="206" spans="2:15" ht="12.75">
      <c r="B206" s="10" t="s">
        <v>99</v>
      </c>
      <c r="D206" s="15" t="s">
        <v>71</v>
      </c>
      <c r="E206" s="39"/>
      <c r="F206" s="16">
        <v>28760.297938144333</v>
      </c>
      <c r="H206" s="16">
        <f t="shared" si="8"/>
        <v>28760.297938144333</v>
      </c>
      <c r="I206" s="39"/>
      <c r="J206" s="16"/>
      <c r="K206" s="39"/>
      <c r="N206" s="41"/>
      <c r="O206" s="41"/>
    </row>
    <row r="207" spans="1:10" ht="12.75">
      <c r="A207" s="37" t="s">
        <v>126</v>
      </c>
      <c r="B207" s="10" t="s">
        <v>118</v>
      </c>
      <c r="C207" s="36"/>
      <c r="D207" s="15" t="s">
        <v>71</v>
      </c>
      <c r="E207" s="39"/>
      <c r="F207" s="16">
        <v>223.71131783505157</v>
      </c>
      <c r="H207" s="16">
        <f t="shared" si="8"/>
        <v>223.71131783505157</v>
      </c>
      <c r="I207" s="39"/>
      <c r="J207" s="16"/>
    </row>
    <row r="208" spans="2:10" ht="12.75">
      <c r="B208" s="10" t="s">
        <v>106</v>
      </c>
      <c r="C208" s="36"/>
      <c r="D208" s="15" t="s">
        <v>71</v>
      </c>
      <c r="E208" s="39"/>
      <c r="F208" s="16">
        <v>239.68041494845366</v>
      </c>
      <c r="H208" s="16">
        <f t="shared" si="8"/>
        <v>239.68041494845366</v>
      </c>
      <c r="I208" s="39"/>
      <c r="J208" s="16"/>
    </row>
    <row r="209" spans="2:10" ht="12.75">
      <c r="B209" s="37" t="s">
        <v>201</v>
      </c>
      <c r="D209" s="15" t="s">
        <v>71</v>
      </c>
      <c r="E209" s="39"/>
      <c r="F209" s="16">
        <v>147.00428185567017</v>
      </c>
      <c r="H209" s="16">
        <f t="shared" si="8"/>
        <v>147.00428185567017</v>
      </c>
      <c r="I209" s="39"/>
      <c r="J209" s="16"/>
    </row>
    <row r="210" spans="2:15" ht="12.75">
      <c r="B210" s="10" t="s">
        <v>107</v>
      </c>
      <c r="D210" s="15" t="s">
        <v>71</v>
      </c>
      <c r="E210" s="39"/>
      <c r="F210" s="16">
        <v>10225.607587628867</v>
      </c>
      <c r="H210" s="16">
        <f t="shared" si="8"/>
        <v>10225.607587628867</v>
      </c>
      <c r="I210" s="39"/>
      <c r="J210" s="16"/>
      <c r="K210" s="38"/>
      <c r="L210" s="38"/>
      <c r="M210" s="38"/>
      <c r="N210" s="38"/>
      <c r="O210" s="38"/>
    </row>
    <row r="211" spans="2:10" ht="12.75">
      <c r="B211" s="10" t="s">
        <v>119</v>
      </c>
      <c r="D211" s="15" t="s">
        <v>71</v>
      </c>
      <c r="F211" s="16">
        <v>2.0773189644329904</v>
      </c>
      <c r="H211" s="16">
        <f t="shared" si="8"/>
        <v>2.0773189644329904</v>
      </c>
      <c r="I211" s="41"/>
      <c r="J211" s="16"/>
    </row>
    <row r="212" spans="2:10" ht="12.75">
      <c r="B212" s="15" t="s">
        <v>124</v>
      </c>
      <c r="D212" s="15" t="s">
        <v>71</v>
      </c>
      <c r="F212" s="16">
        <v>20772.759639175256</v>
      </c>
      <c r="H212" s="16">
        <f t="shared" si="8"/>
        <v>20772.759639175256</v>
      </c>
      <c r="J212" s="16"/>
    </row>
    <row r="213" spans="2:12" ht="12.75">
      <c r="B213" s="15" t="s">
        <v>72</v>
      </c>
      <c r="D213" s="15" t="s">
        <v>71</v>
      </c>
      <c r="F213" s="16">
        <v>30997.02208247423</v>
      </c>
      <c r="H213" s="16">
        <f t="shared" si="8"/>
        <v>30997.02208247423</v>
      </c>
      <c r="J213" s="16"/>
      <c r="L213" s="41"/>
    </row>
    <row r="214" spans="2:12" ht="12.75">
      <c r="B214" s="15" t="s">
        <v>73</v>
      </c>
      <c r="D214" s="15" t="s">
        <v>71</v>
      </c>
      <c r="F214" s="16">
        <v>719.0437312371137</v>
      </c>
      <c r="H214" s="16">
        <f t="shared" si="8"/>
        <v>719.0437312371137</v>
      </c>
      <c r="J214" s="16"/>
      <c r="L214" s="41"/>
    </row>
    <row r="215" ht="12.75">
      <c r="F215" s="37"/>
    </row>
    <row r="216" spans="1:8" ht="12.75">
      <c r="A216" s="37" t="s">
        <v>126</v>
      </c>
      <c r="B216" s="36" t="s">
        <v>204</v>
      </c>
      <c r="C216" s="36" t="s">
        <v>125</v>
      </c>
      <c r="F216" s="38" t="s">
        <v>48</v>
      </c>
      <c r="H216" s="38" t="s">
        <v>48</v>
      </c>
    </row>
    <row r="217" spans="2:3" ht="12.75">
      <c r="B217" s="36"/>
      <c r="C217" s="36"/>
    </row>
    <row r="218" spans="2:8" ht="12.75">
      <c r="B218" s="15" t="s">
        <v>325</v>
      </c>
      <c r="C218" s="36"/>
      <c r="F218" s="38" t="s">
        <v>327</v>
      </c>
      <c r="H218" s="37" t="s">
        <v>243</v>
      </c>
    </row>
    <row r="219" spans="2:8" ht="12.75">
      <c r="B219" s="15" t="s">
        <v>326</v>
      </c>
      <c r="F219" s="38" t="s">
        <v>328</v>
      </c>
      <c r="H219" s="37" t="s">
        <v>25</v>
      </c>
    </row>
    <row r="220" spans="2:8" ht="12.75">
      <c r="B220" s="15" t="s">
        <v>331</v>
      </c>
      <c r="F220" s="38" t="s">
        <v>332</v>
      </c>
      <c r="H220" s="37" t="s">
        <v>25</v>
      </c>
    </row>
    <row r="221" spans="2:16" ht="12.75">
      <c r="B221" s="15" t="s">
        <v>49</v>
      </c>
      <c r="F221" s="38" t="s">
        <v>146</v>
      </c>
      <c r="G221" s="38"/>
      <c r="H221" s="38" t="s">
        <v>25</v>
      </c>
      <c r="I221" s="38"/>
      <c r="K221" s="38"/>
      <c r="L221" s="38"/>
      <c r="M221" s="38"/>
      <c r="N221" s="38"/>
      <c r="O221" s="38"/>
      <c r="P221" s="38"/>
    </row>
    <row r="222" spans="2:13" ht="12.75">
      <c r="B222" s="15" t="s">
        <v>128</v>
      </c>
      <c r="D222" s="15" t="s">
        <v>59</v>
      </c>
      <c r="F222" s="40"/>
      <c r="L222" s="41"/>
      <c r="M222" s="41"/>
    </row>
    <row r="223" spans="2:9" ht="12.75">
      <c r="B223" s="10" t="s">
        <v>100</v>
      </c>
      <c r="D223" s="15" t="s">
        <v>59</v>
      </c>
      <c r="E223" s="39"/>
      <c r="F223" s="37">
        <v>0.1499985</v>
      </c>
      <c r="I223" s="42"/>
    </row>
    <row r="224" spans="2:11" ht="12.75">
      <c r="B224" s="10" t="s">
        <v>101</v>
      </c>
      <c r="D224" s="15" t="s">
        <v>59</v>
      </c>
      <c r="E224" s="39"/>
      <c r="F224" s="37">
        <v>0.0067998912</v>
      </c>
      <c r="I224" s="38"/>
      <c r="K224" s="38"/>
    </row>
    <row r="225" spans="2:11" ht="12.75">
      <c r="B225" s="10" t="s">
        <v>102</v>
      </c>
      <c r="D225" s="15" t="s">
        <v>59</v>
      </c>
      <c r="E225" s="39"/>
      <c r="F225" s="37">
        <v>0.14999805</v>
      </c>
      <c r="K225" s="38"/>
    </row>
    <row r="226" spans="2:11" ht="12.75">
      <c r="B226" s="10" t="s">
        <v>104</v>
      </c>
      <c r="D226" s="15" t="s">
        <v>59</v>
      </c>
      <c r="E226" s="39"/>
      <c r="F226" s="37">
        <v>0.048996619</v>
      </c>
      <c r="H226" s="61"/>
      <c r="I226" s="39"/>
      <c r="K226" s="38"/>
    </row>
    <row r="227" spans="2:15" ht="12.75">
      <c r="B227" s="10" t="s">
        <v>121</v>
      </c>
      <c r="D227" s="15" t="s">
        <v>59</v>
      </c>
      <c r="E227" s="39"/>
      <c r="F227" s="37">
        <v>0.0098999703</v>
      </c>
      <c r="H227" s="61"/>
      <c r="I227" s="39"/>
      <c r="K227" s="38"/>
      <c r="N227" s="41"/>
      <c r="O227" s="41"/>
    </row>
    <row r="228" spans="2:11" ht="12.75">
      <c r="B228" s="10" t="s">
        <v>117</v>
      </c>
      <c r="D228" s="15" t="s">
        <v>59</v>
      </c>
      <c r="E228" s="39"/>
      <c r="F228" s="37">
        <v>0.10999868000000002</v>
      </c>
      <c r="H228" s="61"/>
      <c r="I228" s="39"/>
      <c r="K228" s="39"/>
    </row>
    <row r="229" spans="2:11" ht="12.75">
      <c r="B229" s="10" t="s">
        <v>99</v>
      </c>
      <c r="D229" s="15" t="s">
        <v>59</v>
      </c>
      <c r="E229" s="39"/>
      <c r="F229" s="37">
        <v>0.7099637900000001</v>
      </c>
      <c r="H229" s="61"/>
      <c r="I229" s="39"/>
      <c r="K229" s="39"/>
    </row>
    <row r="230" spans="2:11" ht="12.75">
      <c r="B230" s="10" t="s">
        <v>118</v>
      </c>
      <c r="D230" s="15" t="s">
        <v>59</v>
      </c>
      <c r="E230" s="39"/>
      <c r="F230" s="37">
        <v>0.006099999756</v>
      </c>
      <c r="H230" s="61"/>
      <c r="I230" s="39"/>
      <c r="K230" s="39"/>
    </row>
    <row r="231" spans="2:11" ht="12.75">
      <c r="B231" s="10" t="s">
        <v>106</v>
      </c>
      <c r="D231" s="15" t="s">
        <v>59</v>
      </c>
      <c r="E231" s="39"/>
      <c r="F231" s="37">
        <v>0.014999459999999997</v>
      </c>
      <c r="H231" s="61"/>
      <c r="I231" s="39"/>
      <c r="K231" s="39"/>
    </row>
    <row r="232" spans="2:11" ht="12.75">
      <c r="B232" s="37" t="s">
        <v>201</v>
      </c>
      <c r="D232" s="15" t="s">
        <v>59</v>
      </c>
      <c r="E232" s="39"/>
      <c r="F232" s="37">
        <v>0.005999742</v>
      </c>
      <c r="H232" s="61"/>
      <c r="I232" s="39"/>
      <c r="K232" s="39"/>
    </row>
    <row r="233" spans="2:11" ht="12.75">
      <c r="B233" s="10" t="s">
        <v>107</v>
      </c>
      <c r="D233" s="15" t="s">
        <v>59</v>
      </c>
      <c r="E233" s="39"/>
      <c r="F233" s="37">
        <v>0.35999532</v>
      </c>
      <c r="H233" s="61"/>
      <c r="I233" s="38"/>
      <c r="K233" s="39"/>
    </row>
    <row r="234" spans="2:11" ht="12.75">
      <c r="B234" s="10" t="s">
        <v>119</v>
      </c>
      <c r="D234" s="15" t="s">
        <v>59</v>
      </c>
      <c r="E234" s="39"/>
      <c r="F234" s="37">
        <v>0.0006999986</v>
      </c>
      <c r="H234" s="61"/>
      <c r="I234" s="38"/>
      <c r="K234" s="39"/>
    </row>
    <row r="235" spans="2:11" ht="12.75">
      <c r="B235" s="15" t="s">
        <v>124</v>
      </c>
      <c r="D235" s="15" t="s">
        <v>59</v>
      </c>
      <c r="E235" s="39"/>
      <c r="F235" s="37">
        <v>0.55999496</v>
      </c>
      <c r="H235" s="61"/>
      <c r="I235" s="38"/>
      <c r="K235" s="39"/>
    </row>
    <row r="236" spans="5:11" ht="12.75">
      <c r="E236" s="39"/>
      <c r="H236" s="61"/>
      <c r="I236" s="38"/>
      <c r="K236" s="39"/>
    </row>
    <row r="237" spans="2:11" ht="12.75">
      <c r="B237" s="15" t="s">
        <v>77</v>
      </c>
      <c r="D237" s="15" t="s">
        <v>17</v>
      </c>
      <c r="E237" s="39"/>
      <c r="F237" s="17">
        <v>14141.909112175425</v>
      </c>
      <c r="H237" s="38"/>
      <c r="I237" s="38"/>
      <c r="K237" s="39"/>
    </row>
    <row r="238" spans="2:11" ht="12.75">
      <c r="B238" s="15" t="s">
        <v>78</v>
      </c>
      <c r="D238" s="15" t="s">
        <v>18</v>
      </c>
      <c r="E238" s="39"/>
      <c r="H238" s="38"/>
      <c r="I238" s="38"/>
      <c r="K238" s="39"/>
    </row>
    <row r="239" spans="5:11" ht="12.75">
      <c r="E239" s="39"/>
      <c r="H239" s="38"/>
      <c r="I239" s="38"/>
      <c r="K239" s="39"/>
    </row>
    <row r="240" spans="2:16" ht="12.75">
      <c r="B240" s="15" t="s">
        <v>127</v>
      </c>
      <c r="D240" s="15" t="s">
        <v>69</v>
      </c>
      <c r="E240" s="39"/>
      <c r="F240" s="16"/>
      <c r="G240" s="18"/>
      <c r="H240" s="16"/>
      <c r="I240" s="16"/>
      <c r="K240" s="39"/>
      <c r="P240" s="41"/>
    </row>
    <row r="241" spans="2:16" ht="12.75">
      <c r="B241" s="15" t="s">
        <v>333</v>
      </c>
      <c r="D241" s="15" t="s">
        <v>69</v>
      </c>
      <c r="E241" s="39"/>
      <c r="F241" s="37"/>
      <c r="G241" s="18"/>
      <c r="H241" s="16"/>
      <c r="I241" s="16"/>
      <c r="K241" s="39"/>
      <c r="P241" s="16"/>
    </row>
    <row r="242" spans="5:16" ht="12.75">
      <c r="E242" s="39"/>
      <c r="F242" s="37"/>
      <c r="G242" s="18"/>
      <c r="H242" s="16"/>
      <c r="I242" s="16"/>
      <c r="K242" s="39"/>
      <c r="P242" s="16"/>
    </row>
    <row r="243" spans="2:16" ht="12.75">
      <c r="B243" s="59" t="s">
        <v>93</v>
      </c>
      <c r="C243" s="59"/>
      <c r="E243" s="39"/>
      <c r="F243" s="37"/>
      <c r="G243" s="18"/>
      <c r="H243" s="16"/>
      <c r="I243" s="16"/>
      <c r="K243" s="39"/>
      <c r="P243" s="16"/>
    </row>
    <row r="244" spans="2:11" ht="12.75">
      <c r="B244" s="10" t="s">
        <v>100</v>
      </c>
      <c r="D244" s="15" t="s">
        <v>71</v>
      </c>
      <c r="E244" s="39"/>
      <c r="F244" s="16">
        <v>2835.9400197628456</v>
      </c>
      <c r="H244" s="16">
        <f>F244</f>
        <v>2835.9400197628456</v>
      </c>
      <c r="I244" s="16"/>
      <c r="J244" s="16"/>
      <c r="K244" s="39"/>
    </row>
    <row r="245" spans="2:11" ht="12.75">
      <c r="B245" s="10" t="s">
        <v>101</v>
      </c>
      <c r="D245" s="15" t="s">
        <v>71</v>
      </c>
      <c r="E245" s="39"/>
      <c r="F245" s="16">
        <v>128.56184284584978</v>
      </c>
      <c r="H245" s="16">
        <f aca="true" t="shared" si="9" ref="H245:H258">F245</f>
        <v>128.56184284584978</v>
      </c>
      <c r="I245" s="16"/>
      <c r="J245" s="16"/>
      <c r="K245" s="39"/>
    </row>
    <row r="246" spans="2:11" ht="12.75">
      <c r="B246" s="10" t="s">
        <v>102</v>
      </c>
      <c r="D246" s="15" t="s">
        <v>71</v>
      </c>
      <c r="E246" s="39"/>
      <c r="F246" s="16">
        <v>2835.931511857707</v>
      </c>
      <c r="H246" s="16">
        <f t="shared" si="9"/>
        <v>2835.931511857707</v>
      </c>
      <c r="I246" s="16"/>
      <c r="J246" s="16"/>
      <c r="K246" s="39"/>
    </row>
    <row r="247" spans="2:15" ht="12.75">
      <c r="B247" s="10" t="s">
        <v>104</v>
      </c>
      <c r="D247" s="15" t="s">
        <v>71</v>
      </c>
      <c r="E247" s="39"/>
      <c r="F247" s="16">
        <v>926.3524145586297</v>
      </c>
      <c r="H247" s="16">
        <f t="shared" si="9"/>
        <v>926.3524145586297</v>
      </c>
      <c r="I247" s="39"/>
      <c r="J247" s="16"/>
      <c r="K247" s="39"/>
      <c r="N247" s="16"/>
      <c r="O247" s="16"/>
    </row>
    <row r="248" spans="2:11" ht="12.75">
      <c r="B248" s="10" t="s">
        <v>121</v>
      </c>
      <c r="D248" s="15" t="s">
        <v>71</v>
      </c>
      <c r="E248" s="39"/>
      <c r="F248" s="16">
        <v>187.1733515217391</v>
      </c>
      <c r="H248" s="16">
        <f t="shared" si="9"/>
        <v>187.1733515217391</v>
      </c>
      <c r="I248" s="39"/>
      <c r="J248" s="16"/>
      <c r="K248" s="39"/>
    </row>
    <row r="249" spans="2:11" ht="12.75">
      <c r="B249" s="10" t="s">
        <v>117</v>
      </c>
      <c r="D249" s="15" t="s">
        <v>71</v>
      </c>
      <c r="E249" s="39"/>
      <c r="F249" s="16">
        <v>2079.6851884057974</v>
      </c>
      <c r="H249" s="16">
        <f t="shared" si="9"/>
        <v>2079.6851884057974</v>
      </c>
      <c r="I249" s="39"/>
      <c r="J249" s="16"/>
      <c r="K249" s="39"/>
    </row>
    <row r="250" spans="2:15" ht="12.75">
      <c r="B250" s="10" t="s">
        <v>99</v>
      </c>
      <c r="D250" s="15" t="s">
        <v>71</v>
      </c>
      <c r="E250" s="39"/>
      <c r="F250" s="16">
        <v>13422.8990599473</v>
      </c>
      <c r="H250" s="16">
        <f t="shared" si="9"/>
        <v>13422.8990599473</v>
      </c>
      <c r="I250" s="39"/>
      <c r="J250" s="16"/>
      <c r="K250" s="39"/>
      <c r="N250" s="41"/>
      <c r="O250" s="41"/>
    </row>
    <row r="251" spans="1:10" ht="12.75">
      <c r="A251" s="37" t="s">
        <v>126</v>
      </c>
      <c r="B251" s="10" t="s">
        <v>118</v>
      </c>
      <c r="C251" s="36"/>
      <c r="D251" s="15" t="s">
        <v>71</v>
      </c>
      <c r="E251" s="39"/>
      <c r="F251" s="16">
        <v>115.32937615098813</v>
      </c>
      <c r="H251" s="16">
        <f t="shared" si="9"/>
        <v>115.32937615098813</v>
      </c>
      <c r="I251" s="39"/>
      <c r="J251" s="16"/>
    </row>
    <row r="252" spans="2:10" ht="12.75">
      <c r="B252" s="10" t="s">
        <v>106</v>
      </c>
      <c r="C252" s="36"/>
      <c r="D252" s="15" t="s">
        <v>71</v>
      </c>
      <c r="E252" s="39"/>
      <c r="F252" s="16">
        <v>283.58662845849796</v>
      </c>
      <c r="H252" s="16">
        <f t="shared" si="9"/>
        <v>283.58662845849796</v>
      </c>
      <c r="I252" s="39"/>
      <c r="J252" s="16"/>
    </row>
    <row r="253" spans="2:10" ht="12.75">
      <c r="B253" s="37" t="s">
        <v>201</v>
      </c>
      <c r="D253" s="15" t="s">
        <v>71</v>
      </c>
      <c r="E253" s="39"/>
      <c r="F253" s="16">
        <v>113.43385731225297</v>
      </c>
      <c r="H253" s="16">
        <f t="shared" si="9"/>
        <v>113.43385731225297</v>
      </c>
      <c r="I253" s="39"/>
      <c r="J253" s="16"/>
    </row>
    <row r="254" spans="2:15" ht="12.75">
      <c r="B254" s="10" t="s">
        <v>107</v>
      </c>
      <c r="D254" s="15" t="s">
        <v>71</v>
      </c>
      <c r="E254" s="39"/>
      <c r="F254" s="16">
        <v>6806.2356284584985</v>
      </c>
      <c r="H254" s="16">
        <f t="shared" si="9"/>
        <v>6806.2356284584985</v>
      </c>
      <c r="I254" s="39"/>
      <c r="J254" s="16"/>
      <c r="K254" s="38"/>
      <c r="L254" s="38"/>
      <c r="M254" s="38"/>
      <c r="N254" s="38"/>
      <c r="O254" s="38"/>
    </row>
    <row r="255" spans="2:10" ht="12.75">
      <c r="B255" s="10" t="s">
        <v>119</v>
      </c>
      <c r="D255" s="15" t="s">
        <v>71</v>
      </c>
      <c r="F255" s="16">
        <v>13.234492635046111</v>
      </c>
      <c r="H255" s="16">
        <f t="shared" si="9"/>
        <v>13.234492635046111</v>
      </c>
      <c r="I255" s="41"/>
      <c r="J255" s="16"/>
    </row>
    <row r="256" spans="2:10" ht="12.75">
      <c r="B256" s="15" t="s">
        <v>124</v>
      </c>
      <c r="D256" s="15" t="s">
        <v>71</v>
      </c>
      <c r="F256" s="16">
        <v>10587.519994729908</v>
      </c>
      <c r="H256" s="16">
        <f t="shared" si="9"/>
        <v>10587.519994729908</v>
      </c>
      <c r="J256" s="16"/>
    </row>
    <row r="257" spans="2:12" ht="12.75">
      <c r="B257" s="15" t="s">
        <v>72</v>
      </c>
      <c r="D257" s="15" t="s">
        <v>71</v>
      </c>
      <c r="F257" s="16">
        <v>14349.251474505929</v>
      </c>
      <c r="H257" s="16">
        <f t="shared" si="9"/>
        <v>14349.251474505929</v>
      </c>
      <c r="J257" s="16"/>
      <c r="L257" s="41"/>
    </row>
    <row r="258" spans="2:12" ht="12.75">
      <c r="B258" s="15" t="s">
        <v>73</v>
      </c>
      <c r="D258" s="15" t="s">
        <v>71</v>
      </c>
      <c r="F258" s="16">
        <v>315.73519436758886</v>
      </c>
      <c r="H258" s="16">
        <f t="shared" si="9"/>
        <v>315.73519436758886</v>
      </c>
      <c r="J258" s="16"/>
      <c r="L258" s="41"/>
    </row>
    <row r="259" spans="6:12" ht="12.75">
      <c r="F259" s="16"/>
      <c r="H259" s="16"/>
      <c r="J259" s="16"/>
      <c r="L259" s="41"/>
    </row>
    <row r="260" spans="1:8" ht="12.75">
      <c r="A260" s="37" t="s">
        <v>126</v>
      </c>
      <c r="B260" s="36" t="s">
        <v>205</v>
      </c>
      <c r="C260" s="36" t="s">
        <v>125</v>
      </c>
      <c r="F260" s="38" t="s">
        <v>48</v>
      </c>
      <c r="H260" s="38" t="s">
        <v>48</v>
      </c>
    </row>
    <row r="261" spans="2:3" ht="12.75">
      <c r="B261" s="36"/>
      <c r="C261" s="36"/>
    </row>
    <row r="262" spans="2:8" ht="12.75">
      <c r="B262" s="15" t="s">
        <v>325</v>
      </c>
      <c r="C262" s="36"/>
      <c r="F262" s="38" t="s">
        <v>327</v>
      </c>
      <c r="H262" s="37" t="s">
        <v>243</v>
      </c>
    </row>
    <row r="263" spans="2:8" ht="12.75">
      <c r="B263" s="15" t="s">
        <v>326</v>
      </c>
      <c r="F263" s="38" t="s">
        <v>328</v>
      </c>
      <c r="H263" s="37" t="s">
        <v>25</v>
      </c>
    </row>
    <row r="264" spans="2:8" ht="12.75">
      <c r="B264" s="15" t="s">
        <v>331</v>
      </c>
      <c r="F264" s="38" t="s">
        <v>332</v>
      </c>
      <c r="H264" s="25" t="s">
        <v>25</v>
      </c>
    </row>
    <row r="265" spans="2:16" ht="12.75">
      <c r="B265" s="15" t="s">
        <v>49</v>
      </c>
      <c r="F265" s="38" t="s">
        <v>146</v>
      </c>
      <c r="G265" s="38"/>
      <c r="H265" s="38" t="s">
        <v>25</v>
      </c>
      <c r="I265" s="38"/>
      <c r="K265" s="38"/>
      <c r="L265" s="38"/>
      <c r="M265" s="38"/>
      <c r="N265" s="38"/>
      <c r="O265" s="38"/>
      <c r="P265" s="38"/>
    </row>
    <row r="266" spans="2:13" ht="12.75">
      <c r="B266" s="15" t="s">
        <v>128</v>
      </c>
      <c r="D266" s="15" t="s">
        <v>59</v>
      </c>
      <c r="F266" s="40"/>
      <c r="L266" s="41"/>
      <c r="M266" s="41"/>
    </row>
    <row r="267" spans="2:9" ht="12.75">
      <c r="B267" s="10" t="s">
        <v>100</v>
      </c>
      <c r="D267" s="15" t="s">
        <v>59</v>
      </c>
      <c r="E267" s="39"/>
      <c r="F267" s="37">
        <v>0.09999960000000001</v>
      </c>
      <c r="I267" s="42"/>
    </row>
    <row r="268" spans="2:11" ht="12.75">
      <c r="B268" s="10" t="s">
        <v>101</v>
      </c>
      <c r="D268" s="15" t="s">
        <v>59</v>
      </c>
      <c r="E268" s="39"/>
      <c r="F268" s="37">
        <v>0.0062999433</v>
      </c>
      <c r="I268" s="38"/>
      <c r="K268" s="38"/>
    </row>
    <row r="269" spans="2:11" ht="12.75">
      <c r="B269" s="10" t="s">
        <v>102</v>
      </c>
      <c r="D269" s="15" t="s">
        <v>59</v>
      </c>
      <c r="E269" s="39"/>
      <c r="F269" s="37">
        <v>2.3998344</v>
      </c>
      <c r="K269" s="38"/>
    </row>
    <row r="270" spans="2:11" ht="12.75">
      <c r="B270" s="10" t="s">
        <v>103</v>
      </c>
      <c r="D270" s="15" t="s">
        <v>59</v>
      </c>
      <c r="E270" s="39"/>
      <c r="F270" s="37">
        <v>0.000116999532</v>
      </c>
      <c r="H270" s="61"/>
      <c r="I270" s="39"/>
      <c r="K270" s="38"/>
    </row>
    <row r="271" spans="2:15" ht="12.75">
      <c r="B271" s="10" t="s">
        <v>104</v>
      </c>
      <c r="D271" s="15" t="s">
        <v>59</v>
      </c>
      <c r="E271" s="39"/>
      <c r="F271" s="37">
        <v>0.05999525999999999</v>
      </c>
      <c r="H271" s="61"/>
      <c r="I271" s="39"/>
      <c r="K271" s="38"/>
      <c r="N271" s="41"/>
      <c r="O271" s="41"/>
    </row>
    <row r="272" spans="2:11" ht="12.75">
      <c r="B272" s="10" t="s">
        <v>121</v>
      </c>
      <c r="D272" s="15" t="s">
        <v>59</v>
      </c>
      <c r="E272" s="39"/>
      <c r="F272" s="37">
        <v>0.00999997</v>
      </c>
      <c r="H272" s="61"/>
      <c r="I272" s="39"/>
      <c r="K272" s="39"/>
    </row>
    <row r="273" spans="2:11" ht="12.75">
      <c r="B273" s="10" t="s">
        <v>116</v>
      </c>
      <c r="D273" s="15" t="s">
        <v>59</v>
      </c>
      <c r="E273" s="39"/>
      <c r="F273" s="37">
        <v>0.0008699947799999999</v>
      </c>
      <c r="H273" s="61"/>
      <c r="I273" s="39"/>
      <c r="K273" s="39"/>
    </row>
    <row r="274" spans="2:11" ht="12.75">
      <c r="B274" s="10" t="s">
        <v>117</v>
      </c>
      <c r="D274" s="15" t="s">
        <v>59</v>
      </c>
      <c r="E274" s="39"/>
      <c r="F274" s="37">
        <v>0.038999805</v>
      </c>
      <c r="H274" s="61"/>
      <c r="I274" s="39"/>
      <c r="K274" s="39"/>
    </row>
    <row r="275" spans="2:11" ht="12.75">
      <c r="B275" s="10" t="s">
        <v>99</v>
      </c>
      <c r="D275" s="15" t="s">
        <v>59</v>
      </c>
      <c r="E275" s="39"/>
      <c r="F275" s="37">
        <v>0.13999524</v>
      </c>
      <c r="H275" s="61"/>
      <c r="I275" s="39"/>
      <c r="K275" s="39"/>
    </row>
    <row r="276" spans="2:11" ht="12.75">
      <c r="B276" s="10" t="s">
        <v>118</v>
      </c>
      <c r="D276" s="15" t="s">
        <v>59</v>
      </c>
      <c r="E276" s="39"/>
      <c r="F276" s="37">
        <v>0.013999985999999999</v>
      </c>
      <c r="H276" s="61"/>
      <c r="I276" s="39"/>
      <c r="K276" s="39"/>
    </row>
    <row r="277" spans="2:11" ht="12.75">
      <c r="B277" s="10" t="s">
        <v>105</v>
      </c>
      <c r="D277" s="15" t="s">
        <v>59</v>
      </c>
      <c r="E277" s="39"/>
      <c r="F277" s="37">
        <v>0.017935884000000003</v>
      </c>
      <c r="H277" s="61"/>
      <c r="I277" s="38"/>
      <c r="K277" s="39"/>
    </row>
    <row r="278" spans="2:11" ht="12.75">
      <c r="B278" s="10" t="s">
        <v>106</v>
      </c>
      <c r="D278" s="15" t="s">
        <v>59</v>
      </c>
      <c r="E278" s="39"/>
      <c r="F278" s="37">
        <v>0.013999915999999998</v>
      </c>
      <c r="H278" s="61"/>
      <c r="I278" s="38"/>
      <c r="K278" s="39"/>
    </row>
    <row r="279" spans="2:11" ht="12.75">
      <c r="B279" s="10" t="s">
        <v>201</v>
      </c>
      <c r="D279" s="15" t="s">
        <v>59</v>
      </c>
      <c r="E279" s="39"/>
      <c r="F279" s="37">
        <v>0.08594453</v>
      </c>
      <c r="H279" s="61"/>
      <c r="I279" s="38"/>
      <c r="K279" s="39"/>
    </row>
    <row r="280" spans="2:11" ht="12.75">
      <c r="B280" s="10" t="s">
        <v>107</v>
      </c>
      <c r="D280" s="15" t="s">
        <v>59</v>
      </c>
      <c r="E280" s="39"/>
      <c r="F280" s="37">
        <v>0.20999642999999998</v>
      </c>
      <c r="H280" s="61"/>
      <c r="I280" s="38"/>
      <c r="K280" s="39"/>
    </row>
    <row r="281" spans="2:11" ht="12.75">
      <c r="B281" s="10" t="s">
        <v>108</v>
      </c>
      <c r="D281" s="15" t="s">
        <v>59</v>
      </c>
      <c r="E281" s="39"/>
      <c r="F281" s="37">
        <v>0.10849998915</v>
      </c>
      <c r="H281" s="61"/>
      <c r="I281" s="38"/>
      <c r="K281" s="39"/>
    </row>
    <row r="282" spans="2:11" ht="12.75">
      <c r="B282" s="10" t="s">
        <v>119</v>
      </c>
      <c r="D282" s="15" t="s">
        <v>59</v>
      </c>
      <c r="E282" s="39"/>
      <c r="F282" s="37">
        <v>0.00023999687999999998</v>
      </c>
      <c r="H282" s="61"/>
      <c r="I282" s="38"/>
      <c r="K282" s="39"/>
    </row>
    <row r="283" spans="2:11" ht="12.75">
      <c r="B283" s="15" t="s">
        <v>124</v>
      </c>
      <c r="D283" s="15" t="s">
        <v>59</v>
      </c>
      <c r="E283" s="39"/>
      <c r="F283" s="38">
        <v>0.6599788799999999</v>
      </c>
      <c r="H283" s="61"/>
      <c r="I283" s="38"/>
      <c r="K283" s="39"/>
    </row>
    <row r="284" spans="5:11" ht="12.75">
      <c r="E284" s="39"/>
      <c r="H284" s="61"/>
      <c r="I284" s="38"/>
      <c r="K284" s="39"/>
    </row>
    <row r="285" spans="2:11" ht="12.75">
      <c r="B285" s="15" t="s">
        <v>77</v>
      </c>
      <c r="D285" s="15" t="s">
        <v>17</v>
      </c>
      <c r="E285" s="39"/>
      <c r="F285" s="17">
        <v>13750.630994447249</v>
      </c>
      <c r="H285" s="38"/>
      <c r="I285" s="38"/>
      <c r="K285" s="39"/>
    </row>
    <row r="286" spans="2:11" ht="12.75">
      <c r="B286" s="15" t="s">
        <v>78</v>
      </c>
      <c r="D286" s="15" t="s">
        <v>18</v>
      </c>
      <c r="E286" s="39"/>
      <c r="H286" s="38"/>
      <c r="I286" s="38"/>
      <c r="K286" s="39"/>
    </row>
    <row r="287" spans="5:11" ht="12.75">
      <c r="E287" s="39"/>
      <c r="H287" s="38"/>
      <c r="I287" s="38"/>
      <c r="K287" s="39"/>
    </row>
    <row r="288" spans="2:16" ht="12.75">
      <c r="B288" s="15" t="s">
        <v>127</v>
      </c>
      <c r="D288" s="15" t="s">
        <v>69</v>
      </c>
      <c r="E288" s="39"/>
      <c r="F288" s="16"/>
      <c r="G288" s="18"/>
      <c r="H288" s="16"/>
      <c r="I288" s="16"/>
      <c r="K288" s="39"/>
      <c r="P288" s="41"/>
    </row>
    <row r="289" spans="2:16" ht="12.75">
      <c r="B289" s="15" t="s">
        <v>333</v>
      </c>
      <c r="D289" s="15" t="s">
        <v>69</v>
      </c>
      <c r="E289" s="39"/>
      <c r="F289" s="37"/>
      <c r="G289" s="18"/>
      <c r="H289" s="16"/>
      <c r="I289" s="16"/>
      <c r="K289" s="39"/>
      <c r="P289" s="16"/>
    </row>
    <row r="290" spans="5:16" ht="12.75">
      <c r="E290" s="39"/>
      <c r="F290" s="37"/>
      <c r="G290" s="18"/>
      <c r="H290" s="16"/>
      <c r="I290" s="16"/>
      <c r="K290" s="39"/>
      <c r="P290" s="16"/>
    </row>
    <row r="291" spans="2:16" ht="12.75">
      <c r="B291" s="59" t="s">
        <v>93</v>
      </c>
      <c r="C291" s="59"/>
      <c r="E291" s="39"/>
      <c r="F291" s="37"/>
      <c r="G291" s="18"/>
      <c r="H291" s="16"/>
      <c r="I291" s="16"/>
      <c r="K291" s="39"/>
      <c r="P291" s="16"/>
    </row>
    <row r="292" spans="2:11" ht="12.75">
      <c r="B292" s="10" t="s">
        <v>100</v>
      </c>
      <c r="D292" s="15" t="s">
        <v>71</v>
      </c>
      <c r="E292" s="39"/>
      <c r="F292" s="16">
        <v>1944.436666666667</v>
      </c>
      <c r="H292" s="16">
        <f>F292</f>
        <v>1944.436666666667</v>
      </c>
      <c r="I292" s="16"/>
      <c r="J292" s="16"/>
      <c r="K292" s="39"/>
    </row>
    <row r="293" spans="2:11" ht="12.75">
      <c r="B293" s="10" t="s">
        <v>101</v>
      </c>
      <c r="D293" s="15" t="s">
        <v>71</v>
      </c>
      <c r="E293" s="39"/>
      <c r="F293" s="16">
        <v>122.49889750000001</v>
      </c>
      <c r="H293" s="16">
        <f aca="true" t="shared" si="10" ref="H293:H310">F293</f>
        <v>122.49889750000001</v>
      </c>
      <c r="I293" s="16"/>
      <c r="J293" s="16"/>
      <c r="K293" s="39"/>
    </row>
    <row r="294" spans="2:11" ht="12.75">
      <c r="B294" s="10" t="s">
        <v>102</v>
      </c>
      <c r="D294" s="15" t="s">
        <v>71</v>
      </c>
      <c r="E294" s="39"/>
      <c r="F294" s="16">
        <v>46663.44666666666</v>
      </c>
      <c r="H294" s="16">
        <f t="shared" si="10"/>
        <v>46663.44666666666</v>
      </c>
      <c r="I294" s="16"/>
      <c r="J294" s="16"/>
      <c r="K294" s="39"/>
    </row>
    <row r="295" spans="2:15" ht="12.75">
      <c r="B295" s="10" t="s">
        <v>103</v>
      </c>
      <c r="D295" s="15" t="s">
        <v>71</v>
      </c>
      <c r="E295" s="39"/>
      <c r="F295" s="16">
        <v>2.2749908999999997</v>
      </c>
      <c r="H295" s="16">
        <f t="shared" si="10"/>
        <v>2.2749908999999997</v>
      </c>
      <c r="I295" s="39"/>
      <c r="J295" s="16"/>
      <c r="K295" s="39"/>
      <c r="N295" s="16"/>
      <c r="O295" s="16"/>
    </row>
    <row r="296" spans="2:11" ht="12.75">
      <c r="B296" s="10" t="s">
        <v>104</v>
      </c>
      <c r="D296" s="15" t="s">
        <v>71</v>
      </c>
      <c r="E296" s="39"/>
      <c r="F296" s="16">
        <v>1166.5745</v>
      </c>
      <c r="H296" s="16">
        <f t="shared" si="10"/>
        <v>1166.5745</v>
      </c>
      <c r="I296" s="39"/>
      <c r="J296" s="16"/>
      <c r="K296" s="39"/>
    </row>
    <row r="297" spans="2:11" ht="12.75">
      <c r="B297" s="10" t="s">
        <v>121</v>
      </c>
      <c r="D297" s="15" t="s">
        <v>71</v>
      </c>
      <c r="E297" s="39"/>
      <c r="F297" s="16">
        <v>194.44386111111112</v>
      </c>
      <c r="H297" s="16">
        <f t="shared" si="10"/>
        <v>194.44386111111112</v>
      </c>
      <c r="I297" s="39"/>
      <c r="J297" s="16"/>
      <c r="K297" s="39"/>
    </row>
    <row r="298" spans="2:15" ht="12.75">
      <c r="B298" s="10" t="s">
        <v>116</v>
      </c>
      <c r="D298" s="15" t="s">
        <v>71</v>
      </c>
      <c r="E298" s="39"/>
      <c r="F298" s="16">
        <v>16.916565166666665</v>
      </c>
      <c r="H298" s="16">
        <f t="shared" si="10"/>
        <v>16.916565166666665</v>
      </c>
      <c r="I298" s="39"/>
      <c r="J298" s="16"/>
      <c r="K298" s="39"/>
      <c r="N298" s="41"/>
      <c r="O298" s="41"/>
    </row>
    <row r="299" spans="1:10" ht="12.75">
      <c r="A299" s="37" t="s">
        <v>126</v>
      </c>
      <c r="B299" s="10" t="s">
        <v>117</v>
      </c>
      <c r="C299" s="36"/>
      <c r="D299" s="15" t="s">
        <v>71</v>
      </c>
      <c r="E299" s="39"/>
      <c r="F299" s="16">
        <v>758.3295416666667</v>
      </c>
      <c r="H299" s="16">
        <f t="shared" si="10"/>
        <v>758.3295416666667</v>
      </c>
      <c r="I299" s="39"/>
      <c r="J299" s="16"/>
    </row>
    <row r="300" spans="2:10" ht="12.75">
      <c r="B300" s="10" t="s">
        <v>99</v>
      </c>
      <c r="C300" s="36"/>
      <c r="D300" s="15" t="s">
        <v>71</v>
      </c>
      <c r="E300" s="39"/>
      <c r="F300" s="16">
        <v>2722.1296666666667</v>
      </c>
      <c r="H300" s="16">
        <f t="shared" si="10"/>
        <v>2722.1296666666667</v>
      </c>
      <c r="I300" s="39"/>
      <c r="J300" s="16"/>
    </row>
    <row r="301" spans="2:10" ht="12.75">
      <c r="B301" s="10" t="s">
        <v>118</v>
      </c>
      <c r="D301" s="15" t="s">
        <v>71</v>
      </c>
      <c r="E301" s="39"/>
      <c r="F301" s="16">
        <v>272.22195</v>
      </c>
      <c r="H301" s="16">
        <f t="shared" si="10"/>
        <v>272.22195</v>
      </c>
      <c r="I301" s="39"/>
      <c r="J301" s="16"/>
    </row>
    <row r="302" spans="2:15" ht="12.75">
      <c r="B302" s="10" t="s">
        <v>105</v>
      </c>
      <c r="D302" s="15" t="s">
        <v>71</v>
      </c>
      <c r="E302" s="39"/>
      <c r="F302" s="16">
        <v>348.7533000000001</v>
      </c>
      <c r="H302" s="16">
        <f t="shared" si="10"/>
        <v>348.7533000000001</v>
      </c>
      <c r="I302" s="39"/>
      <c r="J302" s="16"/>
      <c r="K302" s="38"/>
      <c r="L302" s="38"/>
      <c r="M302" s="38"/>
      <c r="N302" s="38"/>
      <c r="O302" s="38"/>
    </row>
    <row r="303" spans="2:10" ht="12.75">
      <c r="B303" s="10" t="s">
        <v>106</v>
      </c>
      <c r="D303" s="15" t="s">
        <v>71</v>
      </c>
      <c r="F303" s="16">
        <v>272.22058888888887</v>
      </c>
      <c r="H303" s="16">
        <f t="shared" si="10"/>
        <v>272.22058888888887</v>
      </c>
      <c r="I303" s="41"/>
      <c r="J303" s="16"/>
    </row>
    <row r="304" spans="2:10" ht="12.75">
      <c r="B304" s="10" t="s">
        <v>201</v>
      </c>
      <c r="D304" s="15" t="s">
        <v>71</v>
      </c>
      <c r="F304" s="16">
        <v>1671.143638888889</v>
      </c>
      <c r="H304" s="16">
        <f t="shared" si="10"/>
        <v>1671.143638888889</v>
      </c>
      <c r="J304" s="16"/>
    </row>
    <row r="305" spans="2:10" ht="12.75">
      <c r="B305" s="10" t="s">
        <v>107</v>
      </c>
      <c r="D305" s="15" t="s">
        <v>71</v>
      </c>
      <c r="F305" s="16">
        <v>4083.2639166666663</v>
      </c>
      <c r="H305" s="16">
        <f t="shared" si="10"/>
        <v>4083.2639166666663</v>
      </c>
      <c r="J305" s="16"/>
    </row>
    <row r="306" spans="2:10" ht="12.75">
      <c r="B306" s="10" t="s">
        <v>108</v>
      </c>
      <c r="D306" s="15" t="s">
        <v>71</v>
      </c>
      <c r="F306" s="16">
        <v>2109.72201125</v>
      </c>
      <c r="H306" s="16">
        <f t="shared" si="10"/>
        <v>2109.72201125</v>
      </c>
      <c r="J306" s="16"/>
    </row>
    <row r="307" spans="2:10" ht="12.75">
      <c r="B307" s="10" t="s">
        <v>119</v>
      </c>
      <c r="D307" s="15" t="s">
        <v>71</v>
      </c>
      <c r="F307" s="16">
        <v>4.666605999999999</v>
      </c>
      <c r="H307" s="16">
        <f t="shared" si="10"/>
        <v>4.666605999999999</v>
      </c>
      <c r="J307" s="16"/>
    </row>
    <row r="308" spans="2:12" ht="12.75">
      <c r="B308" s="15" t="s">
        <v>124</v>
      </c>
      <c r="D308" s="15" t="s">
        <v>71</v>
      </c>
      <c r="F308" s="16">
        <v>12832.922666666665</v>
      </c>
      <c r="H308" s="16">
        <f t="shared" si="10"/>
        <v>12832.922666666665</v>
      </c>
      <c r="J308" s="16"/>
      <c r="L308" s="41"/>
    </row>
    <row r="309" spans="2:12" ht="12.75">
      <c r="B309" s="15" t="s">
        <v>72</v>
      </c>
      <c r="D309" s="15" t="s">
        <v>71</v>
      </c>
      <c r="F309" s="16">
        <v>3888.7041666666664</v>
      </c>
      <c r="H309" s="16">
        <f t="shared" si="10"/>
        <v>3888.7041666666664</v>
      </c>
      <c r="J309" s="16"/>
      <c r="L309" s="41"/>
    </row>
    <row r="310" spans="2:12" ht="12.75">
      <c r="B310" s="15" t="s">
        <v>73</v>
      </c>
      <c r="D310" s="15" t="s">
        <v>71</v>
      </c>
      <c r="F310" s="16">
        <v>319.2177495111111</v>
      </c>
      <c r="H310" s="16">
        <f t="shared" si="10"/>
        <v>319.2177495111111</v>
      </c>
      <c r="J310" s="16"/>
      <c r="L310" s="41"/>
    </row>
    <row r="311" spans="6:12" ht="12.75">
      <c r="F311" s="16"/>
      <c r="H311" s="16"/>
      <c r="J311" s="16"/>
      <c r="L311" s="41"/>
    </row>
    <row r="312" spans="1:8" ht="12.75">
      <c r="A312" s="37" t="s">
        <v>126</v>
      </c>
      <c r="B312" s="36" t="s">
        <v>206</v>
      </c>
      <c r="C312" s="36" t="s">
        <v>125</v>
      </c>
      <c r="F312" s="38" t="s">
        <v>48</v>
      </c>
      <c r="H312" s="38" t="s">
        <v>48</v>
      </c>
    </row>
    <row r="313" spans="2:3" ht="12.75">
      <c r="B313" s="36"/>
      <c r="C313" s="36"/>
    </row>
    <row r="314" spans="2:8" ht="12.75">
      <c r="B314" s="15" t="s">
        <v>325</v>
      </c>
      <c r="C314" s="36"/>
      <c r="F314" s="38" t="s">
        <v>327</v>
      </c>
      <c r="H314" s="37" t="s">
        <v>243</v>
      </c>
    </row>
    <row r="315" spans="2:8" ht="12.75">
      <c r="B315" s="15" t="s">
        <v>326</v>
      </c>
      <c r="F315" s="38" t="s">
        <v>328</v>
      </c>
      <c r="H315" s="37" t="s">
        <v>25</v>
      </c>
    </row>
    <row r="316" spans="2:8" ht="12.75">
      <c r="B316" s="15" t="s">
        <v>331</v>
      </c>
      <c r="F316" s="38" t="s">
        <v>332</v>
      </c>
      <c r="H316" s="25" t="s">
        <v>25</v>
      </c>
    </row>
    <row r="317" spans="2:16" ht="12.75">
      <c r="B317" s="15" t="s">
        <v>49</v>
      </c>
      <c r="F317" s="38" t="s">
        <v>146</v>
      </c>
      <c r="G317" s="38"/>
      <c r="H317" s="38" t="s">
        <v>25</v>
      </c>
      <c r="I317" s="38"/>
      <c r="K317" s="38"/>
      <c r="L317" s="38"/>
      <c r="M317" s="38"/>
      <c r="N317" s="38"/>
      <c r="O317" s="38"/>
      <c r="P317" s="38"/>
    </row>
    <row r="318" spans="2:13" ht="12.75">
      <c r="B318" s="15" t="s">
        <v>128</v>
      </c>
      <c r="D318" s="15" t="s">
        <v>59</v>
      </c>
      <c r="F318" s="40"/>
      <c r="L318" s="41"/>
      <c r="M318" s="41"/>
    </row>
    <row r="319" spans="2:9" ht="12.75">
      <c r="B319" s="10" t="s">
        <v>100</v>
      </c>
      <c r="D319" s="15" t="s">
        <v>59</v>
      </c>
      <c r="E319" s="39"/>
      <c r="F319" s="43">
        <v>0.07199971200000001</v>
      </c>
      <c r="I319" s="42"/>
    </row>
    <row r="320" spans="2:11" ht="12.75">
      <c r="B320" s="10" t="s">
        <v>101</v>
      </c>
      <c r="D320" s="15" t="s">
        <v>59</v>
      </c>
      <c r="E320" s="39"/>
      <c r="F320" s="43">
        <v>0.0028999913000000003</v>
      </c>
      <c r="I320" s="38"/>
      <c r="K320" s="38"/>
    </row>
    <row r="321" spans="2:11" ht="12.75">
      <c r="B321" s="10" t="s">
        <v>102</v>
      </c>
      <c r="D321" s="15" t="s">
        <v>59</v>
      </c>
      <c r="E321" s="39"/>
      <c r="F321" s="43">
        <v>0.9999790000000001</v>
      </c>
      <c r="K321" s="38"/>
    </row>
    <row r="322" spans="2:11" ht="12.75">
      <c r="B322" s="10" t="s">
        <v>103</v>
      </c>
      <c r="D322" s="15" t="s">
        <v>59</v>
      </c>
      <c r="E322" s="39"/>
      <c r="F322" s="43">
        <v>5.6999886E-05</v>
      </c>
      <c r="H322" s="61"/>
      <c r="I322" s="39"/>
      <c r="K322" s="38"/>
    </row>
    <row r="323" spans="2:15" ht="12.75">
      <c r="B323" s="10" t="s">
        <v>104</v>
      </c>
      <c r="D323" s="15" t="s">
        <v>59</v>
      </c>
      <c r="E323" s="39"/>
      <c r="F323" s="43">
        <v>0.027999272</v>
      </c>
      <c r="H323" s="61"/>
      <c r="I323" s="39"/>
      <c r="K323" s="38"/>
      <c r="N323" s="41"/>
      <c r="O323" s="41"/>
    </row>
    <row r="324" spans="2:11" ht="12.75">
      <c r="B324" s="10" t="s">
        <v>121</v>
      </c>
      <c r="D324" s="15" t="s">
        <v>59</v>
      </c>
      <c r="E324" s="39"/>
      <c r="F324" s="43">
        <v>0.010999976900000001</v>
      </c>
      <c r="H324" s="61"/>
      <c r="I324" s="39"/>
      <c r="K324" s="39"/>
    </row>
    <row r="325" spans="2:11" ht="12.75">
      <c r="B325" s="10" t="s">
        <v>116</v>
      </c>
      <c r="D325" s="15" t="s">
        <v>59</v>
      </c>
      <c r="E325" s="39"/>
      <c r="F325" s="43">
        <v>0.00011999988</v>
      </c>
      <c r="H325" s="61"/>
      <c r="I325" s="39"/>
      <c r="K325" s="39"/>
    </row>
    <row r="326" spans="2:11" ht="12.75">
      <c r="B326" s="10" t="s">
        <v>117</v>
      </c>
      <c r="D326" s="15" t="s">
        <v>59</v>
      </c>
      <c r="E326" s="39"/>
      <c r="F326" s="43">
        <v>0.014999969999999998</v>
      </c>
      <c r="H326" s="61"/>
      <c r="I326" s="39"/>
      <c r="K326" s="39"/>
    </row>
    <row r="327" spans="2:11" ht="12.75">
      <c r="B327" s="10" t="s">
        <v>99</v>
      </c>
      <c r="D327" s="15" t="s">
        <v>59</v>
      </c>
      <c r="E327" s="39"/>
      <c r="F327" s="43">
        <v>0.03799973400000001</v>
      </c>
      <c r="H327" s="61"/>
      <c r="I327" s="39"/>
      <c r="K327" s="39"/>
    </row>
    <row r="328" spans="2:11" ht="12.75">
      <c r="B328" s="10" t="s">
        <v>118</v>
      </c>
      <c r="D328" s="15" t="s">
        <v>59</v>
      </c>
      <c r="E328" s="39"/>
      <c r="F328" s="43">
        <v>0.014999984999999999</v>
      </c>
      <c r="H328" s="61"/>
      <c r="I328" s="39"/>
      <c r="K328" s="39"/>
    </row>
    <row r="329" spans="2:11" ht="12.75">
      <c r="B329" s="10" t="s">
        <v>105</v>
      </c>
      <c r="D329" s="15" t="s">
        <v>59</v>
      </c>
      <c r="E329" s="39"/>
      <c r="F329" s="43">
        <v>0.065742072</v>
      </c>
      <c r="H329" s="61"/>
      <c r="I329" s="38"/>
      <c r="K329" s="39"/>
    </row>
    <row r="330" spans="2:11" ht="12.75">
      <c r="B330" s="10" t="s">
        <v>106</v>
      </c>
      <c r="D330" s="15" t="s">
        <v>59</v>
      </c>
      <c r="E330" s="39"/>
      <c r="F330" s="43">
        <v>0.01199994</v>
      </c>
      <c r="H330" s="61"/>
      <c r="I330" s="38"/>
      <c r="K330" s="39"/>
    </row>
    <row r="331" spans="2:11" ht="12.75">
      <c r="B331" s="10" t="s">
        <v>201</v>
      </c>
      <c r="D331" s="15" t="s">
        <v>59</v>
      </c>
      <c r="E331" s="39"/>
      <c r="F331" s="43">
        <v>0.06995653</v>
      </c>
      <c r="H331" s="61"/>
      <c r="I331" s="38"/>
      <c r="K331" s="39"/>
    </row>
    <row r="332" spans="2:11" ht="12.75">
      <c r="B332" s="10" t="s">
        <v>107</v>
      </c>
      <c r="D332" s="15" t="s">
        <v>59</v>
      </c>
      <c r="E332" s="39"/>
      <c r="F332" s="43">
        <v>0.11999879999999999</v>
      </c>
      <c r="H332" s="61"/>
      <c r="I332" s="38"/>
      <c r="K332" s="39"/>
    </row>
    <row r="333" spans="2:11" ht="12.75">
      <c r="B333" s="10" t="s">
        <v>108</v>
      </c>
      <c r="D333" s="15" t="s">
        <v>59</v>
      </c>
      <c r="E333" s="39"/>
      <c r="F333" s="43">
        <v>0</v>
      </c>
      <c r="H333" s="61"/>
      <c r="I333" s="38"/>
      <c r="K333" s="39"/>
    </row>
    <row r="334" spans="2:11" ht="12.75">
      <c r="B334" s="10" t="s">
        <v>119</v>
      </c>
      <c r="D334" s="15" t="s">
        <v>59</v>
      </c>
      <c r="E334" s="39"/>
      <c r="F334" s="43">
        <v>0.00028999681000000006</v>
      </c>
      <c r="H334" s="61"/>
      <c r="I334" s="38"/>
      <c r="K334" s="39"/>
    </row>
    <row r="335" spans="2:11" ht="12.75">
      <c r="B335" s="15" t="s">
        <v>124</v>
      </c>
      <c r="D335" s="15" t="s">
        <v>59</v>
      </c>
      <c r="E335" s="39"/>
      <c r="F335" s="68">
        <v>0.6699933</v>
      </c>
      <c r="H335" s="61"/>
      <c r="I335" s="38"/>
      <c r="K335" s="39"/>
    </row>
    <row r="336" spans="5:11" ht="12.75">
      <c r="E336" s="39"/>
      <c r="H336" s="61"/>
      <c r="I336" s="38"/>
      <c r="K336" s="39"/>
    </row>
    <row r="337" spans="2:11" ht="12.75">
      <c r="B337" s="15" t="s">
        <v>77</v>
      </c>
      <c r="D337" s="15" t="s">
        <v>17</v>
      </c>
      <c r="E337" s="39"/>
      <c r="F337" s="17">
        <v>10180.7556401196</v>
      </c>
      <c r="H337" s="38"/>
      <c r="I337" s="38"/>
      <c r="K337" s="39"/>
    </row>
    <row r="338" spans="2:11" ht="12.75">
      <c r="B338" s="15" t="s">
        <v>78</v>
      </c>
      <c r="D338" s="15" t="s">
        <v>18</v>
      </c>
      <c r="E338" s="39"/>
      <c r="H338" s="38"/>
      <c r="I338" s="38"/>
      <c r="K338" s="39"/>
    </row>
    <row r="339" spans="5:11" ht="12.75">
      <c r="E339" s="39"/>
      <c r="H339" s="38"/>
      <c r="I339" s="38"/>
      <c r="K339" s="39"/>
    </row>
    <row r="340" spans="2:16" ht="12.75">
      <c r="B340" s="15" t="s">
        <v>127</v>
      </c>
      <c r="D340" s="15" t="s">
        <v>69</v>
      </c>
      <c r="E340" s="39"/>
      <c r="F340" s="16"/>
      <c r="G340" s="18"/>
      <c r="H340" s="16"/>
      <c r="I340" s="16"/>
      <c r="K340" s="39"/>
      <c r="P340" s="41"/>
    </row>
    <row r="341" spans="2:16" ht="12.75">
      <c r="B341" s="15" t="s">
        <v>333</v>
      </c>
      <c r="D341" s="15" t="s">
        <v>69</v>
      </c>
      <c r="E341" s="39"/>
      <c r="F341" s="37"/>
      <c r="G341" s="18"/>
      <c r="H341" s="16"/>
      <c r="I341" s="16"/>
      <c r="K341" s="39"/>
      <c r="P341" s="16"/>
    </row>
    <row r="342" spans="5:16" ht="12.75">
      <c r="E342" s="39"/>
      <c r="F342" s="37"/>
      <c r="G342" s="18"/>
      <c r="H342" s="16"/>
      <c r="I342" s="16"/>
      <c r="K342" s="39"/>
      <c r="P342" s="16"/>
    </row>
    <row r="343" spans="2:16" ht="12.75">
      <c r="B343" s="59" t="s">
        <v>93</v>
      </c>
      <c r="C343" s="59"/>
      <c r="E343" s="39"/>
      <c r="F343" s="37"/>
      <c r="G343" s="18"/>
      <c r="H343" s="16"/>
      <c r="I343" s="16"/>
      <c r="K343" s="39"/>
      <c r="P343" s="16"/>
    </row>
    <row r="344" spans="2:11" ht="12.75">
      <c r="B344" s="10" t="s">
        <v>100</v>
      </c>
      <c r="D344" s="15" t="s">
        <v>71</v>
      </c>
      <c r="E344" s="39"/>
      <c r="F344" s="16">
        <v>1890.901527272727</v>
      </c>
      <c r="H344" s="16">
        <f>F344</f>
        <v>1890.901527272727</v>
      </c>
      <c r="I344" s="16"/>
      <c r="J344" s="16"/>
      <c r="K344" s="39"/>
    </row>
    <row r="345" spans="2:11" ht="12.75">
      <c r="B345" s="10" t="s">
        <v>101</v>
      </c>
      <c r="D345" s="15" t="s">
        <v>71</v>
      </c>
      <c r="E345" s="39"/>
      <c r="F345" s="16">
        <v>76.16138767676766</v>
      </c>
      <c r="H345" s="16">
        <f aca="true" t="shared" si="11" ref="H345:H362">F345</f>
        <v>76.16138767676766</v>
      </c>
      <c r="I345" s="16"/>
      <c r="J345" s="16"/>
      <c r="K345" s="39"/>
    </row>
    <row r="346" spans="2:11" ht="12.75">
      <c r="B346" s="10" t="s">
        <v>102</v>
      </c>
      <c r="D346" s="15" t="s">
        <v>71</v>
      </c>
      <c r="E346" s="39"/>
      <c r="F346" s="16">
        <v>26262.07474747474</v>
      </c>
      <c r="H346" s="16">
        <f t="shared" si="11"/>
        <v>26262.07474747474</v>
      </c>
      <c r="I346" s="16"/>
      <c r="J346" s="16"/>
      <c r="K346" s="39"/>
    </row>
    <row r="347" spans="2:15" ht="12.75">
      <c r="B347" s="10" t="s">
        <v>103</v>
      </c>
      <c r="D347" s="15" t="s">
        <v>71</v>
      </c>
      <c r="E347" s="39"/>
      <c r="F347" s="16">
        <v>1.4969667030303027</v>
      </c>
      <c r="H347" s="16">
        <f t="shared" si="11"/>
        <v>1.4969667030303027</v>
      </c>
      <c r="I347" s="39"/>
      <c r="J347" s="16"/>
      <c r="K347" s="39"/>
      <c r="N347" s="16"/>
      <c r="O347" s="16"/>
    </row>
    <row r="348" spans="2:11" ht="12.75">
      <c r="B348" s="10" t="s">
        <v>104</v>
      </c>
      <c r="D348" s="15" t="s">
        <v>71</v>
      </c>
      <c r="E348" s="39"/>
      <c r="F348" s="16">
        <v>735.3344161616161</v>
      </c>
      <c r="H348" s="16">
        <f t="shared" si="11"/>
        <v>735.3344161616161</v>
      </c>
      <c r="I348" s="39"/>
      <c r="J348" s="16"/>
      <c r="K348" s="39"/>
    </row>
    <row r="349" spans="2:11" ht="12.75">
      <c r="B349" s="10" t="s">
        <v>121</v>
      </c>
      <c r="D349" s="15" t="s">
        <v>71</v>
      </c>
      <c r="E349" s="39"/>
      <c r="F349" s="16">
        <v>288.88828222222213</v>
      </c>
      <c r="H349" s="16">
        <f t="shared" si="11"/>
        <v>288.88828222222213</v>
      </c>
      <c r="I349" s="39"/>
      <c r="J349" s="16"/>
      <c r="K349" s="39"/>
    </row>
    <row r="350" spans="2:15" ht="12.75">
      <c r="B350" s="10" t="s">
        <v>116</v>
      </c>
      <c r="D350" s="15" t="s">
        <v>71</v>
      </c>
      <c r="E350" s="39"/>
      <c r="F350" s="16">
        <v>3.1515119999999994</v>
      </c>
      <c r="H350" s="16">
        <f t="shared" si="11"/>
        <v>3.1515119999999994</v>
      </c>
      <c r="I350" s="39"/>
      <c r="J350" s="16"/>
      <c r="K350" s="39"/>
      <c r="N350" s="41"/>
      <c r="O350" s="41"/>
    </row>
    <row r="351" spans="1:10" ht="12.75">
      <c r="A351" s="37" t="s">
        <v>126</v>
      </c>
      <c r="B351" s="10" t="s">
        <v>117</v>
      </c>
      <c r="C351" s="36"/>
      <c r="D351" s="15" t="s">
        <v>71</v>
      </c>
      <c r="E351" s="39"/>
      <c r="F351" s="16">
        <v>393.93860606060593</v>
      </c>
      <c r="H351" s="16">
        <f t="shared" si="11"/>
        <v>393.93860606060593</v>
      </c>
      <c r="I351" s="39"/>
      <c r="J351" s="16"/>
    </row>
    <row r="352" spans="2:10" ht="12.75">
      <c r="B352" s="10" t="s">
        <v>99</v>
      </c>
      <c r="C352" s="36"/>
      <c r="D352" s="15" t="s">
        <v>71</v>
      </c>
      <c r="E352" s="39"/>
      <c r="F352" s="16">
        <v>997.9728121212123</v>
      </c>
      <c r="H352" s="16">
        <f t="shared" si="11"/>
        <v>997.9728121212123</v>
      </c>
      <c r="I352" s="39"/>
      <c r="J352" s="16"/>
    </row>
    <row r="353" spans="2:10" ht="12.75">
      <c r="B353" s="10" t="s">
        <v>118</v>
      </c>
      <c r="D353" s="15" t="s">
        <v>71</v>
      </c>
      <c r="E353" s="39"/>
      <c r="F353" s="16">
        <v>393.93899999999996</v>
      </c>
      <c r="H353" s="16">
        <f t="shared" si="11"/>
        <v>393.93899999999996</v>
      </c>
      <c r="I353" s="39"/>
      <c r="J353" s="16"/>
    </row>
    <row r="354" spans="2:15" ht="12.75">
      <c r="B354" s="10" t="s">
        <v>105</v>
      </c>
      <c r="D354" s="15" t="s">
        <v>71</v>
      </c>
      <c r="E354" s="39"/>
      <c r="F354" s="16">
        <v>1726.5594666666661</v>
      </c>
      <c r="H354" s="16">
        <f t="shared" si="11"/>
        <v>1726.5594666666661</v>
      </c>
      <c r="I354" s="39"/>
      <c r="J354" s="16"/>
      <c r="K354" s="38"/>
      <c r="L354" s="38"/>
      <c r="M354" s="38"/>
      <c r="N354" s="38"/>
      <c r="O354" s="38"/>
    </row>
    <row r="355" spans="2:10" ht="12.75">
      <c r="B355" s="10" t="s">
        <v>106</v>
      </c>
      <c r="D355" s="15" t="s">
        <v>71</v>
      </c>
      <c r="F355" s="16">
        <v>315.14993939393935</v>
      </c>
      <c r="H355" s="16">
        <f t="shared" si="11"/>
        <v>315.14993939393935</v>
      </c>
      <c r="I355" s="41"/>
      <c r="J355" s="16"/>
    </row>
    <row r="356" spans="2:10" ht="12.75">
      <c r="B356" s="10" t="s">
        <v>201</v>
      </c>
      <c r="D356" s="15" t="s">
        <v>71</v>
      </c>
      <c r="F356" s="16">
        <v>1837.2422020202016</v>
      </c>
      <c r="H356" s="16">
        <f t="shared" si="11"/>
        <v>1837.2422020202016</v>
      </c>
      <c r="J356" s="16"/>
    </row>
    <row r="357" spans="2:10" ht="12.75">
      <c r="B357" s="10" t="s">
        <v>107</v>
      </c>
      <c r="D357" s="15" t="s">
        <v>71</v>
      </c>
      <c r="F357" s="16">
        <v>3151.4836363636355</v>
      </c>
      <c r="H357" s="16">
        <f t="shared" si="11"/>
        <v>3151.4836363636355</v>
      </c>
      <c r="J357" s="16"/>
    </row>
    <row r="358" spans="2:10" ht="12.75">
      <c r="B358" s="10" t="s">
        <v>108</v>
      </c>
      <c r="D358" s="15" t="s">
        <v>71</v>
      </c>
      <c r="F358" s="16">
        <v>0</v>
      </c>
      <c r="H358" s="16">
        <f t="shared" si="11"/>
        <v>0</v>
      </c>
      <c r="J358" s="16"/>
    </row>
    <row r="359" spans="2:10" ht="12.75">
      <c r="B359" s="10" t="s">
        <v>119</v>
      </c>
      <c r="D359" s="15" t="s">
        <v>71</v>
      </c>
      <c r="F359" s="16">
        <v>7.616077838383839</v>
      </c>
      <c r="H359" s="16">
        <f t="shared" si="11"/>
        <v>7.616077838383839</v>
      </c>
      <c r="J359" s="16"/>
    </row>
    <row r="360" spans="2:12" ht="12.75">
      <c r="B360" s="15" t="s">
        <v>124</v>
      </c>
      <c r="D360" s="15" t="s">
        <v>71</v>
      </c>
      <c r="F360" s="16">
        <v>17595.78363636363</v>
      </c>
      <c r="H360" s="16">
        <f t="shared" si="11"/>
        <v>17595.78363636363</v>
      </c>
      <c r="J360" s="16"/>
      <c r="L360" s="41"/>
    </row>
    <row r="361" spans="2:12" ht="12.75">
      <c r="B361" s="15" t="s">
        <v>72</v>
      </c>
      <c r="D361" s="15" t="s">
        <v>71</v>
      </c>
      <c r="F361" s="16">
        <v>1733.3072282828284</v>
      </c>
      <c r="H361" s="16">
        <f t="shared" si="11"/>
        <v>1733.3072282828284</v>
      </c>
      <c r="J361" s="16"/>
      <c r="L361" s="41"/>
    </row>
    <row r="362" spans="2:12" ht="12.75">
      <c r="B362" s="15" t="s">
        <v>73</v>
      </c>
      <c r="D362" s="15" t="s">
        <v>71</v>
      </c>
      <c r="F362" s="16">
        <v>366.5466366020201</v>
      </c>
      <c r="H362" s="16">
        <f t="shared" si="11"/>
        <v>366.5466366020201</v>
      </c>
      <c r="J362" s="16"/>
      <c r="L362" s="41"/>
    </row>
    <row r="364" spans="1:20" ht="12.75">
      <c r="A364" s="37" t="s">
        <v>126</v>
      </c>
      <c r="B364" s="36" t="s">
        <v>187</v>
      </c>
      <c r="C364" s="36" t="s">
        <v>125</v>
      </c>
      <c r="F364" s="39" t="s">
        <v>174</v>
      </c>
      <c r="H364" s="39" t="s">
        <v>175</v>
      </c>
      <c r="I364" s="39"/>
      <c r="J364" s="38" t="s">
        <v>176</v>
      </c>
      <c r="K364" s="39"/>
      <c r="L364" s="39" t="s">
        <v>177</v>
      </c>
      <c r="N364" s="39" t="s">
        <v>174</v>
      </c>
      <c r="O364" s="39"/>
      <c r="P364" s="39" t="s">
        <v>175</v>
      </c>
      <c r="Q364" s="39"/>
      <c r="R364" s="39" t="s">
        <v>176</v>
      </c>
      <c r="S364" s="39"/>
      <c r="T364" s="39" t="s">
        <v>177</v>
      </c>
    </row>
    <row r="365" spans="2:12" ht="12.75">
      <c r="B365" s="36"/>
      <c r="C365" s="36"/>
      <c r="F365" s="39"/>
      <c r="H365" s="39"/>
      <c r="I365" s="39"/>
      <c r="K365" s="39"/>
      <c r="L365" s="39"/>
    </row>
    <row r="366" spans="2:20" ht="12.75">
      <c r="B366" s="15" t="s">
        <v>325</v>
      </c>
      <c r="C366" s="36"/>
      <c r="F366" s="39" t="s">
        <v>327</v>
      </c>
      <c r="H366" s="39" t="s">
        <v>327</v>
      </c>
      <c r="I366" s="39"/>
      <c r="J366" s="38" t="s">
        <v>327</v>
      </c>
      <c r="K366" s="39"/>
      <c r="L366" s="39" t="s">
        <v>327</v>
      </c>
      <c r="N366" s="37" t="s">
        <v>243</v>
      </c>
      <c r="P366" s="37" t="s">
        <v>243</v>
      </c>
      <c r="R366" s="37" t="s">
        <v>243</v>
      </c>
      <c r="T366" s="37" t="s">
        <v>243</v>
      </c>
    </row>
    <row r="367" spans="2:20" ht="12.75">
      <c r="B367" s="15" t="s">
        <v>326</v>
      </c>
      <c r="F367" s="37" t="s">
        <v>330</v>
      </c>
      <c r="G367" s="37"/>
      <c r="H367" s="37" t="s">
        <v>330</v>
      </c>
      <c r="J367" s="38" t="s">
        <v>330</v>
      </c>
      <c r="L367" s="37" t="s">
        <v>330</v>
      </c>
      <c r="N367" s="38" t="s">
        <v>25</v>
      </c>
      <c r="O367" s="38"/>
      <c r="P367" s="38" t="s">
        <v>25</v>
      </c>
      <c r="R367" s="37" t="s">
        <v>25</v>
      </c>
      <c r="T367" s="37" t="s">
        <v>25</v>
      </c>
    </row>
    <row r="368" spans="2:20" ht="12.75">
      <c r="B368" s="15" t="s">
        <v>49</v>
      </c>
      <c r="F368" s="38" t="s">
        <v>188</v>
      </c>
      <c r="G368" s="38"/>
      <c r="H368" s="38" t="s">
        <v>188</v>
      </c>
      <c r="I368" s="38"/>
      <c r="J368" s="38" t="s">
        <v>188</v>
      </c>
      <c r="K368" s="38"/>
      <c r="L368" s="38" t="s">
        <v>188</v>
      </c>
      <c r="M368" s="38"/>
      <c r="N368" s="38" t="s">
        <v>25</v>
      </c>
      <c r="O368" s="38"/>
      <c r="P368" s="38" t="s">
        <v>25</v>
      </c>
      <c r="R368" s="37" t="s">
        <v>25</v>
      </c>
      <c r="T368" s="37" t="s">
        <v>25</v>
      </c>
    </row>
    <row r="369" spans="2:13" ht="12.75">
      <c r="B369" s="15" t="s">
        <v>128</v>
      </c>
      <c r="D369" s="15" t="s">
        <v>59</v>
      </c>
      <c r="F369" s="40">
        <v>3900</v>
      </c>
      <c r="H369" s="37">
        <v>3899</v>
      </c>
      <c r="J369" s="38">
        <v>3869</v>
      </c>
      <c r="L369" s="41"/>
      <c r="M369" s="41"/>
    </row>
    <row r="370" spans="2:13" ht="12.75">
      <c r="B370" s="15" t="s">
        <v>51</v>
      </c>
      <c r="D370" s="15" t="s">
        <v>52</v>
      </c>
      <c r="F370" s="40"/>
      <c r="L370" s="41"/>
      <c r="M370" s="41"/>
    </row>
    <row r="372" spans="1:20" ht="12.75">
      <c r="A372" s="37" t="s">
        <v>126</v>
      </c>
      <c r="B372" s="36" t="s">
        <v>202</v>
      </c>
      <c r="C372" s="36" t="s">
        <v>125</v>
      </c>
      <c r="F372" s="39" t="s">
        <v>174</v>
      </c>
      <c r="H372" s="39" t="s">
        <v>175</v>
      </c>
      <c r="J372" s="38" t="s">
        <v>176</v>
      </c>
      <c r="K372" s="39"/>
      <c r="L372" s="39" t="s">
        <v>177</v>
      </c>
      <c r="N372" s="39" t="s">
        <v>174</v>
      </c>
      <c r="O372" s="39"/>
      <c r="P372" s="39" t="s">
        <v>175</v>
      </c>
      <c r="R372" s="39" t="s">
        <v>176</v>
      </c>
      <c r="S372" s="39"/>
      <c r="T372" s="39" t="s">
        <v>177</v>
      </c>
    </row>
    <row r="373" spans="2:12" ht="12.75">
      <c r="B373" s="36"/>
      <c r="C373" s="36"/>
      <c r="F373" s="39"/>
      <c r="H373" s="39"/>
      <c r="K373" s="39"/>
      <c r="L373" s="39"/>
    </row>
    <row r="374" spans="2:20" ht="12.75">
      <c r="B374" s="15" t="s">
        <v>325</v>
      </c>
      <c r="C374" s="36"/>
      <c r="F374" s="39" t="s">
        <v>327</v>
      </c>
      <c r="H374" s="39" t="s">
        <v>327</v>
      </c>
      <c r="I374" s="39"/>
      <c r="J374" s="38" t="s">
        <v>327</v>
      </c>
      <c r="K374" s="39"/>
      <c r="L374" s="39" t="s">
        <v>327</v>
      </c>
      <c r="N374" s="37" t="s">
        <v>243</v>
      </c>
      <c r="P374" s="37" t="s">
        <v>243</v>
      </c>
      <c r="R374" s="37" t="s">
        <v>243</v>
      </c>
      <c r="T374" s="37" t="s">
        <v>243</v>
      </c>
    </row>
    <row r="375" spans="2:20" ht="12.75">
      <c r="B375" s="15" t="s">
        <v>326</v>
      </c>
      <c r="F375" s="37" t="s">
        <v>330</v>
      </c>
      <c r="G375" s="37"/>
      <c r="H375" s="37" t="s">
        <v>330</v>
      </c>
      <c r="J375" s="38" t="s">
        <v>330</v>
      </c>
      <c r="L375" s="37" t="s">
        <v>330</v>
      </c>
      <c r="N375" s="38" t="s">
        <v>25</v>
      </c>
      <c r="O375" s="38"/>
      <c r="P375" s="38" t="s">
        <v>25</v>
      </c>
      <c r="R375" s="37" t="s">
        <v>25</v>
      </c>
      <c r="T375" s="37" t="s">
        <v>25</v>
      </c>
    </row>
    <row r="376" spans="2:20" ht="12.75">
      <c r="B376" s="15" t="s">
        <v>49</v>
      </c>
      <c r="F376" s="38" t="s">
        <v>188</v>
      </c>
      <c r="G376" s="38"/>
      <c r="H376" s="38" t="s">
        <v>188</v>
      </c>
      <c r="I376" s="38"/>
      <c r="J376" s="38" t="s">
        <v>188</v>
      </c>
      <c r="K376" s="38"/>
      <c r="L376" s="38" t="s">
        <v>188</v>
      </c>
      <c r="M376" s="38"/>
      <c r="N376" s="38" t="s">
        <v>25</v>
      </c>
      <c r="O376" s="38"/>
      <c r="P376" s="38" t="s">
        <v>25</v>
      </c>
      <c r="R376" s="37" t="s">
        <v>25</v>
      </c>
      <c r="T376" s="37" t="s">
        <v>25</v>
      </c>
    </row>
    <row r="377" spans="2:13" ht="12.75">
      <c r="B377" s="15" t="s">
        <v>128</v>
      </c>
      <c r="D377" s="15" t="s">
        <v>59</v>
      </c>
      <c r="F377" s="40">
        <v>4133</v>
      </c>
      <c r="H377" s="37">
        <v>3905</v>
      </c>
      <c r="J377" s="38">
        <v>3894</v>
      </c>
      <c r="L377" s="41"/>
      <c r="M377" s="41"/>
    </row>
    <row r="378" spans="2:13" ht="12.75">
      <c r="B378" s="15" t="s">
        <v>51</v>
      </c>
      <c r="D378" s="15" t="s">
        <v>52</v>
      </c>
      <c r="F378" s="40"/>
      <c r="L378" s="41"/>
      <c r="M378" s="41"/>
    </row>
    <row r="380" spans="1:20" ht="12.75">
      <c r="A380" s="37" t="s">
        <v>126</v>
      </c>
      <c r="B380" s="36" t="s">
        <v>208</v>
      </c>
      <c r="C380" s="36" t="s">
        <v>125</v>
      </c>
      <c r="F380" s="39" t="s">
        <v>174</v>
      </c>
      <c r="H380" s="39" t="s">
        <v>175</v>
      </c>
      <c r="J380" s="38" t="s">
        <v>176</v>
      </c>
      <c r="K380" s="78"/>
      <c r="L380" s="78" t="s">
        <v>177</v>
      </c>
      <c r="N380" s="39" t="s">
        <v>174</v>
      </c>
      <c r="O380" s="39"/>
      <c r="P380" s="39" t="s">
        <v>175</v>
      </c>
      <c r="R380" s="39" t="s">
        <v>176</v>
      </c>
      <c r="S380" s="39"/>
      <c r="T380" s="39" t="s">
        <v>177</v>
      </c>
    </row>
    <row r="381" spans="2:12" ht="12.75">
      <c r="B381" s="36"/>
      <c r="C381" s="36"/>
      <c r="F381" s="39"/>
      <c r="H381" s="39"/>
      <c r="K381" s="78"/>
      <c r="L381" s="78"/>
    </row>
    <row r="382" spans="2:20" ht="12.75">
      <c r="B382" s="15" t="s">
        <v>325</v>
      </c>
      <c r="C382" s="36"/>
      <c r="F382" s="39" t="s">
        <v>327</v>
      </c>
      <c r="H382" s="39" t="s">
        <v>327</v>
      </c>
      <c r="I382" s="39"/>
      <c r="J382" s="38" t="s">
        <v>327</v>
      </c>
      <c r="K382" s="39"/>
      <c r="L382" s="39" t="s">
        <v>327</v>
      </c>
      <c r="N382" s="37" t="s">
        <v>243</v>
      </c>
      <c r="P382" s="37" t="s">
        <v>243</v>
      </c>
      <c r="R382" s="37" t="s">
        <v>243</v>
      </c>
      <c r="T382" s="37" t="s">
        <v>243</v>
      </c>
    </row>
    <row r="383" spans="2:20" ht="12.75">
      <c r="B383" s="15" t="s">
        <v>326</v>
      </c>
      <c r="F383" s="37" t="s">
        <v>330</v>
      </c>
      <c r="G383" s="37"/>
      <c r="H383" s="37" t="s">
        <v>330</v>
      </c>
      <c r="J383" s="38" t="s">
        <v>330</v>
      </c>
      <c r="L383" s="37" t="s">
        <v>330</v>
      </c>
      <c r="N383" s="38" t="s">
        <v>25</v>
      </c>
      <c r="O383" s="38"/>
      <c r="P383" s="38" t="s">
        <v>25</v>
      </c>
      <c r="R383" s="37" t="s">
        <v>25</v>
      </c>
      <c r="T383" s="37" t="s">
        <v>25</v>
      </c>
    </row>
    <row r="384" spans="2:20" ht="12.75">
      <c r="B384" s="15" t="s">
        <v>49</v>
      </c>
      <c r="F384" s="38" t="s">
        <v>210</v>
      </c>
      <c r="G384" s="38"/>
      <c r="H384" s="38" t="s">
        <v>210</v>
      </c>
      <c r="I384" s="38"/>
      <c r="J384" s="38" t="s">
        <v>210</v>
      </c>
      <c r="K384" s="38"/>
      <c r="L384" s="38" t="s">
        <v>210</v>
      </c>
      <c r="M384" s="38"/>
      <c r="N384" s="38" t="s">
        <v>25</v>
      </c>
      <c r="O384" s="38"/>
      <c r="P384" s="38" t="s">
        <v>25</v>
      </c>
      <c r="R384" s="37" t="s">
        <v>25</v>
      </c>
      <c r="T384" s="37" t="s">
        <v>25</v>
      </c>
    </row>
    <row r="385" spans="2:13" ht="12.75">
      <c r="B385" s="15" t="s">
        <v>128</v>
      </c>
      <c r="D385" s="15" t="s">
        <v>59</v>
      </c>
      <c r="F385" s="40">
        <v>16924</v>
      </c>
      <c r="H385" s="37">
        <v>16846</v>
      </c>
      <c r="L385" s="41"/>
      <c r="M385" s="41"/>
    </row>
    <row r="386" spans="2:13" ht="12.75">
      <c r="B386" s="15" t="s">
        <v>51</v>
      </c>
      <c r="D386" s="15" t="s">
        <v>52</v>
      </c>
      <c r="F386" s="40"/>
      <c r="L386" s="41"/>
      <c r="M386" s="41"/>
    </row>
    <row r="388" spans="1:44" ht="12.75">
      <c r="A388" s="37" t="s">
        <v>126</v>
      </c>
      <c r="B388" s="36" t="s">
        <v>209</v>
      </c>
      <c r="C388" s="36" t="s">
        <v>125</v>
      </c>
      <c r="F388" s="39" t="s">
        <v>176</v>
      </c>
      <c r="H388" s="39" t="s">
        <v>211</v>
      </c>
      <c r="I388" s="39"/>
      <c r="J388" s="38" t="s">
        <v>212</v>
      </c>
      <c r="K388" s="39"/>
      <c r="L388" s="39" t="s">
        <v>213</v>
      </c>
      <c r="M388" s="39"/>
      <c r="N388" s="39" t="s">
        <v>214</v>
      </c>
      <c r="O388" s="39"/>
      <c r="P388" s="39" t="s">
        <v>215</v>
      </c>
      <c r="Q388" s="39"/>
      <c r="R388" s="39" t="s">
        <v>216</v>
      </c>
      <c r="S388" s="39"/>
      <c r="T388" s="39" t="s">
        <v>217</v>
      </c>
      <c r="U388" s="39"/>
      <c r="V388" s="39" t="s">
        <v>218</v>
      </c>
      <c r="W388" s="39"/>
      <c r="X388" s="39" t="s">
        <v>48</v>
      </c>
      <c r="Y388" s="39"/>
      <c r="Z388" s="39" t="s">
        <v>176</v>
      </c>
      <c r="AA388" s="39"/>
      <c r="AB388" s="39" t="s">
        <v>211</v>
      </c>
      <c r="AC388" s="39"/>
      <c r="AD388" s="38" t="s">
        <v>212</v>
      </c>
      <c r="AE388" s="39"/>
      <c r="AF388" s="39" t="s">
        <v>213</v>
      </c>
      <c r="AG388" s="39"/>
      <c r="AH388" s="39" t="s">
        <v>214</v>
      </c>
      <c r="AI388" s="39"/>
      <c r="AJ388" s="39" t="s">
        <v>215</v>
      </c>
      <c r="AK388" s="39"/>
      <c r="AL388" s="39" t="s">
        <v>216</v>
      </c>
      <c r="AM388" s="39"/>
      <c r="AN388" s="39" t="s">
        <v>217</v>
      </c>
      <c r="AO388" s="39"/>
      <c r="AP388" s="39" t="s">
        <v>218</v>
      </c>
      <c r="AQ388" s="39"/>
      <c r="AR388" s="39" t="s">
        <v>48</v>
      </c>
    </row>
    <row r="389" spans="2:28" ht="12.75">
      <c r="B389" s="36"/>
      <c r="C389" s="36"/>
      <c r="F389" s="39"/>
      <c r="H389" s="39"/>
      <c r="I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</row>
    <row r="390" spans="2:44" ht="12.75">
      <c r="B390" s="15" t="s">
        <v>325</v>
      </c>
      <c r="C390" s="36"/>
      <c r="F390" s="39" t="s">
        <v>327</v>
      </c>
      <c r="H390" s="39" t="s">
        <v>327</v>
      </c>
      <c r="I390" s="39"/>
      <c r="J390" s="38" t="s">
        <v>327</v>
      </c>
      <c r="K390" s="39"/>
      <c r="L390" s="39" t="s">
        <v>327</v>
      </c>
      <c r="M390" s="39"/>
      <c r="N390" s="39" t="s">
        <v>327</v>
      </c>
      <c r="O390" s="39"/>
      <c r="P390" s="39" t="s">
        <v>327</v>
      </c>
      <c r="Q390" s="39"/>
      <c r="R390" s="38" t="s">
        <v>327</v>
      </c>
      <c r="S390" s="39"/>
      <c r="T390" s="39" t="s">
        <v>327</v>
      </c>
      <c r="U390" s="39"/>
      <c r="V390" s="38" t="s">
        <v>327</v>
      </c>
      <c r="W390" s="39"/>
      <c r="X390" s="39" t="s">
        <v>327</v>
      </c>
      <c r="Y390" s="39"/>
      <c r="Z390" s="39" t="s">
        <v>243</v>
      </c>
      <c r="AA390" s="39"/>
      <c r="AB390" s="39" t="s">
        <v>243</v>
      </c>
      <c r="AD390" s="37" t="s">
        <v>243</v>
      </c>
      <c r="AF390" s="37" t="s">
        <v>243</v>
      </c>
      <c r="AH390" s="39" t="s">
        <v>243</v>
      </c>
      <c r="AI390" s="39"/>
      <c r="AJ390" s="39" t="s">
        <v>243</v>
      </c>
      <c r="AL390" s="37" t="s">
        <v>243</v>
      </c>
      <c r="AN390" s="37" t="s">
        <v>243</v>
      </c>
      <c r="AP390" s="37" t="s">
        <v>243</v>
      </c>
      <c r="AR390" s="37" t="s">
        <v>243</v>
      </c>
    </row>
    <row r="391" spans="2:44" ht="12.75">
      <c r="B391" s="15" t="s">
        <v>326</v>
      </c>
      <c r="F391" s="37" t="s">
        <v>330</v>
      </c>
      <c r="G391" s="37"/>
      <c r="H391" s="37" t="s">
        <v>330</v>
      </c>
      <c r="J391" s="38" t="s">
        <v>330</v>
      </c>
      <c r="L391" s="37" t="s">
        <v>330</v>
      </c>
      <c r="N391" s="37" t="s">
        <v>330</v>
      </c>
      <c r="P391" s="37" t="s">
        <v>330</v>
      </c>
      <c r="R391" s="37" t="s">
        <v>330</v>
      </c>
      <c r="T391" s="37" t="s">
        <v>330</v>
      </c>
      <c r="V391" s="37" t="s">
        <v>330</v>
      </c>
      <c r="X391" s="37" t="s">
        <v>330</v>
      </c>
      <c r="Z391" s="37" t="s">
        <v>25</v>
      </c>
      <c r="AB391" s="37" t="s">
        <v>25</v>
      </c>
      <c r="AD391" s="37" t="s">
        <v>25</v>
      </c>
      <c r="AF391" s="37" t="s">
        <v>25</v>
      </c>
      <c r="AH391" s="37" t="s">
        <v>25</v>
      </c>
      <c r="AJ391" s="37" t="s">
        <v>25</v>
      </c>
      <c r="AL391" s="37" t="s">
        <v>25</v>
      </c>
      <c r="AN391" s="37" t="s">
        <v>25</v>
      </c>
      <c r="AP391" s="37" t="s">
        <v>25</v>
      </c>
      <c r="AR391" s="37" t="s">
        <v>25</v>
      </c>
    </row>
    <row r="392" spans="2:44" ht="12.75">
      <c r="B392" s="15" t="s">
        <v>331</v>
      </c>
      <c r="F392" s="37"/>
      <c r="G392" s="37"/>
      <c r="Z392" s="37" t="s">
        <v>25</v>
      </c>
      <c r="AB392" s="37" t="s">
        <v>25</v>
      </c>
      <c r="AD392" s="37" t="s">
        <v>25</v>
      </c>
      <c r="AF392" s="37" t="s">
        <v>25</v>
      </c>
      <c r="AH392" s="37" t="s">
        <v>25</v>
      </c>
      <c r="AJ392" s="37" t="s">
        <v>25</v>
      </c>
      <c r="AL392" s="37" t="s">
        <v>25</v>
      </c>
      <c r="AN392" s="37" t="s">
        <v>25</v>
      </c>
      <c r="AP392" s="37" t="s">
        <v>25</v>
      </c>
      <c r="AR392" s="37" t="s">
        <v>25</v>
      </c>
    </row>
    <row r="393" spans="2:44" ht="12.75">
      <c r="B393" s="15" t="s">
        <v>49</v>
      </c>
      <c r="F393" s="38" t="s">
        <v>210</v>
      </c>
      <c r="G393" s="38"/>
      <c r="H393" s="38" t="s">
        <v>210</v>
      </c>
      <c r="I393" s="38"/>
      <c r="J393" s="38" t="s">
        <v>210</v>
      </c>
      <c r="K393" s="38"/>
      <c r="L393" s="38" t="s">
        <v>210</v>
      </c>
      <c r="M393" s="38"/>
      <c r="N393" s="38" t="s">
        <v>210</v>
      </c>
      <c r="O393" s="38"/>
      <c r="P393" s="38" t="s">
        <v>210</v>
      </c>
      <c r="R393" s="38" t="s">
        <v>210</v>
      </c>
      <c r="T393" s="38" t="s">
        <v>210</v>
      </c>
      <c r="V393" s="38" t="s">
        <v>210</v>
      </c>
      <c r="X393" s="38" t="s">
        <v>210</v>
      </c>
      <c r="Z393" s="37" t="s">
        <v>25</v>
      </c>
      <c r="AB393" s="37" t="s">
        <v>25</v>
      </c>
      <c r="AD393" s="37" t="s">
        <v>25</v>
      </c>
      <c r="AF393" s="37" t="s">
        <v>25</v>
      </c>
      <c r="AH393" s="37" t="s">
        <v>25</v>
      </c>
      <c r="AJ393" s="37" t="s">
        <v>25</v>
      </c>
      <c r="AL393" s="37" t="s">
        <v>25</v>
      </c>
      <c r="AN393" s="37" t="s">
        <v>25</v>
      </c>
      <c r="AP393" s="37" t="s">
        <v>25</v>
      </c>
      <c r="AR393" s="37" t="s">
        <v>25</v>
      </c>
    </row>
    <row r="394" spans="2:22" ht="12.75">
      <c r="B394" s="15" t="s">
        <v>128</v>
      </c>
      <c r="D394" s="15" t="s">
        <v>59</v>
      </c>
      <c r="F394" s="40">
        <v>16071</v>
      </c>
      <c r="H394" s="37">
        <v>16846</v>
      </c>
      <c r="J394" s="38">
        <v>16355</v>
      </c>
      <c r="L394" s="41">
        <v>15535</v>
      </c>
      <c r="M394" s="41"/>
      <c r="N394" s="37">
        <v>15688</v>
      </c>
      <c r="P394" s="37">
        <v>16812</v>
      </c>
      <c r="R394" s="37">
        <v>16302</v>
      </c>
      <c r="T394" s="37">
        <v>15564</v>
      </c>
      <c r="V394" s="37">
        <v>16364</v>
      </c>
    </row>
    <row r="395" spans="2:13" ht="12.75">
      <c r="B395" s="15" t="s">
        <v>51</v>
      </c>
      <c r="D395" s="15" t="s">
        <v>52</v>
      </c>
      <c r="F395" s="40"/>
      <c r="L395" s="41"/>
      <c r="M395" s="41"/>
    </row>
    <row r="396" spans="2:22" ht="12.75">
      <c r="B396" s="10" t="s">
        <v>100</v>
      </c>
      <c r="D396" s="15" t="s">
        <v>59</v>
      </c>
      <c r="E396" s="39"/>
      <c r="F396" s="43">
        <v>0.23999807999999997</v>
      </c>
      <c r="G396" s="67"/>
      <c r="H396" s="43">
        <v>0.097999314</v>
      </c>
      <c r="I396" s="68"/>
      <c r="J396" s="68">
        <v>0.15999808000000001</v>
      </c>
      <c r="K396" s="43"/>
      <c r="L396" s="43">
        <v>0.018999962</v>
      </c>
      <c r="M396" s="43"/>
      <c r="N396" s="43">
        <v>0.14999745</v>
      </c>
      <c r="O396" s="43"/>
      <c r="P396" s="43">
        <v>0.45997608</v>
      </c>
      <c r="Q396" s="43"/>
      <c r="R396" s="43">
        <v>0.28999101</v>
      </c>
      <c r="S396" s="43"/>
      <c r="T396" s="43">
        <v>0.08699913</v>
      </c>
      <c r="U396" s="43"/>
      <c r="V396" s="43">
        <v>0.081999262</v>
      </c>
    </row>
    <row r="397" spans="2:22" ht="12.75">
      <c r="B397" s="10" t="s">
        <v>101</v>
      </c>
      <c r="D397" s="15" t="s">
        <v>59</v>
      </c>
      <c r="E397" s="39"/>
      <c r="F397" s="43">
        <v>0.007722</v>
      </c>
      <c r="G397" s="67"/>
      <c r="H397" s="43">
        <v>0.009701999999999999</v>
      </c>
      <c r="I397" s="68"/>
      <c r="J397" s="68">
        <v>0.004653</v>
      </c>
      <c r="K397" s="68"/>
      <c r="L397" s="43">
        <v>0.0056430000000000004</v>
      </c>
      <c r="M397" s="43"/>
      <c r="N397" s="43">
        <v>0.005544</v>
      </c>
      <c r="O397" s="43"/>
      <c r="P397" s="43">
        <v>0.0198</v>
      </c>
      <c r="Q397" s="43"/>
      <c r="R397" s="43">
        <v>0.014849999999999999</v>
      </c>
      <c r="S397" s="43"/>
      <c r="T397" s="43">
        <v>0.005346</v>
      </c>
      <c r="U397" s="43"/>
      <c r="V397" s="43">
        <v>0.003366</v>
      </c>
    </row>
    <row r="398" spans="2:22" ht="12.75">
      <c r="B398" s="10" t="s">
        <v>103</v>
      </c>
      <c r="D398" s="15" t="s">
        <v>59</v>
      </c>
      <c r="E398" s="39"/>
      <c r="F398" s="43">
        <v>9.8999901E-05</v>
      </c>
      <c r="G398" s="67"/>
      <c r="H398" s="61">
        <v>0.00021999956</v>
      </c>
      <c r="I398" s="67"/>
      <c r="J398" s="68">
        <v>7.4999925E-05</v>
      </c>
      <c r="K398" s="68"/>
      <c r="L398" s="43">
        <v>4.9E-05</v>
      </c>
      <c r="M398" s="43"/>
      <c r="N398" s="43">
        <v>4.9999999999999996E-05</v>
      </c>
      <c r="O398" s="43"/>
      <c r="P398" s="43">
        <v>0.00021999956</v>
      </c>
      <c r="Q398" s="43"/>
      <c r="R398" s="43">
        <v>0.00011999988</v>
      </c>
      <c r="S398" s="43"/>
      <c r="T398" s="43">
        <v>0.00016999983</v>
      </c>
      <c r="U398" s="43"/>
      <c r="V398" s="43">
        <v>9.999999999999999E-05</v>
      </c>
    </row>
    <row r="399" spans="2:22" ht="12.75">
      <c r="B399" s="10" t="s">
        <v>104</v>
      </c>
      <c r="D399" s="15" t="s">
        <v>59</v>
      </c>
      <c r="E399" s="39"/>
      <c r="F399" s="43">
        <v>0.18998194999999998</v>
      </c>
      <c r="G399" s="67"/>
      <c r="H399" s="61">
        <v>0.33994287999999995</v>
      </c>
      <c r="I399" s="67"/>
      <c r="J399" s="68">
        <v>0.11999267999999999</v>
      </c>
      <c r="K399" s="68"/>
      <c r="L399" s="43">
        <v>0.10999395000000001</v>
      </c>
      <c r="M399" s="43"/>
      <c r="N399" s="43">
        <v>0.085996216</v>
      </c>
      <c r="O399" s="43"/>
      <c r="P399" s="43">
        <v>0.2799622</v>
      </c>
      <c r="Q399" s="43"/>
      <c r="R399" s="43">
        <v>0.18998309</v>
      </c>
      <c r="S399" s="43"/>
      <c r="T399" s="43">
        <v>0.16998759</v>
      </c>
      <c r="U399" s="43"/>
      <c r="V399" s="43">
        <v>0.09299637300000001</v>
      </c>
    </row>
    <row r="400" spans="2:22" ht="12.75">
      <c r="B400" s="10" t="s">
        <v>121</v>
      </c>
      <c r="D400" s="15" t="s">
        <v>59</v>
      </c>
      <c r="E400" s="39"/>
      <c r="F400" s="43">
        <v>0.049999800000000004</v>
      </c>
      <c r="G400" s="67"/>
      <c r="H400" s="61">
        <v>0.09599932800000001</v>
      </c>
      <c r="I400" s="67"/>
      <c r="J400" s="68">
        <v>0.032999901</v>
      </c>
      <c r="K400" s="67"/>
      <c r="L400" s="43">
        <v>0.01999996</v>
      </c>
      <c r="M400" s="43"/>
      <c r="N400" s="43">
        <v>0.043999824</v>
      </c>
      <c r="O400" s="43"/>
      <c r="P400" s="43">
        <v>0.055999775999999994</v>
      </c>
      <c r="Q400" s="43"/>
      <c r="R400" s="43">
        <v>0.030999937999999998</v>
      </c>
      <c r="S400" s="43"/>
      <c r="T400" s="43">
        <v>0.02499995</v>
      </c>
      <c r="U400" s="43"/>
      <c r="V400" s="43">
        <v>0.025999947999999995</v>
      </c>
    </row>
    <row r="401" spans="2:22" ht="12.75">
      <c r="B401" s="10" t="s">
        <v>116</v>
      </c>
      <c r="D401" s="15" t="s">
        <v>59</v>
      </c>
      <c r="E401" s="39"/>
      <c r="F401" s="43">
        <v>0.057995766</v>
      </c>
      <c r="G401" s="67"/>
      <c r="H401" s="61">
        <v>0.00015000000000000001</v>
      </c>
      <c r="I401" s="67"/>
      <c r="J401" s="68">
        <v>0.039998000000000006</v>
      </c>
      <c r="K401" s="67"/>
      <c r="L401" s="43">
        <v>0.032998647</v>
      </c>
      <c r="M401" s="43"/>
      <c r="N401" s="43">
        <v>7.500000000000001E-05</v>
      </c>
      <c r="O401" s="43"/>
      <c r="P401" s="43">
        <v>0.0042999785</v>
      </c>
      <c r="Q401" s="43"/>
      <c r="R401" s="43">
        <v>0.012999792</v>
      </c>
      <c r="S401" s="43"/>
      <c r="T401" s="43">
        <v>0.0009399990599999999</v>
      </c>
      <c r="U401" s="43"/>
      <c r="V401" s="43">
        <v>0.00038</v>
      </c>
    </row>
    <row r="402" spans="2:22" ht="12.75">
      <c r="B402" s="10" t="s">
        <v>117</v>
      </c>
      <c r="D402" s="15" t="s">
        <v>59</v>
      </c>
      <c r="E402" s="39"/>
      <c r="F402" s="43">
        <v>0.09999859999999999</v>
      </c>
      <c r="G402" s="67"/>
      <c r="H402" s="61">
        <v>0.13999762</v>
      </c>
      <c r="I402" s="67"/>
      <c r="J402" s="68">
        <v>0.03799981</v>
      </c>
      <c r="K402" s="67"/>
      <c r="L402" s="43">
        <v>0.038999766</v>
      </c>
      <c r="M402" s="43"/>
      <c r="N402" s="43">
        <v>0.041999706000000005</v>
      </c>
      <c r="O402" s="43"/>
      <c r="P402" s="43">
        <v>0.11999783999999998</v>
      </c>
      <c r="Q402" s="43"/>
      <c r="R402" s="43">
        <v>0.09299879100000001</v>
      </c>
      <c r="S402" s="43"/>
      <c r="T402" s="43">
        <v>0.046999624</v>
      </c>
      <c r="U402" s="43"/>
      <c r="V402" s="43">
        <v>0.03199984</v>
      </c>
    </row>
    <row r="403" spans="2:22" ht="12.75">
      <c r="B403" s="10" t="s">
        <v>99</v>
      </c>
      <c r="D403" s="15" t="s">
        <v>59</v>
      </c>
      <c r="E403" s="39"/>
      <c r="F403" s="43">
        <v>0.48997991</v>
      </c>
      <c r="G403" s="67"/>
      <c r="H403" s="61">
        <v>0.7399556</v>
      </c>
      <c r="I403" s="67"/>
      <c r="J403" s="68">
        <v>0.25999402</v>
      </c>
      <c r="K403" s="67"/>
      <c r="L403" s="43">
        <v>0.2499945</v>
      </c>
      <c r="M403" s="43"/>
      <c r="N403" s="43">
        <v>0.31999104000000006</v>
      </c>
      <c r="O403" s="43"/>
      <c r="P403" s="43">
        <v>0.949924</v>
      </c>
      <c r="Q403" s="43"/>
      <c r="R403" s="43">
        <v>0.00062996661</v>
      </c>
      <c r="S403" s="43"/>
      <c r="T403" s="43">
        <v>0.36999075000000003</v>
      </c>
      <c r="U403" s="43"/>
      <c r="V403" s="43">
        <v>0.22999655000000002</v>
      </c>
    </row>
    <row r="404" spans="2:22" ht="12.75">
      <c r="B404" s="10" t="s">
        <v>118</v>
      </c>
      <c r="D404" s="15" t="s">
        <v>59</v>
      </c>
      <c r="E404" s="39"/>
      <c r="F404" s="43">
        <v>0.012999882999999999</v>
      </c>
      <c r="G404" s="67"/>
      <c r="H404" s="61">
        <v>0.0051999844</v>
      </c>
      <c r="I404" s="67"/>
      <c r="J404" s="68">
        <v>0.0040999877</v>
      </c>
      <c r="K404" s="67"/>
      <c r="L404" s="43">
        <v>0.015999760000000002</v>
      </c>
      <c r="M404" s="43"/>
      <c r="N404" s="43">
        <v>0.0040999877</v>
      </c>
      <c r="O404" s="43"/>
      <c r="P404" s="43">
        <v>0.038998908</v>
      </c>
      <c r="Q404" s="43"/>
      <c r="R404" s="43">
        <v>0.015999792000000002</v>
      </c>
      <c r="S404" s="43"/>
      <c r="T404" s="43">
        <v>0.0249995</v>
      </c>
      <c r="U404" s="43"/>
      <c r="V404" s="43">
        <v>0.035998812000000005</v>
      </c>
    </row>
    <row r="405" spans="2:22" ht="12.75">
      <c r="B405" s="10" t="s">
        <v>105</v>
      </c>
      <c r="D405" s="15" t="s">
        <v>59</v>
      </c>
      <c r="E405" s="39"/>
      <c r="F405" s="43">
        <v>0.060917589</v>
      </c>
      <c r="G405" s="67"/>
      <c r="H405" s="61">
        <v>0.048946051</v>
      </c>
      <c r="I405" s="68"/>
      <c r="J405" s="68">
        <v>0.20901257999999998</v>
      </c>
      <c r="K405" s="67"/>
      <c r="L405" s="43">
        <v>0.095721312</v>
      </c>
      <c r="M405" s="43"/>
      <c r="N405" s="43">
        <v>0.06288156</v>
      </c>
      <c r="O405" s="43"/>
      <c r="P405" s="43">
        <v>0.027977375999999998</v>
      </c>
      <c r="Q405" s="43"/>
      <c r="R405" s="43">
        <v>0.093770734</v>
      </c>
      <c r="S405" s="43"/>
      <c r="T405" s="43">
        <v>0.028976974</v>
      </c>
      <c r="U405" s="43"/>
      <c r="V405" s="43">
        <v>0.13958728</v>
      </c>
    </row>
    <row r="406" spans="2:22" ht="12.75">
      <c r="B406" s="10" t="s">
        <v>106</v>
      </c>
      <c r="D406" s="15" t="s">
        <v>59</v>
      </c>
      <c r="E406" s="39"/>
      <c r="F406" s="43">
        <v>0.14996430000000002</v>
      </c>
      <c r="G406" s="67"/>
      <c r="H406" s="61">
        <v>0.048996569999999996</v>
      </c>
      <c r="I406" s="68"/>
      <c r="J406" s="68">
        <v>0.09298558500000001</v>
      </c>
      <c r="K406" s="67"/>
      <c r="L406" s="43">
        <v>0.0096998351</v>
      </c>
      <c r="M406" s="43"/>
      <c r="N406" s="43">
        <v>0.09198758000000001</v>
      </c>
      <c r="O406" s="43"/>
      <c r="P406" s="43">
        <v>0.14996385</v>
      </c>
      <c r="Q406" s="43"/>
      <c r="R406" s="43">
        <v>0.007099921900000001</v>
      </c>
      <c r="S406" s="43"/>
      <c r="T406" s="43">
        <v>0.012999674999999999</v>
      </c>
      <c r="U406" s="43"/>
      <c r="V406" s="43">
        <v>0.005699943</v>
      </c>
    </row>
    <row r="407" spans="2:22" ht="12.75">
      <c r="B407" s="10" t="s">
        <v>107</v>
      </c>
      <c r="D407" s="15" t="s">
        <v>59</v>
      </c>
      <c r="E407" s="39"/>
      <c r="F407" s="43">
        <v>0.32999142</v>
      </c>
      <c r="G407" s="67"/>
      <c r="H407" s="61">
        <v>0.09999930000000001</v>
      </c>
      <c r="I407" s="68"/>
      <c r="J407" s="68">
        <v>0.399986</v>
      </c>
      <c r="K407" s="67"/>
      <c r="L407" s="43">
        <v>0.11999879999999999</v>
      </c>
      <c r="M407" s="43"/>
      <c r="N407" s="43">
        <v>0.31999168</v>
      </c>
      <c r="O407" s="43"/>
      <c r="P407" s="43">
        <v>0.26999406000000004</v>
      </c>
      <c r="Q407" s="43"/>
      <c r="R407" s="43">
        <v>0.20999642999999998</v>
      </c>
      <c r="S407" s="43"/>
      <c r="T407" s="43">
        <v>0.058999882</v>
      </c>
      <c r="U407" s="43"/>
      <c r="V407" s="43">
        <v>0.10999978</v>
      </c>
    </row>
    <row r="408" spans="2:22" ht="12.75">
      <c r="B408" s="10" t="s">
        <v>108</v>
      </c>
      <c r="D408" s="15" t="s">
        <v>59</v>
      </c>
      <c r="E408" s="39"/>
      <c r="F408" s="43">
        <v>0.031994912</v>
      </c>
      <c r="G408" s="67"/>
      <c r="H408" s="61">
        <v>0.047988432</v>
      </c>
      <c r="I408" s="68"/>
      <c r="J408" s="68">
        <v>0.01799838</v>
      </c>
      <c r="K408" s="67"/>
      <c r="L408" s="43">
        <v>0.016998555000000002</v>
      </c>
      <c r="M408" s="43"/>
      <c r="N408" s="43">
        <v>0.015998704000000002</v>
      </c>
      <c r="O408" s="43"/>
      <c r="P408" s="43">
        <v>0.048988093</v>
      </c>
      <c r="Q408" s="43"/>
      <c r="R408" s="43">
        <v>0.034993804999999996</v>
      </c>
      <c r="S408" s="43"/>
      <c r="T408" s="43">
        <v>0.02399712</v>
      </c>
      <c r="U408" s="43"/>
      <c r="V408" s="43">
        <v>0.010998790000000001</v>
      </c>
    </row>
    <row r="409" spans="2:22" ht="12.75">
      <c r="B409" s="10" t="s">
        <v>119</v>
      </c>
      <c r="D409" s="15" t="s">
        <v>59</v>
      </c>
      <c r="E409" s="39"/>
      <c r="F409" s="43">
        <v>0.00061999876</v>
      </c>
      <c r="G409" s="67"/>
      <c r="H409" s="61">
        <v>0.0008899982199999999</v>
      </c>
      <c r="I409" s="68"/>
      <c r="J409" s="68">
        <v>0.00034999965</v>
      </c>
      <c r="K409" s="67"/>
      <c r="L409" s="43">
        <v>0.00046999905999999995</v>
      </c>
      <c r="M409" s="43"/>
      <c r="N409" s="43">
        <v>0.00034999965</v>
      </c>
      <c r="O409" s="43"/>
      <c r="P409" s="43">
        <v>0.073999704</v>
      </c>
      <c r="Q409" s="43"/>
      <c r="R409" s="43">
        <v>0.0007399985199999999</v>
      </c>
      <c r="S409" s="43"/>
      <c r="T409" s="43">
        <v>0.00061999876</v>
      </c>
      <c r="U409" s="43"/>
      <c r="V409" s="43">
        <v>0.0002999997</v>
      </c>
    </row>
    <row r="410" spans="2:22" ht="12.75">
      <c r="B410" s="10" t="s">
        <v>124</v>
      </c>
      <c r="D410" s="15" t="s">
        <v>59</v>
      </c>
      <c r="E410" s="39"/>
      <c r="F410" s="43">
        <v>0.3499923</v>
      </c>
      <c r="G410" s="67"/>
      <c r="H410" s="61">
        <v>0.45998757999999995</v>
      </c>
      <c r="I410" s="68"/>
      <c r="J410" s="68">
        <v>0.12999882999999998</v>
      </c>
      <c r="K410" s="67"/>
      <c r="L410" s="43">
        <v>0.13999846000000002</v>
      </c>
      <c r="M410" s="43"/>
      <c r="N410" s="43">
        <v>0.17999766</v>
      </c>
      <c r="O410" s="43"/>
      <c r="P410" s="43">
        <v>0.44998469999999996</v>
      </c>
      <c r="Q410" s="43"/>
      <c r="R410" s="43">
        <v>0.26999460000000003</v>
      </c>
      <c r="S410" s="43"/>
      <c r="T410" s="43">
        <v>0.16999762</v>
      </c>
      <c r="U410" s="43"/>
      <c r="V410" s="43">
        <v>0.12999882999999998</v>
      </c>
    </row>
    <row r="411" spans="5:11" ht="12.75">
      <c r="E411" s="39"/>
      <c r="H411" s="61"/>
      <c r="I411" s="38"/>
      <c r="K411" s="39"/>
    </row>
    <row r="412" spans="2:24" ht="12.75">
      <c r="B412" s="15" t="s">
        <v>77</v>
      </c>
      <c r="D412" s="15" t="s">
        <v>17</v>
      </c>
      <c r="E412" s="39"/>
      <c r="F412" s="17">
        <v>12340.309866811634</v>
      </c>
      <c r="H412" s="38">
        <v>13101.295641931685</v>
      </c>
      <c r="I412" s="38"/>
      <c r="J412" s="38">
        <v>11883.261353226018</v>
      </c>
      <c r="K412" s="39"/>
      <c r="L412" s="37">
        <v>12390.473728058838</v>
      </c>
      <c r="N412" s="37">
        <v>12153.335474890247</v>
      </c>
      <c r="P412" s="37">
        <v>12946.500526935715</v>
      </c>
      <c r="R412" s="37">
        <v>12307.66354441266</v>
      </c>
      <c r="T412" s="37">
        <v>12923.046721633295</v>
      </c>
      <c r="V412" s="37">
        <v>12896.833645118824</v>
      </c>
      <c r="X412" s="37">
        <v>12549.1911670021</v>
      </c>
    </row>
    <row r="413" spans="2:11" ht="12.75">
      <c r="B413" s="15" t="s">
        <v>78</v>
      </c>
      <c r="D413" s="15" t="s">
        <v>18</v>
      </c>
      <c r="E413" s="39"/>
      <c r="H413" s="38"/>
      <c r="I413" s="38"/>
      <c r="K413" s="39"/>
    </row>
    <row r="414" spans="5:11" ht="12.75">
      <c r="E414" s="39"/>
      <c r="H414" s="38"/>
      <c r="I414" s="38"/>
      <c r="K414" s="39"/>
    </row>
    <row r="415" spans="2:16" ht="12.75">
      <c r="B415" s="15" t="s">
        <v>127</v>
      </c>
      <c r="D415" s="15" t="s">
        <v>69</v>
      </c>
      <c r="E415" s="39"/>
      <c r="F415" s="16"/>
      <c r="G415" s="18"/>
      <c r="H415" s="16"/>
      <c r="I415" s="16"/>
      <c r="K415" s="39"/>
      <c r="P415" s="41"/>
    </row>
    <row r="416" spans="2:16" ht="12.75">
      <c r="B416" s="15" t="s">
        <v>333</v>
      </c>
      <c r="D416" s="15" t="s">
        <v>69</v>
      </c>
      <c r="E416" s="39"/>
      <c r="F416" s="37"/>
      <c r="G416" s="18"/>
      <c r="H416" s="16"/>
      <c r="I416" s="16"/>
      <c r="K416" s="39"/>
      <c r="P416" s="16"/>
    </row>
    <row r="417" spans="5:16" ht="12.75">
      <c r="E417" s="39"/>
      <c r="F417" s="37"/>
      <c r="G417" s="18"/>
      <c r="H417" s="16"/>
      <c r="I417" s="16"/>
      <c r="K417" s="39"/>
      <c r="P417" s="16"/>
    </row>
    <row r="418" spans="2:16" ht="12.75">
      <c r="B418" s="59" t="s">
        <v>93</v>
      </c>
      <c r="C418" s="59"/>
      <c r="E418" s="39"/>
      <c r="F418" s="37"/>
      <c r="G418" s="18"/>
      <c r="H418" s="16"/>
      <c r="I418" s="16"/>
      <c r="K418" s="39"/>
      <c r="P418" s="16"/>
    </row>
    <row r="419" spans="2:44" ht="12.75">
      <c r="B419" s="10" t="s">
        <v>100</v>
      </c>
      <c r="D419" s="15" t="s">
        <v>71</v>
      </c>
      <c r="E419" s="39"/>
      <c r="F419" s="16">
        <v>5199.9583999999995</v>
      </c>
      <c r="H419" s="16">
        <v>1999.986</v>
      </c>
      <c r="I419" s="16"/>
      <c r="J419" s="16">
        <v>3599.9568000000004</v>
      </c>
      <c r="K419" s="39"/>
      <c r="L419" s="16">
        <v>409.99917999999997</v>
      </c>
      <c r="N419" s="16">
        <v>3299.9438999999993</v>
      </c>
      <c r="P419" s="16">
        <v>9499.506</v>
      </c>
      <c r="R419" s="16">
        <v>6299.804700000001</v>
      </c>
      <c r="T419" s="16">
        <v>1799.982</v>
      </c>
      <c r="V419" s="16">
        <v>1699.9847000000004</v>
      </c>
      <c r="W419" s="41"/>
      <c r="X419" s="41">
        <f>AVERAGE(V419,T419,R419,P419,N419,L419,J419,H419,F419)</f>
        <v>3756.569075555555</v>
      </c>
      <c r="Z419" s="41">
        <f>F419</f>
        <v>5199.9583999999995</v>
      </c>
      <c r="AB419" s="41">
        <f>H419</f>
        <v>1999.986</v>
      </c>
      <c r="AD419" s="41">
        <f>J419</f>
        <v>3599.9568000000004</v>
      </c>
      <c r="AF419" s="41">
        <f>L419</f>
        <v>409.99917999999997</v>
      </c>
      <c r="AH419" s="41">
        <f>N419</f>
        <v>3299.9438999999993</v>
      </c>
      <c r="AJ419" s="41">
        <f>P419</f>
        <v>9499.506</v>
      </c>
      <c r="AL419" s="41">
        <f>R419</f>
        <v>6299.804700000001</v>
      </c>
      <c r="AN419" s="41">
        <f>T419</f>
        <v>1799.982</v>
      </c>
      <c r="AP419" s="41">
        <f>V419</f>
        <v>1699.9847000000004</v>
      </c>
      <c r="AR419" s="41">
        <f>X419</f>
        <v>3756.569075555555</v>
      </c>
    </row>
    <row r="420" spans="2:44" ht="12.75">
      <c r="B420" s="10" t="s">
        <v>101</v>
      </c>
      <c r="D420" s="15" t="s">
        <v>71</v>
      </c>
      <c r="E420" s="39"/>
      <c r="F420" s="16">
        <v>167.31</v>
      </c>
      <c r="H420" s="16">
        <v>198</v>
      </c>
      <c r="I420" s="16"/>
      <c r="J420" s="16">
        <v>104.6925</v>
      </c>
      <c r="K420" s="39"/>
      <c r="L420" s="16">
        <v>121.77</v>
      </c>
      <c r="N420" s="16">
        <v>121.96799999999998</v>
      </c>
      <c r="P420" s="16">
        <v>408.9130434782609</v>
      </c>
      <c r="R420" s="16">
        <v>322.60344827586204</v>
      </c>
      <c r="T420" s="16">
        <v>110.60689655172416</v>
      </c>
      <c r="V420" s="16">
        <v>69.78292682926829</v>
      </c>
      <c r="X420" s="41">
        <f aca="true" t="shared" si="12" ref="X420:X435">AVERAGE(V420,T420,R420,P420,N420,L420,J420,H420,F420)</f>
        <v>180.62742390390173</v>
      </c>
      <c r="Z420" s="41">
        <f aca="true" t="shared" si="13" ref="Z420:AH435">F420</f>
        <v>167.31</v>
      </c>
      <c r="AB420" s="41">
        <f t="shared" si="13"/>
        <v>198</v>
      </c>
      <c r="AD420" s="41">
        <f t="shared" si="13"/>
        <v>104.6925</v>
      </c>
      <c r="AF420" s="41">
        <f t="shared" si="13"/>
        <v>121.77</v>
      </c>
      <c r="AH420" s="41">
        <f t="shared" si="13"/>
        <v>121.96799999999998</v>
      </c>
      <c r="AJ420" s="41">
        <f aca="true" t="shared" si="14" ref="AJ420:AJ435">P420</f>
        <v>408.9130434782609</v>
      </c>
      <c r="AL420" s="41">
        <f aca="true" t="shared" si="15" ref="AL420:AL435">R420</f>
        <v>322.60344827586204</v>
      </c>
      <c r="AN420" s="41">
        <f aca="true" t="shared" si="16" ref="AN420:AN435">T420</f>
        <v>110.60689655172416</v>
      </c>
      <c r="AP420" s="41">
        <f aca="true" t="shared" si="17" ref="AP420:AP435">V420</f>
        <v>69.78292682926829</v>
      </c>
      <c r="AR420" s="41">
        <f aca="true" t="shared" si="18" ref="AR420:AR435">X420</f>
        <v>180.62742390390173</v>
      </c>
    </row>
    <row r="421" spans="2:44" ht="12.75">
      <c r="B421" s="10" t="s">
        <v>103</v>
      </c>
      <c r="D421" s="15" t="s">
        <v>71</v>
      </c>
      <c r="E421" s="39"/>
      <c r="F421" s="16">
        <v>2.1449978549999997</v>
      </c>
      <c r="H421" s="16">
        <v>4.48978693877551</v>
      </c>
      <c r="I421" s="16"/>
      <c r="J421" s="16">
        <v>1.6874983124999998</v>
      </c>
      <c r="K421" s="39"/>
      <c r="L421" s="16">
        <v>1.0573684210526313</v>
      </c>
      <c r="N421" s="16">
        <v>1.1</v>
      </c>
      <c r="P421" s="16">
        <v>4.543469173913043</v>
      </c>
      <c r="R421" s="16">
        <v>2.6068939448275863</v>
      </c>
      <c r="T421" s="16">
        <v>3.5172378620689653</v>
      </c>
      <c r="V421" s="16">
        <v>2.073170731707317</v>
      </c>
      <c r="X421" s="41">
        <f t="shared" si="12"/>
        <v>2.58004702664945</v>
      </c>
      <c r="Z421" s="41">
        <f t="shared" si="13"/>
        <v>2.1449978549999997</v>
      </c>
      <c r="AB421" s="41">
        <f t="shared" si="13"/>
        <v>4.48978693877551</v>
      </c>
      <c r="AD421" s="41">
        <f t="shared" si="13"/>
        <v>1.6874983124999998</v>
      </c>
      <c r="AF421" s="41">
        <f t="shared" si="13"/>
        <v>1.0573684210526313</v>
      </c>
      <c r="AH421" s="41">
        <f t="shared" si="13"/>
        <v>1.1</v>
      </c>
      <c r="AJ421" s="41">
        <f t="shared" si="14"/>
        <v>4.543469173913043</v>
      </c>
      <c r="AL421" s="41">
        <f t="shared" si="15"/>
        <v>2.6068939448275863</v>
      </c>
      <c r="AN421" s="41">
        <f t="shared" si="16"/>
        <v>3.5172378620689653</v>
      </c>
      <c r="AP421" s="41">
        <f t="shared" si="17"/>
        <v>2.073170731707317</v>
      </c>
      <c r="AR421" s="41">
        <f t="shared" si="18"/>
        <v>2.58004702664945</v>
      </c>
    </row>
    <row r="422" spans="2:44" ht="12.75">
      <c r="B422" s="10" t="s">
        <v>104</v>
      </c>
      <c r="D422" s="15" t="s">
        <v>71</v>
      </c>
      <c r="E422" s="39"/>
      <c r="F422" s="16">
        <v>4116.275583333333</v>
      </c>
      <c r="H422" s="16">
        <v>6937.609795918365</v>
      </c>
      <c r="I422" s="39"/>
      <c r="J422" s="16">
        <v>2699.8352999999993</v>
      </c>
      <c r="K422" s="39"/>
      <c r="L422" s="16">
        <v>2373.5536578947367</v>
      </c>
      <c r="N422" s="16">
        <v>1891.9167519999999</v>
      </c>
      <c r="O422" s="16"/>
      <c r="P422" s="16">
        <v>5781.82804347826</v>
      </c>
      <c r="R422" s="16">
        <v>4127.2188517241375</v>
      </c>
      <c r="T422" s="16">
        <v>3516.984620689655</v>
      </c>
      <c r="V422" s="16">
        <v>1927.973586585366</v>
      </c>
      <c r="X422" s="41">
        <f t="shared" si="12"/>
        <v>3708.1329101804276</v>
      </c>
      <c r="Z422" s="41">
        <f t="shared" si="13"/>
        <v>4116.275583333333</v>
      </c>
      <c r="AB422" s="41">
        <f t="shared" si="13"/>
        <v>6937.609795918365</v>
      </c>
      <c r="AD422" s="41">
        <f t="shared" si="13"/>
        <v>2699.8352999999993</v>
      </c>
      <c r="AF422" s="41">
        <f t="shared" si="13"/>
        <v>2373.5536578947367</v>
      </c>
      <c r="AH422" s="41">
        <f t="shared" si="13"/>
        <v>1891.9167519999999</v>
      </c>
      <c r="AJ422" s="41">
        <f t="shared" si="14"/>
        <v>5781.82804347826</v>
      </c>
      <c r="AL422" s="41">
        <f t="shared" si="15"/>
        <v>4127.2188517241375</v>
      </c>
      <c r="AN422" s="41">
        <f t="shared" si="16"/>
        <v>3516.984620689655</v>
      </c>
      <c r="AP422" s="41">
        <f t="shared" si="17"/>
        <v>1927.973586585366</v>
      </c>
      <c r="AR422" s="41">
        <f t="shared" si="18"/>
        <v>3708.1329101804276</v>
      </c>
    </row>
    <row r="423" spans="2:44" ht="12.75">
      <c r="B423" s="10" t="s">
        <v>121</v>
      </c>
      <c r="D423" s="15" t="s">
        <v>71</v>
      </c>
      <c r="E423" s="39"/>
      <c r="F423" s="16">
        <v>1083.329</v>
      </c>
      <c r="H423" s="16">
        <v>1959.1699591836737</v>
      </c>
      <c r="I423" s="39"/>
      <c r="J423" s="16">
        <v>742.4977725</v>
      </c>
      <c r="K423" s="39"/>
      <c r="L423" s="16">
        <v>431.57808421052624</v>
      </c>
      <c r="N423" s="16">
        <v>967.9961279999999</v>
      </c>
      <c r="P423" s="16">
        <v>1156.517113043478</v>
      </c>
      <c r="R423" s="16">
        <v>673.4469289655174</v>
      </c>
      <c r="T423" s="16">
        <v>517.2403448275862</v>
      </c>
      <c r="V423" s="16">
        <v>539.0233121951219</v>
      </c>
      <c r="X423" s="41">
        <f t="shared" si="12"/>
        <v>896.7554047695448</v>
      </c>
      <c r="Z423" s="41">
        <f t="shared" si="13"/>
        <v>1083.329</v>
      </c>
      <c r="AB423" s="41">
        <f t="shared" si="13"/>
        <v>1959.1699591836737</v>
      </c>
      <c r="AD423" s="41">
        <f t="shared" si="13"/>
        <v>742.4977725</v>
      </c>
      <c r="AF423" s="41">
        <f t="shared" si="13"/>
        <v>431.57808421052624</v>
      </c>
      <c r="AH423" s="41">
        <f t="shared" si="13"/>
        <v>967.9961279999999</v>
      </c>
      <c r="AJ423" s="41">
        <f t="shared" si="14"/>
        <v>1156.517113043478</v>
      </c>
      <c r="AL423" s="41">
        <f t="shared" si="15"/>
        <v>673.4469289655174</v>
      </c>
      <c r="AN423" s="41">
        <f t="shared" si="16"/>
        <v>517.2403448275862</v>
      </c>
      <c r="AP423" s="41">
        <f t="shared" si="17"/>
        <v>539.0233121951219</v>
      </c>
      <c r="AR423" s="41">
        <f t="shared" si="18"/>
        <v>896.7554047695448</v>
      </c>
    </row>
    <row r="424" spans="2:44" ht="12.75">
      <c r="B424" s="10" t="s">
        <v>116</v>
      </c>
      <c r="D424" s="15" t="s">
        <v>71</v>
      </c>
      <c r="E424" s="39"/>
      <c r="F424" s="16">
        <v>1256.5749299999998</v>
      </c>
      <c r="H424" s="16">
        <v>3.0612244897959187</v>
      </c>
      <c r="I424" s="39"/>
      <c r="J424" s="16">
        <v>899.955</v>
      </c>
      <c r="K424" s="39"/>
      <c r="L424" s="16">
        <v>712.0760668421053</v>
      </c>
      <c r="N424" s="16">
        <v>1.65</v>
      </c>
      <c r="P424" s="16">
        <v>88.80390380434783</v>
      </c>
      <c r="R424" s="16">
        <v>282.40927448275863</v>
      </c>
      <c r="T424" s="16">
        <v>19.448256413793107</v>
      </c>
      <c r="V424" s="16">
        <v>7.878048780487806</v>
      </c>
      <c r="X424" s="41">
        <f t="shared" si="12"/>
        <v>363.53963386814314</v>
      </c>
      <c r="Z424" s="41">
        <f t="shared" si="13"/>
        <v>1256.5749299999998</v>
      </c>
      <c r="AB424" s="41">
        <f t="shared" si="13"/>
        <v>3.0612244897959187</v>
      </c>
      <c r="AD424" s="41">
        <f t="shared" si="13"/>
        <v>899.955</v>
      </c>
      <c r="AF424" s="41">
        <f t="shared" si="13"/>
        <v>712.0760668421053</v>
      </c>
      <c r="AH424" s="41">
        <f t="shared" si="13"/>
        <v>1.65</v>
      </c>
      <c r="AJ424" s="41">
        <f t="shared" si="14"/>
        <v>88.80390380434783</v>
      </c>
      <c r="AL424" s="41">
        <f t="shared" si="15"/>
        <v>282.40927448275863</v>
      </c>
      <c r="AN424" s="41">
        <f t="shared" si="16"/>
        <v>19.448256413793107</v>
      </c>
      <c r="AP424" s="41">
        <f t="shared" si="17"/>
        <v>7.878048780487806</v>
      </c>
      <c r="AR424" s="41">
        <f t="shared" si="18"/>
        <v>363.53963386814314</v>
      </c>
    </row>
    <row r="425" spans="2:44" ht="12.75">
      <c r="B425" s="10" t="s">
        <v>117</v>
      </c>
      <c r="D425" s="15" t="s">
        <v>71</v>
      </c>
      <c r="E425" s="39"/>
      <c r="F425" s="16">
        <v>2166.6363333333334</v>
      </c>
      <c r="H425" s="16">
        <v>2857.0942857142854</v>
      </c>
      <c r="I425" s="39"/>
      <c r="J425" s="16">
        <v>854.9957249999999</v>
      </c>
      <c r="K425" s="39"/>
      <c r="L425" s="16">
        <v>841.5738978947367</v>
      </c>
      <c r="N425" s="16">
        <v>923.9935320000001</v>
      </c>
      <c r="O425" s="41"/>
      <c r="P425" s="16">
        <v>2478.216260869565</v>
      </c>
      <c r="R425" s="16">
        <v>2020.3185631034485</v>
      </c>
      <c r="T425" s="16">
        <v>972.4060137931035</v>
      </c>
      <c r="V425" s="16">
        <v>663.411317073171</v>
      </c>
      <c r="X425" s="41">
        <f t="shared" si="12"/>
        <v>1530.9606587535159</v>
      </c>
      <c r="Z425" s="41">
        <f t="shared" si="13"/>
        <v>2166.6363333333334</v>
      </c>
      <c r="AB425" s="41">
        <f t="shared" si="13"/>
        <v>2857.0942857142854</v>
      </c>
      <c r="AD425" s="41">
        <f t="shared" si="13"/>
        <v>854.9957249999999</v>
      </c>
      <c r="AF425" s="41">
        <f t="shared" si="13"/>
        <v>841.5738978947367</v>
      </c>
      <c r="AH425" s="41">
        <f t="shared" si="13"/>
        <v>923.9935320000001</v>
      </c>
      <c r="AJ425" s="41">
        <f t="shared" si="14"/>
        <v>2478.216260869565</v>
      </c>
      <c r="AL425" s="41">
        <f t="shared" si="15"/>
        <v>2020.3185631034485</v>
      </c>
      <c r="AN425" s="41">
        <f t="shared" si="16"/>
        <v>972.4060137931035</v>
      </c>
      <c r="AP425" s="41">
        <f t="shared" si="17"/>
        <v>663.411317073171</v>
      </c>
      <c r="AR425" s="41">
        <f t="shared" si="18"/>
        <v>1530.9606587535159</v>
      </c>
    </row>
    <row r="426" spans="1:44" ht="12.75">
      <c r="A426" s="37" t="s">
        <v>126</v>
      </c>
      <c r="B426" s="10" t="s">
        <v>99</v>
      </c>
      <c r="C426" s="36"/>
      <c r="D426" s="15" t="s">
        <v>71</v>
      </c>
      <c r="E426" s="39"/>
      <c r="F426" s="16">
        <v>10616.231383333332</v>
      </c>
      <c r="H426" s="16">
        <v>15101.134693877553</v>
      </c>
      <c r="I426" s="39"/>
      <c r="J426" s="16">
        <v>5849.865449999999</v>
      </c>
      <c r="L426" s="16">
        <v>5394.618157894737</v>
      </c>
      <c r="N426" s="16">
        <v>7039.80288</v>
      </c>
      <c r="P426" s="16">
        <v>19617.99565217391</v>
      </c>
      <c r="R426" s="16">
        <v>13.685481527586207</v>
      </c>
      <c r="T426" s="16">
        <v>7654.981034482759</v>
      </c>
      <c r="V426" s="16">
        <v>4768.221158536586</v>
      </c>
      <c r="X426" s="41">
        <f t="shared" si="12"/>
        <v>8450.726210202942</v>
      </c>
      <c r="Z426" s="41">
        <f t="shared" si="13"/>
        <v>10616.231383333332</v>
      </c>
      <c r="AB426" s="41">
        <f t="shared" si="13"/>
        <v>15101.134693877553</v>
      </c>
      <c r="AD426" s="41">
        <f t="shared" si="13"/>
        <v>5849.865449999999</v>
      </c>
      <c r="AF426" s="41">
        <f t="shared" si="13"/>
        <v>5394.618157894737</v>
      </c>
      <c r="AH426" s="41">
        <f t="shared" si="13"/>
        <v>7039.80288</v>
      </c>
      <c r="AJ426" s="41">
        <f t="shared" si="14"/>
        <v>19617.99565217391</v>
      </c>
      <c r="AL426" s="41">
        <f t="shared" si="15"/>
        <v>13.685481527586207</v>
      </c>
      <c r="AN426" s="41">
        <f t="shared" si="16"/>
        <v>7654.981034482759</v>
      </c>
      <c r="AP426" s="41">
        <f t="shared" si="17"/>
        <v>4768.221158536586</v>
      </c>
      <c r="AR426" s="41">
        <f t="shared" si="18"/>
        <v>8450.726210202942</v>
      </c>
    </row>
    <row r="427" spans="2:44" ht="12.75">
      <c r="B427" s="10" t="s">
        <v>118</v>
      </c>
      <c r="C427" s="36"/>
      <c r="D427" s="15" t="s">
        <v>71</v>
      </c>
      <c r="E427" s="39"/>
      <c r="F427" s="16">
        <v>281.6641316666666</v>
      </c>
      <c r="H427" s="16">
        <v>106.12213061224489</v>
      </c>
      <c r="I427" s="39"/>
      <c r="J427" s="16">
        <v>92.24972325</v>
      </c>
      <c r="L427" s="16">
        <v>345.2579789473684</v>
      </c>
      <c r="N427" s="16">
        <v>90.1997294</v>
      </c>
      <c r="P427" s="16">
        <v>805.4122304347825</v>
      </c>
      <c r="R427" s="16">
        <v>347.5816882758622</v>
      </c>
      <c r="T427" s="16">
        <v>517.2310344827586</v>
      </c>
      <c r="V427" s="16">
        <v>746.3168341463415</v>
      </c>
      <c r="X427" s="41">
        <f t="shared" si="12"/>
        <v>370.2261645795582</v>
      </c>
      <c r="Z427" s="41">
        <f t="shared" si="13"/>
        <v>281.6641316666666</v>
      </c>
      <c r="AB427" s="41">
        <f t="shared" si="13"/>
        <v>106.12213061224489</v>
      </c>
      <c r="AD427" s="41">
        <f t="shared" si="13"/>
        <v>92.24972325</v>
      </c>
      <c r="AF427" s="41">
        <f t="shared" si="13"/>
        <v>345.2579789473684</v>
      </c>
      <c r="AH427" s="41">
        <f t="shared" si="13"/>
        <v>90.1997294</v>
      </c>
      <c r="AJ427" s="41">
        <f t="shared" si="14"/>
        <v>805.4122304347825</v>
      </c>
      <c r="AL427" s="41">
        <f t="shared" si="15"/>
        <v>347.5816882758622</v>
      </c>
      <c r="AN427" s="41">
        <f t="shared" si="16"/>
        <v>517.2310344827586</v>
      </c>
      <c r="AP427" s="41">
        <f t="shared" si="17"/>
        <v>746.3168341463415</v>
      </c>
      <c r="AR427" s="41">
        <f t="shared" si="18"/>
        <v>370.2261645795582</v>
      </c>
    </row>
    <row r="428" spans="2:44" ht="12.75">
      <c r="B428" s="10" t="s">
        <v>105</v>
      </c>
      <c r="D428" s="15" t="s">
        <v>71</v>
      </c>
      <c r="E428" s="39"/>
      <c r="F428" s="16">
        <v>1319.881095</v>
      </c>
      <c r="H428" s="16">
        <v>998.8989999999999</v>
      </c>
      <c r="I428" s="39"/>
      <c r="J428" s="16">
        <v>4702.783049999999</v>
      </c>
      <c r="L428" s="16">
        <v>2065.56515368421</v>
      </c>
      <c r="N428" s="16">
        <v>1383.3943199999997</v>
      </c>
      <c r="P428" s="16">
        <v>577.7936347826086</v>
      </c>
      <c r="R428" s="16">
        <v>2037.0883593103451</v>
      </c>
      <c r="T428" s="16">
        <v>599.5236</v>
      </c>
      <c r="V428" s="16">
        <v>2893.8826341463423</v>
      </c>
      <c r="W428" s="41"/>
      <c r="X428" s="41">
        <f t="shared" si="12"/>
        <v>1842.0900941026116</v>
      </c>
      <c r="Y428" s="53"/>
      <c r="Z428" s="41">
        <f t="shared" si="13"/>
        <v>1319.881095</v>
      </c>
      <c r="AA428" s="53"/>
      <c r="AB428" s="41">
        <f t="shared" si="13"/>
        <v>998.8989999999999</v>
      </c>
      <c r="AD428" s="41">
        <f t="shared" si="13"/>
        <v>4702.783049999999</v>
      </c>
      <c r="AF428" s="41">
        <f t="shared" si="13"/>
        <v>2065.56515368421</v>
      </c>
      <c r="AH428" s="41">
        <f t="shared" si="13"/>
        <v>1383.3943199999997</v>
      </c>
      <c r="AJ428" s="41">
        <f t="shared" si="14"/>
        <v>577.7936347826086</v>
      </c>
      <c r="AK428" s="53"/>
      <c r="AL428" s="41">
        <f t="shared" si="15"/>
        <v>2037.0883593103451</v>
      </c>
      <c r="AN428" s="41">
        <f t="shared" si="16"/>
        <v>599.5236</v>
      </c>
      <c r="AP428" s="41">
        <f t="shared" si="17"/>
        <v>2893.8826341463423</v>
      </c>
      <c r="AR428" s="41">
        <f t="shared" si="18"/>
        <v>1842.0900941026116</v>
      </c>
    </row>
    <row r="429" spans="2:44" ht="12.75">
      <c r="B429" s="10" t="s">
        <v>106</v>
      </c>
      <c r="D429" s="15" t="s">
        <v>71</v>
      </c>
      <c r="E429" s="39"/>
      <c r="F429" s="16">
        <v>3249.2265</v>
      </c>
      <c r="H429" s="16">
        <v>999.93</v>
      </c>
      <c r="I429" s="39"/>
      <c r="J429" s="16">
        <v>2092.1756625000003</v>
      </c>
      <c r="K429" s="38"/>
      <c r="L429" s="16">
        <v>209.31223110526312</v>
      </c>
      <c r="M429" s="38"/>
      <c r="N429" s="16">
        <v>2023.72676</v>
      </c>
      <c r="O429" s="38"/>
      <c r="P429" s="16">
        <v>3097.0795108695647</v>
      </c>
      <c r="R429" s="16">
        <v>154.23968265517243</v>
      </c>
      <c r="T429" s="16">
        <v>268.9587931034483</v>
      </c>
      <c r="V429" s="16">
        <v>118.16955</v>
      </c>
      <c r="X429" s="41">
        <f t="shared" si="12"/>
        <v>1356.9798544703833</v>
      </c>
      <c r="Z429" s="41">
        <f t="shared" si="13"/>
        <v>3249.2265</v>
      </c>
      <c r="AB429" s="41">
        <f t="shared" si="13"/>
        <v>999.93</v>
      </c>
      <c r="AD429" s="41">
        <f t="shared" si="13"/>
        <v>2092.1756625000003</v>
      </c>
      <c r="AF429" s="41">
        <f t="shared" si="13"/>
        <v>209.31223110526312</v>
      </c>
      <c r="AH429" s="41">
        <f t="shared" si="13"/>
        <v>2023.72676</v>
      </c>
      <c r="AJ429" s="41">
        <f t="shared" si="14"/>
        <v>3097.0795108695647</v>
      </c>
      <c r="AL429" s="41">
        <f t="shared" si="15"/>
        <v>154.23968265517243</v>
      </c>
      <c r="AN429" s="41">
        <f t="shared" si="16"/>
        <v>268.9587931034483</v>
      </c>
      <c r="AP429" s="41">
        <f t="shared" si="17"/>
        <v>118.16955</v>
      </c>
      <c r="AR429" s="41">
        <f t="shared" si="18"/>
        <v>1356.9798544703833</v>
      </c>
    </row>
    <row r="430" spans="2:44" ht="12.75">
      <c r="B430" s="10" t="s">
        <v>107</v>
      </c>
      <c r="D430" s="15" t="s">
        <v>71</v>
      </c>
      <c r="F430" s="16">
        <v>7149.8141</v>
      </c>
      <c r="H430" s="16">
        <v>2040.8020408163268</v>
      </c>
      <c r="I430" s="41"/>
      <c r="J430" s="16">
        <v>8999.685</v>
      </c>
      <c r="L430" s="16">
        <v>2589.4477894736833</v>
      </c>
      <c r="N430" s="16">
        <v>7039.816959999999</v>
      </c>
      <c r="P430" s="16">
        <v>5575.9642826086965</v>
      </c>
      <c r="R430" s="16">
        <v>4561.991410344827</v>
      </c>
      <c r="T430" s="16">
        <v>1220.6872137931034</v>
      </c>
      <c r="V430" s="16">
        <v>2280.48324390244</v>
      </c>
      <c r="X430" s="41">
        <f t="shared" si="12"/>
        <v>4606.521337882119</v>
      </c>
      <c r="Z430" s="41">
        <f t="shared" si="13"/>
        <v>7149.8141</v>
      </c>
      <c r="AB430" s="41">
        <f t="shared" si="13"/>
        <v>2040.8020408163268</v>
      </c>
      <c r="AD430" s="41">
        <f t="shared" si="13"/>
        <v>8999.685</v>
      </c>
      <c r="AF430" s="41">
        <f t="shared" si="13"/>
        <v>2589.4477894736833</v>
      </c>
      <c r="AH430" s="41">
        <f t="shared" si="13"/>
        <v>7039.816959999999</v>
      </c>
      <c r="AJ430" s="41">
        <f t="shared" si="14"/>
        <v>5575.9642826086965</v>
      </c>
      <c r="AL430" s="41">
        <f t="shared" si="15"/>
        <v>4561.991410344827</v>
      </c>
      <c r="AN430" s="41">
        <f t="shared" si="16"/>
        <v>1220.6872137931034</v>
      </c>
      <c r="AP430" s="41">
        <f t="shared" si="17"/>
        <v>2280.48324390244</v>
      </c>
      <c r="AR430" s="41">
        <f t="shared" si="18"/>
        <v>4606.521337882119</v>
      </c>
    </row>
    <row r="431" spans="2:44" ht="12.75">
      <c r="B431" s="10" t="s">
        <v>108</v>
      </c>
      <c r="D431" s="15" t="s">
        <v>71</v>
      </c>
      <c r="F431" s="16">
        <v>693.2230933333332</v>
      </c>
      <c r="H431" s="16">
        <v>979.3557551020409</v>
      </c>
      <c r="J431" s="16">
        <v>404.96355000000005</v>
      </c>
      <c r="L431" s="16">
        <v>366.81092368421054</v>
      </c>
      <c r="N431" s="16">
        <v>351.97148799999997</v>
      </c>
      <c r="P431" s="16">
        <v>1011.7106163043479</v>
      </c>
      <c r="R431" s="16">
        <v>760.2102465517243</v>
      </c>
      <c r="T431" s="16">
        <v>496.4921379310345</v>
      </c>
      <c r="V431" s="16">
        <v>228.02369512195128</v>
      </c>
      <c r="X431" s="41">
        <f t="shared" si="12"/>
        <v>588.0846117809602</v>
      </c>
      <c r="Z431" s="41">
        <f t="shared" si="13"/>
        <v>693.2230933333332</v>
      </c>
      <c r="AB431" s="41">
        <f t="shared" si="13"/>
        <v>979.3557551020409</v>
      </c>
      <c r="AD431" s="41">
        <f t="shared" si="13"/>
        <v>404.96355000000005</v>
      </c>
      <c r="AF431" s="41">
        <f t="shared" si="13"/>
        <v>366.81092368421054</v>
      </c>
      <c r="AH431" s="41">
        <f t="shared" si="13"/>
        <v>351.97148799999997</v>
      </c>
      <c r="AJ431" s="41">
        <f t="shared" si="14"/>
        <v>1011.7106163043479</v>
      </c>
      <c r="AL431" s="41">
        <f t="shared" si="15"/>
        <v>760.2102465517243</v>
      </c>
      <c r="AN431" s="41">
        <f t="shared" si="16"/>
        <v>496.4921379310345</v>
      </c>
      <c r="AP431" s="41">
        <f t="shared" si="17"/>
        <v>228.02369512195128</v>
      </c>
      <c r="AR431" s="41">
        <f t="shared" si="18"/>
        <v>588.0846117809602</v>
      </c>
    </row>
    <row r="432" spans="2:44" ht="12.75">
      <c r="B432" s="10" t="s">
        <v>119</v>
      </c>
      <c r="D432" s="15" t="s">
        <v>71</v>
      </c>
      <c r="F432" s="16">
        <v>13.433306466666666</v>
      </c>
      <c r="H432" s="16">
        <v>18.163228979591835</v>
      </c>
      <c r="J432" s="16">
        <v>7.8749921249999995</v>
      </c>
      <c r="L432" s="16">
        <v>10.142084978947366</v>
      </c>
      <c r="N432" s="16">
        <v>7.699992299999999</v>
      </c>
      <c r="P432" s="16">
        <v>1528.254756521739</v>
      </c>
      <c r="R432" s="16">
        <v>16.07582991724138</v>
      </c>
      <c r="T432" s="16">
        <v>12.827560551724137</v>
      </c>
      <c r="V432" s="16">
        <v>6.219505975609756</v>
      </c>
      <c r="X432" s="41">
        <f t="shared" si="12"/>
        <v>180.0768064240578</v>
      </c>
      <c r="Z432" s="41">
        <f t="shared" si="13"/>
        <v>13.433306466666666</v>
      </c>
      <c r="AB432" s="41">
        <f t="shared" si="13"/>
        <v>18.163228979591835</v>
      </c>
      <c r="AD432" s="41">
        <f t="shared" si="13"/>
        <v>7.8749921249999995</v>
      </c>
      <c r="AF432" s="41">
        <f t="shared" si="13"/>
        <v>10.142084978947366</v>
      </c>
      <c r="AH432" s="41">
        <f t="shared" si="13"/>
        <v>7.699992299999999</v>
      </c>
      <c r="AJ432" s="41">
        <f t="shared" si="14"/>
        <v>1528.254756521739</v>
      </c>
      <c r="AL432" s="41">
        <f t="shared" si="15"/>
        <v>16.07582991724138</v>
      </c>
      <c r="AN432" s="41">
        <f t="shared" si="16"/>
        <v>12.827560551724137</v>
      </c>
      <c r="AP432" s="41">
        <f t="shared" si="17"/>
        <v>6.219505975609756</v>
      </c>
      <c r="AR432" s="41">
        <f t="shared" si="18"/>
        <v>180.0768064240578</v>
      </c>
    </row>
    <row r="433" spans="2:44" ht="12.75">
      <c r="B433" s="10" t="s">
        <v>124</v>
      </c>
      <c r="D433" s="15" t="s">
        <v>71</v>
      </c>
      <c r="F433" s="16">
        <v>7583.166499999998</v>
      </c>
      <c r="H433" s="16">
        <v>9387.50163265306</v>
      </c>
      <c r="J433" s="16">
        <v>2924.9736749999997</v>
      </c>
      <c r="L433" s="16">
        <v>3021.0194</v>
      </c>
      <c r="N433" s="16">
        <v>3959.94852</v>
      </c>
      <c r="P433" s="16">
        <v>9293.162282608695</v>
      </c>
      <c r="R433" s="16">
        <v>5865.399931034484</v>
      </c>
      <c r="T433" s="16">
        <v>3517.192137931034</v>
      </c>
      <c r="V433" s="16">
        <v>2695.0976951219513</v>
      </c>
      <c r="X433" s="41">
        <f t="shared" si="12"/>
        <v>5360.829086038802</v>
      </c>
      <c r="Z433" s="41">
        <f t="shared" si="13"/>
        <v>7583.166499999998</v>
      </c>
      <c r="AB433" s="41">
        <f t="shared" si="13"/>
        <v>9387.50163265306</v>
      </c>
      <c r="AD433" s="41">
        <f t="shared" si="13"/>
        <v>2924.9736749999997</v>
      </c>
      <c r="AF433" s="41">
        <f t="shared" si="13"/>
        <v>3021.0194</v>
      </c>
      <c r="AH433" s="41">
        <f t="shared" si="13"/>
        <v>3959.94852</v>
      </c>
      <c r="AJ433" s="41">
        <f t="shared" si="14"/>
        <v>9293.162282608695</v>
      </c>
      <c r="AL433" s="41">
        <f t="shared" si="15"/>
        <v>5865.399931034484</v>
      </c>
      <c r="AN433" s="41">
        <f t="shared" si="16"/>
        <v>3517.192137931034</v>
      </c>
      <c r="AP433" s="41">
        <f t="shared" si="17"/>
        <v>2695.0976951219513</v>
      </c>
      <c r="AR433" s="41">
        <f t="shared" si="18"/>
        <v>5360.829086038802</v>
      </c>
    </row>
    <row r="434" spans="2:44" ht="12.75">
      <c r="B434" s="15" t="s">
        <v>72</v>
      </c>
      <c r="D434" s="15" t="s">
        <v>71</v>
      </c>
      <c r="F434" s="16">
        <v>14732.506966666664</v>
      </c>
      <c r="H434" s="16">
        <v>22038.744489795918</v>
      </c>
      <c r="J434" s="16">
        <v>8549.700749999998</v>
      </c>
      <c r="L434" s="16">
        <v>7768.171815789474</v>
      </c>
      <c r="N434" s="16">
        <v>8931.719632</v>
      </c>
      <c r="P434" s="16">
        <v>25399.823695652172</v>
      </c>
      <c r="R434" s="16">
        <v>4140.904333251724</v>
      </c>
      <c r="T434" s="16">
        <v>11171.965655172415</v>
      </c>
      <c r="V434" s="16">
        <v>6696.194745121952</v>
      </c>
      <c r="W434" s="41"/>
      <c r="X434" s="41">
        <f t="shared" si="12"/>
        <v>12158.859120383371</v>
      </c>
      <c r="Y434" s="53"/>
      <c r="Z434" s="41">
        <f t="shared" si="13"/>
        <v>14732.506966666664</v>
      </c>
      <c r="AA434" s="53"/>
      <c r="AB434" s="41">
        <f t="shared" si="13"/>
        <v>22038.744489795918</v>
      </c>
      <c r="AD434" s="41">
        <f t="shared" si="13"/>
        <v>8549.700749999998</v>
      </c>
      <c r="AF434" s="41">
        <f t="shared" si="13"/>
        <v>7768.171815789474</v>
      </c>
      <c r="AH434" s="41">
        <f t="shared" si="13"/>
        <v>8931.719632</v>
      </c>
      <c r="AJ434" s="41">
        <f t="shared" si="14"/>
        <v>25399.823695652172</v>
      </c>
      <c r="AK434" s="53"/>
      <c r="AL434" s="41">
        <f t="shared" si="15"/>
        <v>4140.904333251724</v>
      </c>
      <c r="AN434" s="41">
        <f t="shared" si="16"/>
        <v>11171.965655172415</v>
      </c>
      <c r="AP434" s="41">
        <f t="shared" si="17"/>
        <v>6696.194745121952</v>
      </c>
      <c r="AR434" s="41">
        <f t="shared" si="18"/>
        <v>12158.859120383371</v>
      </c>
    </row>
    <row r="435" spans="2:44" ht="12.75">
      <c r="B435" s="15" t="s">
        <v>73</v>
      </c>
      <c r="D435" s="15" t="s">
        <v>71</v>
      </c>
      <c r="F435" s="16">
        <v>1252.783997855</v>
      </c>
      <c r="H435" s="16">
        <v>2161.659746122449</v>
      </c>
      <c r="J435" s="16">
        <v>848.8777708125</v>
      </c>
      <c r="L435" s="16">
        <v>554.4054526315789</v>
      </c>
      <c r="N435" s="16">
        <v>1091.0641279999998</v>
      </c>
      <c r="P435" s="16">
        <v>1569.973625695652</v>
      </c>
      <c r="R435" s="16">
        <v>998.657271186207</v>
      </c>
      <c r="T435" s="16">
        <v>631.3644792413794</v>
      </c>
      <c r="V435" s="16">
        <v>610.8794097560975</v>
      </c>
      <c r="W435" s="41"/>
      <c r="X435" s="41">
        <f t="shared" si="12"/>
        <v>1079.962875700096</v>
      </c>
      <c r="Y435" s="53"/>
      <c r="Z435" s="41">
        <f t="shared" si="13"/>
        <v>1252.783997855</v>
      </c>
      <c r="AA435" s="53"/>
      <c r="AB435" s="41">
        <f t="shared" si="13"/>
        <v>2161.659746122449</v>
      </c>
      <c r="AD435" s="41">
        <f t="shared" si="13"/>
        <v>848.8777708125</v>
      </c>
      <c r="AF435" s="41">
        <f t="shared" si="13"/>
        <v>554.4054526315789</v>
      </c>
      <c r="AH435" s="41">
        <f t="shared" si="13"/>
        <v>1091.0641279999998</v>
      </c>
      <c r="AJ435" s="41">
        <f t="shared" si="14"/>
        <v>1569.973625695652</v>
      </c>
      <c r="AK435" s="53"/>
      <c r="AL435" s="41">
        <f t="shared" si="15"/>
        <v>998.657271186207</v>
      </c>
      <c r="AN435" s="41">
        <f t="shared" si="16"/>
        <v>631.3644792413794</v>
      </c>
      <c r="AP435" s="41">
        <f t="shared" si="17"/>
        <v>610.8794097560975</v>
      </c>
      <c r="AR435" s="41">
        <f t="shared" si="18"/>
        <v>1079.962875700096</v>
      </c>
    </row>
    <row r="440" spans="1:24" ht="12.75">
      <c r="A440" s="37" t="s">
        <v>126</v>
      </c>
      <c r="B440" s="36" t="s">
        <v>268</v>
      </c>
      <c r="C440" s="15" t="s">
        <v>125</v>
      </c>
      <c r="F440" s="39" t="s">
        <v>174</v>
      </c>
      <c r="H440" s="39" t="s">
        <v>175</v>
      </c>
      <c r="J440" s="38" t="s">
        <v>176</v>
      </c>
      <c r="L440" s="39" t="s">
        <v>174</v>
      </c>
      <c r="M440" s="39"/>
      <c r="N440" s="39" t="s">
        <v>175</v>
      </c>
      <c r="P440" s="39" t="s">
        <v>176</v>
      </c>
      <c r="R440" s="39" t="s">
        <v>174</v>
      </c>
      <c r="S440" s="39"/>
      <c r="T440" s="39" t="s">
        <v>175</v>
      </c>
      <c r="V440" s="39" t="s">
        <v>176</v>
      </c>
      <c r="X440" s="37" t="s">
        <v>48</v>
      </c>
    </row>
    <row r="441" spans="2:22" ht="12.75">
      <c r="B441" s="36"/>
      <c r="F441" s="39"/>
      <c r="H441" s="39"/>
      <c r="L441" s="39"/>
      <c r="M441" s="39"/>
      <c r="N441" s="39"/>
      <c r="P441" s="39"/>
      <c r="R441" s="39"/>
      <c r="S441" s="39"/>
      <c r="T441" s="39"/>
      <c r="V441" s="39"/>
    </row>
    <row r="442" spans="2:24" ht="12.75">
      <c r="B442" s="15" t="s">
        <v>325</v>
      </c>
      <c r="F442" s="39" t="s">
        <v>327</v>
      </c>
      <c r="H442" s="39" t="s">
        <v>327</v>
      </c>
      <c r="J442" s="38" t="s">
        <v>327</v>
      </c>
      <c r="L442" s="39" t="s">
        <v>243</v>
      </c>
      <c r="M442" s="39"/>
      <c r="N442" s="39" t="s">
        <v>243</v>
      </c>
      <c r="P442" s="39" t="s">
        <v>243</v>
      </c>
      <c r="R442" s="39" t="s">
        <v>329</v>
      </c>
      <c r="S442" s="39"/>
      <c r="T442" s="39" t="s">
        <v>329</v>
      </c>
      <c r="V442" s="39" t="s">
        <v>329</v>
      </c>
      <c r="X442" s="37" t="s">
        <v>329</v>
      </c>
    </row>
    <row r="443" spans="2:24" ht="12.75">
      <c r="B443" s="15" t="s">
        <v>326</v>
      </c>
      <c r="F443" s="39" t="s">
        <v>165</v>
      </c>
      <c r="H443" s="39" t="s">
        <v>165</v>
      </c>
      <c r="J443" s="38" t="s">
        <v>165</v>
      </c>
      <c r="L443" s="39" t="s">
        <v>70</v>
      </c>
      <c r="M443" s="39"/>
      <c r="N443" s="39" t="s">
        <v>70</v>
      </c>
      <c r="P443" s="39" t="s">
        <v>70</v>
      </c>
      <c r="R443" s="39" t="s">
        <v>25</v>
      </c>
      <c r="S443" s="39"/>
      <c r="T443" s="39" t="s">
        <v>25</v>
      </c>
      <c r="V443" s="39" t="s">
        <v>25</v>
      </c>
      <c r="X443" s="37" t="s">
        <v>25</v>
      </c>
    </row>
    <row r="444" spans="2:24" ht="12.75">
      <c r="B444" s="15" t="s">
        <v>331</v>
      </c>
      <c r="F444" s="39" t="s">
        <v>80</v>
      </c>
      <c r="H444" s="39" t="s">
        <v>80</v>
      </c>
      <c r="J444" s="38" t="s">
        <v>80</v>
      </c>
      <c r="L444" s="39" t="s">
        <v>70</v>
      </c>
      <c r="M444" s="39"/>
      <c r="N444" s="39" t="s">
        <v>70</v>
      </c>
      <c r="P444" s="39" t="s">
        <v>70</v>
      </c>
      <c r="R444" s="39" t="s">
        <v>25</v>
      </c>
      <c r="S444" s="39"/>
      <c r="T444" s="39" t="s">
        <v>25</v>
      </c>
      <c r="V444" s="39" t="s">
        <v>25</v>
      </c>
      <c r="X444" s="37" t="s">
        <v>25</v>
      </c>
    </row>
    <row r="445" spans="2:24" ht="12.75">
      <c r="B445" s="15" t="s">
        <v>49</v>
      </c>
      <c r="F445" s="39" t="s">
        <v>165</v>
      </c>
      <c r="H445" s="39" t="s">
        <v>165</v>
      </c>
      <c r="J445" s="38" t="s">
        <v>165</v>
      </c>
      <c r="L445" s="39" t="s">
        <v>70</v>
      </c>
      <c r="M445" s="39"/>
      <c r="N445" s="39" t="s">
        <v>70</v>
      </c>
      <c r="P445" s="39" t="s">
        <v>70</v>
      </c>
      <c r="R445" s="39" t="s">
        <v>25</v>
      </c>
      <c r="S445" s="39"/>
      <c r="T445" s="39" t="s">
        <v>25</v>
      </c>
      <c r="V445" s="39" t="s">
        <v>25</v>
      </c>
      <c r="X445" s="37" t="s">
        <v>25</v>
      </c>
    </row>
    <row r="446" spans="6:7" ht="12.75">
      <c r="F446" s="37"/>
      <c r="G446" s="37"/>
    </row>
    <row r="447" spans="2:10" ht="12.75">
      <c r="B447" s="15" t="s">
        <v>128</v>
      </c>
      <c r="D447" s="15" t="s">
        <v>59</v>
      </c>
      <c r="F447" s="38">
        <v>15727</v>
      </c>
      <c r="H447" s="37">
        <v>15989</v>
      </c>
      <c r="J447" s="38">
        <v>16545</v>
      </c>
    </row>
    <row r="448" spans="2:10" ht="12.75">
      <c r="B448" s="15" t="s">
        <v>51</v>
      </c>
      <c r="D448" s="15" t="s">
        <v>52</v>
      </c>
      <c r="F448" s="38">
        <v>6600</v>
      </c>
      <c r="H448" s="38">
        <v>6600</v>
      </c>
      <c r="J448" s="38">
        <v>6500</v>
      </c>
    </row>
    <row r="449" ht="12.75">
      <c r="B449" s="10"/>
    </row>
    <row r="450" spans="2:10" ht="12.75">
      <c r="B450" s="10" t="s">
        <v>81</v>
      </c>
      <c r="D450" s="15" t="s">
        <v>18</v>
      </c>
      <c r="F450" s="38">
        <v>78</v>
      </c>
      <c r="H450" s="37">
        <v>77</v>
      </c>
      <c r="J450" s="38">
        <v>75</v>
      </c>
    </row>
    <row r="451" spans="2:10" ht="12.75">
      <c r="B451" s="10" t="s">
        <v>53</v>
      </c>
      <c r="D451" s="15" t="s">
        <v>18</v>
      </c>
      <c r="F451" s="38">
        <v>23</v>
      </c>
      <c r="H451" s="37">
        <v>24</v>
      </c>
      <c r="J451" s="38">
        <v>26</v>
      </c>
    </row>
    <row r="453" spans="2:22" ht="12.75">
      <c r="B453" s="15" t="s">
        <v>54</v>
      </c>
      <c r="D453" s="15" t="s">
        <v>59</v>
      </c>
      <c r="F453" s="38">
        <v>5.2</v>
      </c>
      <c r="H453" s="41">
        <v>4</v>
      </c>
      <c r="J453" s="38">
        <v>5.4</v>
      </c>
      <c r="L453" s="38">
        <v>23</v>
      </c>
      <c r="M453" s="39"/>
      <c r="N453" s="41">
        <v>23</v>
      </c>
      <c r="P453" s="37">
        <v>23</v>
      </c>
      <c r="R453" s="37">
        <v>28.2</v>
      </c>
      <c r="T453" s="37">
        <v>27</v>
      </c>
      <c r="V453" s="37">
        <v>28.4</v>
      </c>
    </row>
    <row r="454" spans="2:10" ht="12.75">
      <c r="B454" s="15" t="s">
        <v>253</v>
      </c>
      <c r="D454" s="15" t="s">
        <v>59</v>
      </c>
      <c r="F454" s="38">
        <v>0.0175</v>
      </c>
      <c r="H454" s="38">
        <v>0.0185</v>
      </c>
      <c r="J454" s="38">
        <v>0.0205</v>
      </c>
    </row>
    <row r="455" spans="2:10" ht="12.75">
      <c r="B455" s="15" t="s">
        <v>254</v>
      </c>
      <c r="D455" s="15" t="s">
        <v>59</v>
      </c>
      <c r="F455" s="38">
        <v>0.0345</v>
      </c>
      <c r="H455" s="37">
        <v>0.0375</v>
      </c>
      <c r="J455" s="38">
        <v>0.0415</v>
      </c>
    </row>
    <row r="456" spans="2:10" ht="12.75">
      <c r="B456" s="15" t="s">
        <v>255</v>
      </c>
      <c r="D456" s="15" t="s">
        <v>59</v>
      </c>
      <c r="F456" s="38">
        <v>0.0345</v>
      </c>
      <c r="H456" s="37">
        <v>0.0375</v>
      </c>
      <c r="J456" s="38">
        <v>0.0415</v>
      </c>
    </row>
    <row r="458" spans="2:24" ht="12.75">
      <c r="B458" s="15" t="s">
        <v>77</v>
      </c>
      <c r="D458" s="15" t="s">
        <v>17</v>
      </c>
      <c r="F458" s="38">
        <v>14350</v>
      </c>
      <c r="H458" s="38">
        <v>14927</v>
      </c>
      <c r="J458" s="38">
        <v>13812</v>
      </c>
      <c r="L458" s="37">
        <v>14350</v>
      </c>
      <c r="N458" s="37">
        <v>14927</v>
      </c>
      <c r="P458" s="37">
        <v>13812</v>
      </c>
      <c r="R458" s="37">
        <v>14350</v>
      </c>
      <c r="T458" s="37">
        <v>14927</v>
      </c>
      <c r="V458" s="37">
        <v>13812</v>
      </c>
      <c r="X458" s="37">
        <v>14363</v>
      </c>
    </row>
    <row r="459" spans="2:24" ht="12.75">
      <c r="B459" s="15" t="s">
        <v>78</v>
      </c>
      <c r="D459" s="15" t="s">
        <v>18</v>
      </c>
      <c r="F459" s="38">
        <v>7.86</v>
      </c>
      <c r="H459" s="38">
        <v>8.2</v>
      </c>
      <c r="J459" s="38">
        <v>7.61</v>
      </c>
      <c r="L459" s="37">
        <v>7.86</v>
      </c>
      <c r="N459" s="37">
        <v>8.2</v>
      </c>
      <c r="P459" s="37">
        <v>7.61</v>
      </c>
      <c r="R459" s="37">
        <v>7.86</v>
      </c>
      <c r="T459" s="37">
        <v>8.2</v>
      </c>
      <c r="V459" s="37">
        <v>7.61</v>
      </c>
      <c r="X459" s="37">
        <v>7.89</v>
      </c>
    </row>
    <row r="461" spans="2:10" ht="12.75">
      <c r="B461" s="15" t="s">
        <v>127</v>
      </c>
      <c r="D461" s="15" t="s">
        <v>69</v>
      </c>
      <c r="F461" s="42">
        <v>22.835604</v>
      </c>
      <c r="H461" s="42">
        <v>24.271302</v>
      </c>
      <c r="J461" s="42">
        <v>26.885625</v>
      </c>
    </row>
    <row r="462" spans="2:25" ht="12.75">
      <c r="B462" s="15" t="s">
        <v>333</v>
      </c>
      <c r="D462" s="15" t="s">
        <v>69</v>
      </c>
      <c r="R462" s="41">
        <v>59.86</v>
      </c>
      <c r="S462" s="41"/>
      <c r="T462" s="41">
        <v>60.655746031746034</v>
      </c>
      <c r="U462" s="41"/>
      <c r="V462" s="41">
        <v>58.71196190476191</v>
      </c>
      <c r="W462" s="41"/>
      <c r="X462" s="37">
        <v>59.742569312169316</v>
      </c>
      <c r="Y462" s="41"/>
    </row>
    <row r="464" ht="12.75">
      <c r="B464" s="59" t="s">
        <v>93</v>
      </c>
    </row>
    <row r="465" spans="2:24" ht="12.75">
      <c r="B465" s="15" t="s">
        <v>54</v>
      </c>
      <c r="D465" s="15" t="s">
        <v>71</v>
      </c>
      <c r="F465" s="80">
        <v>103229.13303838173</v>
      </c>
      <c r="H465" s="80">
        <v>78365.28032814269</v>
      </c>
      <c r="J465" s="80">
        <v>109295.63452761395</v>
      </c>
      <c r="L465" s="80">
        <v>456590.39613130374</v>
      </c>
      <c r="N465" s="80">
        <v>450600.3618868205</v>
      </c>
      <c r="P465" s="80">
        <v>465518.4433583557</v>
      </c>
      <c r="R465" s="47">
        <v>559819.5291696854</v>
      </c>
      <c r="S465" s="47"/>
      <c r="T465" s="47">
        <v>528965.6422149632</v>
      </c>
      <c r="U465" s="47"/>
      <c r="V465" s="47">
        <v>574814.0778859697</v>
      </c>
      <c r="W465" s="81"/>
      <c r="X465" s="37">
        <v>554533.0830902061</v>
      </c>
    </row>
    <row r="466" spans="2:24" ht="12.75">
      <c r="B466" s="15" t="s">
        <v>53</v>
      </c>
      <c r="D466" s="15" t="s">
        <v>79</v>
      </c>
      <c r="F466" s="17">
        <v>15797.753751905431</v>
      </c>
      <c r="H466" s="17">
        <v>17291.1580469001</v>
      </c>
      <c r="J466" s="17">
        <v>21766.529215159113</v>
      </c>
      <c r="R466" s="47">
        <v>15797.753751905431</v>
      </c>
      <c r="S466" s="47"/>
      <c r="T466" s="47">
        <v>17291.1580469001</v>
      </c>
      <c r="U466" s="47"/>
      <c r="V466" s="47">
        <v>21766.529215159113</v>
      </c>
      <c r="W466" s="81"/>
      <c r="X466" s="37">
        <v>18285.147004654882</v>
      </c>
    </row>
    <row r="467" ht="12.75">
      <c r="B467" s="59"/>
    </row>
    <row r="468" ht="12.75">
      <c r="B468" s="59"/>
    </row>
    <row r="469" spans="1:24" ht="12.75">
      <c r="A469" s="37" t="s">
        <v>126</v>
      </c>
      <c r="B469" s="36" t="s">
        <v>269</v>
      </c>
      <c r="C469" s="15" t="s">
        <v>125</v>
      </c>
      <c r="F469" s="39" t="s">
        <v>174</v>
      </c>
      <c r="H469" s="39" t="s">
        <v>175</v>
      </c>
      <c r="J469" s="38" t="s">
        <v>176</v>
      </c>
      <c r="L469" s="39" t="s">
        <v>174</v>
      </c>
      <c r="M469" s="39"/>
      <c r="N469" s="39" t="s">
        <v>175</v>
      </c>
      <c r="P469" s="39" t="s">
        <v>176</v>
      </c>
      <c r="R469" s="39" t="s">
        <v>174</v>
      </c>
      <c r="S469" s="39"/>
      <c r="T469" s="39" t="s">
        <v>175</v>
      </c>
      <c r="V469" s="39" t="s">
        <v>176</v>
      </c>
      <c r="X469" s="37" t="s">
        <v>48</v>
      </c>
    </row>
    <row r="470" spans="2:22" ht="12.75">
      <c r="B470" s="36"/>
      <c r="F470" s="39"/>
      <c r="H470" s="39"/>
      <c r="L470" s="39"/>
      <c r="M470" s="39"/>
      <c r="N470" s="39"/>
      <c r="P470" s="39"/>
      <c r="R470" s="39"/>
      <c r="S470" s="39"/>
      <c r="T470" s="39"/>
      <c r="V470" s="39"/>
    </row>
    <row r="471" spans="2:24" ht="12.75">
      <c r="B471" s="15" t="s">
        <v>325</v>
      </c>
      <c r="F471" s="39" t="s">
        <v>327</v>
      </c>
      <c r="H471" s="39" t="s">
        <v>327</v>
      </c>
      <c r="J471" s="38" t="s">
        <v>327</v>
      </c>
      <c r="L471" s="39" t="s">
        <v>243</v>
      </c>
      <c r="M471" s="39"/>
      <c r="N471" s="39" t="s">
        <v>243</v>
      </c>
      <c r="P471" s="39" t="s">
        <v>243</v>
      </c>
      <c r="R471" s="39" t="s">
        <v>329</v>
      </c>
      <c r="S471" s="39"/>
      <c r="T471" s="39" t="s">
        <v>329</v>
      </c>
      <c r="V471" s="39" t="s">
        <v>329</v>
      </c>
      <c r="X471" s="37" t="s">
        <v>329</v>
      </c>
    </row>
    <row r="472" spans="2:24" ht="12.75">
      <c r="B472" s="15" t="s">
        <v>326</v>
      </c>
      <c r="F472" s="39" t="s">
        <v>165</v>
      </c>
      <c r="H472" s="39" t="s">
        <v>165</v>
      </c>
      <c r="J472" s="38" t="s">
        <v>165</v>
      </c>
      <c r="L472" s="39" t="s">
        <v>70</v>
      </c>
      <c r="M472" s="39"/>
      <c r="N472" s="39" t="s">
        <v>70</v>
      </c>
      <c r="P472" s="39" t="s">
        <v>70</v>
      </c>
      <c r="R472" s="39" t="s">
        <v>25</v>
      </c>
      <c r="S472" s="39"/>
      <c r="T472" s="39" t="s">
        <v>25</v>
      </c>
      <c r="V472" s="39" t="s">
        <v>25</v>
      </c>
      <c r="X472" s="37" t="s">
        <v>25</v>
      </c>
    </row>
    <row r="473" spans="2:24" ht="12.75">
      <c r="B473" s="15" t="s">
        <v>331</v>
      </c>
      <c r="F473" s="39" t="s">
        <v>80</v>
      </c>
      <c r="H473" s="39" t="s">
        <v>80</v>
      </c>
      <c r="J473" s="38" t="s">
        <v>80</v>
      </c>
      <c r="L473" s="39" t="s">
        <v>70</v>
      </c>
      <c r="M473" s="39"/>
      <c r="N473" s="39" t="s">
        <v>70</v>
      </c>
      <c r="P473" s="39" t="s">
        <v>70</v>
      </c>
      <c r="R473" s="39" t="s">
        <v>25</v>
      </c>
      <c r="S473" s="39"/>
      <c r="T473" s="39" t="s">
        <v>25</v>
      </c>
      <c r="V473" s="39" t="s">
        <v>25</v>
      </c>
      <c r="X473" s="37" t="s">
        <v>25</v>
      </c>
    </row>
    <row r="474" spans="2:24" ht="12.75">
      <c r="B474" s="15" t="s">
        <v>49</v>
      </c>
      <c r="F474" s="39" t="s">
        <v>165</v>
      </c>
      <c r="H474" s="39" t="s">
        <v>165</v>
      </c>
      <c r="J474" s="38" t="s">
        <v>165</v>
      </c>
      <c r="L474" s="39" t="s">
        <v>70</v>
      </c>
      <c r="M474" s="39"/>
      <c r="N474" s="39" t="s">
        <v>70</v>
      </c>
      <c r="P474" s="39" t="s">
        <v>70</v>
      </c>
      <c r="R474" s="39" t="s">
        <v>25</v>
      </c>
      <c r="S474" s="39"/>
      <c r="T474" s="39" t="s">
        <v>25</v>
      </c>
      <c r="V474" s="39" t="s">
        <v>25</v>
      </c>
      <c r="X474" s="37" t="s">
        <v>25</v>
      </c>
    </row>
    <row r="475" spans="6:7" ht="12.75">
      <c r="F475" s="37"/>
      <c r="G475" s="37"/>
    </row>
    <row r="476" spans="2:10" ht="12.75">
      <c r="B476" s="15" t="s">
        <v>128</v>
      </c>
      <c r="D476" s="15" t="s">
        <v>59</v>
      </c>
      <c r="F476" s="38">
        <v>16139</v>
      </c>
      <c r="H476" s="37">
        <v>16185</v>
      </c>
      <c r="J476" s="38">
        <v>16345</v>
      </c>
    </row>
    <row r="477" spans="2:10" ht="12.75">
      <c r="B477" s="15" t="s">
        <v>51</v>
      </c>
      <c r="D477" s="15" t="s">
        <v>52</v>
      </c>
      <c r="F477" s="38">
        <v>6300</v>
      </c>
      <c r="H477" s="38">
        <v>6300</v>
      </c>
      <c r="J477" s="38">
        <v>5900</v>
      </c>
    </row>
    <row r="478" ht="12.75">
      <c r="B478" s="10"/>
    </row>
    <row r="479" spans="2:10" ht="12.75">
      <c r="B479" s="10" t="s">
        <v>81</v>
      </c>
      <c r="D479" s="15" t="s">
        <v>18</v>
      </c>
      <c r="F479" s="38">
        <v>73</v>
      </c>
      <c r="H479" s="37">
        <v>73</v>
      </c>
      <c r="J479" s="38">
        <v>73</v>
      </c>
    </row>
    <row r="480" spans="2:10" ht="12.75">
      <c r="B480" s="10" t="s">
        <v>53</v>
      </c>
      <c r="D480" s="15" t="s">
        <v>18</v>
      </c>
      <c r="F480" s="38">
        <v>34</v>
      </c>
      <c r="H480" s="37">
        <v>35</v>
      </c>
      <c r="J480" s="38">
        <v>37</v>
      </c>
    </row>
    <row r="482" spans="2:22" ht="12.75">
      <c r="B482" s="15" t="s">
        <v>54</v>
      </c>
      <c r="D482" s="15" t="s">
        <v>59</v>
      </c>
      <c r="F482" s="38">
        <v>3.3</v>
      </c>
      <c r="H482" s="41">
        <v>3.9</v>
      </c>
      <c r="J482" s="38">
        <v>3.8</v>
      </c>
      <c r="L482" s="37">
        <v>23</v>
      </c>
      <c r="N482" s="37">
        <v>23</v>
      </c>
      <c r="P482" s="37">
        <v>23</v>
      </c>
      <c r="R482" s="37">
        <v>26.3</v>
      </c>
      <c r="T482" s="37">
        <v>26.9</v>
      </c>
      <c r="V482" s="37">
        <v>26.8</v>
      </c>
    </row>
    <row r="483" spans="2:10" ht="12.75">
      <c r="B483" s="15" t="s">
        <v>253</v>
      </c>
      <c r="D483" s="15" t="s">
        <v>59</v>
      </c>
      <c r="F483" s="38">
        <v>0.022</v>
      </c>
      <c r="H483" s="38">
        <v>0.022</v>
      </c>
      <c r="J483" s="38">
        <v>0.022</v>
      </c>
    </row>
    <row r="484" spans="2:10" ht="12.75">
      <c r="B484" s="15" t="s">
        <v>254</v>
      </c>
      <c r="D484" s="15" t="s">
        <v>59</v>
      </c>
      <c r="F484" s="38">
        <v>0.0435</v>
      </c>
      <c r="H484" s="37">
        <v>0.0435</v>
      </c>
      <c r="J484" s="38">
        <v>0.044</v>
      </c>
    </row>
    <row r="485" spans="2:10" ht="12.75">
      <c r="B485" s="15" t="s">
        <v>255</v>
      </c>
      <c r="D485" s="15" t="s">
        <v>59</v>
      </c>
      <c r="F485" s="38">
        <v>0.0435</v>
      </c>
      <c r="H485" s="37">
        <v>0.0435</v>
      </c>
      <c r="J485" s="38">
        <v>0.044</v>
      </c>
    </row>
    <row r="487" spans="2:22" ht="12.75">
      <c r="B487" s="15" t="s">
        <v>250</v>
      </c>
      <c r="D487" s="15" t="s">
        <v>50</v>
      </c>
      <c r="F487" s="38">
        <v>14429</v>
      </c>
      <c r="H487" s="37">
        <v>13677</v>
      </c>
      <c r="J487" s="38">
        <v>15214</v>
      </c>
      <c r="R487" s="37">
        <v>14429</v>
      </c>
      <c r="T487" s="37">
        <v>13677</v>
      </c>
      <c r="V487" s="37">
        <v>15214</v>
      </c>
    </row>
    <row r="488" spans="2:22" ht="12.75">
      <c r="B488" s="15" t="s">
        <v>100</v>
      </c>
      <c r="D488" s="15" t="s">
        <v>50</v>
      </c>
      <c r="F488" s="38">
        <v>2273</v>
      </c>
      <c r="H488" s="37">
        <v>1982</v>
      </c>
      <c r="J488" s="38">
        <v>1742</v>
      </c>
      <c r="R488" s="37">
        <v>2273</v>
      </c>
      <c r="T488" s="37">
        <v>1982</v>
      </c>
      <c r="V488" s="37">
        <v>1742</v>
      </c>
    </row>
    <row r="489" spans="2:22" ht="12.75">
      <c r="B489" s="25" t="s">
        <v>101</v>
      </c>
      <c r="D489" s="15" t="s">
        <v>50</v>
      </c>
      <c r="F489" s="38">
        <v>18</v>
      </c>
      <c r="H489" s="37">
        <v>19</v>
      </c>
      <c r="J489" s="38">
        <v>26</v>
      </c>
      <c r="L489" s="37">
        <v>72</v>
      </c>
      <c r="N489" s="37">
        <v>73</v>
      </c>
      <c r="P489" s="37">
        <v>69</v>
      </c>
      <c r="R489" s="37">
        <v>90</v>
      </c>
      <c r="T489" s="37">
        <v>92</v>
      </c>
      <c r="V489" s="37">
        <v>95</v>
      </c>
    </row>
    <row r="490" spans="2:22" ht="12.75">
      <c r="B490" s="25" t="s">
        <v>102</v>
      </c>
      <c r="D490" s="15" t="s">
        <v>50</v>
      </c>
      <c r="F490" s="38">
        <v>415</v>
      </c>
      <c r="H490" s="37">
        <v>297</v>
      </c>
      <c r="J490" s="38">
        <v>420</v>
      </c>
      <c r="R490" s="37">
        <v>415</v>
      </c>
      <c r="T490" s="37">
        <v>297</v>
      </c>
      <c r="V490" s="37">
        <v>420</v>
      </c>
    </row>
    <row r="491" spans="2:22" ht="12.75">
      <c r="B491" s="25" t="s">
        <v>103</v>
      </c>
      <c r="D491" s="15" t="s">
        <v>50</v>
      </c>
      <c r="F491" s="38">
        <v>1.2</v>
      </c>
      <c r="H491" s="37">
        <v>1.2</v>
      </c>
      <c r="J491" s="38">
        <v>1.4</v>
      </c>
      <c r="L491" s="37">
        <v>2</v>
      </c>
      <c r="N491" s="37">
        <v>2</v>
      </c>
      <c r="P491" s="37">
        <v>1.8</v>
      </c>
      <c r="R491" s="37">
        <v>3.2</v>
      </c>
      <c r="T491" s="37">
        <v>3.2</v>
      </c>
      <c r="V491" s="37">
        <v>3.2</v>
      </c>
    </row>
    <row r="492" spans="2:22" ht="12.75">
      <c r="B492" s="25" t="s">
        <v>104</v>
      </c>
      <c r="D492" s="15" t="s">
        <v>50</v>
      </c>
      <c r="F492" s="38">
        <v>13</v>
      </c>
      <c r="H492" s="37">
        <v>12</v>
      </c>
      <c r="J492" s="38">
        <v>56</v>
      </c>
      <c r="L492" s="37">
        <v>76</v>
      </c>
      <c r="N492" s="37">
        <v>76</v>
      </c>
      <c r="P492" s="37">
        <v>82</v>
      </c>
      <c r="R492" s="37">
        <v>89</v>
      </c>
      <c r="T492" s="37">
        <v>88</v>
      </c>
      <c r="V492" s="37">
        <v>138</v>
      </c>
    </row>
    <row r="493" spans="2:22" ht="12.75">
      <c r="B493" s="25" t="s">
        <v>121</v>
      </c>
      <c r="D493" s="15" t="s">
        <v>50</v>
      </c>
      <c r="F493" s="38">
        <v>287</v>
      </c>
      <c r="H493" s="37">
        <v>218</v>
      </c>
      <c r="J493" s="38">
        <v>240</v>
      </c>
      <c r="L493" s="37">
        <v>340</v>
      </c>
      <c r="N493" s="37">
        <v>332</v>
      </c>
      <c r="P493" s="37">
        <v>294</v>
      </c>
      <c r="R493" s="37">
        <v>627</v>
      </c>
      <c r="T493" s="37">
        <v>550</v>
      </c>
      <c r="V493" s="37">
        <v>534</v>
      </c>
    </row>
    <row r="494" spans="2:22" ht="12.75">
      <c r="B494" s="25" t="s">
        <v>116</v>
      </c>
      <c r="D494" s="15" t="s">
        <v>50</v>
      </c>
      <c r="F494" s="38">
        <v>14</v>
      </c>
      <c r="H494" s="37">
        <v>5.9</v>
      </c>
      <c r="J494" s="38">
        <v>16</v>
      </c>
      <c r="L494" s="37">
        <v>20</v>
      </c>
      <c r="N494" s="37">
        <v>19</v>
      </c>
      <c r="P494" s="37">
        <v>12</v>
      </c>
      <c r="R494" s="37">
        <v>34</v>
      </c>
      <c r="T494" s="53">
        <v>24.9</v>
      </c>
      <c r="V494" s="37">
        <v>28</v>
      </c>
    </row>
    <row r="495" spans="2:22" ht="12.75">
      <c r="B495" s="25" t="s">
        <v>117</v>
      </c>
      <c r="D495" s="15" t="s">
        <v>50</v>
      </c>
      <c r="F495" s="38">
        <v>1281</v>
      </c>
      <c r="H495" s="37">
        <v>1101</v>
      </c>
      <c r="J495" s="38">
        <v>1409</v>
      </c>
      <c r="L495" s="37">
        <v>833</v>
      </c>
      <c r="N495" s="37">
        <v>831</v>
      </c>
      <c r="P495" s="37">
        <v>730</v>
      </c>
      <c r="R495" s="37">
        <v>2114</v>
      </c>
      <c r="T495" s="37">
        <v>1932</v>
      </c>
      <c r="V495" s="37">
        <v>2139</v>
      </c>
    </row>
    <row r="496" spans="2:22" ht="12.75">
      <c r="B496" s="25" t="s">
        <v>99</v>
      </c>
      <c r="D496" s="15" t="s">
        <v>50</v>
      </c>
      <c r="F496" s="38">
        <v>830</v>
      </c>
      <c r="H496" s="37">
        <v>186</v>
      </c>
      <c r="J496" s="38">
        <v>280</v>
      </c>
      <c r="L496" s="37">
        <v>595</v>
      </c>
      <c r="N496" s="37">
        <v>595</v>
      </c>
      <c r="P496" s="37">
        <v>595</v>
      </c>
      <c r="R496" s="37">
        <v>1425</v>
      </c>
      <c r="T496" s="37">
        <v>781</v>
      </c>
      <c r="V496" s="37">
        <v>875</v>
      </c>
    </row>
    <row r="497" spans="2:22" ht="12.75">
      <c r="B497" s="25" t="s">
        <v>118</v>
      </c>
      <c r="D497" s="15" t="s">
        <v>50</v>
      </c>
      <c r="F497" s="38">
        <v>128</v>
      </c>
      <c r="H497" s="37">
        <v>93</v>
      </c>
      <c r="J497" s="38">
        <v>154</v>
      </c>
      <c r="L497" s="37">
        <v>2688</v>
      </c>
      <c r="N497" s="37">
        <v>2904</v>
      </c>
      <c r="P497" s="37">
        <v>2456</v>
      </c>
      <c r="R497" s="37">
        <v>2816</v>
      </c>
      <c r="T497" s="37">
        <v>2997</v>
      </c>
      <c r="V497" s="37">
        <v>2610</v>
      </c>
    </row>
    <row r="498" spans="2:22" ht="12.75">
      <c r="B498" s="25" t="s">
        <v>105</v>
      </c>
      <c r="D498" s="15" t="s">
        <v>50</v>
      </c>
      <c r="F498" s="38">
        <v>0.55</v>
      </c>
      <c r="H498" s="37">
        <v>0.5</v>
      </c>
      <c r="J498" s="38">
        <v>0.34</v>
      </c>
      <c r="R498" s="37">
        <v>0.55</v>
      </c>
      <c r="T498" s="37">
        <v>0.5</v>
      </c>
      <c r="V498" s="37">
        <v>0.34</v>
      </c>
    </row>
    <row r="499" spans="2:22" ht="12.75">
      <c r="B499" s="25" t="s">
        <v>106</v>
      </c>
      <c r="D499" s="15" t="s">
        <v>50</v>
      </c>
      <c r="F499" s="38">
        <v>78</v>
      </c>
      <c r="H499" s="37">
        <v>44</v>
      </c>
      <c r="J499" s="38">
        <v>54</v>
      </c>
      <c r="L499" s="37">
        <v>204</v>
      </c>
      <c r="N499" s="37">
        <v>212</v>
      </c>
      <c r="P499" s="37">
        <v>187</v>
      </c>
      <c r="R499" s="37">
        <v>282</v>
      </c>
      <c r="T499" s="37">
        <v>256</v>
      </c>
      <c r="V499" s="37">
        <v>241</v>
      </c>
    </row>
    <row r="500" spans="2:22" ht="12.75">
      <c r="B500" s="25" t="s">
        <v>201</v>
      </c>
      <c r="D500" s="15" t="s">
        <v>50</v>
      </c>
      <c r="F500" s="38">
        <v>10</v>
      </c>
      <c r="H500" s="38">
        <v>10</v>
      </c>
      <c r="J500" s="38">
        <v>10</v>
      </c>
      <c r="R500" s="37">
        <v>10</v>
      </c>
      <c r="T500" s="37">
        <v>10</v>
      </c>
      <c r="V500" s="37">
        <v>10</v>
      </c>
    </row>
    <row r="501" spans="2:22" ht="12.75">
      <c r="B501" s="25" t="s">
        <v>107</v>
      </c>
      <c r="D501" s="15" t="s">
        <v>50</v>
      </c>
      <c r="F501" s="38">
        <v>978</v>
      </c>
      <c r="H501" s="37">
        <v>991</v>
      </c>
      <c r="J501" s="38">
        <v>881</v>
      </c>
      <c r="R501" s="37">
        <v>978</v>
      </c>
      <c r="T501" s="37">
        <v>991</v>
      </c>
      <c r="V501" s="37">
        <v>881</v>
      </c>
    </row>
    <row r="502" spans="2:22" ht="12.75">
      <c r="B502" s="25" t="s">
        <v>108</v>
      </c>
      <c r="D502" s="15" t="s">
        <v>50</v>
      </c>
      <c r="L502" s="37">
        <v>29</v>
      </c>
      <c r="N502" s="37">
        <v>32</v>
      </c>
      <c r="P502" s="37">
        <v>29</v>
      </c>
      <c r="R502" s="37">
        <v>29</v>
      </c>
      <c r="T502" s="37">
        <v>32</v>
      </c>
      <c r="V502" s="37">
        <v>29</v>
      </c>
    </row>
    <row r="503" spans="2:22" ht="12.75">
      <c r="B503" s="25" t="s">
        <v>119</v>
      </c>
      <c r="D503" s="15" t="s">
        <v>50</v>
      </c>
      <c r="F503" s="38">
        <v>30</v>
      </c>
      <c r="H503" s="37">
        <v>30</v>
      </c>
      <c r="J503" s="38">
        <v>36</v>
      </c>
      <c r="R503" s="37">
        <v>30</v>
      </c>
      <c r="T503" s="37">
        <v>30</v>
      </c>
      <c r="V503" s="37">
        <v>36</v>
      </c>
    </row>
    <row r="504" spans="2:22" ht="12.75">
      <c r="B504" s="25" t="s">
        <v>124</v>
      </c>
      <c r="D504" s="15" t="s">
        <v>50</v>
      </c>
      <c r="F504" s="38">
        <v>1809</v>
      </c>
      <c r="H504" s="37">
        <v>1407</v>
      </c>
      <c r="J504" s="38">
        <v>1441</v>
      </c>
      <c r="R504" s="37">
        <v>1809</v>
      </c>
      <c r="T504" s="37">
        <v>1407</v>
      </c>
      <c r="V504" s="37">
        <v>1441</v>
      </c>
    </row>
    <row r="506" spans="2:22" ht="12.75">
      <c r="B506" s="15" t="s">
        <v>77</v>
      </c>
      <c r="D506" s="15" t="s">
        <v>17</v>
      </c>
      <c r="F506" s="38">
        <v>12395</v>
      </c>
      <c r="H506" s="38">
        <v>12696</v>
      </c>
      <c r="J506" s="38">
        <v>12745</v>
      </c>
      <c r="L506" s="37">
        <v>12395</v>
      </c>
      <c r="N506" s="37">
        <v>12696</v>
      </c>
      <c r="P506" s="37">
        <v>12745</v>
      </c>
      <c r="R506" s="37">
        <v>12395</v>
      </c>
      <c r="T506" s="37">
        <v>12696</v>
      </c>
      <c r="V506" s="37">
        <v>12745</v>
      </c>
    </row>
    <row r="507" spans="2:22" ht="12.75">
      <c r="B507" s="15" t="s">
        <v>78</v>
      </c>
      <c r="D507" s="15" t="s">
        <v>18</v>
      </c>
      <c r="F507" s="38">
        <v>6.15</v>
      </c>
      <c r="H507" s="38">
        <v>6.38</v>
      </c>
      <c r="J507" s="38">
        <v>6.64</v>
      </c>
      <c r="L507" s="37">
        <v>6.15</v>
      </c>
      <c r="N507" s="37">
        <v>6.38</v>
      </c>
      <c r="P507" s="37">
        <v>6.64</v>
      </c>
      <c r="R507" s="37">
        <v>6.15</v>
      </c>
      <c r="T507" s="37">
        <v>6.38</v>
      </c>
      <c r="V507" s="37">
        <v>6.64</v>
      </c>
    </row>
    <row r="509" spans="2:10" ht="12.75">
      <c r="B509" s="15" t="s">
        <v>127</v>
      </c>
      <c r="D509" s="15" t="s">
        <v>69</v>
      </c>
      <c r="F509" s="42">
        <v>27.452439</v>
      </c>
      <c r="H509" s="42">
        <v>27.530685</v>
      </c>
      <c r="J509" s="42">
        <v>26.037585</v>
      </c>
    </row>
    <row r="510" spans="2:24" ht="12.75">
      <c r="B510" s="15" t="s">
        <v>333</v>
      </c>
      <c r="D510" s="15" t="s">
        <v>69</v>
      </c>
      <c r="R510" s="41">
        <v>58.43357142857142</v>
      </c>
      <c r="S510" s="41"/>
      <c r="T510" s="41">
        <v>58.92556190476191</v>
      </c>
      <c r="U510" s="41"/>
      <c r="V510" s="41">
        <v>58.10101587301587</v>
      </c>
      <c r="W510" s="41"/>
      <c r="X510" s="37">
        <v>58.4867164021164</v>
      </c>
    </row>
    <row r="512" spans="2:23" ht="12.75">
      <c r="B512" s="59" t="s">
        <v>93</v>
      </c>
      <c r="W512" s="41"/>
    </row>
    <row r="513" spans="2:24" ht="12.75">
      <c r="B513" s="15" t="s">
        <v>54</v>
      </c>
      <c r="D513" s="15" t="s">
        <v>71</v>
      </c>
      <c r="F513" s="80">
        <v>67109.98747283753</v>
      </c>
      <c r="H513" s="80">
        <v>78649.60091935287</v>
      </c>
      <c r="J513" s="80">
        <v>77720.48812528778</v>
      </c>
      <c r="L513" s="80">
        <v>467736.2763258374</v>
      </c>
      <c r="M513" s="39"/>
      <c r="N513" s="80">
        <v>463830.97978079907</v>
      </c>
      <c r="P513" s="80">
        <v>470413.48075832083</v>
      </c>
      <c r="R513" s="47">
        <v>534846.2637986749</v>
      </c>
      <c r="S513" s="47"/>
      <c r="T513" s="47">
        <v>542480.580700152</v>
      </c>
      <c r="U513" s="47"/>
      <c r="V513" s="47">
        <v>548133.9688836086</v>
      </c>
      <c r="W513" s="53"/>
      <c r="X513" s="37">
        <v>541820.2711274786</v>
      </c>
    </row>
    <row r="514" spans="2:24" ht="12.75">
      <c r="B514" s="15" t="s">
        <v>53</v>
      </c>
      <c r="D514" s="15" t="s">
        <v>79</v>
      </c>
      <c r="F514" s="17">
        <v>30129.54135219839</v>
      </c>
      <c r="H514" s="17">
        <v>30844.407240547218</v>
      </c>
      <c r="J514" s="17">
        <v>33396.60623761633</v>
      </c>
      <c r="L514" s="17"/>
      <c r="M514" s="39"/>
      <c r="N514" s="17"/>
      <c r="P514" s="17"/>
      <c r="R514" s="47">
        <v>30129.54135219839</v>
      </c>
      <c r="S514" s="47"/>
      <c r="T514" s="47">
        <v>30844.407240547218</v>
      </c>
      <c r="U514" s="47"/>
      <c r="V514" s="47">
        <v>33396.60623761633</v>
      </c>
      <c r="W514" s="53"/>
      <c r="X514" s="37">
        <v>31456.851610120648</v>
      </c>
    </row>
    <row r="516" spans="2:24" ht="12.75">
      <c r="B516" s="15" t="s">
        <v>250</v>
      </c>
      <c r="D516" s="15" t="s">
        <v>71</v>
      </c>
      <c r="F516" s="82">
        <v>646328.9342181102</v>
      </c>
      <c r="H516" s="82">
        <v>607528.855627465</v>
      </c>
      <c r="J516" s="82">
        <v>685392.7117656667</v>
      </c>
      <c r="L516" s="82">
        <v>0</v>
      </c>
      <c r="N516" s="82">
        <v>0</v>
      </c>
      <c r="P516" s="82">
        <v>0</v>
      </c>
      <c r="Q516" s="53"/>
      <c r="R516" s="53">
        <v>646328.9342181102</v>
      </c>
      <c r="S516" s="53"/>
      <c r="T516" s="53">
        <v>607528.855627465</v>
      </c>
      <c r="U516" s="53"/>
      <c r="V516" s="53">
        <v>685392.7117656667</v>
      </c>
      <c r="X516" s="53">
        <f>AVERAGE(V516,T516,R516)</f>
        <v>646416.8338704138</v>
      </c>
    </row>
    <row r="517" spans="2:24" ht="12.75">
      <c r="B517" s="15" t="s">
        <v>100</v>
      </c>
      <c r="D517" s="15" t="s">
        <v>71</v>
      </c>
      <c r="F517" s="82">
        <v>101816.18043369359</v>
      </c>
      <c r="H517" s="82">
        <v>88039.93506277952</v>
      </c>
      <c r="J517" s="82">
        <v>78477.33034677216</v>
      </c>
      <c r="L517" s="82">
        <v>0</v>
      </c>
      <c r="N517" s="82">
        <v>0</v>
      </c>
      <c r="P517" s="82">
        <v>0</v>
      </c>
      <c r="Q517" s="53"/>
      <c r="R517" s="53">
        <v>101816.18043369359</v>
      </c>
      <c r="S517" s="53"/>
      <c r="T517" s="53">
        <v>88039.93506277952</v>
      </c>
      <c r="U517" s="53"/>
      <c r="V517" s="53">
        <v>78477.33034677216</v>
      </c>
      <c r="X517" s="53">
        <f aca="true" t="shared" si="19" ref="X517:X533">AVERAGE(V517,T517,R517)</f>
        <v>89444.48194774841</v>
      </c>
    </row>
    <row r="518" spans="2:24" ht="12.75">
      <c r="B518" s="25" t="s">
        <v>101</v>
      </c>
      <c r="D518" s="15" t="s">
        <v>71</v>
      </c>
      <c r="F518" s="82">
        <v>806.2873945475075</v>
      </c>
      <c r="H518" s="82">
        <v>843.975159532195</v>
      </c>
      <c r="J518" s="82">
        <v>1171.3034380115248</v>
      </c>
      <c r="L518" s="82">
        <v>3225.14957819003</v>
      </c>
      <c r="N518" s="82">
        <v>3242.6414024131705</v>
      </c>
      <c r="P518" s="82">
        <v>3108.4591239536617</v>
      </c>
      <c r="Q518" s="53"/>
      <c r="R518" s="53">
        <v>4031.4369727375374</v>
      </c>
      <c r="S518" s="53"/>
      <c r="T518" s="53">
        <v>4086.6165619453654</v>
      </c>
      <c r="U518" s="53"/>
      <c r="V518" s="53">
        <v>4279.762561965186</v>
      </c>
      <c r="X518" s="53">
        <f t="shared" si="19"/>
        <v>4132.605365549363</v>
      </c>
    </row>
    <row r="519" spans="2:24" ht="12.75">
      <c r="B519" s="25" t="s">
        <v>102</v>
      </c>
      <c r="D519" s="15" t="s">
        <v>71</v>
      </c>
      <c r="F519" s="82">
        <v>18589.403818734198</v>
      </c>
      <c r="H519" s="82">
        <v>13192.664335845368</v>
      </c>
      <c r="J519" s="82">
        <v>18921.055537109245</v>
      </c>
      <c r="L519" s="82">
        <v>0</v>
      </c>
      <c r="N519" s="82">
        <v>0</v>
      </c>
      <c r="P519" s="82">
        <v>0</v>
      </c>
      <c r="Q519" s="53"/>
      <c r="R519" s="53">
        <v>18589.403818734198</v>
      </c>
      <c r="S519" s="53"/>
      <c r="T519" s="53">
        <v>13192.664335845368</v>
      </c>
      <c r="U519" s="53"/>
      <c r="V519" s="53">
        <v>18921.055537109245</v>
      </c>
      <c r="X519" s="53">
        <f t="shared" si="19"/>
        <v>16901.04123056294</v>
      </c>
    </row>
    <row r="520" spans="2:24" ht="12.75">
      <c r="B520" s="25" t="s">
        <v>103</v>
      </c>
      <c r="D520" s="15" t="s">
        <v>71</v>
      </c>
      <c r="F520" s="82">
        <v>53.75249296983383</v>
      </c>
      <c r="H520" s="82">
        <v>53.3036942862439</v>
      </c>
      <c r="J520" s="82">
        <v>63.07018512369748</v>
      </c>
      <c r="L520" s="82">
        <v>89.58748828305639</v>
      </c>
      <c r="N520" s="82">
        <v>88.83949047707317</v>
      </c>
      <c r="P520" s="82">
        <v>81.09023801618248</v>
      </c>
      <c r="Q520" s="53"/>
      <c r="R520" s="53">
        <v>143.33998125289023</v>
      </c>
      <c r="S520" s="53"/>
      <c r="T520" s="53">
        <v>142.14318476331707</v>
      </c>
      <c r="U520" s="53"/>
      <c r="V520" s="53">
        <v>144.16042313987995</v>
      </c>
      <c r="X520" s="53">
        <f t="shared" si="19"/>
        <v>143.21452971869576</v>
      </c>
    </row>
    <row r="521" spans="2:24" ht="12.75">
      <c r="B521" s="25" t="s">
        <v>104</v>
      </c>
      <c r="D521" s="15" t="s">
        <v>71</v>
      </c>
      <c r="F521" s="82">
        <v>582.3186738398665</v>
      </c>
      <c r="H521" s="82">
        <v>533.0369428624391</v>
      </c>
      <c r="J521" s="82">
        <v>2522.8074049478996</v>
      </c>
      <c r="L521" s="82">
        <v>3404.324554756142</v>
      </c>
      <c r="N521" s="82">
        <v>3375.90063812878</v>
      </c>
      <c r="P521" s="82">
        <v>3694.110842959424</v>
      </c>
      <c r="Q521" s="53"/>
      <c r="R521" s="53">
        <v>3986.643228596008</v>
      </c>
      <c r="S521" s="53"/>
      <c r="T521" s="53">
        <v>3908.937580991219</v>
      </c>
      <c r="U521" s="53"/>
      <c r="V521" s="53">
        <v>6216.918247907324</v>
      </c>
      <c r="X521" s="53">
        <f t="shared" si="19"/>
        <v>4704.166352498184</v>
      </c>
    </row>
    <row r="522" spans="2:24" ht="12.75">
      <c r="B522" s="25" t="s">
        <v>121</v>
      </c>
      <c r="D522" s="15" t="s">
        <v>71</v>
      </c>
      <c r="F522" s="82">
        <v>12855.80456861859</v>
      </c>
      <c r="H522" s="82">
        <v>9683.504462000976</v>
      </c>
      <c r="J522" s="82">
        <v>10812.031735490997</v>
      </c>
      <c r="L522" s="82">
        <v>15229.873008119584</v>
      </c>
      <c r="N522" s="82">
        <v>14747.355419194148</v>
      </c>
      <c r="P522" s="82">
        <v>13244.73887597647</v>
      </c>
      <c r="Q522" s="53"/>
      <c r="R522" s="53">
        <v>28085.677576738177</v>
      </c>
      <c r="S522" s="53"/>
      <c r="T522" s="53">
        <v>24430.859881195123</v>
      </c>
      <c r="U522" s="53"/>
      <c r="V522" s="53">
        <v>24056.770611467466</v>
      </c>
      <c r="X522" s="53">
        <f t="shared" si="19"/>
        <v>25524.43602313359</v>
      </c>
    </row>
    <row r="523" spans="2:24" ht="12.75">
      <c r="B523" s="25" t="s">
        <v>116</v>
      </c>
      <c r="D523" s="15" t="s">
        <v>71</v>
      </c>
      <c r="F523" s="82">
        <v>627.1124179813946</v>
      </c>
      <c r="H523" s="82">
        <v>262.0764969073659</v>
      </c>
      <c r="J523" s="82">
        <v>720.8021156993998</v>
      </c>
      <c r="L523" s="82">
        <v>895.8748828305637</v>
      </c>
      <c r="N523" s="82">
        <v>843.975159532195</v>
      </c>
      <c r="P523" s="82">
        <v>540.6015867745499</v>
      </c>
      <c r="Q523" s="53"/>
      <c r="R523" s="53">
        <v>1522.9873008119584</v>
      </c>
      <c r="S523" s="53"/>
      <c r="T523" s="53">
        <v>1106.051656439561</v>
      </c>
      <c r="U523" s="53"/>
      <c r="V523" s="53">
        <v>1261.4037024739496</v>
      </c>
      <c r="X523" s="53">
        <f t="shared" si="19"/>
        <v>1296.8142199084896</v>
      </c>
    </row>
    <row r="524" spans="2:24" ht="12.75">
      <c r="B524" s="25" t="s">
        <v>117</v>
      </c>
      <c r="D524" s="15" t="s">
        <v>71</v>
      </c>
      <c r="F524" s="82">
        <v>57380.78624529761</v>
      </c>
      <c r="H524" s="82">
        <v>48906.13950762879</v>
      </c>
      <c r="J524" s="82">
        <v>63475.6363137784</v>
      </c>
      <c r="L524" s="82">
        <v>37313.188869892976</v>
      </c>
      <c r="N524" s="82">
        <v>36912.808293223905</v>
      </c>
      <c r="P524" s="82">
        <v>32886.59652878511</v>
      </c>
      <c r="Q524" s="53"/>
      <c r="R524" s="53">
        <v>94693.97511519058</v>
      </c>
      <c r="S524" s="53"/>
      <c r="T524" s="53">
        <v>85818.9478008527</v>
      </c>
      <c r="U524" s="53"/>
      <c r="V524" s="53">
        <v>96362.2328425635</v>
      </c>
      <c r="X524" s="53">
        <f t="shared" si="19"/>
        <v>92291.71858620225</v>
      </c>
    </row>
    <row r="525" spans="2:24" ht="12.75">
      <c r="B525" s="25" t="s">
        <v>99</v>
      </c>
      <c r="D525" s="15" t="s">
        <v>71</v>
      </c>
      <c r="F525" s="82">
        <v>37178.807637468395</v>
      </c>
      <c r="H525" s="82">
        <v>8262.072614367806</v>
      </c>
      <c r="J525" s="82">
        <v>12614.037024739497</v>
      </c>
      <c r="L525" s="82">
        <v>26652.277764209273</v>
      </c>
      <c r="N525" s="82">
        <v>26429.748416929266</v>
      </c>
      <c r="P525" s="82">
        <v>26804.82867757143</v>
      </c>
      <c r="Q525" s="53"/>
      <c r="R525" s="53">
        <v>63831.08540167767</v>
      </c>
      <c r="S525" s="53"/>
      <c r="T525" s="53">
        <v>34691.82103129707</v>
      </c>
      <c r="U525" s="53"/>
      <c r="V525" s="53">
        <v>39418.865702310926</v>
      </c>
      <c r="X525" s="53">
        <f t="shared" si="19"/>
        <v>45980.590711761884</v>
      </c>
    </row>
    <row r="526" spans="2:24" ht="12.75">
      <c r="B526" s="25" t="s">
        <v>118</v>
      </c>
      <c r="D526" s="15" t="s">
        <v>71</v>
      </c>
      <c r="F526" s="82">
        <v>5733.599250115609</v>
      </c>
      <c r="H526" s="82">
        <v>4131.036307183903</v>
      </c>
      <c r="J526" s="82">
        <v>6937.720363606724</v>
      </c>
      <c r="L526" s="82">
        <v>120405.58425242778</v>
      </c>
      <c r="N526" s="82">
        <v>128994.94017271025</v>
      </c>
      <c r="P526" s="82">
        <v>110643.12475985786</v>
      </c>
      <c r="Q526" s="53"/>
      <c r="R526" s="53">
        <v>126139.1835025434</v>
      </c>
      <c r="S526" s="53"/>
      <c r="T526" s="53">
        <v>133125.97647989416</v>
      </c>
      <c r="U526" s="53"/>
      <c r="V526" s="53">
        <v>117580.84512346459</v>
      </c>
      <c r="X526" s="53">
        <f t="shared" si="19"/>
        <v>125615.33503530071</v>
      </c>
    </row>
    <row r="527" spans="2:24" ht="12.75">
      <c r="B527" s="25" t="s">
        <v>105</v>
      </c>
      <c r="D527" s="15" t="s">
        <v>71</v>
      </c>
      <c r="F527" s="82">
        <v>24.6365592778405</v>
      </c>
      <c r="H527" s="82">
        <v>22.209872619268292</v>
      </c>
      <c r="J527" s="82">
        <v>15.317044958612245</v>
      </c>
      <c r="L527" s="82">
        <v>0</v>
      </c>
      <c r="N527" s="82">
        <v>0</v>
      </c>
      <c r="P527" s="82">
        <v>0</v>
      </c>
      <c r="Q527" s="53"/>
      <c r="R527" s="53">
        <v>24.6365592778405</v>
      </c>
      <c r="S527" s="53"/>
      <c r="T527" s="53">
        <v>22.209872619268292</v>
      </c>
      <c r="U527" s="53"/>
      <c r="V527" s="53">
        <v>15.317044958612245</v>
      </c>
      <c r="W527" s="81"/>
      <c r="X527" s="53">
        <f t="shared" si="19"/>
        <v>20.721158951907015</v>
      </c>
    </row>
    <row r="528" spans="2:24" ht="12.75">
      <c r="B528" s="25" t="s">
        <v>106</v>
      </c>
      <c r="D528" s="15" t="s">
        <v>71</v>
      </c>
      <c r="F528" s="82">
        <v>3493.9120430391986</v>
      </c>
      <c r="H528" s="82">
        <v>1954.46879049561</v>
      </c>
      <c r="J528" s="82">
        <v>2432.707140485474</v>
      </c>
      <c r="L528" s="82">
        <v>9137.92380487175</v>
      </c>
      <c r="N528" s="82">
        <v>9416.985990569756</v>
      </c>
      <c r="P528" s="82">
        <v>8424.374727236735</v>
      </c>
      <c r="Q528" s="53"/>
      <c r="R528" s="53">
        <v>12631.835847910948</v>
      </c>
      <c r="S528" s="53"/>
      <c r="T528" s="53">
        <v>11371.454781065366</v>
      </c>
      <c r="U528" s="53"/>
      <c r="V528" s="53">
        <v>10857.081867722209</v>
      </c>
      <c r="X528" s="53">
        <f t="shared" si="19"/>
        <v>11620.124165566172</v>
      </c>
    </row>
    <row r="529" spans="2:24" ht="12.75">
      <c r="B529" s="25" t="s">
        <v>201</v>
      </c>
      <c r="D529" s="15" t="s">
        <v>71</v>
      </c>
      <c r="F529" s="82">
        <v>447.93744141528185</v>
      </c>
      <c r="H529" s="82">
        <v>444.1974523853658</v>
      </c>
      <c r="J529" s="82">
        <v>450.50132231212484</v>
      </c>
      <c r="L529" s="82">
        <v>0</v>
      </c>
      <c r="N529" s="82">
        <v>0</v>
      </c>
      <c r="P529" s="82">
        <v>0</v>
      </c>
      <c r="Q529" s="53"/>
      <c r="R529" s="53">
        <v>447.93744141528185</v>
      </c>
      <c r="S529" s="53"/>
      <c r="T529" s="53">
        <v>444.1974523853658</v>
      </c>
      <c r="U529" s="53"/>
      <c r="V529" s="53">
        <v>450.50132231212484</v>
      </c>
      <c r="X529" s="53">
        <f t="shared" si="19"/>
        <v>447.54540537092413</v>
      </c>
    </row>
    <row r="530" spans="2:24" ht="12.75">
      <c r="B530" s="25" t="s">
        <v>107</v>
      </c>
      <c r="D530" s="15" t="s">
        <v>71</v>
      </c>
      <c r="F530" s="82">
        <v>43808.28177041457</v>
      </c>
      <c r="H530" s="82">
        <v>44019.96753138976</v>
      </c>
      <c r="J530" s="82">
        <v>39689.166495698206</v>
      </c>
      <c r="L530" s="82">
        <v>0</v>
      </c>
      <c r="N530" s="82">
        <v>0</v>
      </c>
      <c r="P530" s="82">
        <v>0</v>
      </c>
      <c r="Q530" s="53"/>
      <c r="R530" s="53">
        <v>43808.28177041457</v>
      </c>
      <c r="S530" s="53"/>
      <c r="T530" s="53">
        <v>44019.96753138976</v>
      </c>
      <c r="U530" s="53"/>
      <c r="V530" s="53">
        <v>39689.166495698206</v>
      </c>
      <c r="X530" s="53">
        <f t="shared" si="19"/>
        <v>42505.805265834184</v>
      </c>
    </row>
    <row r="531" spans="2:24" ht="12.75">
      <c r="B531" s="25" t="s">
        <v>108</v>
      </c>
      <c r="D531" s="15" t="s">
        <v>71</v>
      </c>
      <c r="F531" s="82">
        <v>0</v>
      </c>
      <c r="H531" s="82">
        <v>0</v>
      </c>
      <c r="J531" s="82">
        <v>0</v>
      </c>
      <c r="L531" s="82">
        <v>1299.0185801043176</v>
      </c>
      <c r="N531" s="82">
        <v>1421.4318476331707</v>
      </c>
      <c r="P531" s="82">
        <v>1306.453834705162</v>
      </c>
      <c r="Q531" s="53"/>
      <c r="R531" s="53">
        <v>1299.0185801043176</v>
      </c>
      <c r="S531" s="53"/>
      <c r="T531" s="53">
        <v>1421.4318476331707</v>
      </c>
      <c r="U531" s="53"/>
      <c r="V531" s="53">
        <v>1306.453834705162</v>
      </c>
      <c r="X531" s="53">
        <f t="shared" si="19"/>
        <v>1342.301420814217</v>
      </c>
    </row>
    <row r="532" spans="2:24" ht="12.75">
      <c r="B532" s="25" t="s">
        <v>119</v>
      </c>
      <c r="D532" s="15" t="s">
        <v>71</v>
      </c>
      <c r="F532" s="82">
        <v>1343.8123242458457</v>
      </c>
      <c r="H532" s="82">
        <v>1332.5923571560975</v>
      </c>
      <c r="J532" s="82">
        <v>1621.8047603236496</v>
      </c>
      <c r="L532" s="82">
        <v>0</v>
      </c>
      <c r="N532" s="82">
        <v>0</v>
      </c>
      <c r="P532" s="82">
        <v>0</v>
      </c>
      <c r="Q532" s="53"/>
      <c r="R532" s="53">
        <v>1343.8123242458457</v>
      </c>
      <c r="S532" s="53"/>
      <c r="T532" s="53">
        <v>1332.5923571560975</v>
      </c>
      <c r="U532" s="53"/>
      <c r="V532" s="53">
        <v>1621.8047603236496</v>
      </c>
      <c r="X532" s="53">
        <f t="shared" si="19"/>
        <v>1432.7364805751977</v>
      </c>
    </row>
    <row r="533" spans="2:24" ht="12.75">
      <c r="B533" s="25" t="s">
        <v>124</v>
      </c>
      <c r="D533" s="15" t="s">
        <v>71</v>
      </c>
      <c r="F533" s="82">
        <v>81031.88315202451</v>
      </c>
      <c r="H533" s="82">
        <v>62498.58155062098</v>
      </c>
      <c r="J533" s="82">
        <v>64917.24054517719</v>
      </c>
      <c r="L533" s="82">
        <v>0</v>
      </c>
      <c r="N533" s="82">
        <v>0</v>
      </c>
      <c r="P533" s="82">
        <v>0</v>
      </c>
      <c r="Q533" s="53"/>
      <c r="R533" s="53">
        <v>81031.88315202451</v>
      </c>
      <c r="S533" s="53"/>
      <c r="T533" s="53">
        <v>62498.58155062098</v>
      </c>
      <c r="U533" s="53"/>
      <c r="V533" s="53">
        <v>64917.24054517719</v>
      </c>
      <c r="X533" s="53">
        <f t="shared" si="19"/>
        <v>69482.5684159409</v>
      </c>
    </row>
    <row r="535" spans="2:24" ht="12.75">
      <c r="B535" s="25" t="s">
        <v>72</v>
      </c>
      <c r="D535" s="15" t="s">
        <v>71</v>
      </c>
      <c r="F535" s="82">
        <v>37761.12631130826</v>
      </c>
      <c r="H535" s="82">
        <v>8795.109557230246</v>
      </c>
      <c r="J535" s="82">
        <v>15136.844429687397</v>
      </c>
      <c r="L535" s="82">
        <v>30056.602318965415</v>
      </c>
      <c r="N535" s="82">
        <v>29805.649055058046</v>
      </c>
      <c r="P535" s="82">
        <v>30498.939520530854</v>
      </c>
      <c r="Q535" s="53"/>
      <c r="R535" s="82">
        <v>67817.72863027368</v>
      </c>
      <c r="S535" s="53"/>
      <c r="T535" s="82">
        <v>38600.758612288286</v>
      </c>
      <c r="U535" s="53"/>
      <c r="V535" s="82">
        <v>45635.78395021825</v>
      </c>
      <c r="W535" s="81"/>
      <c r="X535" s="53">
        <v>50684.75706426008</v>
      </c>
    </row>
    <row r="536" spans="2:24" ht="12.75">
      <c r="B536" s="25" t="s">
        <v>73</v>
      </c>
      <c r="D536" s="15" t="s">
        <v>71</v>
      </c>
      <c r="F536" s="82">
        <v>13715.844456135932</v>
      </c>
      <c r="H536" s="82">
        <v>10580.783315819415</v>
      </c>
      <c r="J536" s="82">
        <v>12046.40535862622</v>
      </c>
      <c r="L536" s="82">
        <v>18544.61007459267</v>
      </c>
      <c r="N536" s="82">
        <v>18078.83631208439</v>
      </c>
      <c r="P536" s="82">
        <v>16434.288237946315</v>
      </c>
      <c r="Q536" s="53"/>
      <c r="R536" s="82">
        <v>32260.454530728603</v>
      </c>
      <c r="S536" s="53"/>
      <c r="T536" s="82">
        <v>28659.619627903805</v>
      </c>
      <c r="U536" s="53"/>
      <c r="V536" s="82">
        <v>28480.69359657253</v>
      </c>
      <c r="W536" s="81"/>
      <c r="X536" s="53">
        <v>29800.255918401646</v>
      </c>
    </row>
    <row r="539" ht="12.75">
      <c r="B539" s="59"/>
    </row>
    <row r="540" spans="1:24" ht="12.75">
      <c r="A540" s="37" t="s">
        <v>126</v>
      </c>
      <c r="B540" s="36" t="s">
        <v>270</v>
      </c>
      <c r="C540" s="15" t="s">
        <v>125</v>
      </c>
      <c r="F540" s="39" t="s">
        <v>174</v>
      </c>
      <c r="H540" s="39" t="s">
        <v>175</v>
      </c>
      <c r="J540" s="38" t="s">
        <v>176</v>
      </c>
      <c r="L540" s="39" t="s">
        <v>174</v>
      </c>
      <c r="M540" s="39"/>
      <c r="N540" s="39" t="s">
        <v>175</v>
      </c>
      <c r="P540" s="39" t="s">
        <v>176</v>
      </c>
      <c r="R540" s="39" t="s">
        <v>174</v>
      </c>
      <c r="S540" s="39"/>
      <c r="T540" s="39" t="s">
        <v>175</v>
      </c>
      <c r="V540" s="39" t="s">
        <v>176</v>
      </c>
      <c r="X540" s="37" t="s">
        <v>48</v>
      </c>
    </row>
    <row r="541" spans="2:22" ht="12.75">
      <c r="B541" s="36"/>
      <c r="F541" s="39"/>
      <c r="H541" s="39"/>
      <c r="L541" s="39"/>
      <c r="M541" s="39"/>
      <c r="N541" s="39"/>
      <c r="P541" s="39"/>
      <c r="R541" s="39"/>
      <c r="S541" s="39"/>
      <c r="T541" s="39"/>
      <c r="V541" s="39"/>
    </row>
    <row r="542" spans="2:24" ht="12.75">
      <c r="B542" s="15" t="s">
        <v>325</v>
      </c>
      <c r="F542" s="39" t="s">
        <v>327</v>
      </c>
      <c r="H542" s="39" t="s">
        <v>327</v>
      </c>
      <c r="J542" s="38" t="s">
        <v>327</v>
      </c>
      <c r="L542" s="39" t="s">
        <v>243</v>
      </c>
      <c r="M542" s="39"/>
      <c r="N542" s="39" t="s">
        <v>243</v>
      </c>
      <c r="P542" s="39" t="s">
        <v>243</v>
      </c>
      <c r="R542" s="39" t="s">
        <v>329</v>
      </c>
      <c r="S542" s="39"/>
      <c r="T542" s="39" t="s">
        <v>329</v>
      </c>
      <c r="V542" s="39" t="s">
        <v>329</v>
      </c>
      <c r="X542" s="37" t="s">
        <v>329</v>
      </c>
    </row>
    <row r="543" spans="2:24" ht="12.75">
      <c r="B543" s="15" t="s">
        <v>326</v>
      </c>
      <c r="F543" s="39" t="s">
        <v>165</v>
      </c>
      <c r="H543" s="39" t="s">
        <v>165</v>
      </c>
      <c r="J543" s="38" t="s">
        <v>165</v>
      </c>
      <c r="L543" s="39" t="s">
        <v>70</v>
      </c>
      <c r="M543" s="39"/>
      <c r="N543" s="39" t="s">
        <v>70</v>
      </c>
      <c r="P543" s="39" t="s">
        <v>70</v>
      </c>
      <c r="R543" s="39" t="s">
        <v>25</v>
      </c>
      <c r="S543" s="39"/>
      <c r="T543" s="39" t="s">
        <v>25</v>
      </c>
      <c r="V543" s="39" t="s">
        <v>25</v>
      </c>
      <c r="X543" s="37" t="s">
        <v>25</v>
      </c>
    </row>
    <row r="544" spans="2:24" ht="12.75">
      <c r="B544" s="15" t="s">
        <v>331</v>
      </c>
      <c r="F544" s="39" t="s">
        <v>80</v>
      </c>
      <c r="H544" s="39" t="s">
        <v>80</v>
      </c>
      <c r="J544" s="38" t="s">
        <v>80</v>
      </c>
      <c r="L544" s="39" t="s">
        <v>70</v>
      </c>
      <c r="M544" s="39"/>
      <c r="N544" s="39" t="s">
        <v>70</v>
      </c>
      <c r="P544" s="39" t="s">
        <v>70</v>
      </c>
      <c r="R544" s="39" t="s">
        <v>25</v>
      </c>
      <c r="S544" s="39"/>
      <c r="T544" s="39" t="s">
        <v>25</v>
      </c>
      <c r="V544" s="39" t="s">
        <v>25</v>
      </c>
      <c r="X544" s="37" t="s">
        <v>25</v>
      </c>
    </row>
    <row r="545" spans="2:24" ht="12.75">
      <c r="B545" s="15" t="s">
        <v>49</v>
      </c>
      <c r="F545" s="39" t="s">
        <v>165</v>
      </c>
      <c r="H545" s="39" t="s">
        <v>165</v>
      </c>
      <c r="J545" s="38" t="s">
        <v>165</v>
      </c>
      <c r="L545" s="39" t="s">
        <v>70</v>
      </c>
      <c r="M545" s="39"/>
      <c r="N545" s="39" t="s">
        <v>70</v>
      </c>
      <c r="P545" s="39" t="s">
        <v>70</v>
      </c>
      <c r="R545" s="39" t="s">
        <v>25</v>
      </c>
      <c r="S545" s="39"/>
      <c r="T545" s="39" t="s">
        <v>25</v>
      </c>
      <c r="V545" s="39" t="s">
        <v>25</v>
      </c>
      <c r="X545" s="37" t="s">
        <v>25</v>
      </c>
    </row>
    <row r="546" spans="6:7" ht="12.75">
      <c r="F546" s="37"/>
      <c r="G546" s="37"/>
    </row>
    <row r="547" spans="2:10" ht="12.75">
      <c r="B547" s="15" t="s">
        <v>128</v>
      </c>
      <c r="D547" s="15" t="s">
        <v>59</v>
      </c>
      <c r="F547" s="38">
        <v>8063</v>
      </c>
      <c r="H547" s="37">
        <v>8210</v>
      </c>
      <c r="J547" s="38">
        <v>7954</v>
      </c>
    </row>
    <row r="548" spans="2:8" ht="12.75">
      <c r="B548" s="15" t="s">
        <v>252</v>
      </c>
      <c r="D548" s="15" t="s">
        <v>52</v>
      </c>
      <c r="H548" s="38"/>
    </row>
    <row r="549" ht="12.75">
      <c r="B549" s="10"/>
    </row>
    <row r="550" spans="2:4" ht="12.75">
      <c r="B550" s="10" t="s">
        <v>81</v>
      </c>
      <c r="D550" s="15" t="s">
        <v>18</v>
      </c>
    </row>
    <row r="551" spans="2:10" ht="12.75">
      <c r="B551" s="10" t="s">
        <v>53</v>
      </c>
      <c r="D551" s="15" t="s">
        <v>18</v>
      </c>
      <c r="F551" s="38">
        <v>20</v>
      </c>
      <c r="H551" s="37">
        <v>20</v>
      </c>
      <c r="J551" s="38">
        <v>21</v>
      </c>
    </row>
    <row r="553" spans="2:24" ht="12.75">
      <c r="B553" s="15" t="s">
        <v>54</v>
      </c>
      <c r="D553" s="15" t="s">
        <v>59</v>
      </c>
      <c r="F553" s="68">
        <v>0.0475</v>
      </c>
      <c r="G553" s="67"/>
      <c r="H553" s="68">
        <v>0.0475</v>
      </c>
      <c r="I553" s="43"/>
      <c r="J553" s="68">
        <v>0.0475</v>
      </c>
      <c r="L553" s="37">
        <v>23</v>
      </c>
      <c r="N553" s="37">
        <v>23</v>
      </c>
      <c r="P553" s="37">
        <v>23</v>
      </c>
      <c r="R553" s="41">
        <v>23.0475</v>
      </c>
      <c r="T553" s="41">
        <v>23.0475</v>
      </c>
      <c r="V553" s="41">
        <v>23.0475</v>
      </c>
      <c r="W553" s="53"/>
      <c r="X553" s="37">
        <v>23.0475</v>
      </c>
    </row>
    <row r="554" spans="2:22" ht="12.75">
      <c r="B554" s="15" t="s">
        <v>253</v>
      </c>
      <c r="D554" s="15" t="s">
        <v>59</v>
      </c>
      <c r="F554" s="68">
        <v>0.0095</v>
      </c>
      <c r="G554" s="67"/>
      <c r="H554" s="68">
        <v>0.0095</v>
      </c>
      <c r="I554" s="43"/>
      <c r="J554" s="68">
        <v>0.0095</v>
      </c>
      <c r="R554" s="41"/>
      <c r="T554" s="41"/>
      <c r="V554" s="41"/>
    </row>
    <row r="555" spans="2:22" ht="12.75">
      <c r="B555" s="15" t="s">
        <v>254</v>
      </c>
      <c r="D555" s="15" t="s">
        <v>59</v>
      </c>
      <c r="F555" s="68">
        <v>0.019</v>
      </c>
      <c r="G555" s="67"/>
      <c r="H555" s="68">
        <v>0.018</v>
      </c>
      <c r="I555" s="43"/>
      <c r="J555" s="68">
        <v>0.0165</v>
      </c>
      <c r="R555" s="41"/>
      <c r="T555" s="41"/>
      <c r="V555" s="41"/>
    </row>
    <row r="556" spans="2:22" ht="12.75">
      <c r="B556" s="15" t="s">
        <v>255</v>
      </c>
      <c r="D556" s="15" t="s">
        <v>59</v>
      </c>
      <c r="F556" s="68">
        <v>0.019</v>
      </c>
      <c r="G556" s="67"/>
      <c r="H556" s="68">
        <v>0.018</v>
      </c>
      <c r="I556" s="43"/>
      <c r="J556" s="68">
        <v>0.0165</v>
      </c>
      <c r="R556" s="41"/>
      <c r="T556" s="41"/>
      <c r="V556" s="41"/>
    </row>
    <row r="558" spans="2:24" ht="12.75">
      <c r="B558" s="15" t="s">
        <v>77</v>
      </c>
      <c r="D558" s="15" t="s">
        <v>17</v>
      </c>
      <c r="F558" s="38">
        <v>9978</v>
      </c>
      <c r="H558" s="38">
        <v>10385</v>
      </c>
      <c r="J558" s="38">
        <v>10462</v>
      </c>
      <c r="L558" s="37">
        <v>9978</v>
      </c>
      <c r="N558" s="37">
        <v>10385</v>
      </c>
      <c r="P558" s="37">
        <v>10462</v>
      </c>
      <c r="R558" s="37">
        <v>9978</v>
      </c>
      <c r="T558" s="37">
        <v>10385</v>
      </c>
      <c r="V558" s="37">
        <v>10462</v>
      </c>
      <c r="W558" s="53"/>
      <c r="X558" s="37">
        <v>10275</v>
      </c>
    </row>
    <row r="559" spans="2:24" ht="12.75">
      <c r="B559" s="15" t="s">
        <v>78</v>
      </c>
      <c r="D559" s="15" t="s">
        <v>18</v>
      </c>
      <c r="F559" s="38">
        <v>9.87</v>
      </c>
      <c r="H559" s="38">
        <v>10.4</v>
      </c>
      <c r="J559" s="38">
        <v>10.6</v>
      </c>
      <c r="L559" s="37">
        <v>9.87</v>
      </c>
      <c r="N559" s="37">
        <v>10.4</v>
      </c>
      <c r="P559" s="37">
        <v>10.6</v>
      </c>
      <c r="R559" s="37">
        <v>9.87</v>
      </c>
      <c r="T559" s="37">
        <v>10.4</v>
      </c>
      <c r="V559" s="37">
        <v>10.6</v>
      </c>
      <c r="W559" s="41"/>
      <c r="X559" s="37">
        <v>10.29</v>
      </c>
    </row>
    <row r="561" spans="2:10" ht="12.75">
      <c r="B561" s="15" t="s">
        <v>127</v>
      </c>
      <c r="D561" s="15" t="s">
        <v>69</v>
      </c>
      <c r="F561" s="42"/>
      <c r="H561" s="42"/>
      <c r="J561" s="42"/>
    </row>
    <row r="562" spans="2:24" ht="12.75">
      <c r="B562" s="15" t="s">
        <v>333</v>
      </c>
      <c r="D562" s="15" t="s">
        <v>69</v>
      </c>
      <c r="R562" s="41">
        <v>35.2556</v>
      </c>
      <c r="S562" s="41"/>
      <c r="T562" s="41">
        <v>34.946349206349204</v>
      </c>
      <c r="U562" s="41"/>
      <c r="V562" s="41">
        <v>34.541206349206355</v>
      </c>
      <c r="W562" s="41"/>
      <c r="X562" s="37">
        <v>34.91438518518519</v>
      </c>
    </row>
    <row r="564" ht="12.75">
      <c r="B564" s="59" t="s">
        <v>93</v>
      </c>
    </row>
    <row r="565" spans="2:24" ht="12.75">
      <c r="B565" s="15" t="s">
        <v>53</v>
      </c>
      <c r="D565" s="15" t="s">
        <v>79</v>
      </c>
      <c r="F565" s="80">
        <v>54354.33593021328</v>
      </c>
      <c r="H565" s="80">
        <v>55835.0602713374</v>
      </c>
      <c r="J565" s="80">
        <v>57464.949452188484</v>
      </c>
      <c r="L565" s="80"/>
      <c r="M565" s="39"/>
      <c r="N565" s="80"/>
      <c r="P565" s="80"/>
      <c r="R565" s="47">
        <v>54354.33593021328</v>
      </c>
      <c r="S565" s="47"/>
      <c r="T565" s="47">
        <v>55835.0602713374</v>
      </c>
      <c r="U565" s="47"/>
      <c r="V565" s="47">
        <v>57464.949452188484</v>
      </c>
      <c r="W565" s="47"/>
      <c r="X565" s="37">
        <v>55884.78188457972</v>
      </c>
    </row>
    <row r="566" spans="2:24" ht="12.75">
      <c r="B566" s="15" t="s">
        <v>54</v>
      </c>
      <c r="D566" s="15" t="s">
        <v>71</v>
      </c>
      <c r="F566" s="16">
        <v>1601.0361879481159</v>
      </c>
      <c r="G566" s="18"/>
      <c r="H566" s="41">
        <v>1615.2042404924039</v>
      </c>
      <c r="I566" s="41"/>
      <c r="J566" s="16">
        <v>1634.1493941227257</v>
      </c>
      <c r="K566" s="41"/>
      <c r="L566" s="41">
        <v>775238.5752169823</v>
      </c>
      <c r="M566" s="41"/>
      <c r="N566" s="41">
        <v>782098.8953963219</v>
      </c>
      <c r="P566" s="37">
        <v>791272.3382067933</v>
      </c>
      <c r="R566" s="37">
        <v>776839.6114049304</v>
      </c>
      <c r="T566" s="37">
        <v>783714.0996368143</v>
      </c>
      <c r="V566" s="37">
        <v>792906.4876009161</v>
      </c>
      <c r="X566" s="37">
        <v>784486.732880887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9"/>
  <sheetViews>
    <sheetView workbookViewId="0" topLeftCell="B1">
      <selection activeCell="C14" sqref="C14"/>
    </sheetView>
  </sheetViews>
  <sheetFormatPr defaultColWidth="9.140625" defaultRowHeight="12.75"/>
  <cols>
    <col min="1" max="1" width="9.140625" style="20" hidden="1" customWidth="1"/>
    <col min="2" max="2" width="25.8515625" style="20" customWidth="1"/>
    <col min="3" max="3" width="9.140625" style="20" customWidth="1"/>
    <col min="4" max="4" width="12.28125" style="20" customWidth="1"/>
    <col min="5" max="5" width="12.421875" style="20" customWidth="1"/>
    <col min="6" max="16384" width="9.140625" style="20" customWidth="1"/>
  </cols>
  <sheetData>
    <row r="1" ht="12.75">
      <c r="B1" s="8" t="s">
        <v>84</v>
      </c>
    </row>
    <row r="2" ht="12.75">
      <c r="B2" s="8"/>
    </row>
    <row r="3" spans="1:3" ht="12.75">
      <c r="A3" s="20" t="s">
        <v>126</v>
      </c>
      <c r="B3" s="8" t="s">
        <v>144</v>
      </c>
      <c r="C3" s="20" t="s">
        <v>125</v>
      </c>
    </row>
    <row r="5" spans="2:6" ht="12.75">
      <c r="B5" s="20" t="s">
        <v>166</v>
      </c>
      <c r="C5" s="20" t="s">
        <v>167</v>
      </c>
      <c r="D5" s="20">
        <f>1704/60</f>
        <v>28.4</v>
      </c>
      <c r="E5" s="20">
        <f>1748/60</f>
        <v>29.133333333333333</v>
      </c>
      <c r="F5" s="20">
        <f>1774/60</f>
        <v>29.566666666666666</v>
      </c>
    </row>
    <row r="6" spans="2:6" ht="12.75">
      <c r="B6" s="20" t="s">
        <v>168</v>
      </c>
      <c r="C6" s="20" t="s">
        <v>169</v>
      </c>
      <c r="D6" s="20">
        <v>0.302</v>
      </c>
      <c r="E6" s="20">
        <v>0.311</v>
      </c>
      <c r="F6" s="20">
        <v>0.302</v>
      </c>
    </row>
    <row r="7" spans="2:6" ht="12.75">
      <c r="B7" s="20" t="s">
        <v>170</v>
      </c>
      <c r="C7" s="20" t="s">
        <v>171</v>
      </c>
      <c r="D7" s="20">
        <v>-0.16</v>
      </c>
      <c r="E7" s="20">
        <v>-0.13</v>
      </c>
      <c r="F7" s="20">
        <v>-0.14</v>
      </c>
    </row>
    <row r="9" spans="1:3" ht="12.75">
      <c r="A9" s="20" t="s">
        <v>126</v>
      </c>
      <c r="B9" s="8" t="s">
        <v>145</v>
      </c>
      <c r="C9" s="20" t="s">
        <v>125</v>
      </c>
    </row>
    <row r="11" spans="2:6" ht="12.75">
      <c r="B11" s="20" t="s">
        <v>147</v>
      </c>
      <c r="C11" s="20" t="s">
        <v>159</v>
      </c>
      <c r="D11" s="20">
        <v>0.254</v>
      </c>
      <c r="E11" s="20">
        <v>0.253</v>
      </c>
      <c r="F11" s="20">
        <v>0.252</v>
      </c>
    </row>
    <row r="12" spans="2:6" ht="14.25">
      <c r="B12" s="20" t="s">
        <v>148</v>
      </c>
      <c r="C12" s="9" t="s">
        <v>65</v>
      </c>
      <c r="D12" s="20">
        <v>1772</v>
      </c>
      <c r="E12" s="20">
        <v>1771</v>
      </c>
      <c r="F12" s="20">
        <v>1779</v>
      </c>
    </row>
    <row r="13" spans="2:6" ht="14.25">
      <c r="B13" s="20" t="s">
        <v>149</v>
      </c>
      <c r="C13" s="9" t="s">
        <v>65</v>
      </c>
      <c r="D13" s="20">
        <v>526</v>
      </c>
      <c r="E13" s="20">
        <v>508</v>
      </c>
      <c r="F13" s="20">
        <v>546</v>
      </c>
    </row>
    <row r="14" spans="2:6" ht="14.25">
      <c r="B14" s="20" t="s">
        <v>150</v>
      </c>
      <c r="C14" s="9" t="s">
        <v>65</v>
      </c>
      <c r="D14" s="20">
        <v>1623</v>
      </c>
      <c r="E14" s="20">
        <v>1625</v>
      </c>
      <c r="F14" s="20">
        <v>1625</v>
      </c>
    </row>
    <row r="15" spans="2:6" ht="12.75">
      <c r="B15" s="20" t="s">
        <v>151</v>
      </c>
      <c r="C15" s="20" t="s">
        <v>157</v>
      </c>
      <c r="D15" s="20">
        <v>33</v>
      </c>
      <c r="E15" s="20">
        <v>35</v>
      </c>
      <c r="F15" s="20">
        <v>34</v>
      </c>
    </row>
    <row r="16" spans="2:6" ht="12.75">
      <c r="B16" s="20" t="s">
        <v>152</v>
      </c>
      <c r="C16" s="20" t="s">
        <v>67</v>
      </c>
      <c r="D16" s="20">
        <v>1076</v>
      </c>
      <c r="E16" s="20">
        <v>1073</v>
      </c>
      <c r="F16" s="20">
        <v>1069</v>
      </c>
    </row>
    <row r="17" spans="2:6" ht="12.75">
      <c r="B17" s="20" t="s">
        <v>153</v>
      </c>
      <c r="C17" s="20" t="s">
        <v>67</v>
      </c>
      <c r="D17" s="20">
        <v>170</v>
      </c>
      <c r="E17" s="20">
        <v>170</v>
      </c>
      <c r="F17" s="20">
        <v>170</v>
      </c>
    </row>
    <row r="18" spans="2:6" ht="12.75">
      <c r="B18" s="20" t="s">
        <v>154</v>
      </c>
      <c r="C18" s="20" t="s">
        <v>67</v>
      </c>
      <c r="D18" s="20">
        <v>105</v>
      </c>
      <c r="E18" s="20">
        <v>105</v>
      </c>
      <c r="F18" s="20">
        <v>105</v>
      </c>
    </row>
    <row r="19" spans="2:6" ht="12.75">
      <c r="B19" s="20" t="s">
        <v>155</v>
      </c>
      <c r="C19" s="20" t="s">
        <v>67</v>
      </c>
      <c r="D19" s="20">
        <v>105</v>
      </c>
      <c r="E19" s="20">
        <v>105</v>
      </c>
      <c r="F19" s="20">
        <v>105</v>
      </c>
    </row>
    <row r="20" spans="2:6" ht="12.75">
      <c r="B20" s="20" t="s">
        <v>156</v>
      </c>
      <c r="C20" s="20" t="s">
        <v>158</v>
      </c>
      <c r="D20" s="20">
        <v>45</v>
      </c>
      <c r="E20" s="20">
        <v>44</v>
      </c>
      <c r="F20" s="20">
        <v>44</v>
      </c>
    </row>
    <row r="22" spans="2:3" ht="12.75">
      <c r="B22" s="8" t="s">
        <v>164</v>
      </c>
      <c r="C22" s="20" t="s">
        <v>125</v>
      </c>
    </row>
    <row r="24" spans="2:6" ht="12.75">
      <c r="B24" s="20" t="s">
        <v>147</v>
      </c>
      <c r="C24" s="20" t="s">
        <v>159</v>
      </c>
      <c r="D24" s="20">
        <v>0.252</v>
      </c>
      <c r="E24" s="20">
        <v>0.26</v>
      </c>
      <c r="F24" s="20">
        <v>0.253</v>
      </c>
    </row>
    <row r="25" spans="2:6" ht="14.25">
      <c r="B25" s="20" t="s">
        <v>148</v>
      </c>
      <c r="C25" s="9" t="s">
        <v>65</v>
      </c>
      <c r="D25" s="20">
        <v>1777</v>
      </c>
      <c r="E25" s="20">
        <v>1758</v>
      </c>
      <c r="F25" s="20">
        <v>1764</v>
      </c>
    </row>
    <row r="26" spans="2:6" ht="14.25">
      <c r="B26" s="20" t="s">
        <v>149</v>
      </c>
      <c r="C26" s="9" t="s">
        <v>65</v>
      </c>
      <c r="D26" s="20">
        <v>528</v>
      </c>
      <c r="E26" s="20">
        <v>520</v>
      </c>
      <c r="F26" s="20">
        <v>521</v>
      </c>
    </row>
    <row r="27" spans="2:6" ht="14.25">
      <c r="B27" s="20" t="s">
        <v>150</v>
      </c>
      <c r="C27" s="9" t="s">
        <v>65</v>
      </c>
      <c r="D27" s="20">
        <v>1795</v>
      </c>
      <c r="E27" s="20">
        <v>1808</v>
      </c>
      <c r="F27" s="20">
        <v>1806</v>
      </c>
    </row>
    <row r="28" spans="2:6" ht="12.75">
      <c r="B28" s="20" t="s">
        <v>151</v>
      </c>
      <c r="C28" s="20" t="s">
        <v>157</v>
      </c>
      <c r="D28" s="20">
        <v>35</v>
      </c>
      <c r="E28" s="20">
        <v>36</v>
      </c>
      <c r="F28" s="20">
        <v>34</v>
      </c>
    </row>
    <row r="29" spans="2:6" ht="12.75">
      <c r="B29" s="20" t="s">
        <v>152</v>
      </c>
      <c r="C29" s="20" t="s">
        <v>67</v>
      </c>
      <c r="D29" s="20">
        <v>1073</v>
      </c>
      <c r="E29" s="20">
        <v>1075</v>
      </c>
      <c r="F29" s="20">
        <v>1070</v>
      </c>
    </row>
    <row r="30" spans="2:6" ht="12.75">
      <c r="B30" s="20" t="s">
        <v>153</v>
      </c>
      <c r="C30" s="20" t="s">
        <v>67</v>
      </c>
      <c r="D30" s="20">
        <v>170</v>
      </c>
      <c r="E30" s="20">
        <v>170</v>
      </c>
      <c r="F30" s="20">
        <v>169</v>
      </c>
    </row>
    <row r="31" spans="2:6" ht="12.75">
      <c r="B31" s="20" t="s">
        <v>154</v>
      </c>
      <c r="C31" s="20" t="s">
        <v>67</v>
      </c>
      <c r="D31" s="20">
        <v>105</v>
      </c>
      <c r="E31" s="20">
        <v>105</v>
      </c>
      <c r="F31" s="20">
        <v>105</v>
      </c>
    </row>
    <row r="32" spans="2:6" ht="12.75">
      <c r="B32" s="20" t="s">
        <v>155</v>
      </c>
      <c r="C32" s="20" t="s">
        <v>67</v>
      </c>
      <c r="D32" s="20">
        <v>105</v>
      </c>
      <c r="E32" s="20">
        <v>105</v>
      </c>
      <c r="F32" s="20">
        <v>105</v>
      </c>
    </row>
    <row r="33" spans="2:6" ht="12.75">
      <c r="B33" s="20" t="s">
        <v>156</v>
      </c>
      <c r="C33" s="20" t="s">
        <v>158</v>
      </c>
      <c r="D33" s="20">
        <v>45</v>
      </c>
      <c r="E33" s="20">
        <v>41</v>
      </c>
      <c r="F33" s="20">
        <v>42</v>
      </c>
    </row>
    <row r="35" spans="2:3" ht="12.75">
      <c r="B35" s="8" t="s">
        <v>203</v>
      </c>
      <c r="C35" s="20" t="s">
        <v>125</v>
      </c>
    </row>
    <row r="36" ht="12.75">
      <c r="B36" s="8"/>
    </row>
    <row r="37" spans="2:5" ht="14.25">
      <c r="B37" s="20" t="s">
        <v>148</v>
      </c>
      <c r="C37" s="9" t="s">
        <v>65</v>
      </c>
      <c r="D37" s="20">
        <v>1578</v>
      </c>
      <c r="E37" s="20">
        <v>1662</v>
      </c>
    </row>
    <row r="38" spans="2:5" ht="12.75">
      <c r="B38" s="20" t="s">
        <v>199</v>
      </c>
      <c r="C38" s="20" t="s">
        <v>200</v>
      </c>
      <c r="D38" s="20">
        <v>37.7</v>
      </c>
      <c r="E38" s="20">
        <v>37.3</v>
      </c>
    </row>
    <row r="40" spans="2:3" ht="12.75">
      <c r="B40" s="8" t="s">
        <v>204</v>
      </c>
      <c r="C40" s="20" t="s">
        <v>125</v>
      </c>
    </row>
    <row r="41" ht="12.75">
      <c r="B41" s="8"/>
    </row>
    <row r="42" spans="2:6" ht="14.25">
      <c r="B42" s="20" t="s">
        <v>148</v>
      </c>
      <c r="C42" s="9" t="s">
        <v>65</v>
      </c>
      <c r="D42" s="20">
        <v>1709</v>
      </c>
      <c r="E42" s="20">
        <v>1694</v>
      </c>
      <c r="F42" s="20">
        <v>1667</v>
      </c>
    </row>
    <row r="43" spans="2:6" ht="12.75">
      <c r="B43" s="20" t="s">
        <v>199</v>
      </c>
      <c r="C43" s="20" t="s">
        <v>200</v>
      </c>
      <c r="D43" s="20">
        <v>36.1</v>
      </c>
      <c r="E43" s="20">
        <v>36.4</v>
      </c>
      <c r="F43" s="20">
        <v>34</v>
      </c>
    </row>
    <row r="45" spans="2:3" ht="12.75">
      <c r="B45" s="8" t="s">
        <v>205</v>
      </c>
      <c r="C45" s="20" t="s">
        <v>125</v>
      </c>
    </row>
    <row r="46" ht="12.75">
      <c r="B46" s="8"/>
    </row>
    <row r="47" spans="2:6" ht="14.25">
      <c r="B47" s="20" t="s">
        <v>148</v>
      </c>
      <c r="C47" s="9" t="s">
        <v>65</v>
      </c>
      <c r="D47" s="20">
        <v>1601</v>
      </c>
      <c r="E47" s="20">
        <v>1599</v>
      </c>
      <c r="F47" s="20">
        <v>1601</v>
      </c>
    </row>
    <row r="48" spans="2:6" ht="12.75">
      <c r="B48" s="20" t="s">
        <v>199</v>
      </c>
      <c r="C48" s="20" t="s">
        <v>200</v>
      </c>
      <c r="D48" s="20">
        <v>37</v>
      </c>
      <c r="E48" s="20">
        <v>37</v>
      </c>
      <c r="F48" s="20">
        <v>36</v>
      </c>
    </row>
    <row r="50" spans="2:3" ht="12.75">
      <c r="B50" s="8" t="s">
        <v>206</v>
      </c>
      <c r="C50" s="20" t="s">
        <v>125</v>
      </c>
    </row>
    <row r="51" ht="12.75">
      <c r="B51" s="8"/>
    </row>
    <row r="52" spans="2:6" ht="14.25">
      <c r="B52" s="20" t="s">
        <v>148</v>
      </c>
      <c r="C52" s="9" t="s">
        <v>65</v>
      </c>
      <c r="D52" s="20">
        <v>1503</v>
      </c>
      <c r="E52" s="20">
        <v>1507</v>
      </c>
      <c r="F52" s="20">
        <v>1498</v>
      </c>
    </row>
    <row r="53" spans="2:6" ht="12.75">
      <c r="B53" s="20" t="s">
        <v>199</v>
      </c>
      <c r="C53" s="20" t="s">
        <v>200</v>
      </c>
      <c r="D53" s="20">
        <v>37</v>
      </c>
      <c r="E53" s="20">
        <v>36</v>
      </c>
      <c r="F53" s="20">
        <v>35</v>
      </c>
    </row>
    <row r="55" spans="2:3" ht="12.75">
      <c r="B55" s="8" t="s">
        <v>187</v>
      </c>
      <c r="C55" s="20" t="s">
        <v>125</v>
      </c>
    </row>
    <row r="57" spans="2:6" ht="14.25">
      <c r="B57" s="20" t="s">
        <v>148</v>
      </c>
      <c r="C57" s="9" t="s">
        <v>65</v>
      </c>
      <c r="D57" s="20">
        <v>1624</v>
      </c>
      <c r="E57" s="20">
        <v>1627</v>
      </c>
      <c r="F57" s="20">
        <v>1627</v>
      </c>
    </row>
    <row r="58" spans="2:6" ht="14.25">
      <c r="B58" s="20" t="s">
        <v>189</v>
      </c>
      <c r="C58" s="9" t="s">
        <v>65</v>
      </c>
      <c r="D58" s="20">
        <v>1634</v>
      </c>
      <c r="E58" s="20">
        <v>1575</v>
      </c>
      <c r="F58" s="20">
        <v>1526</v>
      </c>
    </row>
    <row r="59" spans="2:6" ht="14.25">
      <c r="B59" s="20" t="s">
        <v>190</v>
      </c>
      <c r="C59" s="9" t="s">
        <v>65</v>
      </c>
      <c r="D59" s="20">
        <v>1523</v>
      </c>
      <c r="E59" s="20">
        <v>1364</v>
      </c>
      <c r="F59" s="20">
        <v>1318</v>
      </c>
    </row>
    <row r="60" spans="2:6" ht="14.25">
      <c r="B60" s="20" t="s">
        <v>191</v>
      </c>
      <c r="C60" s="9" t="s">
        <v>65</v>
      </c>
      <c r="D60" s="20">
        <v>1703</v>
      </c>
      <c r="E60" s="20">
        <v>1699</v>
      </c>
      <c r="F60" s="20">
        <v>1697</v>
      </c>
    </row>
    <row r="61" spans="2:6" ht="12.75">
      <c r="B61" s="20" t="s">
        <v>151</v>
      </c>
      <c r="C61" s="20" t="s">
        <v>195</v>
      </c>
      <c r="D61" s="20">
        <v>36.2</v>
      </c>
      <c r="E61" s="20">
        <v>36.4</v>
      </c>
      <c r="F61" s="20">
        <v>36</v>
      </c>
    </row>
    <row r="62" spans="2:6" ht="12.75">
      <c r="B62" s="20" t="s">
        <v>192</v>
      </c>
      <c r="C62" s="20" t="s">
        <v>67</v>
      </c>
      <c r="D62" s="20">
        <v>30</v>
      </c>
      <c r="E62" s="20">
        <v>30</v>
      </c>
      <c r="F62" s="20">
        <v>30</v>
      </c>
    </row>
    <row r="63" spans="2:6" ht="12.75">
      <c r="B63" s="20" t="s">
        <v>193</v>
      </c>
      <c r="C63" s="20" t="s">
        <v>67</v>
      </c>
      <c r="D63" s="20">
        <v>1050</v>
      </c>
      <c r="E63" s="20">
        <v>1053</v>
      </c>
      <c r="F63" s="20">
        <v>1000</v>
      </c>
    </row>
    <row r="64" spans="2:6" ht="12.75">
      <c r="B64" s="20" t="s">
        <v>198</v>
      </c>
      <c r="C64" s="20" t="s">
        <v>67</v>
      </c>
      <c r="D64" s="20">
        <v>191</v>
      </c>
      <c r="E64" s="20">
        <v>191</v>
      </c>
      <c r="F64" s="20">
        <v>190</v>
      </c>
    </row>
    <row r="65" spans="2:6" ht="12.75">
      <c r="B65" s="20" t="s">
        <v>197</v>
      </c>
      <c r="C65" s="20" t="s">
        <v>67</v>
      </c>
      <c r="D65" s="20">
        <v>190</v>
      </c>
      <c r="E65" s="20">
        <v>191</v>
      </c>
      <c r="F65" s="20">
        <v>190</v>
      </c>
    </row>
    <row r="66" spans="2:6" ht="12.75">
      <c r="B66" s="20" t="s">
        <v>194</v>
      </c>
      <c r="C66" s="20" t="s">
        <v>66</v>
      </c>
      <c r="D66" s="20">
        <v>5.1</v>
      </c>
      <c r="E66" s="20">
        <v>4.7</v>
      </c>
      <c r="F66" s="20">
        <v>4.7</v>
      </c>
    </row>
    <row r="67" spans="2:6" ht="12.75">
      <c r="B67" s="20" t="s">
        <v>156</v>
      </c>
      <c r="C67" s="20" t="s">
        <v>196</v>
      </c>
      <c r="D67" s="20">
        <v>41.3</v>
      </c>
      <c r="E67" s="20">
        <v>40.9</v>
      </c>
      <c r="F67" s="20">
        <v>40.5</v>
      </c>
    </row>
    <row r="69" spans="2:3" ht="12.75">
      <c r="B69" s="8" t="s">
        <v>202</v>
      </c>
      <c r="C69" s="20" t="s">
        <v>125</v>
      </c>
    </row>
    <row r="71" spans="2:6" ht="14.25">
      <c r="B71" s="20" t="s">
        <v>148</v>
      </c>
      <c r="C71" s="9" t="s">
        <v>65</v>
      </c>
      <c r="D71" s="20">
        <v>1635</v>
      </c>
      <c r="E71" s="20">
        <v>1629</v>
      </c>
      <c r="F71" s="20">
        <v>1619</v>
      </c>
    </row>
    <row r="72" spans="2:6" ht="14.25">
      <c r="B72" s="20" t="s">
        <v>189</v>
      </c>
      <c r="C72" s="9" t="s">
        <v>65</v>
      </c>
      <c r="D72" s="20">
        <v>1517</v>
      </c>
      <c r="E72" s="20">
        <v>1449</v>
      </c>
      <c r="F72" s="20">
        <v>1478</v>
      </c>
    </row>
    <row r="73" spans="2:6" ht="14.25">
      <c r="B73" s="20" t="s">
        <v>190</v>
      </c>
      <c r="C73" s="9" t="s">
        <v>65</v>
      </c>
      <c r="D73" s="20">
        <v>1325</v>
      </c>
      <c r="E73" s="20">
        <v>1321</v>
      </c>
      <c r="F73" s="20">
        <v>1396</v>
      </c>
    </row>
    <row r="74" spans="2:6" ht="14.25">
      <c r="B74" s="20" t="s">
        <v>191</v>
      </c>
      <c r="C74" s="9" t="s">
        <v>65</v>
      </c>
      <c r="D74" s="20">
        <v>1701</v>
      </c>
      <c r="E74" s="20">
        <v>1693</v>
      </c>
      <c r="F74" s="20">
        <v>1696</v>
      </c>
    </row>
    <row r="75" spans="2:6" ht="12.75">
      <c r="B75" s="20" t="s">
        <v>151</v>
      </c>
      <c r="C75" s="20" t="s">
        <v>195</v>
      </c>
      <c r="D75" s="20">
        <v>36.7</v>
      </c>
      <c r="E75" s="20">
        <v>34.8</v>
      </c>
      <c r="F75" s="20">
        <v>35.7</v>
      </c>
    </row>
    <row r="76" spans="2:6" ht="12.75">
      <c r="B76" s="20" t="s">
        <v>192</v>
      </c>
      <c r="C76" s="20" t="s">
        <v>67</v>
      </c>
      <c r="D76" s="20">
        <v>30</v>
      </c>
      <c r="E76" s="20">
        <v>30</v>
      </c>
      <c r="F76" s="20">
        <v>30</v>
      </c>
    </row>
    <row r="77" spans="2:6" ht="12.75">
      <c r="B77" s="20" t="s">
        <v>193</v>
      </c>
      <c r="C77" s="20" t="s">
        <v>67</v>
      </c>
      <c r="D77" s="20">
        <v>1000</v>
      </c>
      <c r="E77" s="20">
        <v>1000</v>
      </c>
      <c r="F77" s="20">
        <v>1006</v>
      </c>
    </row>
    <row r="78" spans="2:6" ht="12.75">
      <c r="B78" s="20" t="s">
        <v>198</v>
      </c>
      <c r="C78" s="20" t="s">
        <v>67</v>
      </c>
      <c r="D78" s="20">
        <v>190</v>
      </c>
      <c r="E78" s="20">
        <v>190</v>
      </c>
      <c r="F78" s="20">
        <v>190</v>
      </c>
    </row>
    <row r="79" spans="2:6" ht="12.75">
      <c r="B79" s="20" t="s">
        <v>197</v>
      </c>
      <c r="C79" s="20" t="s">
        <v>67</v>
      </c>
      <c r="D79" s="20">
        <v>190</v>
      </c>
      <c r="E79" s="20">
        <v>190</v>
      </c>
      <c r="F79" s="20">
        <v>192</v>
      </c>
    </row>
    <row r="80" spans="2:6" ht="12.75">
      <c r="B80" s="20" t="s">
        <v>194</v>
      </c>
      <c r="C80" s="20" t="s">
        <v>66</v>
      </c>
      <c r="D80" s="20">
        <v>4.5</v>
      </c>
      <c r="E80" s="20">
        <v>4.5</v>
      </c>
      <c r="F80" s="20">
        <v>5</v>
      </c>
    </row>
    <row r="81" spans="2:6" ht="12.75">
      <c r="B81" s="20" t="s">
        <v>156</v>
      </c>
      <c r="C81" s="20" t="s">
        <v>196</v>
      </c>
      <c r="D81" s="20">
        <v>46.8</v>
      </c>
      <c r="E81" s="20">
        <v>47</v>
      </c>
      <c r="F81" s="20">
        <v>46.6</v>
      </c>
    </row>
    <row r="83" spans="2:3" ht="12.75">
      <c r="B83" s="8" t="s">
        <v>208</v>
      </c>
      <c r="C83" s="20" t="s">
        <v>125</v>
      </c>
    </row>
    <row r="85" spans="2:5" ht="14.25">
      <c r="B85" s="20" t="s">
        <v>148</v>
      </c>
      <c r="C85" s="9" t="s">
        <v>65</v>
      </c>
      <c r="D85" s="20">
        <v>1503</v>
      </c>
      <c r="E85" s="20">
        <v>1500</v>
      </c>
    </row>
    <row r="86" spans="2:5" ht="14.25">
      <c r="B86" s="20" t="s">
        <v>189</v>
      </c>
      <c r="C86" s="9" t="s">
        <v>65</v>
      </c>
      <c r="D86" s="20">
        <v>1433</v>
      </c>
      <c r="E86" s="20">
        <v>1365</v>
      </c>
    </row>
    <row r="87" spans="2:5" ht="14.25">
      <c r="B87" s="20" t="s">
        <v>190</v>
      </c>
      <c r="C87" s="9" t="s">
        <v>65</v>
      </c>
      <c r="D87" s="20">
        <v>1398</v>
      </c>
      <c r="E87" s="20">
        <v>1398</v>
      </c>
    </row>
    <row r="88" spans="2:5" ht="14.25">
      <c r="B88" s="20" t="s">
        <v>191</v>
      </c>
      <c r="C88" s="9" t="s">
        <v>65</v>
      </c>
      <c r="D88" s="20">
        <v>1600</v>
      </c>
      <c r="E88" s="20">
        <v>1600</v>
      </c>
    </row>
    <row r="89" spans="2:5" ht="12.75">
      <c r="B89" s="20" t="s">
        <v>156</v>
      </c>
      <c r="C89" s="20" t="s">
        <v>220</v>
      </c>
      <c r="D89" s="20">
        <v>1.28</v>
      </c>
      <c r="E89" s="20">
        <v>1.22</v>
      </c>
    </row>
    <row r="90" spans="2:5" ht="12.75">
      <c r="B90" s="20" t="s">
        <v>219</v>
      </c>
      <c r="C90" s="20" t="s">
        <v>195</v>
      </c>
      <c r="D90" s="20">
        <v>44.7</v>
      </c>
      <c r="E90" s="20">
        <v>44.8</v>
      </c>
    </row>
    <row r="91" spans="2:5" ht="12.75">
      <c r="B91" s="20" t="s">
        <v>194</v>
      </c>
      <c r="D91" s="20">
        <v>4.15</v>
      </c>
      <c r="E91" s="20">
        <v>3.79</v>
      </c>
    </row>
    <row r="93" spans="2:3" ht="12.75">
      <c r="B93" s="8" t="s">
        <v>209</v>
      </c>
      <c r="C93" s="20" t="s">
        <v>125</v>
      </c>
    </row>
    <row r="94" spans="4:12" ht="12.75">
      <c r="D94" s="60" t="s">
        <v>64</v>
      </c>
      <c r="E94" s="60" t="s">
        <v>295</v>
      </c>
      <c r="F94" s="60" t="s">
        <v>296</v>
      </c>
      <c r="G94" s="60" t="s">
        <v>297</v>
      </c>
      <c r="H94" s="60" t="s">
        <v>298</v>
      </c>
      <c r="I94" s="60" t="s">
        <v>299</v>
      </c>
      <c r="J94" s="60" t="s">
        <v>300</v>
      </c>
      <c r="K94" s="60" t="s">
        <v>301</v>
      </c>
      <c r="L94" s="60" t="s">
        <v>302</v>
      </c>
    </row>
    <row r="95" spans="2:12" ht="14.25">
      <c r="B95" s="20" t="s">
        <v>148</v>
      </c>
      <c r="C95" s="9" t="s">
        <v>65</v>
      </c>
      <c r="D95" s="20">
        <v>1626</v>
      </c>
      <c r="E95" s="20">
        <v>1619</v>
      </c>
      <c r="F95" s="20">
        <v>1627</v>
      </c>
      <c r="G95" s="20">
        <v>1627</v>
      </c>
      <c r="H95" s="20">
        <v>1629</v>
      </c>
      <c r="I95" s="20">
        <v>1632</v>
      </c>
      <c r="J95" s="20">
        <v>1655</v>
      </c>
      <c r="K95" s="20">
        <v>1629</v>
      </c>
      <c r="L95" s="20">
        <v>1633</v>
      </c>
    </row>
    <row r="96" spans="2:12" ht="14.25">
      <c r="B96" s="20" t="s">
        <v>189</v>
      </c>
      <c r="C96" s="9" t="s">
        <v>65</v>
      </c>
      <c r="D96" s="20">
        <v>1290</v>
      </c>
      <c r="E96" s="20">
        <v>1305</v>
      </c>
      <c r="F96" s="20">
        <v>1316</v>
      </c>
      <c r="G96" s="20">
        <v>1046</v>
      </c>
      <c r="H96" s="20">
        <v>1247</v>
      </c>
      <c r="I96" s="20">
        <v>1305</v>
      </c>
      <c r="J96" s="20">
        <v>1273</v>
      </c>
      <c r="K96" s="20">
        <v>1240</v>
      </c>
      <c r="L96" s="20">
        <v>1344</v>
      </c>
    </row>
    <row r="97" spans="2:12" ht="14.25">
      <c r="B97" s="20" t="s">
        <v>190</v>
      </c>
      <c r="C97" s="9" t="s">
        <v>65</v>
      </c>
      <c r="D97" s="20">
        <v>1093</v>
      </c>
      <c r="E97" s="20">
        <v>1120</v>
      </c>
      <c r="F97" s="20">
        <v>1115</v>
      </c>
      <c r="G97" s="20">
        <v>846</v>
      </c>
      <c r="H97" s="20">
        <v>1172</v>
      </c>
      <c r="I97" s="20">
        <v>1215</v>
      </c>
      <c r="J97" s="20">
        <v>1131</v>
      </c>
      <c r="K97" s="20">
        <v>1221</v>
      </c>
      <c r="L97" s="20">
        <v>1324</v>
      </c>
    </row>
    <row r="98" spans="2:12" ht="14.25">
      <c r="B98" s="20" t="s">
        <v>191</v>
      </c>
      <c r="C98" s="9" t="s">
        <v>65</v>
      </c>
      <c r="D98" s="20">
        <v>1753</v>
      </c>
      <c r="E98" s="20">
        <v>1756</v>
      </c>
      <c r="F98" s="20">
        <v>1749</v>
      </c>
      <c r="G98" s="20">
        <v>1752</v>
      </c>
      <c r="H98" s="20">
        <v>1349</v>
      </c>
      <c r="I98" s="20">
        <v>1756</v>
      </c>
      <c r="J98" s="20">
        <v>1748</v>
      </c>
      <c r="K98" s="20">
        <v>1751</v>
      </c>
      <c r="L98" s="20">
        <v>1754</v>
      </c>
    </row>
    <row r="99" spans="2:12" ht="12.75">
      <c r="B99" s="20" t="s">
        <v>156</v>
      </c>
      <c r="C99" s="20" t="s">
        <v>220</v>
      </c>
      <c r="D99" s="20">
        <v>1.1</v>
      </c>
      <c r="E99" s="20">
        <v>0.96</v>
      </c>
      <c r="F99" s="20">
        <v>1.26</v>
      </c>
      <c r="G99" s="20">
        <v>1.45</v>
      </c>
      <c r="H99" s="20">
        <v>1.49</v>
      </c>
      <c r="I99" s="20">
        <v>1.19</v>
      </c>
      <c r="J99" s="20">
        <v>1.18</v>
      </c>
      <c r="K99" s="20">
        <v>1.49</v>
      </c>
      <c r="L99" s="20">
        <v>1.18</v>
      </c>
    </row>
    <row r="100" spans="2:12" ht="12.75">
      <c r="B100" s="20" t="s">
        <v>219</v>
      </c>
      <c r="C100" s="20" t="s">
        <v>195</v>
      </c>
      <c r="D100" s="20">
        <v>49.8</v>
      </c>
      <c r="E100" s="20">
        <v>37.9</v>
      </c>
      <c r="F100" s="20">
        <v>49.8</v>
      </c>
      <c r="G100" s="20">
        <v>50</v>
      </c>
      <c r="H100" s="20">
        <v>49.2</v>
      </c>
      <c r="I100" s="20">
        <v>38.3</v>
      </c>
      <c r="J100" s="20">
        <v>45.8</v>
      </c>
      <c r="K100" s="20">
        <v>38.6</v>
      </c>
      <c r="L100" s="20">
        <v>38.6</v>
      </c>
    </row>
    <row r="101" spans="2:12" ht="12.75">
      <c r="B101" s="20" t="s">
        <v>194</v>
      </c>
      <c r="D101" s="20">
        <v>5.01</v>
      </c>
      <c r="E101" s="20">
        <v>4.81</v>
      </c>
      <c r="F101" s="20">
        <v>4.82</v>
      </c>
      <c r="G101" s="20">
        <v>5.14</v>
      </c>
      <c r="H101" s="20">
        <v>4.65</v>
      </c>
      <c r="I101" s="20">
        <v>4.33</v>
      </c>
      <c r="J101" s="20">
        <v>4</v>
      </c>
      <c r="K101" s="20">
        <v>5.64</v>
      </c>
      <c r="L101" s="20">
        <v>5.57</v>
      </c>
    </row>
    <row r="105" spans="2:4" ht="12.75">
      <c r="B105" s="8" t="s">
        <v>336</v>
      </c>
      <c r="C105" s="20" t="s">
        <v>125</v>
      </c>
      <c r="D105" s="60" t="s">
        <v>48</v>
      </c>
    </row>
    <row r="107" spans="2:4" ht="14.25">
      <c r="B107" s="20" t="s">
        <v>191</v>
      </c>
      <c r="C107" s="9" t="s">
        <v>65</v>
      </c>
      <c r="D107" s="20">
        <v>1600</v>
      </c>
    </row>
    <row r="108" spans="2:4" ht="12.75">
      <c r="B108" s="20" t="s">
        <v>261</v>
      </c>
      <c r="C108" s="20" t="s">
        <v>262</v>
      </c>
      <c r="D108" s="20">
        <v>149</v>
      </c>
    </row>
    <row r="109" spans="2:4" ht="12.75">
      <c r="B109" s="20" t="s">
        <v>219</v>
      </c>
      <c r="C109" s="20" t="s">
        <v>195</v>
      </c>
      <c r="D109" s="20">
        <v>47.4</v>
      </c>
    </row>
    <row r="110" spans="2:4" ht="12.75">
      <c r="B110" s="20" t="s">
        <v>263</v>
      </c>
      <c r="D110" s="20">
        <v>5.47</v>
      </c>
    </row>
    <row r="111" spans="2:4" ht="12.75">
      <c r="B111" s="20" t="s">
        <v>264</v>
      </c>
      <c r="C111" s="20" t="s">
        <v>220</v>
      </c>
      <c r="D111" s="20">
        <v>0.93</v>
      </c>
    </row>
    <row r="112" spans="2:4" ht="14.25">
      <c r="B112" s="20" t="s">
        <v>258</v>
      </c>
      <c r="C112" s="9" t="s">
        <v>65</v>
      </c>
      <c r="D112" s="20">
        <v>1020</v>
      </c>
    </row>
    <row r="113" spans="2:4" ht="14.25">
      <c r="B113" s="20" t="s">
        <v>260</v>
      </c>
      <c r="C113" s="9" t="s">
        <v>65</v>
      </c>
      <c r="D113" s="20">
        <v>1502</v>
      </c>
    </row>
    <row r="114" spans="2:4" ht="14.25">
      <c r="B114" s="20" t="s">
        <v>259</v>
      </c>
      <c r="C114" s="9" t="s">
        <v>65</v>
      </c>
      <c r="D114" s="20">
        <v>360</v>
      </c>
    </row>
    <row r="118" spans="2:4" ht="12.75">
      <c r="B118" s="8" t="s">
        <v>269</v>
      </c>
      <c r="C118" s="20" t="s">
        <v>125</v>
      </c>
      <c r="D118" s="60" t="s">
        <v>48</v>
      </c>
    </row>
    <row r="120" spans="2:4" ht="14.25">
      <c r="B120" s="20" t="s">
        <v>191</v>
      </c>
      <c r="C120" s="9" t="s">
        <v>65</v>
      </c>
      <c r="D120" s="20">
        <v>1775</v>
      </c>
    </row>
    <row r="121" spans="2:4" ht="12.75">
      <c r="B121" s="20" t="s">
        <v>261</v>
      </c>
      <c r="C121" s="20" t="s">
        <v>262</v>
      </c>
      <c r="D121" s="20">
        <v>157</v>
      </c>
    </row>
    <row r="122" spans="2:4" ht="12.75">
      <c r="B122" s="20" t="s">
        <v>219</v>
      </c>
      <c r="C122" s="20" t="s">
        <v>195</v>
      </c>
      <c r="D122" s="20">
        <v>47.2</v>
      </c>
    </row>
    <row r="123" spans="2:4" ht="12.75">
      <c r="B123" s="20" t="s">
        <v>263</v>
      </c>
      <c r="D123" s="20">
        <v>4.66</v>
      </c>
    </row>
    <row r="124" spans="2:4" ht="12.75">
      <c r="B124" s="20" t="s">
        <v>264</v>
      </c>
      <c r="C124" s="20" t="s">
        <v>220</v>
      </c>
      <c r="D124" s="20">
        <v>0.966</v>
      </c>
    </row>
    <row r="125" spans="2:4" ht="14.25">
      <c r="B125" s="20" t="s">
        <v>258</v>
      </c>
      <c r="C125" s="9" t="s">
        <v>65</v>
      </c>
      <c r="D125" s="20">
        <v>1226</v>
      </c>
    </row>
    <row r="126" spans="2:4" ht="14.25">
      <c r="B126" s="20" t="s">
        <v>260</v>
      </c>
      <c r="C126" s="9" t="s">
        <v>65</v>
      </c>
      <c r="D126" s="20">
        <v>1625</v>
      </c>
    </row>
    <row r="127" spans="2:4" ht="14.25">
      <c r="B127" s="20" t="s">
        <v>259</v>
      </c>
      <c r="C127" s="9" t="s">
        <v>65</v>
      </c>
      <c r="D127" s="20">
        <v>331</v>
      </c>
    </row>
    <row r="130" spans="2:4" ht="12.75">
      <c r="B130" s="8" t="s">
        <v>270</v>
      </c>
      <c r="C130" s="20" t="s">
        <v>125</v>
      </c>
      <c r="D130" s="60" t="s">
        <v>48</v>
      </c>
    </row>
    <row r="132" spans="2:4" ht="14.25">
      <c r="B132" s="20" t="s">
        <v>191</v>
      </c>
      <c r="C132" s="9" t="s">
        <v>65</v>
      </c>
      <c r="D132" s="20">
        <v>1600</v>
      </c>
    </row>
    <row r="133" spans="2:4" ht="12.75">
      <c r="B133" s="20" t="s">
        <v>261</v>
      </c>
      <c r="C133" s="20" t="s">
        <v>262</v>
      </c>
      <c r="D133" s="20">
        <v>144</v>
      </c>
    </row>
    <row r="134" spans="2:4" ht="12.75">
      <c r="B134" s="20" t="s">
        <v>219</v>
      </c>
      <c r="C134" s="20" t="s">
        <v>195</v>
      </c>
      <c r="D134" s="20">
        <v>47.5</v>
      </c>
    </row>
    <row r="135" spans="2:4" ht="12.75">
      <c r="B135" s="20" t="s">
        <v>263</v>
      </c>
      <c r="D135" s="20">
        <v>4.97</v>
      </c>
    </row>
    <row r="136" spans="2:4" ht="12.75">
      <c r="B136" s="20" t="s">
        <v>264</v>
      </c>
      <c r="C136" s="20" t="s">
        <v>220</v>
      </c>
      <c r="D136" s="20">
        <v>1.01</v>
      </c>
    </row>
    <row r="137" spans="2:4" ht="14.25">
      <c r="B137" s="20" t="s">
        <v>258</v>
      </c>
      <c r="C137" s="9" t="s">
        <v>65</v>
      </c>
      <c r="D137" s="20">
        <v>893</v>
      </c>
    </row>
    <row r="138" spans="2:4" ht="14.25">
      <c r="B138" s="20" t="s">
        <v>260</v>
      </c>
      <c r="C138" s="9" t="s">
        <v>65</v>
      </c>
      <c r="D138" s="20">
        <v>1501</v>
      </c>
    </row>
    <row r="139" spans="2:4" ht="14.25">
      <c r="B139" s="20" t="s">
        <v>259</v>
      </c>
      <c r="C139" s="9" t="s">
        <v>65</v>
      </c>
      <c r="D139" s="20">
        <v>162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31">
      <selection activeCell="C14" sqref="C14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6.140625" style="0" customWidth="1"/>
    <col min="4" max="4" width="3.00390625" style="0" customWidth="1"/>
    <col min="5" max="6" width="9.421875" style="0" customWidth="1"/>
    <col min="8" max="8" width="9.8515625" style="0" customWidth="1"/>
    <col min="9" max="9" width="3.421875" style="0" customWidth="1"/>
    <col min="13" max="13" width="9.28125" style="0" customWidth="1"/>
    <col min="14" max="14" width="2.8515625" style="0" customWidth="1"/>
    <col min="18" max="18" width="9.00390625" style="0" customWidth="1"/>
  </cols>
  <sheetData>
    <row r="1" spans="1:18" ht="12.75">
      <c r="A1" s="55" t="s">
        <v>86</v>
      </c>
      <c r="B1" s="37"/>
      <c r="C1" s="37"/>
      <c r="D1" s="37"/>
      <c r="E1" s="47"/>
      <c r="F1" s="47"/>
      <c r="G1" s="47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37" t="s">
        <v>335</v>
      </c>
      <c r="B2" s="37"/>
      <c r="C2" s="37"/>
      <c r="D2" s="37"/>
      <c r="E2" s="47"/>
      <c r="F2" s="47"/>
      <c r="G2" s="47"/>
      <c r="H2" s="48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37" t="s">
        <v>20</v>
      </c>
      <c r="B3" s="37"/>
      <c r="C3" s="15" t="str">
        <f>source!C5</f>
        <v>Eastman Kodak Company</v>
      </c>
      <c r="D3" s="15"/>
      <c r="E3" s="47"/>
      <c r="F3" s="47"/>
      <c r="G3" s="47"/>
      <c r="H3" s="48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2.75">
      <c r="A4" s="37" t="s">
        <v>21</v>
      </c>
      <c r="B4" s="37"/>
      <c r="C4" s="15" t="s">
        <v>145</v>
      </c>
      <c r="D4" s="15"/>
      <c r="E4" s="49"/>
      <c r="F4" s="49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2.75">
      <c r="A5" s="37" t="s">
        <v>22</v>
      </c>
      <c r="B5" s="37"/>
      <c r="C5" s="20" t="str">
        <f>cond!C20</f>
        <v>Mini-burn, low temp</v>
      </c>
      <c r="D5" s="20"/>
      <c r="E5" s="20"/>
      <c r="F5" s="20"/>
      <c r="G5" s="20"/>
      <c r="H5" s="20"/>
      <c r="I5" s="20"/>
      <c r="J5" s="20"/>
      <c r="K5" s="20"/>
      <c r="L5" s="20"/>
      <c r="M5" s="47"/>
      <c r="N5" s="47"/>
      <c r="O5" s="47"/>
      <c r="P5" s="47"/>
      <c r="Q5" s="47"/>
      <c r="R5" s="47"/>
    </row>
    <row r="6" spans="1:18" ht="12.75">
      <c r="A6" s="37"/>
      <c r="B6" s="37"/>
      <c r="C6" s="39"/>
      <c r="D6" s="39"/>
      <c r="E6" s="51"/>
      <c r="F6" s="51"/>
      <c r="G6" s="51"/>
      <c r="H6" s="48"/>
      <c r="I6" s="47"/>
      <c r="J6" s="51"/>
      <c r="K6" s="51"/>
      <c r="L6" s="51"/>
      <c r="M6" s="47"/>
      <c r="N6" s="47"/>
      <c r="O6" s="51"/>
      <c r="P6" s="51"/>
      <c r="Q6" s="51"/>
      <c r="R6" s="47"/>
    </row>
    <row r="7" spans="1:18" ht="12.75">
      <c r="A7" s="37"/>
      <c r="B7" s="37"/>
      <c r="C7" s="39" t="s">
        <v>23</v>
      </c>
      <c r="D7" s="39"/>
      <c r="E7" s="52" t="s">
        <v>62</v>
      </c>
      <c r="F7" s="52"/>
      <c r="G7" s="52"/>
      <c r="H7" s="52"/>
      <c r="I7" s="19"/>
      <c r="J7" s="52" t="s">
        <v>63</v>
      </c>
      <c r="K7" s="52"/>
      <c r="L7" s="52"/>
      <c r="M7" s="52"/>
      <c r="N7" s="19"/>
      <c r="O7" s="52" t="s">
        <v>64</v>
      </c>
      <c r="P7" s="52"/>
      <c r="Q7" s="52"/>
      <c r="R7" s="52"/>
    </row>
    <row r="8" spans="1:18" ht="12.75">
      <c r="A8" s="37"/>
      <c r="B8" s="37"/>
      <c r="C8" s="39" t="s">
        <v>24</v>
      </c>
      <c r="D8" s="37"/>
      <c r="E8" s="51" t="s">
        <v>25</v>
      </c>
      <c r="F8" s="51" t="s">
        <v>27</v>
      </c>
      <c r="G8" s="51" t="s">
        <v>25</v>
      </c>
      <c r="H8" s="50" t="s">
        <v>26</v>
      </c>
      <c r="I8" s="47"/>
      <c r="J8" s="51" t="s">
        <v>25</v>
      </c>
      <c r="K8" s="51" t="s">
        <v>27</v>
      </c>
      <c r="L8" s="51" t="s">
        <v>25</v>
      </c>
      <c r="M8" s="51" t="s">
        <v>27</v>
      </c>
      <c r="N8" s="47"/>
      <c r="O8" s="51" t="s">
        <v>25</v>
      </c>
      <c r="P8" s="51" t="s">
        <v>27</v>
      </c>
      <c r="Q8" s="51" t="s">
        <v>25</v>
      </c>
      <c r="R8" s="51" t="s">
        <v>27</v>
      </c>
    </row>
    <row r="9" spans="1:18" ht="12.75">
      <c r="A9" s="37"/>
      <c r="B9" s="37"/>
      <c r="C9" s="39"/>
      <c r="D9" s="37"/>
      <c r="E9" s="51" t="s">
        <v>294</v>
      </c>
      <c r="F9" s="51" t="s">
        <v>294</v>
      </c>
      <c r="G9" s="51" t="s">
        <v>85</v>
      </c>
      <c r="H9" s="50" t="s">
        <v>85</v>
      </c>
      <c r="I9" s="47"/>
      <c r="J9" s="51" t="s">
        <v>294</v>
      </c>
      <c r="K9" s="51" t="s">
        <v>294</v>
      </c>
      <c r="L9" s="51" t="s">
        <v>85</v>
      </c>
      <c r="M9" s="50" t="s">
        <v>85</v>
      </c>
      <c r="N9" s="47"/>
      <c r="O9" s="51" t="s">
        <v>294</v>
      </c>
      <c r="P9" s="51" t="s">
        <v>294</v>
      </c>
      <c r="Q9" s="51" t="s">
        <v>85</v>
      </c>
      <c r="R9" s="50" t="s">
        <v>85</v>
      </c>
    </row>
    <row r="10" spans="1:18" ht="12.75">
      <c r="A10" s="37" t="s">
        <v>60</v>
      </c>
      <c r="B10" s="37"/>
      <c r="C10" s="37"/>
      <c r="D10" s="37"/>
      <c r="E10" s="47"/>
      <c r="F10" s="47"/>
      <c r="G10" s="47"/>
      <c r="H10" s="48"/>
      <c r="I10" s="47"/>
      <c r="J10" s="47"/>
      <c r="K10" s="47"/>
      <c r="L10" s="47"/>
      <c r="M10" s="47"/>
      <c r="N10" s="47"/>
      <c r="O10" s="41"/>
      <c r="P10" s="41"/>
      <c r="Q10" s="47"/>
      <c r="R10" s="47"/>
    </row>
    <row r="11" spans="1:18" ht="12.75">
      <c r="A11" s="37"/>
      <c r="B11" s="37" t="s">
        <v>28</v>
      </c>
      <c r="C11" s="39">
        <v>1</v>
      </c>
      <c r="D11" s="39"/>
      <c r="E11" s="53"/>
      <c r="F11" s="53"/>
      <c r="G11" s="53"/>
      <c r="H11" s="53"/>
      <c r="I11" s="48"/>
      <c r="J11" s="20"/>
      <c r="K11" s="20"/>
      <c r="L11" s="53"/>
      <c r="M11" s="53"/>
      <c r="N11" s="48"/>
      <c r="O11" s="53"/>
      <c r="P11" s="53"/>
      <c r="Q11" s="53"/>
      <c r="R11" s="53"/>
    </row>
    <row r="12" spans="1:18" ht="12.75">
      <c r="A12" s="37"/>
      <c r="B12" s="37" t="s">
        <v>130</v>
      </c>
      <c r="C12" s="39">
        <v>0</v>
      </c>
      <c r="D12" s="39"/>
      <c r="E12" s="53"/>
      <c r="F12" s="53"/>
      <c r="G12" s="53"/>
      <c r="H12" s="53"/>
      <c r="I12" s="48"/>
      <c r="J12" s="34"/>
      <c r="K12" s="34"/>
      <c r="L12" s="53"/>
      <c r="M12" s="53"/>
      <c r="N12" s="48"/>
      <c r="O12" s="53"/>
      <c r="P12" s="53"/>
      <c r="Q12" s="53"/>
      <c r="R12" s="53"/>
    </row>
    <row r="13" spans="1:18" ht="12.75">
      <c r="A13" s="37"/>
      <c r="B13" s="37" t="s">
        <v>30</v>
      </c>
      <c r="C13" s="39">
        <v>0.5</v>
      </c>
      <c r="D13" s="39"/>
      <c r="E13" s="53"/>
      <c r="F13" s="53"/>
      <c r="G13" s="53"/>
      <c r="H13" s="53"/>
      <c r="I13" s="48"/>
      <c r="J13" s="20"/>
      <c r="K13" s="20"/>
      <c r="L13" s="53"/>
      <c r="M13" s="53"/>
      <c r="N13" s="48"/>
      <c r="O13" s="54"/>
      <c r="P13" s="54"/>
      <c r="Q13" s="53"/>
      <c r="R13" s="53"/>
    </row>
    <row r="14" spans="1:18" ht="12.75">
      <c r="A14" s="37"/>
      <c r="B14" s="37" t="s">
        <v>131</v>
      </c>
      <c r="C14" s="39">
        <v>0</v>
      </c>
      <c r="D14" s="39"/>
      <c r="E14" s="53"/>
      <c r="F14" s="53"/>
      <c r="G14" s="53"/>
      <c r="H14" s="53"/>
      <c r="I14" s="48"/>
      <c r="J14" s="20"/>
      <c r="K14" s="20"/>
      <c r="L14" s="53"/>
      <c r="M14" s="53"/>
      <c r="N14" s="48"/>
      <c r="O14" s="54"/>
      <c r="P14" s="54"/>
      <c r="Q14" s="53"/>
      <c r="R14" s="53"/>
    </row>
    <row r="15" spans="1:18" ht="12.75">
      <c r="A15" s="37"/>
      <c r="B15" s="37" t="s">
        <v>31</v>
      </c>
      <c r="C15" s="39">
        <v>0.1</v>
      </c>
      <c r="D15" s="39"/>
      <c r="E15" s="53"/>
      <c r="F15" s="53"/>
      <c r="G15" s="53"/>
      <c r="H15" s="53"/>
      <c r="I15" s="48"/>
      <c r="J15" s="20"/>
      <c r="K15" s="20"/>
      <c r="L15" s="53"/>
      <c r="M15" s="53"/>
      <c r="N15" s="48"/>
      <c r="O15" s="54"/>
      <c r="P15" s="54"/>
      <c r="Q15" s="53"/>
      <c r="R15" s="53"/>
    </row>
    <row r="16" spans="1:18" ht="12.75">
      <c r="A16" s="37"/>
      <c r="B16" s="37" t="s">
        <v>32</v>
      </c>
      <c r="C16" s="39">
        <v>0.1</v>
      </c>
      <c r="D16" s="39"/>
      <c r="E16" s="53"/>
      <c r="F16" s="53"/>
      <c r="G16" s="53"/>
      <c r="H16" s="53"/>
      <c r="I16" s="48"/>
      <c r="J16" s="20"/>
      <c r="K16" s="20"/>
      <c r="L16" s="53"/>
      <c r="M16" s="53"/>
      <c r="N16" s="48"/>
      <c r="O16" s="54"/>
      <c r="P16" s="54"/>
      <c r="Q16" s="53"/>
      <c r="R16" s="53"/>
    </row>
    <row r="17" spans="1:18" ht="12.75">
      <c r="A17" s="37"/>
      <c r="B17" s="37" t="s">
        <v>33</v>
      </c>
      <c r="C17" s="39">
        <v>0.1</v>
      </c>
      <c r="D17" s="39"/>
      <c r="E17" s="53"/>
      <c r="F17" s="53"/>
      <c r="G17" s="53"/>
      <c r="H17" s="53"/>
      <c r="I17" s="48"/>
      <c r="J17" s="20"/>
      <c r="K17" s="20"/>
      <c r="L17" s="53"/>
      <c r="M17" s="53"/>
      <c r="N17" s="48"/>
      <c r="O17" s="54"/>
      <c r="P17" s="54"/>
      <c r="Q17" s="53"/>
      <c r="R17" s="53"/>
    </row>
    <row r="18" spans="1:18" ht="12.75">
      <c r="A18" s="37"/>
      <c r="B18" s="37" t="s">
        <v>132</v>
      </c>
      <c r="C18" s="39">
        <v>0</v>
      </c>
      <c r="D18" s="39"/>
      <c r="E18" s="53"/>
      <c r="F18" s="53"/>
      <c r="G18" s="53"/>
      <c r="H18" s="53"/>
      <c r="I18" s="48"/>
      <c r="J18" s="20"/>
      <c r="K18" s="20"/>
      <c r="L18" s="53"/>
      <c r="M18" s="53"/>
      <c r="N18" s="48"/>
      <c r="O18" s="54"/>
      <c r="P18" s="54"/>
      <c r="Q18" s="53"/>
      <c r="R18" s="53"/>
    </row>
    <row r="19" spans="1:18" ht="12.75">
      <c r="A19" s="37"/>
      <c r="B19" s="37" t="s">
        <v>34</v>
      </c>
      <c r="C19" s="39">
        <v>0.01</v>
      </c>
      <c r="D19" s="39"/>
      <c r="E19" s="53"/>
      <c r="F19" s="53"/>
      <c r="G19" s="53"/>
      <c r="H19" s="53"/>
      <c r="I19" s="48"/>
      <c r="J19" s="20"/>
      <c r="K19" s="20"/>
      <c r="L19" s="53"/>
      <c r="M19" s="53"/>
      <c r="N19" s="48"/>
      <c r="O19" s="54"/>
      <c r="P19" s="54"/>
      <c r="Q19" s="53"/>
      <c r="R19" s="53"/>
    </row>
    <row r="20" spans="1:18" ht="12.75">
      <c r="A20" s="37"/>
      <c r="B20" s="37" t="s">
        <v>133</v>
      </c>
      <c r="C20" s="39">
        <v>0</v>
      </c>
      <c r="D20" s="39"/>
      <c r="E20" s="53"/>
      <c r="F20" s="53"/>
      <c r="G20" s="53"/>
      <c r="H20" s="53"/>
      <c r="I20" s="48"/>
      <c r="J20" s="20"/>
      <c r="K20" s="20"/>
      <c r="L20" s="53"/>
      <c r="M20" s="53"/>
      <c r="N20" s="48"/>
      <c r="O20" s="54"/>
      <c r="P20" s="54"/>
      <c r="Q20" s="53"/>
      <c r="R20" s="53"/>
    </row>
    <row r="21" spans="1:18" ht="12.75">
      <c r="A21" s="37"/>
      <c r="B21" s="37" t="s">
        <v>35</v>
      </c>
      <c r="C21" s="39">
        <v>0.001</v>
      </c>
      <c r="D21" s="39"/>
      <c r="E21" s="53"/>
      <c r="F21" s="53"/>
      <c r="G21" s="53"/>
      <c r="H21" s="53"/>
      <c r="I21" s="48"/>
      <c r="J21" s="20"/>
      <c r="K21" s="20"/>
      <c r="L21" s="53"/>
      <c r="M21" s="53"/>
      <c r="N21" s="48"/>
      <c r="O21" s="54"/>
      <c r="P21" s="54"/>
      <c r="Q21" s="53"/>
      <c r="R21" s="53"/>
    </row>
    <row r="22" spans="1:18" ht="12.75">
      <c r="A22" s="37"/>
      <c r="B22" s="37" t="s">
        <v>36</v>
      </c>
      <c r="C22" s="39">
        <v>0.1</v>
      </c>
      <c r="D22" s="39"/>
      <c r="E22" s="53"/>
      <c r="F22" s="53"/>
      <c r="G22" s="53"/>
      <c r="H22" s="53"/>
      <c r="I22" s="48"/>
      <c r="J22" s="20"/>
      <c r="K22" s="20"/>
      <c r="L22" s="53"/>
      <c r="M22" s="53"/>
      <c r="N22" s="48"/>
      <c r="O22" s="54"/>
      <c r="P22" s="54"/>
      <c r="Q22" s="53"/>
      <c r="R22" s="53"/>
    </row>
    <row r="23" spans="1:18" ht="12.75">
      <c r="A23" s="37"/>
      <c r="B23" s="37" t="s">
        <v>134</v>
      </c>
      <c r="C23" s="39">
        <v>0</v>
      </c>
      <c r="D23" s="39"/>
      <c r="E23" s="53"/>
      <c r="F23" s="53"/>
      <c r="G23" s="53"/>
      <c r="H23" s="53"/>
      <c r="I23" s="48"/>
      <c r="J23" s="20"/>
      <c r="K23" s="20"/>
      <c r="L23" s="53"/>
      <c r="M23" s="53"/>
      <c r="N23" s="48"/>
      <c r="O23" s="54"/>
      <c r="P23" s="54"/>
      <c r="Q23" s="53"/>
      <c r="R23" s="53"/>
    </row>
    <row r="24" spans="1:18" ht="12.75">
      <c r="A24" s="37"/>
      <c r="B24" s="37" t="s">
        <v>37</v>
      </c>
      <c r="C24" s="39">
        <v>0.05</v>
      </c>
      <c r="D24" s="39"/>
      <c r="E24" s="53"/>
      <c r="F24" s="53"/>
      <c r="G24" s="53"/>
      <c r="H24" s="53"/>
      <c r="I24" s="48"/>
      <c r="J24" s="20"/>
      <c r="K24" s="20"/>
      <c r="L24" s="53"/>
      <c r="M24" s="53"/>
      <c r="N24" s="48"/>
      <c r="O24" s="54"/>
      <c r="P24" s="54"/>
      <c r="Q24" s="53"/>
      <c r="R24" s="53"/>
    </row>
    <row r="25" spans="1:18" ht="12.75">
      <c r="A25" s="37"/>
      <c r="B25" s="37" t="s">
        <v>38</v>
      </c>
      <c r="C25" s="39">
        <v>0.5</v>
      </c>
      <c r="D25" s="39"/>
      <c r="E25" s="53"/>
      <c r="F25" s="53"/>
      <c r="G25" s="53"/>
      <c r="H25" s="53"/>
      <c r="I25" s="48"/>
      <c r="J25" s="20"/>
      <c r="K25" s="20"/>
      <c r="L25" s="53"/>
      <c r="M25" s="53"/>
      <c r="N25" s="48"/>
      <c r="O25" s="54"/>
      <c r="P25" s="54"/>
      <c r="Q25" s="53"/>
      <c r="R25" s="53"/>
    </row>
    <row r="26" spans="1:18" ht="12.75">
      <c r="A26" s="37"/>
      <c r="B26" s="37" t="s">
        <v>135</v>
      </c>
      <c r="C26" s="39">
        <v>0</v>
      </c>
      <c r="D26" s="39"/>
      <c r="E26" s="53"/>
      <c r="F26" s="53"/>
      <c r="G26" s="53"/>
      <c r="H26" s="53"/>
      <c r="I26" s="48"/>
      <c r="J26" s="20"/>
      <c r="K26" s="20"/>
      <c r="L26" s="53"/>
      <c r="M26" s="53"/>
      <c r="N26" s="48"/>
      <c r="O26" s="54"/>
      <c r="P26" s="54"/>
      <c r="Q26" s="53"/>
      <c r="R26" s="53"/>
    </row>
    <row r="27" spans="1:18" ht="12.75">
      <c r="A27" s="37"/>
      <c r="B27" s="37" t="s">
        <v>39</v>
      </c>
      <c r="C27" s="39">
        <v>0.1</v>
      </c>
      <c r="D27" s="39"/>
      <c r="E27" s="53"/>
      <c r="F27" s="53"/>
      <c r="G27" s="53"/>
      <c r="H27" s="53"/>
      <c r="I27" s="48"/>
      <c r="J27" s="20"/>
      <c r="K27" s="20"/>
      <c r="L27" s="53"/>
      <c r="M27" s="53"/>
      <c r="N27" s="48"/>
      <c r="O27" s="54"/>
      <c r="P27" s="54"/>
      <c r="Q27" s="53"/>
      <c r="R27" s="53"/>
    </row>
    <row r="28" spans="1:18" ht="12.75">
      <c r="A28" s="37"/>
      <c r="B28" s="37" t="s">
        <v>40</v>
      </c>
      <c r="C28" s="39">
        <v>0.1</v>
      </c>
      <c r="D28" s="39"/>
      <c r="E28" s="53"/>
      <c r="F28" s="53"/>
      <c r="G28" s="53"/>
      <c r="H28" s="53"/>
      <c r="I28" s="48"/>
      <c r="J28" s="20"/>
      <c r="K28" s="20"/>
      <c r="L28" s="53"/>
      <c r="M28" s="53"/>
      <c r="N28" s="48"/>
      <c r="O28" s="54"/>
      <c r="P28" s="54"/>
      <c r="Q28" s="53"/>
      <c r="R28" s="53"/>
    </row>
    <row r="29" spans="1:18" ht="12.75">
      <c r="A29" s="37"/>
      <c r="B29" s="37" t="s">
        <v>41</v>
      </c>
      <c r="C29" s="39">
        <v>0.1</v>
      </c>
      <c r="D29" s="39"/>
      <c r="E29" s="53"/>
      <c r="F29" s="53"/>
      <c r="G29" s="53"/>
      <c r="H29" s="53"/>
      <c r="I29" s="48"/>
      <c r="J29" s="20"/>
      <c r="K29" s="20"/>
      <c r="L29" s="53"/>
      <c r="M29" s="53"/>
      <c r="N29" s="48"/>
      <c r="O29" s="54"/>
      <c r="P29" s="54"/>
      <c r="Q29" s="53"/>
      <c r="R29" s="53"/>
    </row>
    <row r="30" spans="1:18" ht="12.75">
      <c r="A30" s="37"/>
      <c r="B30" s="37" t="s">
        <v>42</v>
      </c>
      <c r="C30" s="39">
        <v>0.1</v>
      </c>
      <c r="D30" s="39"/>
      <c r="E30" s="53"/>
      <c r="F30" s="53"/>
      <c r="G30" s="53"/>
      <c r="H30" s="53"/>
      <c r="I30" s="48"/>
      <c r="J30" s="20"/>
      <c r="K30" s="20"/>
      <c r="L30" s="53"/>
      <c r="M30" s="53"/>
      <c r="N30" s="48"/>
      <c r="O30" s="54"/>
      <c r="P30" s="54"/>
      <c r="Q30" s="53"/>
      <c r="R30" s="53"/>
    </row>
    <row r="31" spans="1:18" ht="12.75">
      <c r="A31" s="37"/>
      <c r="B31" s="37" t="s">
        <v>136</v>
      </c>
      <c r="C31" s="39">
        <v>0</v>
      </c>
      <c r="D31" s="39"/>
      <c r="E31" s="53"/>
      <c r="F31" s="53"/>
      <c r="G31" s="53"/>
      <c r="H31" s="53"/>
      <c r="I31" s="48"/>
      <c r="J31" s="20"/>
      <c r="K31" s="20"/>
      <c r="L31" s="53"/>
      <c r="M31" s="53"/>
      <c r="N31" s="48"/>
      <c r="O31" s="54"/>
      <c r="P31" s="54"/>
      <c r="Q31" s="53"/>
      <c r="R31" s="53"/>
    </row>
    <row r="32" spans="1:18" ht="12.75">
      <c r="A32" s="37"/>
      <c r="B32" s="37" t="s">
        <v>43</v>
      </c>
      <c r="C32" s="39">
        <v>0.01</v>
      </c>
      <c r="D32" s="39"/>
      <c r="E32" s="53"/>
      <c r="F32" s="53"/>
      <c r="G32" s="53"/>
      <c r="H32" s="53"/>
      <c r="I32" s="48"/>
      <c r="J32" s="20"/>
      <c r="K32" s="20"/>
      <c r="L32" s="53"/>
      <c r="M32" s="53"/>
      <c r="N32" s="48"/>
      <c r="O32" s="54"/>
      <c r="P32" s="54"/>
      <c r="Q32" s="53"/>
      <c r="R32" s="53"/>
    </row>
    <row r="33" spans="1:18" ht="12.75">
      <c r="A33" s="37"/>
      <c r="B33" s="37" t="s">
        <v>44</v>
      </c>
      <c r="C33" s="39">
        <v>0.01</v>
      </c>
      <c r="D33" s="39"/>
      <c r="E33" s="53"/>
      <c r="F33" s="53"/>
      <c r="G33" s="53"/>
      <c r="H33" s="53"/>
      <c r="I33" s="48"/>
      <c r="J33" s="20"/>
      <c r="K33" s="20"/>
      <c r="L33" s="53"/>
      <c r="M33" s="53"/>
      <c r="N33" s="48"/>
      <c r="O33" s="54"/>
      <c r="P33" s="54"/>
      <c r="Q33" s="53"/>
      <c r="R33" s="53"/>
    </row>
    <row r="34" spans="1:18" ht="12.75">
      <c r="A34" s="37"/>
      <c r="B34" s="37" t="s">
        <v>137</v>
      </c>
      <c r="C34" s="39">
        <v>0</v>
      </c>
      <c r="D34" s="39"/>
      <c r="E34" s="53"/>
      <c r="F34" s="53"/>
      <c r="G34" s="53"/>
      <c r="H34" s="53"/>
      <c r="I34" s="48"/>
      <c r="J34" s="20"/>
      <c r="K34" s="20"/>
      <c r="L34" s="53"/>
      <c r="M34" s="53"/>
      <c r="N34" s="48"/>
      <c r="O34" s="54"/>
      <c r="P34" s="54"/>
      <c r="Q34" s="53"/>
      <c r="R34" s="53"/>
    </row>
    <row r="35" spans="1:18" ht="12.75">
      <c r="A35" s="37"/>
      <c r="B35" s="37" t="s">
        <v>45</v>
      </c>
      <c r="C35" s="39">
        <v>0.001</v>
      </c>
      <c r="D35" s="39"/>
      <c r="E35" s="53"/>
      <c r="F35" s="53"/>
      <c r="G35" s="53"/>
      <c r="H35" s="53"/>
      <c r="I35" s="48"/>
      <c r="J35" s="20"/>
      <c r="K35" s="20"/>
      <c r="L35" s="53"/>
      <c r="M35" s="53"/>
      <c r="N35" s="48"/>
      <c r="O35" s="54"/>
      <c r="P35" s="54"/>
      <c r="Q35" s="53"/>
      <c r="R35" s="53"/>
    </row>
    <row r="36" spans="1:18" ht="12.75">
      <c r="A36" s="37"/>
      <c r="B36" s="37"/>
      <c r="C36" s="37"/>
      <c r="D36" s="37"/>
      <c r="E36" s="44"/>
      <c r="F36" s="44"/>
      <c r="G36" s="44"/>
      <c r="H36" s="48"/>
      <c r="I36" s="44"/>
      <c r="J36" s="20"/>
      <c r="K36" s="20"/>
      <c r="L36" s="41"/>
      <c r="M36" s="41"/>
      <c r="N36" s="44"/>
      <c r="O36" s="20"/>
      <c r="P36" s="20"/>
      <c r="Q36" s="44"/>
      <c r="R36" s="47"/>
    </row>
    <row r="37" spans="1:18" ht="12.75">
      <c r="A37" s="37"/>
      <c r="B37" s="37" t="s">
        <v>46</v>
      </c>
      <c r="C37" s="37"/>
      <c r="D37" s="37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12.75">
      <c r="A38" s="37"/>
      <c r="B38" s="37" t="s">
        <v>74</v>
      </c>
      <c r="C38" s="37"/>
      <c r="D38" s="37"/>
      <c r="E38" s="44"/>
      <c r="F38" s="44"/>
      <c r="G38" s="44"/>
      <c r="H38" s="44"/>
      <c r="I38" s="44"/>
      <c r="J38" s="44"/>
      <c r="K38" s="44"/>
      <c r="L38" s="41"/>
      <c r="M38" s="41"/>
      <c r="N38" s="44"/>
      <c r="O38" s="44"/>
      <c r="P38" s="44"/>
      <c r="Q38" s="44"/>
      <c r="R38" s="44"/>
    </row>
    <row r="39" spans="1:18" ht="12.75">
      <c r="A39" s="37"/>
      <c r="B39" s="37"/>
      <c r="C39" s="37"/>
      <c r="D39" s="37"/>
      <c r="E39" s="44"/>
      <c r="F39" s="44"/>
      <c r="G39" s="44"/>
      <c r="H39" s="20"/>
      <c r="I39" s="20"/>
      <c r="J39" s="44"/>
      <c r="K39" s="44"/>
      <c r="L39" s="41"/>
      <c r="M39" s="45"/>
      <c r="N39" s="44"/>
      <c r="O39" s="44"/>
      <c r="P39" s="44"/>
      <c r="Q39" s="44"/>
      <c r="R39" s="44"/>
    </row>
    <row r="40" spans="1:18" ht="12.75">
      <c r="A40" s="37"/>
      <c r="B40" s="37" t="s">
        <v>61</v>
      </c>
      <c r="C40" s="48"/>
      <c r="D40" s="48"/>
      <c r="E40" s="41"/>
      <c r="F40" s="41"/>
      <c r="G40" s="41">
        <f>SUM(G35,G34,G31,G26,G23,G21,G20,G18,G14,G12)</f>
        <v>0</v>
      </c>
      <c r="H40" s="44">
        <f>SUM(H11:H35)</f>
        <v>0</v>
      </c>
      <c r="I40" s="48"/>
      <c r="J40" s="41"/>
      <c r="K40" s="41"/>
      <c r="L40" s="41">
        <f>SUM(L35,L34,L31,L26,L23,L21,L20,L18,L14,L12)</f>
        <v>0</v>
      </c>
      <c r="M40" s="43">
        <f>SUM(M11:M35)</f>
        <v>0</v>
      </c>
      <c r="N40" s="48"/>
      <c r="O40" s="44"/>
      <c r="P40" s="44"/>
      <c r="Q40" s="41">
        <f>SUM(Q35,Q34,Q31,Q26,Q23,Q21,Q20,Q18,Q14,Q12)</f>
        <v>0</v>
      </c>
      <c r="R40" s="44">
        <f>SUM(R11:R35)</f>
        <v>0</v>
      </c>
    </row>
    <row r="41" spans="1:18" ht="12.75">
      <c r="A41" s="37"/>
      <c r="B41" s="37" t="s">
        <v>47</v>
      </c>
      <c r="C41" s="48"/>
      <c r="D41" s="48"/>
      <c r="E41" s="44"/>
      <c r="F41" s="44"/>
      <c r="G41" s="44">
        <v>227</v>
      </c>
      <c r="H41" s="44">
        <v>0.49</v>
      </c>
      <c r="I41" s="48"/>
      <c r="J41" s="44"/>
      <c r="K41" s="44"/>
      <c r="L41" s="44">
        <v>1.46</v>
      </c>
      <c r="M41" s="48">
        <v>0.0023</v>
      </c>
      <c r="N41" s="48"/>
      <c r="O41" s="44"/>
      <c r="P41" s="44"/>
      <c r="Q41" s="48">
        <v>0</v>
      </c>
      <c r="R41" s="48">
        <v>0</v>
      </c>
    </row>
    <row r="42" spans="1:18" ht="12.75">
      <c r="A42" s="37"/>
      <c r="B42" s="37"/>
      <c r="C42" s="37"/>
      <c r="D42" s="37"/>
      <c r="E42" s="43"/>
      <c r="F42" s="43"/>
      <c r="G42" s="43"/>
      <c r="H42" s="48"/>
      <c r="I42" s="43"/>
      <c r="J42" s="43"/>
      <c r="K42" s="43"/>
      <c r="L42" s="43"/>
      <c r="M42" s="43"/>
      <c r="N42" s="43"/>
      <c r="O42" s="43"/>
      <c r="P42" s="43"/>
      <c r="Q42" s="43"/>
      <c r="R42" s="47"/>
    </row>
    <row r="43" spans="1:18" ht="12.75">
      <c r="A43" s="44"/>
      <c r="B43" s="37" t="s">
        <v>75</v>
      </c>
      <c r="C43" s="44">
        <f>AVERAGE(H41,M41,R41)</f>
        <v>0.1641</v>
      </c>
      <c r="D43" s="44"/>
      <c r="E43" s="44"/>
      <c r="F43" s="44"/>
      <c r="G43" s="44"/>
      <c r="H43" s="48"/>
      <c r="I43" s="44"/>
      <c r="J43" s="44"/>
      <c r="K43" s="44"/>
      <c r="L43" s="44"/>
      <c r="M43" s="44"/>
      <c r="N43" s="44"/>
      <c r="O43" s="44"/>
      <c r="P43" s="44"/>
      <c r="Q43" s="44"/>
      <c r="R43" s="47"/>
    </row>
    <row r="44" spans="1:18" ht="12.75">
      <c r="A44" s="37"/>
      <c r="B44" s="37" t="s">
        <v>76</v>
      </c>
      <c r="C44" s="44">
        <f>AVERAGE(G41,L41,Q41)</f>
        <v>76.15333333333334</v>
      </c>
      <c r="D44" s="37"/>
      <c r="E44" s="47"/>
      <c r="F44" s="47"/>
      <c r="G44" s="47"/>
      <c r="H44" s="48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85" spans="1:18" ht="12.75">
      <c r="A85" s="2"/>
      <c r="B85" s="2"/>
      <c r="C85" s="2"/>
      <c r="D85" s="2"/>
      <c r="E85" s="7"/>
      <c r="F85" s="7"/>
      <c r="G85" s="7"/>
      <c r="J85" s="7"/>
      <c r="K85" s="7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4"/>
      <c r="G86" s="4"/>
      <c r="H86" s="7"/>
      <c r="I86" s="3"/>
      <c r="J86" s="4"/>
      <c r="K86" s="4"/>
      <c r="L86" s="4"/>
      <c r="M86" s="4"/>
      <c r="N86" s="3"/>
      <c r="O86" s="7"/>
      <c r="P86" s="7"/>
      <c r="Q86" s="3"/>
      <c r="R86" s="3"/>
    </row>
    <row r="87" spans="1:18" ht="12.75">
      <c r="A87" s="2"/>
      <c r="B87" s="2"/>
      <c r="C87" s="3"/>
      <c r="D87" s="3"/>
      <c r="E87" s="7"/>
      <c r="F87" s="7"/>
      <c r="G87" s="5"/>
      <c r="H87" s="3"/>
      <c r="I87" s="3"/>
      <c r="J87" s="7"/>
      <c r="K87" s="7"/>
      <c r="L87" s="4"/>
      <c r="M87" s="3"/>
      <c r="N87" s="3"/>
      <c r="O87" s="7"/>
      <c r="P87" s="7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C14" sqref="C14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8.7109375" style="0" customWidth="1"/>
    <col min="4" max="4" width="4.421875" style="0" customWidth="1"/>
    <col min="5" max="5" width="9.421875" style="0" customWidth="1"/>
    <col min="6" max="6" width="9.8515625" style="0" customWidth="1"/>
    <col min="7" max="7" width="9.421875" style="0" bestFit="1" customWidth="1"/>
    <col min="8" max="8" width="9.8515625" style="0" customWidth="1"/>
    <col min="9" max="9" width="3.421875" style="0" customWidth="1"/>
    <col min="10" max="10" width="9.421875" style="0" bestFit="1" customWidth="1"/>
    <col min="11" max="11" width="9.28125" style="0" customWidth="1"/>
    <col min="13" max="13" width="9.28125" style="0" customWidth="1"/>
    <col min="14" max="14" width="4.00390625" style="0" customWidth="1"/>
    <col min="16" max="16" width="9.00390625" style="0" customWidth="1"/>
    <col min="18" max="18" width="9.00390625" style="0" customWidth="1"/>
  </cols>
  <sheetData>
    <row r="1" spans="1:18" ht="12.75">
      <c r="A1" s="55" t="s">
        <v>86</v>
      </c>
      <c r="B1" s="37"/>
      <c r="C1" s="37"/>
      <c r="D1" s="37"/>
      <c r="E1" s="47"/>
      <c r="F1" s="48"/>
      <c r="G1" s="47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37" t="s">
        <v>335</v>
      </c>
      <c r="B2" s="37"/>
      <c r="C2" s="37"/>
      <c r="D2" s="37"/>
      <c r="E2" s="47"/>
      <c r="F2" s="48"/>
      <c r="G2" s="47"/>
      <c r="H2" s="48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37" t="s">
        <v>20</v>
      </c>
      <c r="B3" s="37"/>
      <c r="C3" s="15" t="str">
        <f>source!C5</f>
        <v>Eastman Kodak Company</v>
      </c>
      <c r="D3" s="15"/>
      <c r="E3" s="47"/>
      <c r="F3" s="48"/>
      <c r="G3" s="47"/>
      <c r="H3" s="48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2.75">
      <c r="A4" s="37" t="s">
        <v>21</v>
      </c>
      <c r="B4" s="37"/>
      <c r="C4" s="15" t="s">
        <v>173</v>
      </c>
      <c r="D4" s="15"/>
      <c r="E4" s="49"/>
      <c r="F4" s="50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2.75">
      <c r="A5" s="37" t="s">
        <v>22</v>
      </c>
      <c r="B5" s="37"/>
      <c r="C5" s="20" t="str">
        <f>cond!C40</f>
        <v>Mini-burn, max feedrate</v>
      </c>
      <c r="D5" s="20"/>
      <c r="E5" s="20"/>
      <c r="F5" s="20"/>
      <c r="G5" s="20"/>
      <c r="H5" s="20"/>
      <c r="I5" s="20"/>
      <c r="J5" s="20"/>
      <c r="K5" s="47"/>
      <c r="L5" s="20"/>
      <c r="M5" s="47"/>
      <c r="N5" s="47"/>
      <c r="O5" s="47"/>
      <c r="P5" s="47"/>
      <c r="Q5" s="47"/>
      <c r="R5" s="47"/>
    </row>
    <row r="6" spans="1:18" ht="12.75">
      <c r="A6" s="37"/>
      <c r="B6" s="37"/>
      <c r="C6" s="39"/>
      <c r="D6" s="39"/>
      <c r="E6" s="51"/>
      <c r="F6" s="48"/>
      <c r="G6" s="51"/>
      <c r="H6" s="48"/>
      <c r="I6" s="47"/>
      <c r="J6" s="51"/>
      <c r="K6" s="47"/>
      <c r="L6" s="51"/>
      <c r="M6" s="47"/>
      <c r="N6" s="47"/>
      <c r="O6" s="51"/>
      <c r="P6" s="47"/>
      <c r="Q6" s="51"/>
      <c r="R6" s="47"/>
    </row>
    <row r="7" spans="1:18" s="83" customFormat="1" ht="12.75">
      <c r="A7" s="37"/>
      <c r="B7" s="37"/>
      <c r="C7" s="39" t="s">
        <v>23</v>
      </c>
      <c r="D7" s="39"/>
      <c r="E7" s="52" t="s">
        <v>62</v>
      </c>
      <c r="F7" s="52"/>
      <c r="G7" s="52"/>
      <c r="H7" s="52"/>
      <c r="I7" s="19"/>
      <c r="J7" s="52" t="s">
        <v>63</v>
      </c>
      <c r="K7" s="52"/>
      <c r="L7" s="52"/>
      <c r="M7" s="52"/>
      <c r="N7" s="19"/>
      <c r="O7" s="52" t="s">
        <v>64</v>
      </c>
      <c r="P7" s="52"/>
      <c r="Q7" s="52"/>
      <c r="R7" s="52"/>
    </row>
    <row r="8" spans="1:18" s="83" customFormat="1" ht="12.75">
      <c r="A8" s="37"/>
      <c r="B8" s="37"/>
      <c r="C8" s="39" t="s">
        <v>24</v>
      </c>
      <c r="D8" s="37"/>
      <c r="E8" s="51" t="s">
        <v>25</v>
      </c>
      <c r="F8" s="51" t="s">
        <v>27</v>
      </c>
      <c r="G8" s="51" t="s">
        <v>25</v>
      </c>
      <c r="H8" s="50" t="s">
        <v>26</v>
      </c>
      <c r="I8" s="47"/>
      <c r="J8" s="51" t="s">
        <v>25</v>
      </c>
      <c r="K8" s="51" t="s">
        <v>27</v>
      </c>
      <c r="L8" s="51" t="s">
        <v>25</v>
      </c>
      <c r="M8" s="51" t="s">
        <v>27</v>
      </c>
      <c r="N8" s="47"/>
      <c r="O8" s="51" t="s">
        <v>25</v>
      </c>
      <c r="P8" s="51" t="s">
        <v>27</v>
      </c>
      <c r="Q8" s="51" t="s">
        <v>25</v>
      </c>
      <c r="R8" s="51" t="s">
        <v>27</v>
      </c>
    </row>
    <row r="9" spans="1:18" s="83" customFormat="1" ht="12.75">
      <c r="A9" s="37"/>
      <c r="B9" s="37"/>
      <c r="C9" s="39"/>
      <c r="D9" s="37"/>
      <c r="E9" s="51" t="s">
        <v>294</v>
      </c>
      <c r="F9" s="51" t="s">
        <v>294</v>
      </c>
      <c r="G9" s="51" t="s">
        <v>85</v>
      </c>
      <c r="H9" s="50" t="s">
        <v>85</v>
      </c>
      <c r="I9" s="47"/>
      <c r="J9" s="51" t="s">
        <v>294</v>
      </c>
      <c r="K9" s="51" t="s">
        <v>294</v>
      </c>
      <c r="L9" s="51" t="s">
        <v>85</v>
      </c>
      <c r="M9" s="50" t="s">
        <v>85</v>
      </c>
      <c r="N9" s="47"/>
      <c r="O9" s="51" t="s">
        <v>294</v>
      </c>
      <c r="P9" s="51" t="s">
        <v>294</v>
      </c>
      <c r="Q9" s="51" t="s">
        <v>85</v>
      </c>
      <c r="R9" s="50" t="s">
        <v>85</v>
      </c>
    </row>
    <row r="10" spans="1:18" ht="12.75">
      <c r="A10" s="37" t="s">
        <v>179</v>
      </c>
      <c r="B10" s="37"/>
      <c r="C10" s="37"/>
      <c r="D10" s="37"/>
      <c r="E10" s="47"/>
      <c r="F10" s="48"/>
      <c r="G10" s="47"/>
      <c r="H10" s="48"/>
      <c r="I10" s="47"/>
      <c r="J10" s="47"/>
      <c r="K10" s="47"/>
      <c r="L10" s="47"/>
      <c r="M10" s="47"/>
      <c r="N10" s="47"/>
      <c r="O10" s="41"/>
      <c r="P10" s="53">
        <f aca="true" t="shared" si="0" ref="P10:R35">IF(O10="","",O10*$C10)</f>
      </c>
      <c r="Q10" s="53">
        <f aca="true" t="shared" si="1" ref="Q10:Q35">IF(O10=0,"",IF(N10="nd",O10/2,O10))</f>
      </c>
      <c r="R10" s="53">
        <f t="shared" si="0"/>
      </c>
    </row>
    <row r="11" spans="1:18" ht="12.75">
      <c r="A11" s="37"/>
      <c r="B11" s="37" t="s">
        <v>28</v>
      </c>
      <c r="C11" s="39">
        <v>1</v>
      </c>
      <c r="D11" s="39"/>
      <c r="E11" s="53"/>
      <c r="F11" s="53">
        <f aca="true" t="shared" si="2" ref="F11:H35">IF(E11="","",E11*$C11)</f>
      </c>
      <c r="G11" s="53">
        <f aca="true" t="shared" si="3" ref="G11:G35">IF(E11=0,"",IF(D11="nd",E11/2,E11))</f>
      </c>
      <c r="H11" s="53">
        <f t="shared" si="2"/>
      </c>
      <c r="I11" s="48"/>
      <c r="J11" s="20"/>
      <c r="K11" s="53">
        <f aca="true" t="shared" si="4" ref="K11:M35">IF(J11="","",J11*$C11)</f>
      </c>
      <c r="L11" s="53">
        <f aca="true" t="shared" si="5" ref="L11:L35">IF(J11=0,"",IF(I11="nd",J11/2,J11))</f>
      </c>
      <c r="M11" s="53">
        <f t="shared" si="4"/>
      </c>
      <c r="N11" s="48"/>
      <c r="O11" s="53"/>
      <c r="P11" s="53">
        <f t="shared" si="0"/>
      </c>
      <c r="Q11" s="53">
        <f t="shared" si="1"/>
      </c>
      <c r="R11" s="53">
        <f t="shared" si="0"/>
      </c>
    </row>
    <row r="12" spans="1:18" ht="12.75">
      <c r="A12" s="37"/>
      <c r="B12" s="37" t="s">
        <v>130</v>
      </c>
      <c r="C12" s="39">
        <v>0</v>
      </c>
      <c r="D12" s="39"/>
      <c r="E12" s="43">
        <v>0.005</v>
      </c>
      <c r="F12" s="63">
        <f t="shared" si="2"/>
        <v>0</v>
      </c>
      <c r="G12" s="62">
        <f t="shared" si="3"/>
        <v>0.005</v>
      </c>
      <c r="H12" s="63">
        <f t="shared" si="2"/>
        <v>0</v>
      </c>
      <c r="I12" s="48"/>
      <c r="J12" s="34">
        <v>0.007</v>
      </c>
      <c r="K12" s="47">
        <f t="shared" si="4"/>
        <v>0</v>
      </c>
      <c r="L12" s="47">
        <f t="shared" si="5"/>
        <v>0.007</v>
      </c>
      <c r="M12" s="47">
        <f t="shared" si="4"/>
        <v>0</v>
      </c>
      <c r="N12" s="48"/>
      <c r="O12" s="53"/>
      <c r="P12" s="47">
        <f t="shared" si="0"/>
      </c>
      <c r="Q12" s="47">
        <f t="shared" si="1"/>
      </c>
      <c r="R12" s="47">
        <f t="shared" si="0"/>
      </c>
    </row>
    <row r="13" spans="1:18" ht="12.75">
      <c r="A13" s="37"/>
      <c r="B13" s="37" t="s">
        <v>30</v>
      </c>
      <c r="C13" s="39">
        <v>0.5</v>
      </c>
      <c r="D13" s="39"/>
      <c r="E13" s="43"/>
      <c r="F13" s="63">
        <f t="shared" si="2"/>
      </c>
      <c r="G13" s="62">
        <f t="shared" si="3"/>
      </c>
      <c r="H13" s="63">
        <f t="shared" si="2"/>
      </c>
      <c r="I13" s="48"/>
      <c r="J13" s="20"/>
      <c r="K13" s="47">
        <f t="shared" si="4"/>
      </c>
      <c r="L13" s="47">
        <f t="shared" si="5"/>
      </c>
      <c r="M13" s="47">
        <f t="shared" si="4"/>
      </c>
      <c r="N13" s="48"/>
      <c r="O13" s="54"/>
      <c r="P13" s="47">
        <f t="shared" si="0"/>
      </c>
      <c r="Q13" s="47">
        <f t="shared" si="1"/>
      </c>
      <c r="R13" s="47">
        <f t="shared" si="0"/>
      </c>
    </row>
    <row r="14" spans="1:18" ht="12.75">
      <c r="A14" s="37"/>
      <c r="B14" s="37" t="s">
        <v>131</v>
      </c>
      <c r="C14" s="39">
        <v>0</v>
      </c>
      <c r="D14" s="39"/>
      <c r="E14" s="43"/>
      <c r="F14" s="63">
        <f t="shared" si="2"/>
      </c>
      <c r="G14" s="62">
        <f t="shared" si="3"/>
      </c>
      <c r="H14" s="63">
        <f t="shared" si="2"/>
      </c>
      <c r="I14" s="48"/>
      <c r="J14" s="20">
        <v>0.01</v>
      </c>
      <c r="K14" s="47">
        <f t="shared" si="4"/>
        <v>0</v>
      </c>
      <c r="L14" s="47">
        <f t="shared" si="5"/>
        <v>0.01</v>
      </c>
      <c r="M14" s="47">
        <f t="shared" si="4"/>
        <v>0</v>
      </c>
      <c r="N14" s="48"/>
      <c r="O14" s="54"/>
      <c r="P14" s="47">
        <f t="shared" si="0"/>
      </c>
      <c r="Q14" s="47">
        <f t="shared" si="1"/>
      </c>
      <c r="R14" s="47">
        <f t="shared" si="0"/>
      </c>
    </row>
    <row r="15" spans="1:18" ht="12.75">
      <c r="A15" s="37"/>
      <c r="B15" s="37" t="s">
        <v>31</v>
      </c>
      <c r="C15" s="39">
        <v>0.1</v>
      </c>
      <c r="D15" s="39"/>
      <c r="E15" s="43"/>
      <c r="F15" s="63">
        <f t="shared" si="2"/>
      </c>
      <c r="G15" s="62">
        <f t="shared" si="3"/>
      </c>
      <c r="H15" s="63">
        <f t="shared" si="2"/>
      </c>
      <c r="I15" s="48"/>
      <c r="J15" s="20"/>
      <c r="K15" s="47">
        <f t="shared" si="4"/>
      </c>
      <c r="L15" s="47">
        <f t="shared" si="5"/>
      </c>
      <c r="M15" s="47">
        <f t="shared" si="4"/>
      </c>
      <c r="N15" s="48"/>
      <c r="O15" s="54"/>
      <c r="P15" s="47">
        <f t="shared" si="0"/>
      </c>
      <c r="Q15" s="47">
        <f t="shared" si="1"/>
      </c>
      <c r="R15" s="47">
        <f t="shared" si="0"/>
      </c>
    </row>
    <row r="16" spans="1:18" ht="12.75">
      <c r="A16" s="37"/>
      <c r="B16" s="37" t="s">
        <v>32</v>
      </c>
      <c r="C16" s="39">
        <v>0.1</v>
      </c>
      <c r="D16" s="39"/>
      <c r="E16" s="43"/>
      <c r="F16" s="63">
        <f t="shared" si="2"/>
      </c>
      <c r="G16" s="62">
        <f t="shared" si="3"/>
      </c>
      <c r="H16" s="63">
        <f t="shared" si="2"/>
      </c>
      <c r="I16" s="48"/>
      <c r="J16" s="20">
        <v>0.03</v>
      </c>
      <c r="K16" s="47">
        <f t="shared" si="4"/>
        <v>0.003</v>
      </c>
      <c r="L16" s="47">
        <f t="shared" si="5"/>
        <v>0.03</v>
      </c>
      <c r="M16" s="47">
        <f t="shared" si="4"/>
        <v>0.003</v>
      </c>
      <c r="N16" s="48"/>
      <c r="O16" s="54"/>
      <c r="P16" s="47">
        <f t="shared" si="0"/>
      </c>
      <c r="Q16" s="47">
        <f t="shared" si="1"/>
      </c>
      <c r="R16" s="47">
        <f t="shared" si="0"/>
      </c>
    </row>
    <row r="17" spans="1:18" ht="12.75">
      <c r="A17" s="37"/>
      <c r="B17" s="37" t="s">
        <v>33</v>
      </c>
      <c r="C17" s="39">
        <v>0.1</v>
      </c>
      <c r="D17" s="39"/>
      <c r="E17" s="43"/>
      <c r="F17" s="63">
        <f t="shared" si="2"/>
      </c>
      <c r="G17" s="62">
        <f t="shared" si="3"/>
      </c>
      <c r="H17" s="63">
        <f t="shared" si="2"/>
      </c>
      <c r="I17" s="48"/>
      <c r="J17" s="20">
        <v>0.02</v>
      </c>
      <c r="K17" s="47">
        <f t="shared" si="4"/>
        <v>0.002</v>
      </c>
      <c r="L17" s="47">
        <f t="shared" si="5"/>
        <v>0.02</v>
      </c>
      <c r="M17" s="47">
        <f t="shared" si="4"/>
        <v>0.002</v>
      </c>
      <c r="N17" s="48"/>
      <c r="O17" s="54"/>
      <c r="P17" s="47">
        <f t="shared" si="0"/>
      </c>
      <c r="Q17" s="47">
        <f t="shared" si="1"/>
      </c>
      <c r="R17" s="47">
        <f t="shared" si="0"/>
      </c>
    </row>
    <row r="18" spans="1:18" ht="12.75">
      <c r="A18" s="37"/>
      <c r="B18" s="37" t="s">
        <v>132</v>
      </c>
      <c r="C18" s="39">
        <v>0</v>
      </c>
      <c r="D18" s="39"/>
      <c r="E18" s="43"/>
      <c r="F18" s="63">
        <f t="shared" si="2"/>
      </c>
      <c r="G18" s="62">
        <f t="shared" si="3"/>
      </c>
      <c r="H18" s="63">
        <f t="shared" si="2"/>
      </c>
      <c r="I18" s="48"/>
      <c r="J18" s="20">
        <v>0.09</v>
      </c>
      <c r="K18" s="47">
        <f t="shared" si="4"/>
        <v>0</v>
      </c>
      <c r="L18" s="47">
        <f t="shared" si="5"/>
        <v>0.09</v>
      </c>
      <c r="M18" s="47">
        <f t="shared" si="4"/>
        <v>0</v>
      </c>
      <c r="N18" s="48"/>
      <c r="O18" s="64">
        <v>0.01</v>
      </c>
      <c r="P18" s="47">
        <f t="shared" si="0"/>
        <v>0</v>
      </c>
      <c r="Q18" s="47">
        <f t="shared" si="1"/>
        <v>0.01</v>
      </c>
      <c r="R18" s="47">
        <f t="shared" si="0"/>
        <v>0</v>
      </c>
    </row>
    <row r="19" spans="1:18" ht="12.75">
      <c r="A19" s="37"/>
      <c r="B19" s="37" t="s">
        <v>34</v>
      </c>
      <c r="C19" s="39">
        <v>0.01</v>
      </c>
      <c r="D19" s="39"/>
      <c r="E19" s="43">
        <v>0.007</v>
      </c>
      <c r="F19" s="63">
        <f t="shared" si="2"/>
        <v>7.000000000000001E-05</v>
      </c>
      <c r="G19" s="62">
        <f t="shared" si="3"/>
        <v>0.007</v>
      </c>
      <c r="H19" s="63">
        <f t="shared" si="2"/>
        <v>7.000000000000001E-05</v>
      </c>
      <c r="I19" s="48"/>
      <c r="J19" s="20">
        <v>0.3</v>
      </c>
      <c r="K19" s="47">
        <f t="shared" si="4"/>
        <v>0.003</v>
      </c>
      <c r="L19" s="47">
        <f t="shared" si="5"/>
        <v>0.3</v>
      </c>
      <c r="M19" s="47">
        <f t="shared" si="4"/>
        <v>0.003</v>
      </c>
      <c r="N19" s="48"/>
      <c r="O19" s="64"/>
      <c r="P19" s="47">
        <f t="shared" si="0"/>
      </c>
      <c r="Q19" s="47">
        <f t="shared" si="1"/>
      </c>
      <c r="R19" s="47">
        <f t="shared" si="0"/>
      </c>
    </row>
    <row r="20" spans="1:18" ht="12.75">
      <c r="A20" s="37"/>
      <c r="B20" s="37" t="s">
        <v>133</v>
      </c>
      <c r="C20" s="39">
        <v>0</v>
      </c>
      <c r="D20" s="39"/>
      <c r="E20" s="43">
        <v>0.003</v>
      </c>
      <c r="F20" s="63">
        <f t="shared" si="2"/>
        <v>0</v>
      </c>
      <c r="G20" s="62">
        <f t="shared" si="3"/>
        <v>0.003</v>
      </c>
      <c r="H20" s="63">
        <f t="shared" si="2"/>
        <v>0</v>
      </c>
      <c r="I20" s="48"/>
      <c r="J20" s="20">
        <v>0.13</v>
      </c>
      <c r="K20" s="47">
        <f t="shared" si="4"/>
        <v>0</v>
      </c>
      <c r="L20" s="47">
        <f t="shared" si="5"/>
        <v>0.13</v>
      </c>
      <c r="M20" s="47">
        <f t="shared" si="4"/>
        <v>0</v>
      </c>
      <c r="N20" s="48"/>
      <c r="O20" s="64">
        <v>0.007</v>
      </c>
      <c r="P20" s="47">
        <f t="shared" si="0"/>
        <v>0</v>
      </c>
      <c r="Q20" s="47">
        <f t="shared" si="1"/>
        <v>0.007</v>
      </c>
      <c r="R20" s="47">
        <f t="shared" si="0"/>
        <v>0</v>
      </c>
    </row>
    <row r="21" spans="1:18" ht="12.75">
      <c r="A21" s="37"/>
      <c r="B21" s="37" t="s">
        <v>35</v>
      </c>
      <c r="C21" s="39">
        <v>0.001</v>
      </c>
      <c r="D21" s="39"/>
      <c r="E21" s="43">
        <v>0.03</v>
      </c>
      <c r="F21" s="63">
        <f t="shared" si="2"/>
        <v>3E-05</v>
      </c>
      <c r="G21" s="62">
        <f t="shared" si="3"/>
        <v>0.03</v>
      </c>
      <c r="H21" s="63">
        <f t="shared" si="2"/>
        <v>3E-05</v>
      </c>
      <c r="I21" s="48"/>
      <c r="J21" s="20">
        <v>0.45</v>
      </c>
      <c r="K21" s="47">
        <f t="shared" si="4"/>
        <v>0.00045000000000000004</v>
      </c>
      <c r="L21" s="47">
        <f t="shared" si="5"/>
        <v>0.45</v>
      </c>
      <c r="M21" s="47">
        <f t="shared" si="4"/>
        <v>0.00045000000000000004</v>
      </c>
      <c r="N21" s="48"/>
      <c r="O21" s="64">
        <v>0.03</v>
      </c>
      <c r="P21" s="47">
        <f t="shared" si="0"/>
        <v>3E-05</v>
      </c>
      <c r="Q21" s="47">
        <f t="shared" si="1"/>
        <v>0.03</v>
      </c>
      <c r="R21" s="47">
        <f t="shared" si="0"/>
        <v>3E-05</v>
      </c>
    </row>
    <row r="22" spans="1:18" ht="12.75">
      <c r="A22" s="37"/>
      <c r="B22" s="37" t="s">
        <v>36</v>
      </c>
      <c r="C22" s="39">
        <v>0.1</v>
      </c>
      <c r="D22" s="39"/>
      <c r="E22" s="43">
        <v>0.005</v>
      </c>
      <c r="F22" s="63">
        <f t="shared" si="2"/>
        <v>0.0005</v>
      </c>
      <c r="G22" s="62">
        <f t="shared" si="3"/>
        <v>0.005</v>
      </c>
      <c r="H22" s="63">
        <f t="shared" si="2"/>
        <v>0.0005</v>
      </c>
      <c r="I22" s="48"/>
      <c r="J22" s="20"/>
      <c r="K22" s="47">
        <f t="shared" si="4"/>
      </c>
      <c r="L22" s="47">
        <f t="shared" si="5"/>
      </c>
      <c r="M22" s="47">
        <f t="shared" si="4"/>
      </c>
      <c r="N22" s="48"/>
      <c r="O22" s="64"/>
      <c r="P22" s="47">
        <f t="shared" si="0"/>
      </c>
      <c r="Q22" s="47">
        <f t="shared" si="1"/>
      </c>
      <c r="R22" s="47">
        <f t="shared" si="0"/>
      </c>
    </row>
    <row r="23" spans="1:18" ht="12.75">
      <c r="A23" s="37"/>
      <c r="B23" s="37" t="s">
        <v>134</v>
      </c>
      <c r="C23" s="39">
        <v>0</v>
      </c>
      <c r="D23" s="39"/>
      <c r="E23" s="43">
        <v>0.015</v>
      </c>
      <c r="F23" s="63">
        <f t="shared" si="2"/>
        <v>0</v>
      </c>
      <c r="G23" s="62">
        <f t="shared" si="3"/>
        <v>0.015</v>
      </c>
      <c r="H23" s="63">
        <f t="shared" si="2"/>
        <v>0</v>
      </c>
      <c r="I23" s="48"/>
      <c r="J23" s="20"/>
      <c r="K23" s="47">
        <f t="shared" si="4"/>
      </c>
      <c r="L23" s="47">
        <f t="shared" si="5"/>
      </c>
      <c r="M23" s="47">
        <f t="shared" si="4"/>
      </c>
      <c r="N23" s="48"/>
      <c r="O23" s="64"/>
      <c r="P23" s="47">
        <f t="shared" si="0"/>
      </c>
      <c r="Q23" s="47">
        <f t="shared" si="1"/>
      </c>
      <c r="R23" s="47">
        <f t="shared" si="0"/>
      </c>
    </row>
    <row r="24" spans="1:18" ht="12.75">
      <c r="A24" s="37"/>
      <c r="B24" s="37" t="s">
        <v>37</v>
      </c>
      <c r="C24" s="39">
        <v>0.05</v>
      </c>
      <c r="D24" s="39"/>
      <c r="E24" s="43"/>
      <c r="F24" s="63">
        <f t="shared" si="2"/>
      </c>
      <c r="G24" s="62">
        <f t="shared" si="3"/>
      </c>
      <c r="H24" s="63">
        <f t="shared" si="2"/>
      </c>
      <c r="I24" s="48"/>
      <c r="J24" s="20">
        <v>0.03</v>
      </c>
      <c r="K24" s="47">
        <f t="shared" si="4"/>
        <v>0.0015</v>
      </c>
      <c r="L24" s="47">
        <f t="shared" si="5"/>
        <v>0.03</v>
      </c>
      <c r="M24" s="47">
        <f t="shared" si="4"/>
        <v>0.0015</v>
      </c>
      <c r="N24" s="48"/>
      <c r="O24" s="64"/>
      <c r="P24" s="47">
        <f t="shared" si="0"/>
      </c>
      <c r="Q24" s="47">
        <f t="shared" si="1"/>
      </c>
      <c r="R24" s="47">
        <f t="shared" si="0"/>
      </c>
    </row>
    <row r="25" spans="1:18" ht="12.75">
      <c r="A25" s="37"/>
      <c r="B25" s="37" t="s">
        <v>38</v>
      </c>
      <c r="C25" s="39">
        <v>0.5</v>
      </c>
      <c r="D25" s="39"/>
      <c r="E25" s="43"/>
      <c r="F25" s="63">
        <f t="shared" si="2"/>
      </c>
      <c r="G25" s="62">
        <f t="shared" si="3"/>
      </c>
      <c r="H25" s="63">
        <f t="shared" si="2"/>
      </c>
      <c r="I25" s="48"/>
      <c r="J25" s="20">
        <v>0.03</v>
      </c>
      <c r="K25" s="47">
        <f t="shared" si="4"/>
        <v>0.015</v>
      </c>
      <c r="L25" s="47">
        <f t="shared" si="5"/>
        <v>0.03</v>
      </c>
      <c r="M25" s="47">
        <f t="shared" si="4"/>
        <v>0.015</v>
      </c>
      <c r="N25" s="48"/>
      <c r="O25" s="64"/>
      <c r="P25" s="47">
        <f t="shared" si="0"/>
      </c>
      <c r="Q25" s="47">
        <f t="shared" si="1"/>
      </c>
      <c r="R25" s="47">
        <f t="shared" si="0"/>
      </c>
    </row>
    <row r="26" spans="1:18" ht="12.75">
      <c r="A26" s="37"/>
      <c r="B26" s="37" t="s">
        <v>135</v>
      </c>
      <c r="C26" s="39">
        <v>0</v>
      </c>
      <c r="D26" s="39"/>
      <c r="E26" s="43"/>
      <c r="F26" s="63">
        <f t="shared" si="2"/>
      </c>
      <c r="G26" s="62">
        <f t="shared" si="3"/>
      </c>
      <c r="H26" s="63">
        <f t="shared" si="2"/>
      </c>
      <c r="I26" s="48"/>
      <c r="J26" s="20">
        <v>0.1</v>
      </c>
      <c r="K26" s="47">
        <f t="shared" si="4"/>
        <v>0</v>
      </c>
      <c r="L26" s="47">
        <f t="shared" si="5"/>
        <v>0.1</v>
      </c>
      <c r="M26" s="47">
        <f t="shared" si="4"/>
        <v>0</v>
      </c>
      <c r="N26" s="48"/>
      <c r="O26" s="64"/>
      <c r="P26" s="47">
        <f t="shared" si="0"/>
      </c>
      <c r="Q26" s="47">
        <f t="shared" si="1"/>
      </c>
      <c r="R26" s="47">
        <f t="shared" si="0"/>
      </c>
    </row>
    <row r="27" spans="1:18" ht="12.75">
      <c r="A27" s="37"/>
      <c r="B27" s="37" t="s">
        <v>39</v>
      </c>
      <c r="C27" s="39">
        <v>0.1</v>
      </c>
      <c r="D27" s="39"/>
      <c r="E27" s="43"/>
      <c r="F27" s="63">
        <f t="shared" si="2"/>
      </c>
      <c r="G27" s="62">
        <f t="shared" si="3"/>
      </c>
      <c r="H27" s="63">
        <f t="shared" si="2"/>
      </c>
      <c r="I27" s="48"/>
      <c r="J27" s="20">
        <v>0.22</v>
      </c>
      <c r="K27" s="47">
        <f t="shared" si="4"/>
        <v>0.022000000000000002</v>
      </c>
      <c r="L27" s="47">
        <f t="shared" si="5"/>
        <v>0.22</v>
      </c>
      <c r="M27" s="47">
        <f t="shared" si="4"/>
        <v>0.022000000000000002</v>
      </c>
      <c r="N27" s="48"/>
      <c r="O27" s="64"/>
      <c r="P27" s="47">
        <f t="shared" si="0"/>
      </c>
      <c r="Q27" s="47">
        <f t="shared" si="1"/>
      </c>
      <c r="R27" s="47">
        <f t="shared" si="0"/>
      </c>
    </row>
    <row r="28" spans="1:18" ht="12.75">
      <c r="A28" s="37"/>
      <c r="B28" s="37" t="s">
        <v>40</v>
      </c>
      <c r="C28" s="39">
        <v>0.1</v>
      </c>
      <c r="D28" s="39"/>
      <c r="E28" s="43"/>
      <c r="F28" s="63">
        <f t="shared" si="2"/>
      </c>
      <c r="G28" s="62">
        <f t="shared" si="3"/>
      </c>
      <c r="H28" s="63">
        <f t="shared" si="2"/>
      </c>
      <c r="I28" s="48"/>
      <c r="J28" s="20">
        <v>0.07</v>
      </c>
      <c r="K28" s="47">
        <f t="shared" si="4"/>
        <v>0.007000000000000001</v>
      </c>
      <c r="L28" s="47">
        <f t="shared" si="5"/>
        <v>0.07</v>
      </c>
      <c r="M28" s="47">
        <f t="shared" si="4"/>
        <v>0.007000000000000001</v>
      </c>
      <c r="N28" s="48"/>
      <c r="O28" s="64"/>
      <c r="P28" s="47">
        <f t="shared" si="0"/>
      </c>
      <c r="Q28" s="47">
        <f t="shared" si="1"/>
      </c>
      <c r="R28" s="47">
        <f t="shared" si="0"/>
      </c>
    </row>
    <row r="29" spans="1:18" ht="12.75">
      <c r="A29" s="37"/>
      <c r="B29" s="37" t="s">
        <v>41</v>
      </c>
      <c r="C29" s="39">
        <v>0.1</v>
      </c>
      <c r="D29" s="39"/>
      <c r="E29" s="43">
        <v>0.008</v>
      </c>
      <c r="F29" s="63">
        <f t="shared" si="2"/>
        <v>0.0008</v>
      </c>
      <c r="G29" s="62">
        <f t="shared" si="3"/>
        <v>0.008</v>
      </c>
      <c r="H29" s="63">
        <f t="shared" si="2"/>
        <v>0.0008</v>
      </c>
      <c r="I29" s="48"/>
      <c r="J29" s="46">
        <v>0.05</v>
      </c>
      <c r="K29" s="47">
        <f t="shared" si="4"/>
        <v>0.005000000000000001</v>
      </c>
      <c r="L29" s="47">
        <f t="shared" si="5"/>
        <v>0.05</v>
      </c>
      <c r="M29" s="47">
        <f t="shared" si="4"/>
        <v>0.005000000000000001</v>
      </c>
      <c r="N29" s="48"/>
      <c r="O29" s="64"/>
      <c r="P29" s="47">
        <f t="shared" si="0"/>
      </c>
      <c r="Q29" s="47">
        <f t="shared" si="1"/>
      </c>
      <c r="R29" s="47">
        <f t="shared" si="0"/>
      </c>
    </row>
    <row r="30" spans="1:18" ht="12.75">
      <c r="A30" s="37"/>
      <c r="B30" s="37" t="s">
        <v>42</v>
      </c>
      <c r="C30" s="39">
        <v>0.1</v>
      </c>
      <c r="D30" s="39"/>
      <c r="E30" s="43"/>
      <c r="F30" s="63">
        <f t="shared" si="2"/>
      </c>
      <c r="G30" s="62">
        <f t="shared" si="3"/>
      </c>
      <c r="H30" s="63">
        <f t="shared" si="2"/>
      </c>
      <c r="I30" s="48"/>
      <c r="J30" s="20">
        <v>0.007</v>
      </c>
      <c r="K30" s="47">
        <f t="shared" si="4"/>
        <v>0.0007000000000000001</v>
      </c>
      <c r="L30" s="47">
        <f t="shared" si="5"/>
        <v>0.007</v>
      </c>
      <c r="M30" s="47">
        <f t="shared" si="4"/>
        <v>0.0007000000000000001</v>
      </c>
      <c r="N30" s="48"/>
      <c r="O30" s="64"/>
      <c r="P30" s="47">
        <f t="shared" si="0"/>
      </c>
      <c r="Q30" s="47">
        <f t="shared" si="1"/>
      </c>
      <c r="R30" s="47">
        <f t="shared" si="0"/>
      </c>
    </row>
    <row r="31" spans="1:18" ht="12.75">
      <c r="A31" s="37"/>
      <c r="B31" s="37" t="s">
        <v>136</v>
      </c>
      <c r="C31" s="39">
        <v>0</v>
      </c>
      <c r="D31" s="39"/>
      <c r="E31" s="43"/>
      <c r="F31" s="63">
        <f t="shared" si="2"/>
      </c>
      <c r="G31" s="62">
        <f t="shared" si="3"/>
      </c>
      <c r="H31" s="63">
        <f t="shared" si="2"/>
      </c>
      <c r="I31" s="48"/>
      <c r="J31" s="20">
        <v>0.16</v>
      </c>
      <c r="K31" s="47">
        <f t="shared" si="4"/>
        <v>0</v>
      </c>
      <c r="L31" s="47">
        <f t="shared" si="5"/>
        <v>0.16</v>
      </c>
      <c r="M31" s="47">
        <f t="shared" si="4"/>
        <v>0</v>
      </c>
      <c r="N31" s="48"/>
      <c r="O31" s="64">
        <v>0.005</v>
      </c>
      <c r="P31" s="47">
        <f t="shared" si="0"/>
        <v>0</v>
      </c>
      <c r="Q31" s="47">
        <f t="shared" si="1"/>
        <v>0.005</v>
      </c>
      <c r="R31" s="47">
        <f t="shared" si="0"/>
        <v>0</v>
      </c>
    </row>
    <row r="32" spans="1:18" ht="12.75">
      <c r="A32" s="37"/>
      <c r="B32" s="37" t="s">
        <v>43</v>
      </c>
      <c r="C32" s="39">
        <v>0.01</v>
      </c>
      <c r="D32" s="39"/>
      <c r="E32" s="43">
        <v>0.01</v>
      </c>
      <c r="F32" s="63">
        <f t="shared" si="2"/>
        <v>0.0001</v>
      </c>
      <c r="G32" s="62">
        <f t="shared" si="3"/>
        <v>0.01</v>
      </c>
      <c r="H32" s="63">
        <f t="shared" si="2"/>
        <v>0.0001</v>
      </c>
      <c r="I32" s="48"/>
      <c r="J32" s="20">
        <v>0.41</v>
      </c>
      <c r="K32" s="47">
        <f t="shared" si="4"/>
        <v>0.0040999999999999995</v>
      </c>
      <c r="L32" s="47">
        <f t="shared" si="5"/>
        <v>0.41</v>
      </c>
      <c r="M32" s="47">
        <f t="shared" si="4"/>
        <v>0.0040999999999999995</v>
      </c>
      <c r="N32" s="48"/>
      <c r="O32" s="64">
        <v>0.01</v>
      </c>
      <c r="P32" s="47">
        <f t="shared" si="0"/>
        <v>0.0001</v>
      </c>
      <c r="Q32" s="47">
        <f t="shared" si="1"/>
        <v>0.01</v>
      </c>
      <c r="R32" s="47">
        <f t="shared" si="0"/>
        <v>0.0001</v>
      </c>
    </row>
    <row r="33" spans="1:18" ht="12.75">
      <c r="A33" s="37"/>
      <c r="B33" s="37" t="s">
        <v>44</v>
      </c>
      <c r="C33" s="39">
        <v>0.01</v>
      </c>
      <c r="D33" s="39"/>
      <c r="E33" s="43"/>
      <c r="F33" s="63">
        <f t="shared" si="2"/>
      </c>
      <c r="G33" s="62">
        <f t="shared" si="3"/>
      </c>
      <c r="H33" s="63">
        <f t="shared" si="2"/>
      </c>
      <c r="I33" s="48"/>
      <c r="J33" s="20"/>
      <c r="K33" s="47">
        <f t="shared" si="4"/>
      </c>
      <c r="L33" s="47">
        <f t="shared" si="5"/>
      </c>
      <c r="M33" s="47">
        <f t="shared" si="4"/>
      </c>
      <c r="N33" s="48"/>
      <c r="O33" s="64"/>
      <c r="P33" s="47">
        <f t="shared" si="0"/>
      </c>
      <c r="Q33" s="47">
        <f t="shared" si="1"/>
      </c>
      <c r="R33" s="47">
        <f t="shared" si="0"/>
      </c>
    </row>
    <row r="34" spans="1:18" ht="12.75">
      <c r="A34" s="37"/>
      <c r="B34" s="37" t="s">
        <v>137</v>
      </c>
      <c r="C34" s="39">
        <v>0</v>
      </c>
      <c r="D34" s="39"/>
      <c r="E34" s="43"/>
      <c r="F34" s="63">
        <f t="shared" si="2"/>
      </c>
      <c r="G34" s="62">
        <f t="shared" si="3"/>
      </c>
      <c r="H34" s="63">
        <f t="shared" si="2"/>
      </c>
      <c r="I34" s="48"/>
      <c r="J34" s="20">
        <v>0.09</v>
      </c>
      <c r="K34" s="47">
        <f t="shared" si="4"/>
        <v>0</v>
      </c>
      <c r="L34" s="47">
        <f t="shared" si="5"/>
        <v>0.09</v>
      </c>
      <c r="M34" s="47">
        <f t="shared" si="4"/>
        <v>0</v>
      </c>
      <c r="N34" s="48"/>
      <c r="O34" s="64">
        <v>0.01</v>
      </c>
      <c r="P34" s="47">
        <f t="shared" si="0"/>
        <v>0</v>
      </c>
      <c r="Q34" s="47">
        <f t="shared" si="1"/>
        <v>0.01</v>
      </c>
      <c r="R34" s="47">
        <f t="shared" si="0"/>
        <v>0</v>
      </c>
    </row>
    <row r="35" spans="1:18" ht="12.75">
      <c r="A35" s="37"/>
      <c r="B35" s="37" t="s">
        <v>45</v>
      </c>
      <c r="C35" s="39">
        <v>0.001</v>
      </c>
      <c r="D35" s="39"/>
      <c r="E35" s="43">
        <v>0.01</v>
      </c>
      <c r="F35" s="63">
        <f t="shared" si="2"/>
        <v>1E-05</v>
      </c>
      <c r="G35" s="62">
        <f t="shared" si="3"/>
        <v>0.01</v>
      </c>
      <c r="H35" s="63">
        <f t="shared" si="2"/>
        <v>1E-05</v>
      </c>
      <c r="I35" s="48"/>
      <c r="J35" s="20">
        <v>0.35</v>
      </c>
      <c r="K35" s="47">
        <f t="shared" si="4"/>
        <v>0.00035</v>
      </c>
      <c r="L35" s="47">
        <f t="shared" si="5"/>
        <v>0.35</v>
      </c>
      <c r="M35" s="47">
        <f t="shared" si="4"/>
        <v>0.00035</v>
      </c>
      <c r="N35" s="48"/>
      <c r="O35" s="54"/>
      <c r="P35" s="47">
        <f t="shared" si="0"/>
      </c>
      <c r="Q35" s="47">
        <f t="shared" si="1"/>
      </c>
      <c r="R35" s="47">
        <f t="shared" si="0"/>
      </c>
    </row>
    <row r="36" spans="1:18" ht="12.75">
      <c r="A36" s="37"/>
      <c r="B36" s="37"/>
      <c r="C36" s="37"/>
      <c r="D36" s="37"/>
      <c r="E36" s="44"/>
      <c r="F36" s="48"/>
      <c r="G36" s="48"/>
      <c r="H36" s="48"/>
      <c r="I36" s="44"/>
      <c r="J36" s="20"/>
      <c r="K36" s="48"/>
      <c r="L36" s="44"/>
      <c r="M36" s="48"/>
      <c r="N36" s="44"/>
      <c r="O36" s="20"/>
      <c r="P36" s="48"/>
      <c r="Q36" s="44"/>
      <c r="R36" s="48"/>
    </row>
    <row r="37" spans="1:18" ht="12.75">
      <c r="A37" s="37"/>
      <c r="B37" s="37" t="s">
        <v>46</v>
      </c>
      <c r="C37" s="37"/>
      <c r="D37" s="37"/>
      <c r="E37" s="44"/>
      <c r="F37" s="44">
        <v>117.197</v>
      </c>
      <c r="G37" s="44">
        <v>117.197</v>
      </c>
      <c r="H37" s="44">
        <v>117.197</v>
      </c>
      <c r="I37" s="44"/>
      <c r="J37" s="44"/>
      <c r="K37" s="44">
        <v>113.201</v>
      </c>
      <c r="L37" s="44">
        <v>113.201</v>
      </c>
      <c r="M37" s="44">
        <v>113.201</v>
      </c>
      <c r="N37" s="44"/>
      <c r="O37" s="44"/>
      <c r="P37" s="44">
        <v>126.813</v>
      </c>
      <c r="Q37" s="44">
        <v>126.813</v>
      </c>
      <c r="R37" s="44">
        <v>126.813</v>
      </c>
    </row>
    <row r="38" spans="1:18" ht="12.75">
      <c r="A38" s="37"/>
      <c r="B38" s="37" t="s">
        <v>74</v>
      </c>
      <c r="C38" s="37"/>
      <c r="D38" s="37"/>
      <c r="E38" s="47"/>
      <c r="F38" s="44">
        <v>8.5</v>
      </c>
      <c r="G38" s="44">
        <v>8.5</v>
      </c>
      <c r="H38" s="44">
        <v>8.5</v>
      </c>
      <c r="I38" s="44"/>
      <c r="J38" s="44"/>
      <c r="K38" s="44">
        <v>8.8</v>
      </c>
      <c r="L38" s="44">
        <v>8.8</v>
      </c>
      <c r="M38" s="44">
        <v>8.8</v>
      </c>
      <c r="N38" s="44"/>
      <c r="O38" s="44"/>
      <c r="P38" s="44">
        <v>8.5</v>
      </c>
      <c r="Q38" s="44">
        <v>8.5</v>
      </c>
      <c r="R38" s="44">
        <v>8.5</v>
      </c>
    </row>
    <row r="39" spans="1:18" ht="12.75">
      <c r="A39" s="37"/>
      <c r="B39" s="37"/>
      <c r="C39" s="37"/>
      <c r="D39" s="37"/>
      <c r="E39" s="44"/>
      <c r="F39" s="20"/>
      <c r="G39" s="20"/>
      <c r="H39" s="20"/>
      <c r="I39" s="20"/>
      <c r="J39" s="44"/>
      <c r="K39" s="20"/>
      <c r="L39" s="44"/>
      <c r="M39" s="20"/>
      <c r="N39" s="44"/>
      <c r="O39" s="44"/>
      <c r="P39" s="20"/>
      <c r="Q39" s="44"/>
      <c r="R39" s="20"/>
    </row>
    <row r="40" spans="1:18" ht="12.75">
      <c r="A40" s="37"/>
      <c r="B40" s="37" t="s">
        <v>180</v>
      </c>
      <c r="C40" s="48"/>
      <c r="D40" s="48"/>
      <c r="E40" s="41"/>
      <c r="F40" s="47">
        <f>SUM(F11:F35)</f>
        <v>0.0015100000000000003</v>
      </c>
      <c r="G40" s="62">
        <f>SUM(G35,G34,G31,G26,G23,G21,G20,G18,G14,G12)</f>
        <v>0.063</v>
      </c>
      <c r="H40" s="47">
        <f>SUM(H11:H35)</f>
        <v>0.0015100000000000003</v>
      </c>
      <c r="I40" s="48"/>
      <c r="J40" s="41"/>
      <c r="K40" s="44">
        <f>SUM(K11:K35)</f>
        <v>0.0641</v>
      </c>
      <c r="L40" s="41">
        <f>SUM(L35,L34,L31,L26,L23,L21,L20,L18,L14,L12)</f>
        <v>1.3869999999999998</v>
      </c>
      <c r="M40" s="44">
        <f>SUM(M11:M35)</f>
        <v>0.0641</v>
      </c>
      <c r="N40" s="48"/>
      <c r="O40" s="44"/>
      <c r="P40" s="44">
        <f>SUM(P11:P35)</f>
        <v>0.00013000000000000002</v>
      </c>
      <c r="Q40" s="41">
        <f>SUM(Q35,Q34,Q31,Q26,Q23,Q21,Q20,Q18,Q14,Q12)</f>
        <v>0.062</v>
      </c>
      <c r="R40" s="44">
        <f>SUM(R11:R35)</f>
        <v>0.00013000000000000002</v>
      </c>
    </row>
    <row r="41" spans="1:18" ht="12.75">
      <c r="A41" s="37"/>
      <c r="B41" s="37" t="s">
        <v>47</v>
      </c>
      <c r="C41" s="48"/>
      <c r="D41" s="41">
        <f>(F41-H41)*2/F41*100</f>
        <v>0</v>
      </c>
      <c r="E41" s="44"/>
      <c r="F41" s="48">
        <f>(F40/F37/0.0283*(21-7)/(21-F38))</f>
        <v>0.0005099082511880649</v>
      </c>
      <c r="G41" s="48">
        <f>(G40/G37/0.0283*(21-7)/(21-G38))</f>
        <v>0.021274317764800058</v>
      </c>
      <c r="H41" s="48">
        <f>(H40/H37/0.0283*(21-7)/(21-H38))</f>
        <v>0.0005099082511880649</v>
      </c>
      <c r="I41" s="53">
        <f>(K41-M41)*2/K41*100</f>
        <v>0</v>
      </c>
      <c r="J41" s="48"/>
      <c r="K41" s="48">
        <f>(K40/K37/0.0283*(21-7)/(21-K38))</f>
        <v>0.022960933228898462</v>
      </c>
      <c r="L41" s="48">
        <f>(L40/L37/0.0283*(21-7)/(21-L38))</f>
        <v>0.49683017766742843</v>
      </c>
      <c r="M41" s="48">
        <f>(M40/M37/0.0283*(21-7)/(21-M38))</f>
        <v>0.022960933228898462</v>
      </c>
      <c r="N41" s="53">
        <f>(P41-R41)*2/P41*100</f>
        <v>0</v>
      </c>
      <c r="O41" s="48"/>
      <c r="P41" s="48">
        <f>(P40/P37/0.0283*(21-7)/(21-P38))</f>
        <v>4.057057498117968E-05</v>
      </c>
      <c r="Q41" s="48">
        <f>(Q40/Q37/0.0283*(21-7)/(21-Q38))</f>
        <v>0.01934904345256262</v>
      </c>
      <c r="R41" s="48">
        <f>(R40/R37/0.0283*(21-7)/(21-R38))</f>
        <v>4.057057498117968E-05</v>
      </c>
    </row>
    <row r="42" spans="1:18" ht="12.75">
      <c r="A42" s="37"/>
      <c r="B42" s="37"/>
      <c r="C42" s="37"/>
      <c r="D42" s="37"/>
      <c r="E42" s="43"/>
      <c r="F42" s="48"/>
      <c r="G42" s="43"/>
      <c r="H42" s="48"/>
      <c r="I42" s="43"/>
      <c r="J42" s="43"/>
      <c r="K42" s="43"/>
      <c r="L42" s="43"/>
      <c r="M42" s="43"/>
      <c r="N42" s="43"/>
      <c r="O42" s="43"/>
      <c r="P42" s="47"/>
      <c r="Q42" s="43"/>
      <c r="R42" s="47"/>
    </row>
    <row r="43" spans="1:18" ht="12.75">
      <c r="A43" s="44"/>
      <c r="B43" s="37" t="s">
        <v>75</v>
      </c>
      <c r="C43" s="44">
        <f>AVERAGE(H41,M41,R41)</f>
        <v>0.007837137351689236</v>
      </c>
      <c r="D43" s="44"/>
      <c r="E43" s="44"/>
      <c r="F43" s="48"/>
      <c r="G43" s="44"/>
      <c r="H43" s="48"/>
      <c r="I43" s="44"/>
      <c r="J43" s="44"/>
      <c r="K43" s="44"/>
      <c r="L43" s="44"/>
      <c r="M43" s="44"/>
      <c r="N43" s="44"/>
      <c r="O43" s="44"/>
      <c r="P43" s="47"/>
      <c r="Q43" s="44"/>
      <c r="R43" s="47"/>
    </row>
    <row r="44" spans="1:18" ht="12.75">
      <c r="A44" s="37"/>
      <c r="B44" s="37" t="s">
        <v>76</v>
      </c>
      <c r="C44" s="44">
        <f>AVERAGE(G41,L41,Q41)</f>
        <v>0.17915117962826368</v>
      </c>
      <c r="D44" s="37"/>
      <c r="E44" s="47"/>
      <c r="F44" s="48"/>
      <c r="G44" s="47"/>
      <c r="H44" s="48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85" spans="1:18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7"/>
      <c r="G86" s="4"/>
      <c r="H86" s="7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7"/>
      <c r="F87" s="3"/>
      <c r="G87" s="5"/>
      <c r="H87" s="3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87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4.28125" style="0" customWidth="1"/>
    <col min="5" max="5" width="9.421875" style="0" customWidth="1"/>
    <col min="6" max="6" width="9.8515625" style="0" customWidth="1"/>
    <col min="8" max="8" width="9.8515625" style="0" customWidth="1"/>
    <col min="9" max="9" width="4.57421875" style="0" customWidth="1"/>
    <col min="11" max="11" width="9.28125" style="0" customWidth="1"/>
    <col min="13" max="13" width="9.28125" style="0" customWidth="1"/>
    <col min="14" max="14" width="5.7109375" style="0" customWidth="1"/>
    <col min="16" max="16" width="9.00390625" style="0" customWidth="1"/>
    <col min="18" max="18" width="9.00390625" style="0" customWidth="1"/>
  </cols>
  <sheetData>
    <row r="1" spans="1:18" ht="12.75">
      <c r="A1" s="55" t="s">
        <v>86</v>
      </c>
      <c r="B1" s="37"/>
      <c r="C1" s="37"/>
      <c r="D1" s="37"/>
      <c r="E1" s="47"/>
      <c r="F1" s="48"/>
      <c r="G1" s="47"/>
      <c r="H1" s="48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37" t="s">
        <v>335</v>
      </c>
      <c r="B2" s="37"/>
      <c r="C2" s="37"/>
      <c r="D2" s="37"/>
      <c r="E2" s="47"/>
      <c r="F2" s="48"/>
      <c r="G2" s="47"/>
      <c r="H2" s="48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37" t="s">
        <v>20</v>
      </c>
      <c r="B3" s="37"/>
      <c r="C3" s="15" t="str">
        <f>source!C5</f>
        <v>Eastman Kodak Company</v>
      </c>
      <c r="D3" s="15"/>
      <c r="E3" s="47"/>
      <c r="F3" s="48"/>
      <c r="G3" s="47"/>
      <c r="H3" s="48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2.75">
      <c r="A4" s="37" t="s">
        <v>21</v>
      </c>
      <c r="B4" s="37"/>
      <c r="C4" s="15" t="s">
        <v>187</v>
      </c>
      <c r="D4" s="15"/>
      <c r="E4" s="49"/>
      <c r="F4" s="50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2.75">
      <c r="A5" s="37" t="s">
        <v>22</v>
      </c>
      <c r="B5" s="37"/>
      <c r="C5" s="20" t="str">
        <f>cond!C100</f>
        <v>Trial burn, max feedrate, max #3 hearth temp</v>
      </c>
      <c r="D5" s="20"/>
      <c r="E5" s="20"/>
      <c r="F5" s="20"/>
      <c r="G5" s="20"/>
      <c r="H5" s="20"/>
      <c r="I5" s="20"/>
      <c r="J5" s="20"/>
      <c r="K5" s="47"/>
      <c r="L5" s="20"/>
      <c r="M5" s="47"/>
      <c r="N5" s="47"/>
      <c r="O5" s="47"/>
      <c r="P5" s="47"/>
      <c r="Q5" s="47"/>
      <c r="R5" s="47"/>
    </row>
    <row r="6" spans="1:18" ht="12.75">
      <c r="A6" s="37"/>
      <c r="B6" s="37"/>
      <c r="C6" s="39"/>
      <c r="D6" s="39"/>
      <c r="E6" s="51"/>
      <c r="F6" s="48"/>
      <c r="G6" s="51"/>
      <c r="H6" s="48"/>
      <c r="I6" s="47"/>
      <c r="J6" s="51"/>
      <c r="K6" s="47"/>
      <c r="L6" s="51"/>
      <c r="M6" s="47"/>
      <c r="N6" s="47"/>
      <c r="O6" s="51"/>
      <c r="P6" s="47"/>
      <c r="Q6" s="51"/>
      <c r="R6" s="47"/>
    </row>
    <row r="7" spans="1:18" s="83" customFormat="1" ht="12.75">
      <c r="A7" s="37"/>
      <c r="B7" s="37"/>
      <c r="C7" s="39" t="s">
        <v>23</v>
      </c>
      <c r="D7" s="39"/>
      <c r="E7" s="52" t="s">
        <v>62</v>
      </c>
      <c r="F7" s="52"/>
      <c r="G7" s="52"/>
      <c r="H7" s="52"/>
      <c r="I7" s="19"/>
      <c r="J7" s="52" t="s">
        <v>63</v>
      </c>
      <c r="K7" s="52"/>
      <c r="L7" s="52"/>
      <c r="M7" s="52"/>
      <c r="N7" s="19"/>
      <c r="O7" s="52" t="s">
        <v>64</v>
      </c>
      <c r="P7" s="52"/>
      <c r="Q7" s="52"/>
      <c r="R7" s="52"/>
    </row>
    <row r="8" spans="1:18" s="83" customFormat="1" ht="12.75">
      <c r="A8" s="37"/>
      <c r="B8" s="37"/>
      <c r="C8" s="39" t="s">
        <v>24</v>
      </c>
      <c r="D8" s="37"/>
      <c r="E8" s="51" t="s">
        <v>25</v>
      </c>
      <c r="F8" s="50" t="s">
        <v>26</v>
      </c>
      <c r="G8" s="51" t="s">
        <v>25</v>
      </c>
      <c r="H8" s="50" t="s">
        <v>26</v>
      </c>
      <c r="I8" s="47"/>
      <c r="J8" s="51" t="s">
        <v>25</v>
      </c>
      <c r="K8" s="51" t="s">
        <v>27</v>
      </c>
      <c r="L8" s="51" t="s">
        <v>25</v>
      </c>
      <c r="M8" s="51" t="s">
        <v>27</v>
      </c>
      <c r="N8" s="47"/>
      <c r="O8" s="51" t="s">
        <v>25</v>
      </c>
      <c r="P8" s="51" t="s">
        <v>27</v>
      </c>
      <c r="Q8" s="51" t="s">
        <v>25</v>
      </c>
      <c r="R8" s="51" t="s">
        <v>27</v>
      </c>
    </row>
    <row r="9" spans="1:18" s="83" customFormat="1" ht="12.75">
      <c r="A9" s="37"/>
      <c r="B9" s="37"/>
      <c r="C9" s="39"/>
      <c r="D9" s="37"/>
      <c r="E9" s="51" t="s">
        <v>294</v>
      </c>
      <c r="F9" s="51" t="s">
        <v>294</v>
      </c>
      <c r="G9" s="51" t="s">
        <v>85</v>
      </c>
      <c r="H9" s="50" t="s">
        <v>85</v>
      </c>
      <c r="I9" s="47"/>
      <c r="J9" s="51" t="s">
        <v>294</v>
      </c>
      <c r="K9" s="51" t="s">
        <v>294</v>
      </c>
      <c r="L9" s="51" t="s">
        <v>85</v>
      </c>
      <c r="M9" s="50" t="s">
        <v>85</v>
      </c>
      <c r="N9" s="47"/>
      <c r="O9" s="51" t="s">
        <v>294</v>
      </c>
      <c r="P9" s="51" t="s">
        <v>294</v>
      </c>
      <c r="Q9" s="51" t="s">
        <v>85</v>
      </c>
      <c r="R9" s="50" t="s">
        <v>85</v>
      </c>
    </row>
    <row r="10" spans="1:18" ht="12.75">
      <c r="A10" s="37" t="s">
        <v>179</v>
      </c>
      <c r="B10" s="37"/>
      <c r="C10" s="37"/>
      <c r="D10" s="37"/>
      <c r="E10" s="47"/>
      <c r="F10" s="48"/>
      <c r="G10" s="47"/>
      <c r="H10" s="48"/>
      <c r="I10" s="47"/>
      <c r="J10" s="47"/>
      <c r="K10" s="47"/>
      <c r="L10" s="47"/>
      <c r="M10" s="47"/>
      <c r="N10" s="47"/>
      <c r="O10" s="41"/>
      <c r="P10" s="47"/>
      <c r="Q10" s="47"/>
      <c r="R10" s="47"/>
    </row>
    <row r="11" spans="1:18" ht="12.75">
      <c r="A11" s="37"/>
      <c r="B11" s="37" t="s">
        <v>28</v>
      </c>
      <c r="C11" s="39">
        <v>1</v>
      </c>
      <c r="D11" s="39" t="s">
        <v>29</v>
      </c>
      <c r="E11" s="48">
        <v>0.0022</v>
      </c>
      <c r="F11" s="48">
        <f aca="true" t="shared" si="0" ref="F11:H35">IF(E11="","",E11*$C11)</f>
        <v>0.0022</v>
      </c>
      <c r="G11" s="48">
        <f aca="true" t="shared" si="1" ref="G11:G35">IF(E11=0,"",IF(D11="nd",E11/2,E11))</f>
        <v>0.0011</v>
      </c>
      <c r="H11" s="48">
        <f t="shared" si="0"/>
        <v>0.0011</v>
      </c>
      <c r="I11" s="48" t="s">
        <v>29</v>
      </c>
      <c r="J11" s="20">
        <v>0.0021</v>
      </c>
      <c r="K11" s="44">
        <f aca="true" t="shared" si="2" ref="K11:M35">IF(J11="","",J11*$C11)</f>
        <v>0.0021</v>
      </c>
      <c r="L11" s="44">
        <f>IF(J11=0,"",IF(I11="nd",J11/2,J11))</f>
        <v>0.00105</v>
      </c>
      <c r="M11" s="44">
        <f t="shared" si="2"/>
        <v>0.00105</v>
      </c>
      <c r="N11" s="48" t="s">
        <v>29</v>
      </c>
      <c r="O11" s="48">
        <v>0.0021</v>
      </c>
      <c r="P11" s="48">
        <f aca="true" t="shared" si="3" ref="P11:R35">IF(O11="","",O11*$C11)</f>
        <v>0.0021</v>
      </c>
      <c r="Q11" s="48">
        <f>IF(O11=0,"",IF(N11="nd",O11/2,O11))</f>
        <v>0.00105</v>
      </c>
      <c r="R11" s="48">
        <f t="shared" si="3"/>
        <v>0.00105</v>
      </c>
    </row>
    <row r="12" spans="1:18" ht="12.75">
      <c r="A12" s="37"/>
      <c r="B12" s="37" t="s">
        <v>30</v>
      </c>
      <c r="C12" s="39">
        <v>0.5</v>
      </c>
      <c r="D12" s="39" t="s">
        <v>29</v>
      </c>
      <c r="E12" s="48">
        <v>0.0021</v>
      </c>
      <c r="F12" s="48">
        <f t="shared" si="0"/>
        <v>0.00105</v>
      </c>
      <c r="G12" s="48">
        <f t="shared" si="1"/>
        <v>0.00105</v>
      </c>
      <c r="H12" s="48">
        <f t="shared" si="0"/>
        <v>0.000525</v>
      </c>
      <c r="I12" s="48" t="s">
        <v>29</v>
      </c>
      <c r="J12" s="20">
        <v>0.0021</v>
      </c>
      <c r="K12" s="44">
        <f t="shared" si="2"/>
        <v>0.00105</v>
      </c>
      <c r="L12" s="44">
        <f aca="true" t="shared" si="4" ref="L12:L35">IF(J12=0,"",IF(I12="nd",J12/2,J12))</f>
        <v>0.00105</v>
      </c>
      <c r="M12" s="44">
        <f t="shared" si="2"/>
        <v>0.000525</v>
      </c>
      <c r="N12" s="48" t="s">
        <v>29</v>
      </c>
      <c r="O12" s="65">
        <v>0.0023</v>
      </c>
      <c r="P12" s="48">
        <f t="shared" si="3"/>
        <v>0.00115</v>
      </c>
      <c r="Q12" s="48">
        <f aca="true" t="shared" si="5" ref="Q12:Q35">IF(O12=0,"",IF(N12="nd",O12/2,O12))</f>
        <v>0.00115</v>
      </c>
      <c r="R12" s="48">
        <f t="shared" si="3"/>
        <v>0.000575</v>
      </c>
    </row>
    <row r="13" spans="1:18" ht="12.75">
      <c r="A13" s="37"/>
      <c r="B13" s="37" t="s">
        <v>31</v>
      </c>
      <c r="C13" s="39">
        <v>0.1</v>
      </c>
      <c r="D13" s="39" t="s">
        <v>29</v>
      </c>
      <c r="E13" s="48">
        <v>0.0019</v>
      </c>
      <c r="F13" s="48">
        <f t="shared" si="0"/>
        <v>0.00019</v>
      </c>
      <c r="G13" s="48">
        <f t="shared" si="1"/>
        <v>0.00095</v>
      </c>
      <c r="H13" s="48">
        <f t="shared" si="0"/>
        <v>9.5E-05</v>
      </c>
      <c r="I13" s="48" t="s">
        <v>29</v>
      </c>
      <c r="J13" s="20">
        <v>0.0022</v>
      </c>
      <c r="K13" s="44">
        <f t="shared" si="2"/>
        <v>0.00022000000000000003</v>
      </c>
      <c r="L13" s="44">
        <f t="shared" si="4"/>
        <v>0.0011</v>
      </c>
      <c r="M13" s="44">
        <f t="shared" si="2"/>
        <v>0.00011000000000000002</v>
      </c>
      <c r="N13" s="48" t="s">
        <v>29</v>
      </c>
      <c r="O13" s="65">
        <v>0.0022</v>
      </c>
      <c r="P13" s="48">
        <f t="shared" si="3"/>
        <v>0.00022000000000000003</v>
      </c>
      <c r="Q13" s="48">
        <f t="shared" si="5"/>
        <v>0.0011</v>
      </c>
      <c r="R13" s="48">
        <f t="shared" si="3"/>
        <v>0.00011000000000000002</v>
      </c>
    </row>
    <row r="14" spans="1:18" ht="12.75">
      <c r="A14" s="37"/>
      <c r="B14" s="37" t="s">
        <v>32</v>
      </c>
      <c r="C14" s="39">
        <v>0.1</v>
      </c>
      <c r="D14" s="39" t="s">
        <v>29</v>
      </c>
      <c r="E14" s="48">
        <v>0.0018</v>
      </c>
      <c r="F14" s="48">
        <f t="shared" si="0"/>
        <v>0.00018</v>
      </c>
      <c r="G14" s="48">
        <f t="shared" si="1"/>
        <v>0.0009</v>
      </c>
      <c r="H14" s="48">
        <f t="shared" si="0"/>
        <v>9E-05</v>
      </c>
      <c r="I14" s="48" t="s">
        <v>29</v>
      </c>
      <c r="J14" s="20">
        <v>0.002</v>
      </c>
      <c r="K14" s="44">
        <f t="shared" si="2"/>
        <v>0.0002</v>
      </c>
      <c r="L14" s="44">
        <f t="shared" si="4"/>
        <v>0.001</v>
      </c>
      <c r="M14" s="44">
        <f t="shared" si="2"/>
        <v>0.0001</v>
      </c>
      <c r="N14" s="48" t="s">
        <v>29</v>
      </c>
      <c r="O14" s="65">
        <v>0.002</v>
      </c>
      <c r="P14" s="48">
        <f t="shared" si="3"/>
        <v>0.0002</v>
      </c>
      <c r="Q14" s="48">
        <f t="shared" si="5"/>
        <v>0.001</v>
      </c>
      <c r="R14" s="48">
        <f t="shared" si="3"/>
        <v>0.0001</v>
      </c>
    </row>
    <row r="15" spans="1:18" ht="12.75">
      <c r="A15" s="37"/>
      <c r="B15" s="37" t="s">
        <v>33</v>
      </c>
      <c r="C15" s="39">
        <v>0.1</v>
      </c>
      <c r="D15" s="39" t="s">
        <v>29</v>
      </c>
      <c r="E15" s="48">
        <v>0.002</v>
      </c>
      <c r="F15" s="48">
        <f t="shared" si="0"/>
        <v>0.0002</v>
      </c>
      <c r="G15" s="48">
        <f t="shared" si="1"/>
        <v>0.001</v>
      </c>
      <c r="H15" s="48">
        <f t="shared" si="0"/>
        <v>0.0001</v>
      </c>
      <c r="I15" s="48" t="s">
        <v>29</v>
      </c>
      <c r="J15" s="20">
        <v>0.0023</v>
      </c>
      <c r="K15" s="44">
        <f t="shared" si="2"/>
        <v>0.00023</v>
      </c>
      <c r="L15" s="44">
        <f t="shared" si="4"/>
        <v>0.00115</v>
      </c>
      <c r="M15" s="44">
        <f t="shared" si="2"/>
        <v>0.000115</v>
      </c>
      <c r="N15" s="48" t="s">
        <v>29</v>
      </c>
      <c r="O15" s="65">
        <v>0.0023</v>
      </c>
      <c r="P15" s="48">
        <f t="shared" si="3"/>
        <v>0.00023</v>
      </c>
      <c r="Q15" s="48">
        <f t="shared" si="5"/>
        <v>0.00115</v>
      </c>
      <c r="R15" s="48">
        <f t="shared" si="3"/>
        <v>0.000115</v>
      </c>
    </row>
    <row r="16" spans="1:18" ht="12.75">
      <c r="A16" s="37"/>
      <c r="B16" s="37" t="s">
        <v>34</v>
      </c>
      <c r="C16" s="39">
        <v>0.01</v>
      </c>
      <c r="D16" s="39"/>
      <c r="E16" s="48">
        <v>0.012</v>
      </c>
      <c r="F16" s="48">
        <f t="shared" si="0"/>
        <v>0.00012</v>
      </c>
      <c r="G16" s="48">
        <f t="shared" si="1"/>
        <v>0.012</v>
      </c>
      <c r="H16" s="48">
        <f t="shared" si="0"/>
        <v>0.00012</v>
      </c>
      <c r="I16" s="48"/>
      <c r="J16" s="20">
        <v>0.003</v>
      </c>
      <c r="K16" s="44">
        <f t="shared" si="2"/>
        <v>3E-05</v>
      </c>
      <c r="L16" s="44">
        <f t="shared" si="4"/>
        <v>0.003</v>
      </c>
      <c r="M16" s="44">
        <f t="shared" si="2"/>
        <v>3E-05</v>
      </c>
      <c r="N16" s="48"/>
      <c r="O16" s="65">
        <v>0.0078</v>
      </c>
      <c r="P16" s="48">
        <f t="shared" si="3"/>
        <v>7.8E-05</v>
      </c>
      <c r="Q16" s="48">
        <f t="shared" si="5"/>
        <v>0.0078</v>
      </c>
      <c r="R16" s="48">
        <f t="shared" si="3"/>
        <v>7.8E-05</v>
      </c>
    </row>
    <row r="17" spans="1:18" ht="12.75">
      <c r="A17" s="37"/>
      <c r="B17" s="37" t="s">
        <v>35</v>
      </c>
      <c r="C17" s="39">
        <v>0.001</v>
      </c>
      <c r="D17" s="39"/>
      <c r="E17" s="48">
        <v>0.051</v>
      </c>
      <c r="F17" s="48">
        <f t="shared" si="0"/>
        <v>5.1E-05</v>
      </c>
      <c r="G17" s="48">
        <f t="shared" si="1"/>
        <v>0.051</v>
      </c>
      <c r="H17" s="48">
        <f t="shared" si="0"/>
        <v>5.1E-05</v>
      </c>
      <c r="I17" s="48"/>
      <c r="J17" s="20">
        <v>0.041</v>
      </c>
      <c r="K17" s="44">
        <f t="shared" si="2"/>
        <v>4.1E-05</v>
      </c>
      <c r="L17" s="53">
        <f t="shared" si="4"/>
        <v>0.041</v>
      </c>
      <c r="M17" s="44">
        <f t="shared" si="2"/>
        <v>4.1E-05</v>
      </c>
      <c r="N17" s="48"/>
      <c r="O17" s="65">
        <v>0.026</v>
      </c>
      <c r="P17" s="48">
        <f t="shared" si="3"/>
        <v>2.6E-05</v>
      </c>
      <c r="Q17" s="48">
        <f t="shared" si="5"/>
        <v>0.026</v>
      </c>
      <c r="R17" s="48">
        <f t="shared" si="3"/>
        <v>2.6E-05</v>
      </c>
    </row>
    <row r="18" spans="1:18" ht="12.75">
      <c r="A18" s="37"/>
      <c r="B18" s="37" t="s">
        <v>36</v>
      </c>
      <c r="C18" s="39">
        <v>0.1</v>
      </c>
      <c r="D18" s="39"/>
      <c r="E18" s="48">
        <v>0.013</v>
      </c>
      <c r="F18" s="48">
        <f t="shared" si="0"/>
        <v>0.0013</v>
      </c>
      <c r="G18" s="48">
        <f t="shared" si="1"/>
        <v>0.013</v>
      </c>
      <c r="H18" s="48">
        <f t="shared" si="0"/>
        <v>0.0013</v>
      </c>
      <c r="I18" s="48"/>
      <c r="J18" s="20">
        <v>0.014</v>
      </c>
      <c r="K18" s="44">
        <f t="shared" si="2"/>
        <v>0.0014000000000000002</v>
      </c>
      <c r="L18" s="53">
        <f t="shared" si="4"/>
        <v>0.014</v>
      </c>
      <c r="M18" s="44">
        <f t="shared" si="2"/>
        <v>0.0014000000000000002</v>
      </c>
      <c r="N18" s="48"/>
      <c r="O18" s="65">
        <v>0.0065</v>
      </c>
      <c r="P18" s="48">
        <f t="shared" si="3"/>
        <v>0.00065</v>
      </c>
      <c r="Q18" s="48">
        <f t="shared" si="5"/>
        <v>0.0065</v>
      </c>
      <c r="R18" s="48">
        <f t="shared" si="3"/>
        <v>0.00065</v>
      </c>
    </row>
    <row r="19" spans="1:18" ht="12.75">
      <c r="A19" s="37"/>
      <c r="B19" s="37" t="s">
        <v>37</v>
      </c>
      <c r="C19" s="39">
        <v>0.05</v>
      </c>
      <c r="D19" s="39" t="s">
        <v>29</v>
      </c>
      <c r="E19" s="48">
        <v>0.0021</v>
      </c>
      <c r="F19" s="48">
        <f t="shared" si="0"/>
        <v>0.000105</v>
      </c>
      <c r="G19" s="48">
        <f t="shared" si="1"/>
        <v>0.00105</v>
      </c>
      <c r="H19" s="48">
        <f t="shared" si="0"/>
        <v>5.25E-05</v>
      </c>
      <c r="I19" s="48"/>
      <c r="J19" s="20">
        <v>0.0032</v>
      </c>
      <c r="K19" s="44">
        <f t="shared" si="2"/>
        <v>0.00016</v>
      </c>
      <c r="L19" s="53">
        <f t="shared" si="4"/>
        <v>0.0032</v>
      </c>
      <c r="M19" s="44">
        <f t="shared" si="2"/>
        <v>0.00016</v>
      </c>
      <c r="N19" s="48" t="s">
        <v>29</v>
      </c>
      <c r="O19" s="65">
        <v>0.0021</v>
      </c>
      <c r="P19" s="48">
        <f t="shared" si="3"/>
        <v>0.000105</v>
      </c>
      <c r="Q19" s="48">
        <f t="shared" si="5"/>
        <v>0.00105</v>
      </c>
      <c r="R19" s="48">
        <f t="shared" si="3"/>
        <v>5.25E-05</v>
      </c>
    </row>
    <row r="20" spans="1:18" ht="12.75">
      <c r="A20" s="37"/>
      <c r="B20" s="37" t="s">
        <v>38</v>
      </c>
      <c r="C20" s="39">
        <v>0.5</v>
      </c>
      <c r="D20" s="39"/>
      <c r="E20" s="48">
        <v>0.004</v>
      </c>
      <c r="F20" s="48">
        <f t="shared" si="0"/>
        <v>0.002</v>
      </c>
      <c r="G20" s="48">
        <f t="shared" si="1"/>
        <v>0.004</v>
      </c>
      <c r="H20" s="48">
        <f t="shared" si="0"/>
        <v>0.002</v>
      </c>
      <c r="I20" s="48"/>
      <c r="J20" s="20">
        <v>0.0045</v>
      </c>
      <c r="K20" s="44">
        <f t="shared" si="2"/>
        <v>0.00225</v>
      </c>
      <c r="L20" s="53">
        <f t="shared" si="4"/>
        <v>0.0045</v>
      </c>
      <c r="M20" s="44">
        <f t="shared" si="2"/>
        <v>0.00225</v>
      </c>
      <c r="N20" s="48" t="s">
        <v>29</v>
      </c>
      <c r="O20" s="65">
        <v>0.0028</v>
      </c>
      <c r="P20" s="48">
        <f t="shared" si="3"/>
        <v>0.0014</v>
      </c>
      <c r="Q20" s="48">
        <f t="shared" si="5"/>
        <v>0.0014</v>
      </c>
      <c r="R20" s="48">
        <f t="shared" si="3"/>
        <v>0.0007</v>
      </c>
    </row>
    <row r="21" spans="1:18" ht="12.75">
      <c r="A21" s="37"/>
      <c r="B21" s="37" t="s">
        <v>39</v>
      </c>
      <c r="C21" s="39">
        <v>0.1</v>
      </c>
      <c r="D21" s="39"/>
      <c r="E21" s="48">
        <v>0.0055</v>
      </c>
      <c r="F21" s="48">
        <f t="shared" si="0"/>
        <v>0.00055</v>
      </c>
      <c r="G21" s="48">
        <f t="shared" si="1"/>
        <v>0.0055</v>
      </c>
      <c r="H21" s="48">
        <f t="shared" si="0"/>
        <v>0.00055</v>
      </c>
      <c r="I21" s="48"/>
      <c r="J21" s="20">
        <v>0.0061</v>
      </c>
      <c r="K21" s="44">
        <f t="shared" si="2"/>
        <v>0.0006100000000000001</v>
      </c>
      <c r="L21" s="53">
        <f t="shared" si="4"/>
        <v>0.0061</v>
      </c>
      <c r="M21" s="44">
        <f t="shared" si="2"/>
        <v>0.0006100000000000001</v>
      </c>
      <c r="N21" s="48"/>
      <c r="O21" s="65">
        <v>0.0044</v>
      </c>
      <c r="P21" s="48">
        <f t="shared" si="3"/>
        <v>0.00044000000000000007</v>
      </c>
      <c r="Q21" s="48">
        <f t="shared" si="5"/>
        <v>0.0044</v>
      </c>
      <c r="R21" s="48">
        <f t="shared" si="3"/>
        <v>0.00044000000000000007</v>
      </c>
    </row>
    <row r="22" spans="1:18" ht="12.75">
      <c r="A22" s="37"/>
      <c r="B22" s="37" t="s">
        <v>40</v>
      </c>
      <c r="C22" s="39">
        <v>0.1</v>
      </c>
      <c r="D22" s="39"/>
      <c r="E22" s="48">
        <v>0.0024</v>
      </c>
      <c r="F22" s="48">
        <f t="shared" si="0"/>
        <v>0.00023999999999999998</v>
      </c>
      <c r="G22" s="48">
        <f t="shared" si="1"/>
        <v>0.0024</v>
      </c>
      <c r="H22" s="48">
        <f t="shared" si="0"/>
        <v>0.00023999999999999998</v>
      </c>
      <c r="I22" s="48"/>
      <c r="J22" s="20">
        <v>0.003</v>
      </c>
      <c r="K22" s="44">
        <f t="shared" si="2"/>
        <v>0.00030000000000000003</v>
      </c>
      <c r="L22" s="53">
        <f t="shared" si="4"/>
        <v>0.003</v>
      </c>
      <c r="M22" s="44">
        <f t="shared" si="2"/>
        <v>0.00030000000000000003</v>
      </c>
      <c r="N22" s="48" t="s">
        <v>29</v>
      </c>
      <c r="O22" s="65">
        <v>0.0022</v>
      </c>
      <c r="P22" s="48">
        <f t="shared" si="3"/>
        <v>0.00022000000000000003</v>
      </c>
      <c r="Q22" s="48">
        <f t="shared" si="5"/>
        <v>0.0011</v>
      </c>
      <c r="R22" s="48">
        <f t="shared" si="3"/>
        <v>0.00011000000000000002</v>
      </c>
    </row>
    <row r="23" spans="1:18" ht="12.75">
      <c r="A23" s="37"/>
      <c r="B23" s="37" t="s">
        <v>41</v>
      </c>
      <c r="C23" s="39">
        <v>0.1</v>
      </c>
      <c r="D23" s="39" t="s">
        <v>29</v>
      </c>
      <c r="E23" s="48">
        <v>0.0034</v>
      </c>
      <c r="F23" s="48">
        <f t="shared" si="0"/>
        <v>0.00034</v>
      </c>
      <c r="G23" s="48">
        <f t="shared" si="1"/>
        <v>0.0017</v>
      </c>
      <c r="H23" s="48">
        <f t="shared" si="0"/>
        <v>0.00017</v>
      </c>
      <c r="I23" s="48"/>
      <c r="J23" s="20">
        <v>0.0048</v>
      </c>
      <c r="K23" s="44">
        <f t="shared" si="2"/>
        <v>0.00047999999999999996</v>
      </c>
      <c r="L23" s="53">
        <f t="shared" si="4"/>
        <v>0.0048</v>
      </c>
      <c r="M23" s="44">
        <f t="shared" si="2"/>
        <v>0.00047999999999999996</v>
      </c>
      <c r="N23" s="48"/>
      <c r="O23" s="65">
        <v>0.0032</v>
      </c>
      <c r="P23" s="48">
        <f t="shared" si="3"/>
        <v>0.00032</v>
      </c>
      <c r="Q23" s="48">
        <f t="shared" si="5"/>
        <v>0.0032</v>
      </c>
      <c r="R23" s="48">
        <f t="shared" si="3"/>
        <v>0.00032</v>
      </c>
    </row>
    <row r="24" spans="1:18" ht="12.75">
      <c r="A24" s="37"/>
      <c r="B24" s="37" t="s">
        <v>42</v>
      </c>
      <c r="C24" s="39">
        <v>0.1</v>
      </c>
      <c r="D24" s="39" t="s">
        <v>29</v>
      </c>
      <c r="E24" s="48">
        <v>0.0028</v>
      </c>
      <c r="F24" s="48">
        <f t="shared" si="0"/>
        <v>0.00028000000000000003</v>
      </c>
      <c r="G24" s="48">
        <f t="shared" si="1"/>
        <v>0.0014</v>
      </c>
      <c r="H24" s="48">
        <f t="shared" si="0"/>
        <v>0.00014000000000000001</v>
      </c>
      <c r="I24" s="48" t="s">
        <v>29</v>
      </c>
      <c r="J24" s="20">
        <v>0.0028</v>
      </c>
      <c r="K24" s="44">
        <f t="shared" si="2"/>
        <v>0.00028000000000000003</v>
      </c>
      <c r="L24" s="53">
        <f t="shared" si="4"/>
        <v>0.0014</v>
      </c>
      <c r="M24" s="44">
        <f t="shared" si="2"/>
        <v>0.00014000000000000001</v>
      </c>
      <c r="N24" s="48" t="s">
        <v>29</v>
      </c>
      <c r="O24" s="65">
        <v>0.0028</v>
      </c>
      <c r="P24" s="48">
        <f t="shared" si="3"/>
        <v>0.00028000000000000003</v>
      </c>
      <c r="Q24" s="48">
        <f t="shared" si="5"/>
        <v>0.0014</v>
      </c>
      <c r="R24" s="48">
        <f t="shared" si="3"/>
        <v>0.00014000000000000001</v>
      </c>
    </row>
    <row r="25" spans="1:18" ht="12.75">
      <c r="A25" s="37"/>
      <c r="B25" s="37" t="s">
        <v>43</v>
      </c>
      <c r="C25" s="39">
        <v>0.01</v>
      </c>
      <c r="D25" s="39"/>
      <c r="E25" s="48">
        <v>0.0095</v>
      </c>
      <c r="F25" s="48">
        <f t="shared" si="0"/>
        <v>9.5E-05</v>
      </c>
      <c r="G25" s="48">
        <f t="shared" si="1"/>
        <v>0.0095</v>
      </c>
      <c r="H25" s="48">
        <f t="shared" si="0"/>
        <v>9.5E-05</v>
      </c>
      <c r="I25" s="48"/>
      <c r="J25" s="20">
        <v>0.012</v>
      </c>
      <c r="K25" s="44">
        <f t="shared" si="2"/>
        <v>0.00012</v>
      </c>
      <c r="L25" s="53">
        <f t="shared" si="4"/>
        <v>0.012</v>
      </c>
      <c r="M25" s="44">
        <f t="shared" si="2"/>
        <v>0.00012</v>
      </c>
      <c r="N25" s="48"/>
      <c r="O25" s="65">
        <v>0.013</v>
      </c>
      <c r="P25" s="48">
        <f t="shared" si="3"/>
        <v>0.00013</v>
      </c>
      <c r="Q25" s="48">
        <f t="shared" si="5"/>
        <v>0.013</v>
      </c>
      <c r="R25" s="48">
        <f t="shared" si="3"/>
        <v>0.00013</v>
      </c>
    </row>
    <row r="26" spans="1:18" ht="12.75">
      <c r="A26" s="37"/>
      <c r="B26" s="37" t="s">
        <v>44</v>
      </c>
      <c r="C26" s="39">
        <v>0.01</v>
      </c>
      <c r="D26" s="39" t="s">
        <v>29</v>
      </c>
      <c r="E26" s="48">
        <v>0.0025</v>
      </c>
      <c r="F26" s="48">
        <f t="shared" si="0"/>
        <v>2.5E-05</v>
      </c>
      <c r="G26" s="48">
        <f t="shared" si="1"/>
        <v>0.00125</v>
      </c>
      <c r="H26" s="48">
        <f t="shared" si="0"/>
        <v>1.25E-05</v>
      </c>
      <c r="I26" s="48" t="s">
        <v>29</v>
      </c>
      <c r="J26" s="20">
        <v>0.0025</v>
      </c>
      <c r="K26" s="44">
        <f t="shared" si="2"/>
        <v>2.5E-05</v>
      </c>
      <c r="L26" s="53">
        <f t="shared" si="4"/>
        <v>0.00125</v>
      </c>
      <c r="M26" s="44">
        <f t="shared" si="2"/>
        <v>1.25E-05</v>
      </c>
      <c r="N26" s="48" t="s">
        <v>29</v>
      </c>
      <c r="O26" s="65">
        <v>0.0025</v>
      </c>
      <c r="P26" s="48">
        <f t="shared" si="3"/>
        <v>2.5E-05</v>
      </c>
      <c r="Q26" s="48">
        <f t="shared" si="5"/>
        <v>0.00125</v>
      </c>
      <c r="R26" s="48">
        <f t="shared" si="3"/>
        <v>1.25E-05</v>
      </c>
    </row>
    <row r="27" spans="1:18" ht="12.75">
      <c r="A27" s="37"/>
      <c r="B27" s="37" t="s">
        <v>45</v>
      </c>
      <c r="C27" s="39">
        <v>0.001</v>
      </c>
      <c r="D27" s="39"/>
      <c r="E27" s="48">
        <v>0.0075</v>
      </c>
      <c r="F27" s="48">
        <f t="shared" si="0"/>
        <v>7.5E-06</v>
      </c>
      <c r="G27" s="48">
        <f t="shared" si="1"/>
        <v>0.0075</v>
      </c>
      <c r="H27" s="48">
        <f t="shared" si="0"/>
        <v>7.5E-06</v>
      </c>
      <c r="I27" s="48" t="s">
        <v>29</v>
      </c>
      <c r="J27" s="20">
        <v>0.0062</v>
      </c>
      <c r="K27" s="44">
        <f t="shared" si="2"/>
        <v>6.2E-06</v>
      </c>
      <c r="L27" s="53">
        <f t="shared" si="4"/>
        <v>0.0031</v>
      </c>
      <c r="M27" s="44">
        <f t="shared" si="2"/>
        <v>3.1E-06</v>
      </c>
      <c r="N27" s="48"/>
      <c r="O27" s="65">
        <v>0.0059</v>
      </c>
      <c r="P27" s="48">
        <f t="shared" si="3"/>
        <v>5.9E-06</v>
      </c>
      <c r="Q27" s="48">
        <f t="shared" si="5"/>
        <v>0.0059</v>
      </c>
      <c r="R27" s="48">
        <f t="shared" si="3"/>
        <v>5.9E-06</v>
      </c>
    </row>
    <row r="28" spans="1:18" ht="12.75">
      <c r="A28" s="37"/>
      <c r="B28" s="37" t="s">
        <v>130</v>
      </c>
      <c r="C28" s="39">
        <v>0</v>
      </c>
      <c r="D28" s="39"/>
      <c r="E28" s="53"/>
      <c r="F28" s="53">
        <f t="shared" si="0"/>
      </c>
      <c r="G28" s="53">
        <f t="shared" si="1"/>
      </c>
      <c r="H28" s="53">
        <f t="shared" si="0"/>
      </c>
      <c r="I28" s="48"/>
      <c r="J28" s="34"/>
      <c r="K28" s="44">
        <f t="shared" si="2"/>
      </c>
      <c r="L28" s="53">
        <f t="shared" si="4"/>
      </c>
      <c r="M28" s="44">
        <f t="shared" si="2"/>
      </c>
      <c r="N28" s="48"/>
      <c r="O28" s="53"/>
      <c r="P28" s="53">
        <f t="shared" si="3"/>
      </c>
      <c r="Q28" s="53">
        <f t="shared" si="5"/>
      </c>
      <c r="R28" s="53">
        <f t="shared" si="3"/>
      </c>
    </row>
    <row r="29" spans="1:18" ht="12.75">
      <c r="A29" s="37"/>
      <c r="B29" s="37" t="s">
        <v>131</v>
      </c>
      <c r="C29" s="39">
        <v>0</v>
      </c>
      <c r="D29" s="39"/>
      <c r="E29" s="53"/>
      <c r="F29" s="53">
        <f t="shared" si="0"/>
      </c>
      <c r="G29" s="53">
        <f t="shared" si="1"/>
      </c>
      <c r="H29" s="53">
        <f t="shared" si="0"/>
      </c>
      <c r="I29" s="48"/>
      <c r="J29" s="20"/>
      <c r="K29" s="44">
        <f t="shared" si="2"/>
      </c>
      <c r="L29" s="53">
        <f t="shared" si="4"/>
      </c>
      <c r="M29" s="44">
        <f t="shared" si="2"/>
      </c>
      <c r="N29" s="48"/>
      <c r="O29" s="54"/>
      <c r="P29" s="53">
        <f t="shared" si="3"/>
      </c>
      <c r="Q29" s="53">
        <f t="shared" si="5"/>
      </c>
      <c r="R29" s="53">
        <f t="shared" si="3"/>
      </c>
    </row>
    <row r="30" spans="1:18" ht="12.75">
      <c r="A30" s="37"/>
      <c r="B30" s="37" t="s">
        <v>132</v>
      </c>
      <c r="C30" s="39">
        <v>0</v>
      </c>
      <c r="D30" s="39"/>
      <c r="E30" s="53"/>
      <c r="F30" s="53">
        <f t="shared" si="0"/>
      </c>
      <c r="G30" s="53">
        <f t="shared" si="1"/>
      </c>
      <c r="H30" s="53">
        <f t="shared" si="0"/>
      </c>
      <c r="I30" s="48"/>
      <c r="J30" s="20"/>
      <c r="K30" s="44">
        <f t="shared" si="2"/>
      </c>
      <c r="L30" s="53">
        <f t="shared" si="4"/>
      </c>
      <c r="M30" s="44">
        <f t="shared" si="2"/>
      </c>
      <c r="N30" s="48"/>
      <c r="O30" s="54"/>
      <c r="P30" s="53">
        <f t="shared" si="3"/>
      </c>
      <c r="Q30" s="53">
        <f t="shared" si="5"/>
      </c>
      <c r="R30" s="53">
        <f t="shared" si="3"/>
      </c>
    </row>
    <row r="31" spans="1:18" ht="12.75">
      <c r="A31" s="37"/>
      <c r="B31" s="37" t="s">
        <v>133</v>
      </c>
      <c r="C31" s="39">
        <v>0</v>
      </c>
      <c r="D31" s="39"/>
      <c r="E31" s="53"/>
      <c r="F31" s="53">
        <f t="shared" si="0"/>
      </c>
      <c r="G31" s="53">
        <f t="shared" si="1"/>
      </c>
      <c r="H31" s="53">
        <f t="shared" si="0"/>
      </c>
      <c r="I31" s="48"/>
      <c r="J31" s="20"/>
      <c r="K31" s="44">
        <f t="shared" si="2"/>
      </c>
      <c r="L31" s="53">
        <f t="shared" si="4"/>
      </c>
      <c r="M31" s="44">
        <f t="shared" si="2"/>
      </c>
      <c r="N31" s="48"/>
      <c r="O31" s="54"/>
      <c r="P31" s="53">
        <f t="shared" si="3"/>
      </c>
      <c r="Q31" s="53">
        <f t="shared" si="5"/>
      </c>
      <c r="R31" s="53">
        <f t="shared" si="3"/>
      </c>
    </row>
    <row r="32" spans="1:18" ht="12.75">
      <c r="A32" s="37"/>
      <c r="B32" s="37" t="s">
        <v>134</v>
      </c>
      <c r="C32" s="39">
        <v>0</v>
      </c>
      <c r="D32" s="39"/>
      <c r="E32" s="53"/>
      <c r="F32" s="53">
        <f t="shared" si="0"/>
      </c>
      <c r="G32" s="53">
        <f t="shared" si="1"/>
      </c>
      <c r="H32" s="53">
        <f t="shared" si="0"/>
      </c>
      <c r="I32" s="48"/>
      <c r="J32" s="20"/>
      <c r="K32" s="44">
        <f t="shared" si="2"/>
      </c>
      <c r="L32" s="53">
        <f t="shared" si="4"/>
      </c>
      <c r="M32" s="44">
        <f t="shared" si="2"/>
      </c>
      <c r="N32" s="48"/>
      <c r="O32" s="54"/>
      <c r="P32" s="53">
        <f t="shared" si="3"/>
      </c>
      <c r="Q32" s="53">
        <f t="shared" si="5"/>
      </c>
      <c r="R32" s="53">
        <f t="shared" si="3"/>
      </c>
    </row>
    <row r="33" spans="1:18" ht="12.75">
      <c r="A33" s="37"/>
      <c r="B33" s="37" t="s">
        <v>135</v>
      </c>
      <c r="C33" s="39">
        <v>0</v>
      </c>
      <c r="D33" s="39"/>
      <c r="E33" s="53"/>
      <c r="F33" s="53">
        <f t="shared" si="0"/>
      </c>
      <c r="G33" s="53">
        <f t="shared" si="1"/>
      </c>
      <c r="H33" s="53">
        <f t="shared" si="0"/>
      </c>
      <c r="I33" s="48"/>
      <c r="J33" s="20"/>
      <c r="K33" s="44">
        <f t="shared" si="2"/>
      </c>
      <c r="L33" s="53">
        <f t="shared" si="4"/>
      </c>
      <c r="M33" s="44">
        <f t="shared" si="2"/>
      </c>
      <c r="N33" s="48"/>
      <c r="O33" s="54"/>
      <c r="P33" s="53">
        <f t="shared" si="3"/>
      </c>
      <c r="Q33" s="53">
        <f t="shared" si="5"/>
      </c>
      <c r="R33" s="53">
        <f t="shared" si="3"/>
      </c>
    </row>
    <row r="34" spans="1:18" ht="12.75">
      <c r="A34" s="37"/>
      <c r="B34" s="37" t="s">
        <v>136</v>
      </c>
      <c r="C34" s="39">
        <v>0</v>
      </c>
      <c r="D34" s="39"/>
      <c r="E34" s="53"/>
      <c r="F34" s="53">
        <f t="shared" si="0"/>
      </c>
      <c r="G34" s="53">
        <f t="shared" si="1"/>
      </c>
      <c r="H34" s="53">
        <f t="shared" si="0"/>
      </c>
      <c r="I34" s="48"/>
      <c r="J34" s="20"/>
      <c r="K34" s="44">
        <f t="shared" si="2"/>
      </c>
      <c r="L34" s="53">
        <f t="shared" si="4"/>
      </c>
      <c r="M34" s="44">
        <f t="shared" si="2"/>
      </c>
      <c r="N34" s="48"/>
      <c r="O34" s="54"/>
      <c r="P34" s="53">
        <f t="shared" si="3"/>
      </c>
      <c r="Q34" s="53">
        <f t="shared" si="5"/>
      </c>
      <c r="R34" s="53">
        <f t="shared" si="3"/>
      </c>
    </row>
    <row r="35" spans="1:18" ht="12.75">
      <c r="A35" s="37"/>
      <c r="B35" s="37" t="s">
        <v>137</v>
      </c>
      <c r="C35" s="39">
        <v>0</v>
      </c>
      <c r="D35" s="39"/>
      <c r="E35" s="53"/>
      <c r="F35" s="53">
        <f t="shared" si="0"/>
      </c>
      <c r="G35" s="53">
        <f t="shared" si="1"/>
      </c>
      <c r="H35" s="53">
        <f t="shared" si="0"/>
      </c>
      <c r="I35" s="48"/>
      <c r="J35" s="20"/>
      <c r="K35" s="44">
        <f t="shared" si="2"/>
      </c>
      <c r="L35" s="53">
        <f t="shared" si="4"/>
      </c>
      <c r="M35" s="44">
        <f t="shared" si="2"/>
      </c>
      <c r="N35" s="48"/>
      <c r="O35" s="54"/>
      <c r="P35" s="53">
        <f t="shared" si="3"/>
      </c>
      <c r="Q35" s="53">
        <f t="shared" si="5"/>
      </c>
      <c r="R35" s="53">
        <f t="shared" si="3"/>
      </c>
    </row>
    <row r="36" spans="1:18" ht="12.75">
      <c r="A36" s="37"/>
      <c r="B36" s="37"/>
      <c r="C36" s="37"/>
      <c r="D36" s="37"/>
      <c r="E36" s="44"/>
      <c r="F36" s="48"/>
      <c r="G36" s="44"/>
      <c r="H36" s="48"/>
      <c r="I36" s="44"/>
      <c r="J36" s="20"/>
      <c r="K36" s="41"/>
      <c r="L36" s="41"/>
      <c r="M36" s="41"/>
      <c r="N36" s="44"/>
      <c r="O36" s="20"/>
      <c r="P36" s="47"/>
      <c r="Q36" s="44"/>
      <c r="R36" s="47"/>
    </row>
    <row r="37" spans="1:18" ht="12.75">
      <c r="A37" s="37"/>
      <c r="B37" s="37" t="s">
        <v>46</v>
      </c>
      <c r="C37" s="37"/>
      <c r="D37" s="37"/>
      <c r="E37" s="44"/>
      <c r="F37" s="44">
        <v>137.359</v>
      </c>
      <c r="G37" s="44">
        <v>137.359</v>
      </c>
      <c r="H37" s="44">
        <v>137.359</v>
      </c>
      <c r="I37" s="44"/>
      <c r="J37" s="44"/>
      <c r="K37" s="44">
        <v>130.957</v>
      </c>
      <c r="L37" s="44">
        <v>130.957</v>
      </c>
      <c r="M37" s="44">
        <v>130.957</v>
      </c>
      <c r="N37" s="44"/>
      <c r="O37" s="44"/>
      <c r="P37" s="44">
        <v>141.722</v>
      </c>
      <c r="Q37" s="44">
        <v>141.722</v>
      </c>
      <c r="R37" s="44">
        <v>141.722</v>
      </c>
    </row>
    <row r="38" spans="1:18" ht="12.75">
      <c r="A38" s="37"/>
      <c r="B38" s="37" t="s">
        <v>74</v>
      </c>
      <c r="C38" s="37"/>
      <c r="D38" s="37"/>
      <c r="E38" s="44"/>
      <c r="F38" s="44">
        <v>6.2</v>
      </c>
      <c r="G38" s="44">
        <v>6.2</v>
      </c>
      <c r="H38" s="44">
        <v>6.2</v>
      </c>
      <c r="I38" s="44"/>
      <c r="J38" s="44"/>
      <c r="K38" s="41">
        <v>7.4</v>
      </c>
      <c r="L38" s="41">
        <v>7.4</v>
      </c>
      <c r="M38" s="41">
        <v>7.4</v>
      </c>
      <c r="N38" s="44"/>
      <c r="O38" s="44"/>
      <c r="P38" s="44">
        <v>7.6</v>
      </c>
      <c r="Q38" s="44">
        <v>7.6</v>
      </c>
      <c r="R38" s="44">
        <v>7.6</v>
      </c>
    </row>
    <row r="39" spans="1:18" ht="12.75">
      <c r="A39" s="37"/>
      <c r="B39" s="37"/>
      <c r="C39" s="37"/>
      <c r="D39" s="37"/>
      <c r="E39" s="44"/>
      <c r="F39" s="20"/>
      <c r="G39" s="44"/>
      <c r="H39" s="20"/>
      <c r="I39" s="20"/>
      <c r="J39" s="44"/>
      <c r="K39" s="45"/>
      <c r="L39" s="41"/>
      <c r="M39" s="45"/>
      <c r="N39" s="44"/>
      <c r="O39" s="44"/>
      <c r="P39" s="44"/>
      <c r="Q39" s="44"/>
      <c r="R39" s="44"/>
    </row>
    <row r="40" spans="1:18" ht="12.75">
      <c r="A40" s="37"/>
      <c r="B40" s="37" t="s">
        <v>180</v>
      </c>
      <c r="C40" s="48"/>
      <c r="D40" s="48"/>
      <c r="E40" s="41"/>
      <c r="F40" s="43">
        <f>SUM(F11:F27)</f>
        <v>0.008933500000000002</v>
      </c>
      <c r="G40" s="43">
        <f>SUM(G27,G35,G34,G33,G32,G17,G31,G30,G29,G28)</f>
        <v>0.058499999999999996</v>
      </c>
      <c r="H40" s="43">
        <f>SUM(H11:H27)</f>
        <v>0.0066485</v>
      </c>
      <c r="I40" s="43"/>
      <c r="J40" s="43"/>
      <c r="K40" s="43">
        <f>SUM(K11:K27)</f>
        <v>0.0095022</v>
      </c>
      <c r="L40" s="43">
        <f>SUM(L27,L35,L34,L33,L32,L17,L31,L30,L29,L28)</f>
        <v>0.0441</v>
      </c>
      <c r="M40" s="43">
        <f>SUM(M11:M27)</f>
        <v>0.007446600000000001</v>
      </c>
      <c r="N40" s="43"/>
      <c r="O40" s="43"/>
      <c r="P40" s="43">
        <f>SUM(P11:P27)</f>
        <v>0.0075799</v>
      </c>
      <c r="Q40" s="43">
        <f>SUM(Q27,Q35,Q34,Q33,Q32,Q17,Q31,Q30,Q29,Q28)</f>
        <v>0.0319</v>
      </c>
      <c r="R40" s="43">
        <f>SUM(R11:R27)</f>
        <v>0.004614900000000001</v>
      </c>
    </row>
    <row r="41" spans="1:18" ht="12.75">
      <c r="A41" s="37"/>
      <c r="B41" s="37" t="s">
        <v>47</v>
      </c>
      <c r="C41" s="48"/>
      <c r="D41" s="41">
        <f>(F41-H41)*2/F41*100</f>
        <v>51.15576201936537</v>
      </c>
      <c r="E41" s="44"/>
      <c r="F41" s="48">
        <f>(F40/F37/0.0283*(21-7)/(21-F38))</f>
        <v>0.002173924244914254</v>
      </c>
      <c r="G41" s="48">
        <f>(G40/G37/0.0283*(21-7)/(21-G38))</f>
        <v>0.014235693549838677</v>
      </c>
      <c r="H41" s="48">
        <f>(H40/H37/0.0283*(21-7)/(21-H38))</f>
        <v>0.0016178804883094434</v>
      </c>
      <c r="I41" s="41">
        <f>(K41-M41)*2/K41*100</f>
        <v>43.26577003220308</v>
      </c>
      <c r="J41" s="48"/>
      <c r="K41" s="48">
        <f>K40/K37/0.0283*(21-7)/(21-K38)</f>
        <v>0.0026393570264488238</v>
      </c>
      <c r="L41" s="48">
        <f>(L40/L37/0.0283*(21-7)/(21-L38))</f>
        <v>0.012249336455388551</v>
      </c>
      <c r="M41" s="48">
        <f>M40/M37/0.0283*(21-7)/(21-M38)</f>
        <v>0.002068387955752753</v>
      </c>
      <c r="N41" s="41">
        <f>(P41-R41)*2/P41*100</f>
        <v>78.2332220741698</v>
      </c>
      <c r="O41" s="48"/>
      <c r="P41" s="48">
        <f>P40/P37/0.0283*(21-7)/(21-P38)</f>
        <v>0.0019745266756159923</v>
      </c>
      <c r="Q41" s="48">
        <f>(Q40/Q37/0.0283*(21-7)/(21-Q38))</f>
        <v>0.0083097931307999</v>
      </c>
      <c r="R41" s="48">
        <f>R40/R37/0.0283*(21-7)/(21-R38)</f>
        <v>0.0012021587560918014</v>
      </c>
    </row>
    <row r="42" spans="1:18" ht="12.75">
      <c r="A42" s="37"/>
      <c r="B42" s="37"/>
      <c r="C42" s="37"/>
      <c r="D42" s="37"/>
      <c r="E42" s="43"/>
      <c r="F42" s="48"/>
      <c r="G42" s="43"/>
      <c r="H42" s="48"/>
      <c r="I42" s="43"/>
      <c r="J42" s="43"/>
      <c r="K42" s="43"/>
      <c r="L42" s="43"/>
      <c r="M42" s="43"/>
      <c r="N42" s="43"/>
      <c r="O42" s="43"/>
      <c r="P42" s="47"/>
      <c r="Q42" s="43"/>
      <c r="R42" s="47"/>
    </row>
    <row r="43" spans="1:18" ht="12.75">
      <c r="A43" s="44"/>
      <c r="B43" s="37" t="s">
        <v>75</v>
      </c>
      <c r="C43" s="48">
        <f>AVERAGE(H41,M41,R41)</f>
        <v>0.0016294757333846657</v>
      </c>
      <c r="D43" s="44"/>
      <c r="E43" s="44"/>
      <c r="F43" s="48"/>
      <c r="G43" s="44"/>
      <c r="H43" s="48"/>
      <c r="I43" s="44"/>
      <c r="J43" s="44"/>
      <c r="K43" s="44"/>
      <c r="L43" s="44"/>
      <c r="M43" s="44"/>
      <c r="N43" s="44"/>
      <c r="O43" s="44"/>
      <c r="P43" s="47"/>
      <c r="Q43" s="44"/>
      <c r="R43" s="47"/>
    </row>
    <row r="44" spans="1:18" ht="12.75">
      <c r="A44" s="37"/>
      <c r="B44" s="37" t="s">
        <v>76</v>
      </c>
      <c r="C44" s="48">
        <f>AVERAGE(G41,L41,Q41)</f>
        <v>0.01159827437867571</v>
      </c>
      <c r="D44" s="37"/>
      <c r="E44" s="47"/>
      <c r="F44" s="48"/>
      <c r="G44" s="47"/>
      <c r="H44" s="48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85" spans="1:18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7"/>
      <c r="G86" s="4"/>
      <c r="H86" s="7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7"/>
      <c r="F87" s="3"/>
      <c r="G87" s="5"/>
      <c r="H87" s="3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2004-02-24T21:21:18Z</cp:lastPrinted>
  <dcterms:created xsi:type="dcterms:W3CDTF">2000-01-10T00:44:42Z</dcterms:created>
  <dcterms:modified xsi:type="dcterms:W3CDTF">2004-02-24T21:21:49Z</dcterms:modified>
  <cp:category/>
  <cp:version/>
  <cp:contentType/>
  <cp:contentStatus/>
</cp:coreProperties>
</file>