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0" windowWidth="12030" windowHeight="6570" tabRatio="602" activeTab="5"/>
  </bookViews>
  <sheets>
    <sheet name="list" sheetId="1" r:id="rId1"/>
    <sheet name="source" sheetId="2" r:id="rId2"/>
    <sheet name="cond" sheetId="3" r:id="rId3"/>
    <sheet name="emiss" sheetId="4" r:id="rId4"/>
    <sheet name="feed" sheetId="5" r:id="rId5"/>
    <sheet name="process" sheetId="6" r:id="rId6"/>
  </sheets>
  <definedNames>
    <definedName name="_xlnm.Print_Titles" localSheetId="4">'feed'!$B:$B</definedName>
  </definedNames>
  <calcPr fullCalcOnLoad="1"/>
</workbook>
</file>

<file path=xl/sharedStrings.xml><?xml version="1.0" encoding="utf-8"?>
<sst xmlns="http://schemas.openxmlformats.org/spreadsheetml/2006/main" count="1151" uniqueCount="185">
  <si>
    <t>EPA ID No.</t>
  </si>
  <si>
    <t>Facility Name</t>
  </si>
  <si>
    <t>Facility Location</t>
  </si>
  <si>
    <t xml:space="preserve">    City</t>
  </si>
  <si>
    <t xml:space="preserve">    State</t>
  </si>
  <si>
    <t>Unit ID Name/No.</t>
  </si>
  <si>
    <t>Other Sister Facilities</t>
  </si>
  <si>
    <t>APCS Characteristics</t>
  </si>
  <si>
    <t>Stack Characteristics</t>
  </si>
  <si>
    <t xml:space="preserve">    Diameter (ft)</t>
  </si>
  <si>
    <t xml:space="preserve">    Height (ft)</t>
  </si>
  <si>
    <t>Permitting Status</t>
  </si>
  <si>
    <t>Units</t>
  </si>
  <si>
    <t>PM</t>
  </si>
  <si>
    <t>gr/dscf</t>
  </si>
  <si>
    <t>y</t>
  </si>
  <si>
    <t>ppmv</t>
  </si>
  <si>
    <t>dscfm</t>
  </si>
  <si>
    <t>%</t>
  </si>
  <si>
    <t>°F</t>
  </si>
  <si>
    <t>Total</t>
  </si>
  <si>
    <t>Feedstream Description</t>
  </si>
  <si>
    <t>Ash</t>
  </si>
  <si>
    <t>DRE</t>
  </si>
  <si>
    <t>lb/hr</t>
  </si>
  <si>
    <t>Run 1</t>
  </si>
  <si>
    <t>Run 2</t>
  </si>
  <si>
    <r>
      <t>o</t>
    </r>
    <r>
      <rPr>
        <sz val="10"/>
        <rFont val="Arial"/>
        <family val="2"/>
      </rPr>
      <t>F</t>
    </r>
  </si>
  <si>
    <t>MMBtu/hr</t>
  </si>
  <si>
    <t>ug/dscm</t>
  </si>
  <si>
    <t>SVM</t>
  </si>
  <si>
    <t>LVM</t>
  </si>
  <si>
    <t>Stack Gas Flowrate</t>
  </si>
  <si>
    <t>Oxygen</t>
  </si>
  <si>
    <t>mg/dscm</t>
  </si>
  <si>
    <t>Combustor Characteristics</t>
  </si>
  <si>
    <t>7% O2</t>
  </si>
  <si>
    <t>Process Information</t>
  </si>
  <si>
    <t>Hazardous Wastes</t>
  </si>
  <si>
    <t>Supplemental Fuel</t>
  </si>
  <si>
    <t>POHC DRE</t>
  </si>
  <si>
    <t>Capacity (MMBtu/hr)</t>
  </si>
  <si>
    <t xml:space="preserve">    Gas Velocity (ft/sec)</t>
  </si>
  <si>
    <t xml:space="preserve">    Gas Temperature (°F)</t>
  </si>
  <si>
    <t>Feedrate MTEC Calculations</t>
  </si>
  <si>
    <t>Source Description</t>
  </si>
  <si>
    <t>Soot Blowing</t>
  </si>
  <si>
    <t>Haz Waste Description</t>
  </si>
  <si>
    <t xml:space="preserve">   Temperature</t>
  </si>
  <si>
    <t xml:space="preserve">   Stack Gas Flowrate</t>
  </si>
  <si>
    <t>Lead</t>
  </si>
  <si>
    <t>Antimony</t>
  </si>
  <si>
    <t>Arsenic</t>
  </si>
  <si>
    <t>Barium</t>
  </si>
  <si>
    <t>Beryllium</t>
  </si>
  <si>
    <t>Cadmium</t>
  </si>
  <si>
    <t>Mercury</t>
  </si>
  <si>
    <t>Silver</t>
  </si>
  <si>
    <t>Thallium</t>
  </si>
  <si>
    <t>Comments</t>
  </si>
  <si>
    <t>Trial Burn</t>
  </si>
  <si>
    <t>POHC Feedrate</t>
  </si>
  <si>
    <t>Emission Rate</t>
  </si>
  <si>
    <t xml:space="preserve">   O2</t>
  </si>
  <si>
    <t xml:space="preserve">   Moisture</t>
  </si>
  <si>
    <t>CO (RA)</t>
  </si>
  <si>
    <t>Chromium</t>
  </si>
  <si>
    <t>Sampling Train</t>
  </si>
  <si>
    <t>Trial burn</t>
  </si>
  <si>
    <t>*</t>
  </si>
  <si>
    <t>Thermal Feedrate</t>
  </si>
  <si>
    <t>Feed Rate</t>
  </si>
  <si>
    <t>HWC Burn Status (Date if Terminated)</t>
  </si>
  <si>
    <t>Baghouse Pressure Drop</t>
  </si>
  <si>
    <t>Kiln Rotation</t>
  </si>
  <si>
    <t>rpm</t>
  </si>
  <si>
    <t>KS0213820467</t>
  </si>
  <si>
    <t>Kansas Army Ammunition Plant</t>
  </si>
  <si>
    <t>Parsons</t>
  </si>
  <si>
    <t>Explosive Waste Incinerator</t>
  </si>
  <si>
    <t>Trial Burn for Explosive Waste Incinerator, July 1995</t>
  </si>
  <si>
    <t>U.S. Army Center for Health Promotion and Preventive Medicine</t>
  </si>
  <si>
    <t>April 21-22, 1995</t>
  </si>
  <si>
    <t>Trial burn, M223 fuze feed</t>
  </si>
  <si>
    <t>PM, CO, metals</t>
  </si>
  <si>
    <t>April 24-27, 1995</t>
  </si>
  <si>
    <t>Trial burn, M48A1/M1911 feed</t>
  </si>
  <si>
    <t>April 29-30, 1995</t>
  </si>
  <si>
    <t>Trial burn, M1 propellant feed</t>
  </si>
  <si>
    <t>April 30 - May 1, 1995</t>
  </si>
  <si>
    <t>Trial burn, M30 propellant feed</t>
  </si>
  <si>
    <t>Trial burn, black powder feed</t>
  </si>
  <si>
    <t xml:space="preserve">PM </t>
  </si>
  <si>
    <t>HC (MHRA)</t>
  </si>
  <si>
    <t>PM, metals</t>
  </si>
  <si>
    <t>CO (MHRA)</t>
  </si>
  <si>
    <t>M223 Fuze</t>
  </si>
  <si>
    <t>DNT</t>
  </si>
  <si>
    <t>NG</t>
  </si>
  <si>
    <t>items/hr</t>
  </si>
  <si>
    <t>PEP</t>
  </si>
  <si>
    <t>Auxiliary Fuel</t>
  </si>
  <si>
    <t>gal/hr</t>
  </si>
  <si>
    <t>Aux. Heating Value</t>
  </si>
  <si>
    <t>Btu/gal</t>
  </si>
  <si>
    <t>0.45 cal M1911</t>
  </si>
  <si>
    <t>0.50 cal M48A1</t>
  </si>
  <si>
    <t>Propellant/explosive/pyrotechnic</t>
  </si>
  <si>
    <t>Pressure Draft</t>
  </si>
  <si>
    <t>Kiln Burner End Temp</t>
  </si>
  <si>
    <t>Afterburner Outlet Temp</t>
  </si>
  <si>
    <t>HTHE Outlet Temp</t>
  </si>
  <si>
    <t>LTHE Outlet Temp</t>
  </si>
  <si>
    <t>Baghouse Outlet Temp</t>
  </si>
  <si>
    <t>Gas Velocity</t>
  </si>
  <si>
    <t>Venturi</t>
  </si>
  <si>
    <t>Kiln Feed End Temp</t>
  </si>
  <si>
    <t>Trial burn, black powder/lime feed</t>
  </si>
  <si>
    <t>3012C1</t>
  </si>
  <si>
    <t>3012C2</t>
  </si>
  <si>
    <t>3012C3</t>
  </si>
  <si>
    <t>3012C4</t>
  </si>
  <si>
    <t>3012C5</t>
  </si>
  <si>
    <t>3012C6</t>
  </si>
  <si>
    <t>3012C7</t>
  </si>
  <si>
    <t xml:space="preserve">3012C1 </t>
  </si>
  <si>
    <t>Heating Value</t>
  </si>
  <si>
    <t>M1 Propellant</t>
  </si>
  <si>
    <t>M30 Propellant</t>
  </si>
  <si>
    <t>Black Powder</t>
  </si>
  <si>
    <t>Black Powder/Lime</t>
  </si>
  <si>
    <t>PM, CO</t>
  </si>
  <si>
    <t>PM, CO, Pb</t>
  </si>
  <si>
    <t>Day &amp; Zimmermann, Inc</t>
  </si>
  <si>
    <t>Trial Burn Retest for Explosive Waste Incinerator, January 1996</t>
  </si>
  <si>
    <t>Tier I for all metals; Tier III for Cr, Pb, Cd</t>
  </si>
  <si>
    <t>W.C</t>
  </si>
  <si>
    <t>ft/sec</t>
  </si>
  <si>
    <t>Afterburner, gas coolers, cyclone, fabric filter, bypass damper.  Gas coolers are designated the high and low temp heat exchange. The baghouse are silicone treated, heat set, and flameproofed. Bags are made by Tetratec Corp.</t>
  </si>
  <si>
    <t>KS</t>
  </si>
  <si>
    <t>AB/GC/C/FF</t>
  </si>
  <si>
    <t>Combustor Type</t>
  </si>
  <si>
    <t>Combustor Class</t>
  </si>
  <si>
    <t>Rotary kiln</t>
  </si>
  <si>
    <t>Condition Description</t>
  </si>
  <si>
    <t>Report Name/Date</t>
  </si>
  <si>
    <t>Report Prepare</t>
  </si>
  <si>
    <t>Testing Firm</t>
  </si>
  <si>
    <t>Testing Dates</t>
  </si>
  <si>
    <t>Condition Descr</t>
  </si>
  <si>
    <t>Content</t>
  </si>
  <si>
    <t>Stack Gas Emissions 1</t>
  </si>
  <si>
    <t>Cond Avg</t>
  </si>
  <si>
    <t>R1</t>
  </si>
  <si>
    <t>R2</t>
  </si>
  <si>
    <t>R3</t>
  </si>
  <si>
    <t>Feedstream 1</t>
  </si>
  <si>
    <t>E1</t>
  </si>
  <si>
    <t>Cond Dates</t>
  </si>
  <si>
    <t>Number of Sister Facilities</t>
  </si>
  <si>
    <t>APCS Detailed Acronym</t>
  </si>
  <si>
    <t>APCS General Class</t>
  </si>
  <si>
    <t>FF, C, HE</t>
  </si>
  <si>
    <t>Solid</t>
  </si>
  <si>
    <t>Oil</t>
  </si>
  <si>
    <t>source</t>
  </si>
  <si>
    <t>cond</t>
  </si>
  <si>
    <t>emiss</t>
  </si>
  <si>
    <t>feed</t>
  </si>
  <si>
    <t>process</t>
  </si>
  <si>
    <t>Onsite Incinerator, DoD munitions popping, government</t>
  </si>
  <si>
    <t>Feedstream Number</t>
  </si>
  <si>
    <t>Feed Class</t>
  </si>
  <si>
    <t>Solid HW</t>
  </si>
  <si>
    <t>Misc. Fuel</t>
  </si>
  <si>
    <t>F1</t>
  </si>
  <si>
    <t>F2</t>
  </si>
  <si>
    <t>F3</t>
  </si>
  <si>
    <t>F4</t>
  </si>
  <si>
    <t>F5</t>
  </si>
  <si>
    <t>Feed Class 2</t>
  </si>
  <si>
    <t>Estimated Firing Rate</t>
  </si>
  <si>
    <t>Phase I ID No.</t>
  </si>
  <si>
    <t>Rotary kiln. Desgined to destroy small ammunition or explosive end items and bulk explosive or propelling materials. Consist of waste feed monitoring system, afterburner, dual conveyor feed system. Equipped with a variable speed drive ranging from 0.5-4.5 rpm.</t>
  </si>
  <si>
    <t>Run 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</si>
</sst>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0.0000"/>
    <numFmt numFmtId="167" formatCode="0.000"/>
    <numFmt numFmtId="168" formatCode="#,##0.000"/>
    <numFmt numFmtId="169" formatCode="#,##0.0000"/>
    <numFmt numFmtId="170" formatCode="0.000000"/>
    <numFmt numFmtId="171" formatCode="0.00000"/>
    <numFmt numFmtId="172" formatCode="mmm\-yyyy"/>
    <numFmt numFmtId="173" formatCode="&quot;$&quot;#,##0.0"/>
    <numFmt numFmtId="174" formatCode="#,##0.0"/>
    <numFmt numFmtId="175" formatCode="0.00000000"/>
    <numFmt numFmtId="176" formatCode="0.0000000"/>
    <numFmt numFmtId="177" formatCode="0.0E+00"/>
  </numFmts>
  <fonts count="6">
    <font>
      <sz val="10"/>
      <name val="Arial"/>
      <family val="0"/>
    </font>
    <font>
      <sz val="10"/>
      <name val="Helv"/>
      <family val="0"/>
    </font>
    <font>
      <u val="single"/>
      <sz val="10"/>
      <color indexed="12"/>
      <name val="Arial"/>
      <family val="0"/>
    </font>
    <font>
      <b/>
      <sz val="10"/>
      <name val="Arial"/>
      <family val="2"/>
    </font>
    <font>
      <vertAlign val="superscript"/>
      <sz val="10"/>
      <name val="Arial"/>
      <family val="2"/>
    </font>
    <font>
      <i/>
      <sz val="10"/>
      <name val="Arial"/>
      <family val="2"/>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1" fillId="0" borderId="0" xfId="0" applyFont="1" applyAlignment="1">
      <alignment/>
    </xf>
    <xf numFmtId="165" fontId="0" fillId="0" borderId="0" xfId="0" applyNumberFormat="1" applyAlignment="1">
      <alignment/>
    </xf>
    <xf numFmtId="0" fontId="3" fillId="0" borderId="0" xfId="0" applyFont="1" applyAlignment="1">
      <alignment/>
    </xf>
    <xf numFmtId="0" fontId="4" fillId="0" borderId="0" xfId="0" applyFont="1" applyAlignment="1">
      <alignment/>
    </xf>
    <xf numFmtId="0" fontId="0" fillId="0" borderId="0" xfId="0" applyFont="1" applyFill="1" applyBorder="1" applyAlignment="1">
      <alignment horizontal="left"/>
    </xf>
    <xf numFmtId="0" fontId="0" fillId="0" borderId="0" xfId="0" applyFont="1" applyBorder="1" applyAlignment="1">
      <alignment horizontal="left"/>
    </xf>
    <xf numFmtId="165" fontId="0" fillId="0" borderId="0" xfId="0" applyNumberFormat="1" applyFont="1" applyBorder="1" applyAlignment="1">
      <alignment horizontal="right"/>
    </xf>
    <xf numFmtId="0" fontId="0" fillId="0" borderId="0" xfId="0" applyFont="1" applyAlignment="1">
      <alignment/>
    </xf>
    <xf numFmtId="0" fontId="0" fillId="0" borderId="0" xfId="0" applyFont="1" applyAlignment="1">
      <alignment horizontal="left"/>
    </xf>
    <xf numFmtId="165" fontId="0" fillId="0" borderId="0" xfId="0" applyNumberFormat="1" applyFont="1" applyAlignment="1">
      <alignment horizontal="left"/>
    </xf>
    <xf numFmtId="164" fontId="0" fillId="0" borderId="0" xfId="0" applyNumberFormat="1" applyFont="1" applyAlignment="1">
      <alignment horizontal="left"/>
    </xf>
    <xf numFmtId="0" fontId="3" fillId="0" borderId="0" xfId="0" applyFont="1" applyFill="1" applyBorder="1" applyAlignment="1">
      <alignment/>
    </xf>
    <xf numFmtId="0" fontId="0" fillId="0" borderId="0" xfId="0" applyFont="1" applyFill="1" applyBorder="1" applyAlignment="1">
      <alignment/>
    </xf>
    <xf numFmtId="0" fontId="0" fillId="0" borderId="0" xfId="0" applyNumberFormat="1" applyFont="1" applyFill="1" applyBorder="1" applyAlignment="1">
      <alignment/>
    </xf>
    <xf numFmtId="0" fontId="0" fillId="0" borderId="0" xfId="0" applyFont="1" applyFill="1" applyBorder="1" applyAlignment="1">
      <alignment horizontal="center"/>
    </xf>
    <xf numFmtId="0" fontId="0" fillId="0" borderId="0" xfId="0" applyNumberFormat="1" applyFont="1" applyFill="1" applyBorder="1" applyAlignment="1">
      <alignment horizontal="center"/>
    </xf>
    <xf numFmtId="0" fontId="3" fillId="0" borderId="0" xfId="0" applyFont="1" applyFill="1" applyBorder="1" applyAlignment="1">
      <alignment horizontal="left"/>
    </xf>
    <xf numFmtId="0" fontId="0" fillId="0" borderId="0" xfId="0" applyNumberFormat="1" applyFont="1" applyAlignment="1">
      <alignment/>
    </xf>
    <xf numFmtId="0" fontId="0" fillId="0" borderId="0" xfId="0" applyFont="1" applyFill="1" applyBorder="1" applyAlignment="1">
      <alignment horizontal="right"/>
    </xf>
    <xf numFmtId="0" fontId="0" fillId="0" borderId="0" xfId="0" applyNumberFormat="1" applyFont="1" applyFill="1" applyBorder="1" applyAlignment="1">
      <alignment horizontal="right"/>
    </xf>
    <xf numFmtId="11" fontId="0" fillId="0" borderId="0" xfId="0" applyNumberFormat="1" applyFont="1" applyFill="1" applyBorder="1" applyAlignment="1">
      <alignment/>
    </xf>
    <xf numFmtId="0" fontId="3"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horizontal="right"/>
    </xf>
    <xf numFmtId="2" fontId="0" fillId="0" borderId="0" xfId="0" applyNumberFormat="1" applyFont="1" applyBorder="1" applyAlignment="1">
      <alignment/>
    </xf>
    <xf numFmtId="165" fontId="0" fillId="0" borderId="0" xfId="0" applyNumberFormat="1" applyFont="1" applyAlignment="1">
      <alignment/>
    </xf>
    <xf numFmtId="0" fontId="0" fillId="0" borderId="0" xfId="0" applyFont="1" applyAlignment="1">
      <alignment vertical="top" wrapText="1"/>
    </xf>
    <xf numFmtId="0" fontId="0" fillId="0" borderId="0" xfId="0" applyFont="1" applyAlignment="1">
      <alignment horizontal="left" vertical="top" wrapText="1"/>
    </xf>
    <xf numFmtId="0" fontId="5" fillId="0" borderId="0" xfId="0" applyFont="1" applyBorder="1" applyAlignment="1">
      <alignment horizontal="left"/>
    </xf>
    <xf numFmtId="0" fontId="0" fillId="0" borderId="0" xfId="0" applyFont="1" applyAlignment="1">
      <alignment horizontal="center"/>
    </xf>
    <xf numFmtId="0" fontId="0" fillId="0" borderId="0" xfId="0" applyFont="1" applyAlignment="1">
      <alignment wrapText="1"/>
    </xf>
    <xf numFmtId="1" fontId="0" fillId="0" borderId="0" xfId="0" applyNumberFormat="1" applyFont="1" applyAlignment="1">
      <alignment horizontal="left"/>
    </xf>
    <xf numFmtId="11" fontId="0" fillId="0" borderId="0" xfId="0" applyNumberFormat="1" applyAlignment="1">
      <alignment/>
    </xf>
    <xf numFmtId="2" fontId="0" fillId="0" borderId="0" xfId="0" applyNumberFormat="1" applyAlignment="1">
      <alignmen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2" fontId="0" fillId="0" borderId="0" xfId="0" applyNumberFormat="1" applyFont="1" applyFill="1" applyBorder="1" applyAlignment="1">
      <alignment horizontal="right"/>
    </xf>
    <xf numFmtId="167" fontId="0" fillId="0" borderId="0" xfId="0" applyNumberFormat="1" applyAlignment="1">
      <alignment/>
    </xf>
    <xf numFmtId="165" fontId="0" fillId="0" borderId="0" xfId="0" applyNumberFormat="1" applyFont="1" applyFill="1" applyBorder="1" applyAlignment="1">
      <alignment horizontal="right"/>
    </xf>
    <xf numFmtId="165" fontId="0" fillId="0" borderId="0" xfId="0" applyNumberFormat="1" applyFont="1" applyFill="1" applyBorder="1" applyAlignment="1">
      <alignment/>
    </xf>
    <xf numFmtId="165" fontId="0" fillId="0" borderId="0" xfId="0" applyNumberFormat="1" applyFont="1" applyBorder="1" applyAlignment="1">
      <alignment horizontal="left"/>
    </xf>
    <xf numFmtId="1" fontId="0" fillId="0" borderId="0" xfId="0" applyNumberFormat="1" applyFont="1" applyFill="1" applyBorder="1" applyAlignment="1">
      <alignment horizontal="right"/>
    </xf>
    <xf numFmtId="1" fontId="0" fillId="0" borderId="0" xfId="0" applyNumberFormat="1" applyFont="1" applyBorder="1" applyAlignment="1">
      <alignment horizontal="right"/>
    </xf>
    <xf numFmtId="1" fontId="0" fillId="0" borderId="0" xfId="0" applyNumberFormat="1" applyFont="1" applyBorder="1" applyAlignment="1">
      <alignment/>
    </xf>
    <xf numFmtId="17" fontId="0" fillId="0" borderId="0" xfId="0" applyNumberFormat="1" applyFont="1" applyAlignment="1">
      <alignment horizontal="left"/>
    </xf>
    <xf numFmtId="1" fontId="0" fillId="0" borderId="0" xfId="0" applyNumberFormat="1" applyFont="1" applyFill="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sheetData>
    <row r="1" ht="12.75">
      <c r="A1" t="s">
        <v>165</v>
      </c>
    </row>
    <row r="2" ht="12.75">
      <c r="A2" t="s">
        <v>166</v>
      </c>
    </row>
    <row r="3" ht="12.75">
      <c r="A3" t="s">
        <v>167</v>
      </c>
    </row>
    <row r="4" ht="12.75">
      <c r="A4" t="s">
        <v>168</v>
      </c>
    </row>
    <row r="5" ht="12.75">
      <c r="A5" t="s">
        <v>169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C31"/>
  <sheetViews>
    <sheetView workbookViewId="0" topLeftCell="B1">
      <selection activeCell="C1" sqref="C1"/>
    </sheetView>
  </sheetViews>
  <sheetFormatPr defaultColWidth="9.140625" defaultRowHeight="12.75"/>
  <cols>
    <col min="1" max="1" width="2.00390625" style="8" hidden="1" customWidth="1"/>
    <col min="2" max="2" width="26.8515625" style="8" customWidth="1"/>
    <col min="3" max="3" width="58.421875" style="8" customWidth="1"/>
    <col min="4" max="16384" width="8.8515625" style="8" customWidth="1"/>
  </cols>
  <sheetData>
    <row r="1" ht="12.75">
      <c r="B1" s="3" t="s">
        <v>45</v>
      </c>
    </row>
    <row r="3" spans="2:3" ht="12.75">
      <c r="B3" s="8" t="s">
        <v>182</v>
      </c>
      <c r="C3" s="9">
        <v>3012</v>
      </c>
    </row>
    <row r="4" spans="2:3" ht="12.75">
      <c r="B4" s="8" t="s">
        <v>0</v>
      </c>
      <c r="C4" s="8" t="s">
        <v>76</v>
      </c>
    </row>
    <row r="5" spans="2:3" ht="12.75">
      <c r="B5" s="8" t="s">
        <v>1</v>
      </c>
      <c r="C5" s="8" t="s">
        <v>77</v>
      </c>
    </row>
    <row r="6" ht="12.75">
      <c r="B6" s="8" t="s">
        <v>2</v>
      </c>
    </row>
    <row r="7" spans="2:3" ht="12.75">
      <c r="B7" s="8" t="s">
        <v>3</v>
      </c>
      <c r="C7" s="8" t="s">
        <v>78</v>
      </c>
    </row>
    <row r="8" spans="2:3" ht="12.75">
      <c r="B8" s="8" t="s">
        <v>4</v>
      </c>
      <c r="C8" s="8" t="s">
        <v>139</v>
      </c>
    </row>
    <row r="9" spans="2:3" ht="12.75">
      <c r="B9" s="8" t="s">
        <v>5</v>
      </c>
      <c r="C9" s="8" t="s">
        <v>79</v>
      </c>
    </row>
    <row r="10" ht="12.75">
      <c r="B10" s="8" t="s">
        <v>6</v>
      </c>
    </row>
    <row r="11" spans="2:3" ht="12.75">
      <c r="B11" s="8" t="s">
        <v>159</v>
      </c>
      <c r="C11" s="9">
        <v>0</v>
      </c>
    </row>
    <row r="12" spans="2:3" ht="12.75">
      <c r="B12" s="8" t="s">
        <v>142</v>
      </c>
      <c r="C12" s="8" t="s">
        <v>170</v>
      </c>
    </row>
    <row r="13" spans="2:3" ht="12.75">
      <c r="B13" s="8" t="s">
        <v>141</v>
      </c>
      <c r="C13" s="8" t="s">
        <v>143</v>
      </c>
    </row>
    <row r="14" spans="2:3" s="30" customFormat="1" ht="51">
      <c r="B14" s="30" t="s">
        <v>35</v>
      </c>
      <c r="C14" s="30" t="s">
        <v>183</v>
      </c>
    </row>
    <row r="15" spans="2:3" s="30" customFormat="1" ht="12.75">
      <c r="B15" s="30" t="s">
        <v>41</v>
      </c>
      <c r="C15" s="31"/>
    </row>
    <row r="16" s="30" customFormat="1" ht="12.75">
      <c r="B16" s="8" t="s">
        <v>46</v>
      </c>
    </row>
    <row r="17" spans="2:3" s="30" customFormat="1" ht="12.75">
      <c r="B17" s="8" t="s">
        <v>160</v>
      </c>
      <c r="C17" s="30" t="s">
        <v>140</v>
      </c>
    </row>
    <row r="18" spans="2:3" s="30" customFormat="1" ht="12.75">
      <c r="B18" s="8" t="s">
        <v>161</v>
      </c>
      <c r="C18" s="30" t="s">
        <v>162</v>
      </c>
    </row>
    <row r="19" spans="2:3" ht="51">
      <c r="B19" s="30" t="s">
        <v>7</v>
      </c>
      <c r="C19" s="30" t="s">
        <v>138</v>
      </c>
    </row>
    <row r="20" spans="2:3" ht="12.75">
      <c r="B20" s="8" t="s">
        <v>38</v>
      </c>
      <c r="C20" s="30" t="s">
        <v>163</v>
      </c>
    </row>
    <row r="21" spans="2:3" ht="12.75">
      <c r="B21" s="8" t="s">
        <v>47</v>
      </c>
      <c r="C21" s="34" t="s">
        <v>107</v>
      </c>
    </row>
    <row r="22" spans="2:3" ht="12.75">
      <c r="B22" s="8" t="s">
        <v>39</v>
      </c>
      <c r="C22" s="8" t="s">
        <v>164</v>
      </c>
    </row>
    <row r="23" ht="12.75" customHeight="1"/>
    <row r="24" spans="2:3" ht="12.75">
      <c r="B24" s="8" t="s">
        <v>8</v>
      </c>
      <c r="C24" s="9"/>
    </row>
    <row r="25" spans="2:3" ht="12.75">
      <c r="B25" s="8" t="s">
        <v>9</v>
      </c>
      <c r="C25" s="35"/>
    </row>
    <row r="26" spans="2:3" ht="12.75">
      <c r="B26" s="8" t="s">
        <v>10</v>
      </c>
      <c r="C26" s="9"/>
    </row>
    <row r="27" spans="2:3" ht="12.75">
      <c r="B27" s="8" t="s">
        <v>42</v>
      </c>
      <c r="C27" s="10">
        <v>27</v>
      </c>
    </row>
    <row r="28" spans="2:3" ht="14.25" customHeight="1">
      <c r="B28" s="8" t="s">
        <v>43</v>
      </c>
      <c r="C28" s="9">
        <v>285</v>
      </c>
    </row>
    <row r="29" ht="12" customHeight="1"/>
    <row r="30" spans="2:3" ht="12.75">
      <c r="B30" s="8" t="s">
        <v>11</v>
      </c>
      <c r="C30" s="8" t="s">
        <v>135</v>
      </c>
    </row>
    <row r="31" ht="12.75">
      <c r="B31" s="8" t="s">
        <v>72</v>
      </c>
    </row>
    <row r="32" ht="14.25" customHeight="1"/>
  </sheetData>
  <printOptions headings="1" horizontalCentered="1"/>
  <pageMargins left="0.25" right="0.25" top="0.5" bottom="0.5" header="0.25" footer="0.25"/>
  <pageSetup horizontalDpi="600" verticalDpi="600" orientation="portrait" pageOrder="overThenDown" scale="80" r:id="rId1"/>
  <headerFooter alignWithMargins="0">
    <oddFooter>&amp;C&amp;P, &amp;A, &amp;F</oddFooter>
  </headerFooter>
</worksheet>
</file>

<file path=xl/worksheets/sheet3.xml><?xml version="1.0" encoding="utf-8"?>
<worksheet xmlns="http://schemas.openxmlformats.org/spreadsheetml/2006/main" xmlns:r="http://schemas.openxmlformats.org/officeDocument/2006/relationships">
  <dimension ref="B1:L71"/>
  <sheetViews>
    <sheetView workbookViewId="0" topLeftCell="B1">
      <selection activeCell="C1" sqref="C1"/>
    </sheetView>
  </sheetViews>
  <sheetFormatPr defaultColWidth="9.140625" defaultRowHeight="12.75"/>
  <cols>
    <col min="1" max="1" width="2.140625" style="0" hidden="1" customWidth="1"/>
    <col min="2" max="2" width="23.7109375" style="0" customWidth="1"/>
    <col min="3" max="3" width="55.28125" style="0" customWidth="1"/>
  </cols>
  <sheetData>
    <row r="1" ht="12.75">
      <c r="B1" s="3" t="s">
        <v>144</v>
      </c>
    </row>
    <row r="3" spans="2:12" s="1" customFormat="1" ht="12.75">
      <c r="B3" s="3" t="s">
        <v>118</v>
      </c>
      <c r="C3" s="8"/>
      <c r="D3" s="8"/>
      <c r="E3" s="8"/>
      <c r="F3" s="8"/>
      <c r="G3" s="8"/>
      <c r="H3" s="8"/>
      <c r="I3" s="8"/>
      <c r="J3" s="8"/>
      <c r="K3" s="8"/>
      <c r="L3" s="8"/>
    </row>
    <row r="4" spans="2:12" s="1" customFormat="1" ht="12.75">
      <c r="B4" s="8"/>
      <c r="C4" s="8"/>
      <c r="D4" s="8"/>
      <c r="E4" s="8"/>
      <c r="F4" s="8"/>
      <c r="G4" s="8"/>
      <c r="H4" s="8"/>
      <c r="I4" s="8"/>
      <c r="J4" s="8"/>
      <c r="K4" s="8"/>
      <c r="L4" s="8"/>
    </row>
    <row r="5" spans="2:12" s="1" customFormat="1" ht="12.75">
      <c r="B5" s="8" t="s">
        <v>145</v>
      </c>
      <c r="C5" s="34" t="s">
        <v>80</v>
      </c>
      <c r="D5" s="8"/>
      <c r="E5" s="8"/>
      <c r="F5" s="8"/>
      <c r="G5" s="8"/>
      <c r="H5" s="8"/>
      <c r="I5" s="8"/>
      <c r="J5" s="8"/>
      <c r="K5" s="8"/>
      <c r="L5" s="8"/>
    </row>
    <row r="6" spans="2:12" s="1" customFormat="1" ht="12.75">
      <c r="B6" s="8" t="s">
        <v>146</v>
      </c>
      <c r="C6" s="8" t="s">
        <v>81</v>
      </c>
      <c r="D6" s="8"/>
      <c r="E6" s="8"/>
      <c r="F6" s="8"/>
      <c r="G6" s="8"/>
      <c r="H6" s="8"/>
      <c r="I6" s="8"/>
      <c r="J6" s="8"/>
      <c r="K6" s="8"/>
      <c r="L6" s="8"/>
    </row>
    <row r="7" spans="2:12" s="1" customFormat="1" ht="12.75">
      <c r="B7" s="8" t="s">
        <v>147</v>
      </c>
      <c r="C7" s="8" t="s">
        <v>77</v>
      </c>
      <c r="D7" s="8"/>
      <c r="E7" s="8"/>
      <c r="F7" s="8"/>
      <c r="G7" s="8"/>
      <c r="H7" s="8"/>
      <c r="I7" s="8"/>
      <c r="J7" s="8"/>
      <c r="K7" s="8"/>
      <c r="L7" s="8"/>
    </row>
    <row r="8" spans="2:12" s="1" customFormat="1" ht="12.75">
      <c r="B8" s="8" t="s">
        <v>148</v>
      </c>
      <c r="C8" s="11" t="s">
        <v>82</v>
      </c>
      <c r="D8" s="8"/>
      <c r="E8" s="8"/>
      <c r="F8" s="8"/>
      <c r="G8" s="8"/>
      <c r="H8" s="8"/>
      <c r="I8" s="8"/>
      <c r="J8" s="8"/>
      <c r="K8" s="8"/>
      <c r="L8" s="8"/>
    </row>
    <row r="9" spans="2:12" s="1" customFormat="1" ht="12.75">
      <c r="B9" s="8" t="s">
        <v>158</v>
      </c>
      <c r="C9" s="48">
        <v>34790</v>
      </c>
      <c r="D9" s="8"/>
      <c r="E9" s="8"/>
      <c r="F9" s="8"/>
      <c r="G9" s="8"/>
      <c r="H9" s="8"/>
      <c r="I9" s="8"/>
      <c r="J9" s="8"/>
      <c r="K9" s="8"/>
      <c r="L9" s="8"/>
    </row>
    <row r="10" spans="2:12" s="1" customFormat="1" ht="12.75">
      <c r="B10" s="8" t="s">
        <v>149</v>
      </c>
      <c r="C10" s="8" t="s">
        <v>83</v>
      </c>
      <c r="D10" s="8"/>
      <c r="E10" s="8"/>
      <c r="F10" s="8"/>
      <c r="G10" s="8"/>
      <c r="H10" s="8"/>
      <c r="I10" s="8"/>
      <c r="J10" s="8"/>
      <c r="K10" s="8"/>
      <c r="L10" s="8"/>
    </row>
    <row r="11" spans="2:12" s="1" customFormat="1" ht="12.75">
      <c r="B11" s="8" t="s">
        <v>150</v>
      </c>
      <c r="C11" s="11" t="s">
        <v>84</v>
      </c>
      <c r="D11" s="8"/>
      <c r="E11" s="8"/>
      <c r="F11" s="8"/>
      <c r="G11" s="8"/>
      <c r="H11" s="8"/>
      <c r="I11" s="8"/>
      <c r="J11" s="8"/>
      <c r="K11" s="8"/>
      <c r="L11" s="8"/>
    </row>
    <row r="12" spans="2:12" s="1" customFormat="1" ht="12.75">
      <c r="B12" s="8"/>
      <c r="C12" s="11"/>
      <c r="D12" s="8"/>
      <c r="E12" s="8"/>
      <c r="F12" s="8"/>
      <c r="G12" s="8"/>
      <c r="H12" s="8"/>
      <c r="I12" s="8"/>
      <c r="J12" s="8"/>
      <c r="K12" s="8"/>
      <c r="L12" s="8"/>
    </row>
    <row r="13" spans="2:12" s="1" customFormat="1" ht="12.75">
      <c r="B13" s="3" t="s">
        <v>119</v>
      </c>
      <c r="C13" s="8"/>
      <c r="D13" s="8"/>
      <c r="E13" s="8"/>
      <c r="F13" s="8"/>
      <c r="G13" s="8"/>
      <c r="H13" s="8"/>
      <c r="I13" s="8"/>
      <c r="J13" s="8"/>
      <c r="K13" s="8"/>
      <c r="L13" s="8"/>
    </row>
    <row r="14" spans="2:12" s="1" customFormat="1" ht="12.75">
      <c r="B14" s="8"/>
      <c r="C14" s="8"/>
      <c r="D14" s="8"/>
      <c r="E14" s="8"/>
      <c r="F14" s="8"/>
      <c r="G14" s="8"/>
      <c r="H14" s="8"/>
      <c r="I14" s="8"/>
      <c r="J14" s="8"/>
      <c r="K14" s="8"/>
      <c r="L14" s="8"/>
    </row>
    <row r="15" spans="2:12" s="1" customFormat="1" ht="12.75">
      <c r="B15" s="8" t="s">
        <v>145</v>
      </c>
      <c r="C15" s="34" t="s">
        <v>80</v>
      </c>
      <c r="D15" s="8"/>
      <c r="E15" s="8"/>
      <c r="F15" s="8"/>
      <c r="G15" s="8"/>
      <c r="H15" s="8"/>
      <c r="I15" s="8"/>
      <c r="J15" s="8"/>
      <c r="K15" s="8"/>
      <c r="L15" s="8"/>
    </row>
    <row r="16" spans="2:12" s="1" customFormat="1" ht="12.75">
      <c r="B16" s="8" t="s">
        <v>146</v>
      </c>
      <c r="C16" s="8" t="s">
        <v>81</v>
      </c>
      <c r="D16" s="8"/>
      <c r="E16" s="8"/>
      <c r="F16" s="8"/>
      <c r="G16" s="8"/>
      <c r="H16" s="8"/>
      <c r="I16" s="8"/>
      <c r="J16" s="8"/>
      <c r="K16" s="8"/>
      <c r="L16" s="8"/>
    </row>
    <row r="17" spans="2:12" s="1" customFormat="1" ht="12.75">
      <c r="B17" s="8" t="s">
        <v>147</v>
      </c>
      <c r="C17" s="8" t="s">
        <v>77</v>
      </c>
      <c r="D17" s="8"/>
      <c r="E17" s="8"/>
      <c r="F17" s="8"/>
      <c r="G17" s="8"/>
      <c r="H17" s="8"/>
      <c r="I17" s="8"/>
      <c r="J17" s="8"/>
      <c r="K17" s="8"/>
      <c r="L17" s="8"/>
    </row>
    <row r="18" spans="2:12" s="1" customFormat="1" ht="12.75">
      <c r="B18" s="8" t="s">
        <v>148</v>
      </c>
      <c r="C18" s="11" t="s">
        <v>85</v>
      </c>
      <c r="D18" s="8"/>
      <c r="E18" s="8"/>
      <c r="F18" s="8"/>
      <c r="G18" s="8"/>
      <c r="H18" s="8"/>
      <c r="I18" s="8"/>
      <c r="J18" s="8"/>
      <c r="K18" s="8"/>
      <c r="L18" s="8"/>
    </row>
    <row r="19" spans="2:12" s="1" customFormat="1" ht="12.75">
      <c r="B19" s="8" t="s">
        <v>158</v>
      </c>
      <c r="C19" s="48">
        <v>34790</v>
      </c>
      <c r="D19" s="8"/>
      <c r="E19" s="8"/>
      <c r="F19" s="8"/>
      <c r="G19" s="8"/>
      <c r="H19" s="8"/>
      <c r="I19" s="8"/>
      <c r="J19" s="8"/>
      <c r="K19" s="8"/>
      <c r="L19" s="8"/>
    </row>
    <row r="20" spans="2:12" s="1" customFormat="1" ht="12.75">
      <c r="B20" s="8" t="s">
        <v>149</v>
      </c>
      <c r="C20" s="8" t="s">
        <v>86</v>
      </c>
      <c r="D20" s="8"/>
      <c r="E20" s="8"/>
      <c r="F20" s="8"/>
      <c r="G20" s="8"/>
      <c r="H20" s="8"/>
      <c r="I20" s="8"/>
      <c r="J20" s="8"/>
      <c r="K20" s="8"/>
      <c r="L20" s="8"/>
    </row>
    <row r="21" spans="2:12" s="1" customFormat="1" ht="12.75">
      <c r="B21" s="8" t="s">
        <v>150</v>
      </c>
      <c r="C21" s="11" t="s">
        <v>84</v>
      </c>
      <c r="D21" s="8"/>
      <c r="E21" s="8"/>
      <c r="F21" s="8"/>
      <c r="G21" s="8"/>
      <c r="H21" s="8"/>
      <c r="I21" s="8"/>
      <c r="J21" s="8"/>
      <c r="K21" s="8"/>
      <c r="L21" s="8"/>
    </row>
    <row r="22" spans="2:12" s="1" customFormat="1" ht="12.75">
      <c r="B22" s="8"/>
      <c r="C22" s="11"/>
      <c r="D22" s="8"/>
      <c r="E22" s="8"/>
      <c r="F22" s="8"/>
      <c r="G22" s="8"/>
      <c r="H22" s="8"/>
      <c r="I22" s="8"/>
      <c r="J22" s="8"/>
      <c r="K22" s="8"/>
      <c r="L22" s="8"/>
    </row>
    <row r="23" spans="2:12" s="1" customFormat="1" ht="12.75">
      <c r="B23" s="3" t="s">
        <v>120</v>
      </c>
      <c r="C23" s="8"/>
      <c r="D23" s="8"/>
      <c r="E23" s="8"/>
      <c r="F23" s="8"/>
      <c r="G23" s="8"/>
      <c r="H23" s="8"/>
      <c r="I23" s="8"/>
      <c r="J23" s="8"/>
      <c r="K23" s="8"/>
      <c r="L23" s="8"/>
    </row>
    <row r="24" spans="2:12" s="1" customFormat="1" ht="12.75">
      <c r="B24" s="8"/>
      <c r="C24" s="8"/>
      <c r="D24" s="8"/>
      <c r="E24" s="8"/>
      <c r="F24" s="8"/>
      <c r="G24" s="8"/>
      <c r="H24" s="8"/>
      <c r="I24" s="8"/>
      <c r="J24" s="8"/>
      <c r="K24" s="8"/>
      <c r="L24" s="8"/>
    </row>
    <row r="25" spans="2:12" s="1" customFormat="1" ht="12.75">
      <c r="B25" s="8" t="s">
        <v>145</v>
      </c>
      <c r="C25" s="34" t="s">
        <v>80</v>
      </c>
      <c r="D25" s="8"/>
      <c r="E25" s="8"/>
      <c r="F25" s="8"/>
      <c r="G25" s="8"/>
      <c r="H25" s="8"/>
      <c r="I25" s="8"/>
      <c r="J25" s="8"/>
      <c r="K25" s="8"/>
      <c r="L25" s="8"/>
    </row>
    <row r="26" spans="2:12" s="1" customFormat="1" ht="12.75">
      <c r="B26" s="8" t="s">
        <v>146</v>
      </c>
      <c r="C26" s="8" t="s">
        <v>81</v>
      </c>
      <c r="D26" s="8"/>
      <c r="E26" s="8"/>
      <c r="F26" s="8"/>
      <c r="G26" s="8"/>
      <c r="H26" s="8"/>
      <c r="I26" s="8"/>
      <c r="J26" s="8"/>
      <c r="K26" s="8"/>
      <c r="L26" s="8"/>
    </row>
    <row r="27" spans="2:12" s="1" customFormat="1" ht="12.75">
      <c r="B27" s="8" t="s">
        <v>147</v>
      </c>
      <c r="C27" s="8" t="s">
        <v>77</v>
      </c>
      <c r="D27" s="8"/>
      <c r="E27" s="8"/>
      <c r="F27" s="8"/>
      <c r="G27" s="8"/>
      <c r="H27" s="8"/>
      <c r="I27" s="8"/>
      <c r="J27" s="8"/>
      <c r="K27" s="8"/>
      <c r="L27" s="8"/>
    </row>
    <row r="28" spans="2:12" s="1" customFormat="1" ht="12.75">
      <c r="B28" s="8" t="s">
        <v>148</v>
      </c>
      <c r="C28" s="11" t="s">
        <v>87</v>
      </c>
      <c r="D28" s="8"/>
      <c r="E28" s="8"/>
      <c r="F28" s="8"/>
      <c r="G28" s="8"/>
      <c r="H28" s="8"/>
      <c r="I28" s="8"/>
      <c r="J28" s="8"/>
      <c r="K28" s="8"/>
      <c r="L28" s="8"/>
    </row>
    <row r="29" spans="2:12" s="1" customFormat="1" ht="12.75">
      <c r="B29" s="8" t="s">
        <v>158</v>
      </c>
      <c r="C29" s="48">
        <v>34790</v>
      </c>
      <c r="D29" s="8"/>
      <c r="E29" s="8"/>
      <c r="F29" s="8"/>
      <c r="G29" s="8"/>
      <c r="H29" s="8"/>
      <c r="I29" s="8"/>
      <c r="J29" s="8"/>
      <c r="K29" s="8"/>
      <c r="L29" s="8"/>
    </row>
    <row r="30" spans="2:12" s="1" customFormat="1" ht="12.75">
      <c r="B30" s="8" t="s">
        <v>149</v>
      </c>
      <c r="C30" s="8" t="s">
        <v>88</v>
      </c>
      <c r="D30" s="8"/>
      <c r="E30" s="8"/>
      <c r="F30" s="8"/>
      <c r="G30" s="8"/>
      <c r="H30" s="8"/>
      <c r="I30" s="8"/>
      <c r="J30" s="8"/>
      <c r="K30" s="8"/>
      <c r="L30" s="8"/>
    </row>
    <row r="31" spans="2:12" s="1" customFormat="1" ht="12.75">
      <c r="B31" s="8" t="s">
        <v>150</v>
      </c>
      <c r="C31" s="11" t="s">
        <v>131</v>
      </c>
      <c r="D31" s="8"/>
      <c r="E31" s="8"/>
      <c r="F31" s="8"/>
      <c r="G31" s="8"/>
      <c r="H31" s="8"/>
      <c r="I31" s="8"/>
      <c r="J31" s="8"/>
      <c r="K31" s="8"/>
      <c r="L31" s="8"/>
    </row>
    <row r="32" spans="2:12" s="1" customFormat="1" ht="12.75">
      <c r="B32" s="8"/>
      <c r="C32" s="11"/>
      <c r="D32" s="8"/>
      <c r="E32" s="8"/>
      <c r="F32" s="8"/>
      <c r="G32" s="8"/>
      <c r="H32" s="8"/>
      <c r="I32" s="8"/>
      <c r="J32" s="8"/>
      <c r="K32" s="8"/>
      <c r="L32" s="8"/>
    </row>
    <row r="33" spans="2:12" s="1" customFormat="1" ht="12.75">
      <c r="B33" s="3" t="s">
        <v>121</v>
      </c>
      <c r="C33" s="8"/>
      <c r="D33" s="8"/>
      <c r="E33" s="8"/>
      <c r="F33" s="8"/>
      <c r="G33" s="8"/>
      <c r="H33" s="8"/>
      <c r="I33" s="8"/>
      <c r="J33" s="8"/>
      <c r="K33" s="8"/>
      <c r="L33" s="8"/>
    </row>
    <row r="34" spans="2:12" s="1" customFormat="1" ht="12.75">
      <c r="B34" s="8"/>
      <c r="C34" s="8"/>
      <c r="D34" s="8"/>
      <c r="E34" s="8"/>
      <c r="F34" s="8"/>
      <c r="G34" s="8"/>
      <c r="H34" s="8"/>
      <c r="I34" s="8"/>
      <c r="J34" s="8"/>
      <c r="K34" s="8"/>
      <c r="L34" s="8"/>
    </row>
    <row r="35" spans="2:12" s="1" customFormat="1" ht="12.75">
      <c r="B35" s="8" t="s">
        <v>145</v>
      </c>
      <c r="C35" s="34" t="s">
        <v>80</v>
      </c>
      <c r="D35" s="8"/>
      <c r="E35" s="8"/>
      <c r="F35" s="8"/>
      <c r="G35" s="8"/>
      <c r="H35" s="8"/>
      <c r="I35" s="8"/>
      <c r="J35" s="8"/>
      <c r="K35" s="8"/>
      <c r="L35" s="8"/>
    </row>
    <row r="36" spans="2:12" s="1" customFormat="1" ht="12.75">
      <c r="B36" s="8" t="s">
        <v>146</v>
      </c>
      <c r="C36" s="8" t="s">
        <v>81</v>
      </c>
      <c r="D36" s="8"/>
      <c r="E36" s="8"/>
      <c r="F36" s="8"/>
      <c r="G36" s="8"/>
      <c r="H36" s="8"/>
      <c r="I36" s="8"/>
      <c r="J36" s="8"/>
      <c r="K36" s="8"/>
      <c r="L36" s="8"/>
    </row>
    <row r="37" spans="2:12" s="1" customFormat="1" ht="12.75">
      <c r="B37" s="8" t="s">
        <v>147</v>
      </c>
      <c r="C37" s="8" t="s">
        <v>77</v>
      </c>
      <c r="D37" s="8"/>
      <c r="E37" s="8"/>
      <c r="F37" s="8"/>
      <c r="G37" s="8"/>
      <c r="H37" s="8"/>
      <c r="I37" s="8"/>
      <c r="J37" s="8"/>
      <c r="K37" s="8"/>
      <c r="L37" s="8"/>
    </row>
    <row r="38" spans="2:12" s="1" customFormat="1" ht="12.75">
      <c r="B38" s="8" t="s">
        <v>148</v>
      </c>
      <c r="C38" s="11" t="s">
        <v>89</v>
      </c>
      <c r="D38" s="8"/>
      <c r="E38" s="8"/>
      <c r="F38" s="8"/>
      <c r="G38" s="8"/>
      <c r="H38" s="8"/>
      <c r="I38" s="8"/>
      <c r="J38" s="8"/>
      <c r="K38" s="8"/>
      <c r="L38" s="8"/>
    </row>
    <row r="39" spans="2:12" s="1" customFormat="1" ht="12.75">
      <c r="B39" s="8" t="s">
        <v>158</v>
      </c>
      <c r="C39" s="48">
        <v>34790</v>
      </c>
      <c r="D39" s="8"/>
      <c r="E39" s="8"/>
      <c r="F39" s="8"/>
      <c r="G39" s="8"/>
      <c r="H39" s="8"/>
      <c r="I39" s="8"/>
      <c r="J39" s="8"/>
      <c r="K39" s="8"/>
      <c r="L39" s="8"/>
    </row>
    <row r="40" spans="2:12" s="1" customFormat="1" ht="12.75">
      <c r="B40" s="8" t="s">
        <v>149</v>
      </c>
      <c r="C40" s="8" t="s">
        <v>90</v>
      </c>
      <c r="D40" s="8"/>
      <c r="E40" s="8"/>
      <c r="F40" s="8"/>
      <c r="G40" s="8"/>
      <c r="H40" s="8"/>
      <c r="I40" s="8"/>
      <c r="J40" s="8"/>
      <c r="K40" s="8"/>
      <c r="L40" s="8"/>
    </row>
    <row r="41" spans="2:12" s="1" customFormat="1" ht="12.75">
      <c r="B41" s="8" t="s">
        <v>150</v>
      </c>
      <c r="C41" s="11" t="s">
        <v>131</v>
      </c>
      <c r="D41" s="8"/>
      <c r="E41" s="8"/>
      <c r="F41" s="8"/>
      <c r="G41" s="8"/>
      <c r="H41" s="8"/>
      <c r="I41" s="8"/>
      <c r="J41" s="8"/>
      <c r="K41" s="8"/>
      <c r="L41" s="8"/>
    </row>
    <row r="42" spans="2:12" s="1" customFormat="1" ht="12.75">
      <c r="B42" s="8"/>
      <c r="C42" s="11"/>
      <c r="D42" s="8"/>
      <c r="E42" s="8"/>
      <c r="F42" s="8"/>
      <c r="G42" s="8"/>
      <c r="H42" s="8"/>
      <c r="I42" s="8"/>
      <c r="J42" s="8"/>
      <c r="K42" s="8"/>
      <c r="L42" s="8"/>
    </row>
    <row r="43" spans="2:12" s="1" customFormat="1" ht="12.75">
      <c r="B43" s="3" t="s">
        <v>122</v>
      </c>
      <c r="C43" s="8"/>
      <c r="D43" s="8"/>
      <c r="E43" s="8"/>
      <c r="F43" s="8"/>
      <c r="G43" s="8"/>
      <c r="H43" s="8"/>
      <c r="I43" s="8"/>
      <c r="J43" s="8"/>
      <c r="K43" s="8"/>
      <c r="L43" s="8"/>
    </row>
    <row r="44" spans="2:12" s="1" customFormat="1" ht="12.75">
      <c r="B44" s="8"/>
      <c r="C44" s="8"/>
      <c r="D44" s="8"/>
      <c r="E44" s="8"/>
      <c r="F44" s="8"/>
      <c r="G44" s="8"/>
      <c r="H44" s="8"/>
      <c r="I44" s="8"/>
      <c r="J44" s="8"/>
      <c r="K44" s="8"/>
      <c r="L44" s="8"/>
    </row>
    <row r="45" spans="2:12" s="1" customFormat="1" ht="12.75">
      <c r="B45" s="8" t="s">
        <v>145</v>
      </c>
      <c r="C45" s="34" t="s">
        <v>80</v>
      </c>
      <c r="D45" s="8"/>
      <c r="E45" s="8"/>
      <c r="F45" s="8"/>
      <c r="G45" s="8"/>
      <c r="H45" s="8"/>
      <c r="I45" s="8"/>
      <c r="J45" s="8"/>
      <c r="K45" s="8"/>
      <c r="L45" s="8"/>
    </row>
    <row r="46" spans="2:12" s="1" customFormat="1" ht="12.75">
      <c r="B46" s="8" t="s">
        <v>146</v>
      </c>
      <c r="C46" s="8" t="s">
        <v>81</v>
      </c>
      <c r="D46" s="8"/>
      <c r="E46" s="8"/>
      <c r="F46" s="8"/>
      <c r="G46" s="8"/>
      <c r="H46" s="8"/>
      <c r="I46" s="8"/>
      <c r="J46" s="8"/>
      <c r="K46" s="8"/>
      <c r="L46" s="8"/>
    </row>
    <row r="47" spans="2:12" s="1" customFormat="1" ht="12.75">
      <c r="B47" s="8" t="s">
        <v>147</v>
      </c>
      <c r="C47" s="8" t="s">
        <v>77</v>
      </c>
      <c r="D47" s="8"/>
      <c r="E47" s="8"/>
      <c r="F47" s="8"/>
      <c r="G47" s="8"/>
      <c r="H47" s="8"/>
      <c r="I47" s="8"/>
      <c r="J47" s="8"/>
      <c r="K47" s="8"/>
      <c r="L47" s="8"/>
    </row>
    <row r="48" spans="2:12" s="1" customFormat="1" ht="12.75">
      <c r="B48" s="8" t="s">
        <v>148</v>
      </c>
      <c r="C48" s="11">
        <v>34821</v>
      </c>
      <c r="D48" s="8"/>
      <c r="E48" s="8"/>
      <c r="F48" s="8"/>
      <c r="G48" s="8"/>
      <c r="H48" s="8"/>
      <c r="I48" s="8"/>
      <c r="J48" s="8"/>
      <c r="K48" s="8"/>
      <c r="L48" s="8"/>
    </row>
    <row r="49" spans="2:12" s="1" customFormat="1" ht="12.75">
      <c r="B49" s="8" t="s">
        <v>158</v>
      </c>
      <c r="C49" s="48">
        <v>34820</v>
      </c>
      <c r="D49" s="8"/>
      <c r="E49" s="8"/>
      <c r="F49" s="8"/>
      <c r="G49" s="8"/>
      <c r="H49" s="8"/>
      <c r="I49" s="8"/>
      <c r="J49" s="8"/>
      <c r="K49" s="8"/>
      <c r="L49" s="8"/>
    </row>
    <row r="50" spans="2:12" s="1" customFormat="1" ht="12.75">
      <c r="B50" s="8" t="s">
        <v>149</v>
      </c>
      <c r="C50" s="8" t="s">
        <v>91</v>
      </c>
      <c r="D50" s="8"/>
      <c r="E50" s="8"/>
      <c r="F50" s="8"/>
      <c r="G50" s="8"/>
      <c r="H50" s="8"/>
      <c r="I50" s="8"/>
      <c r="J50" s="8"/>
      <c r="K50" s="8"/>
      <c r="L50" s="8"/>
    </row>
    <row r="51" spans="2:12" s="1" customFormat="1" ht="12.75">
      <c r="B51" s="8" t="s">
        <v>150</v>
      </c>
      <c r="C51" s="11" t="s">
        <v>131</v>
      </c>
      <c r="D51" s="8"/>
      <c r="E51" s="8"/>
      <c r="F51" s="8"/>
      <c r="G51" s="8"/>
      <c r="H51" s="8"/>
      <c r="I51" s="8"/>
      <c r="J51" s="8"/>
      <c r="K51" s="8"/>
      <c r="L51" s="8"/>
    </row>
    <row r="52" spans="2:12" s="1" customFormat="1" ht="12.75">
      <c r="B52" s="8"/>
      <c r="C52" s="11"/>
      <c r="D52" s="8"/>
      <c r="E52" s="8"/>
      <c r="F52" s="8"/>
      <c r="G52" s="8"/>
      <c r="H52" s="8"/>
      <c r="I52" s="8"/>
      <c r="J52" s="8"/>
      <c r="K52" s="8"/>
      <c r="L52" s="8"/>
    </row>
    <row r="53" spans="2:12" s="1" customFormat="1" ht="12.75">
      <c r="B53" s="3" t="s">
        <v>123</v>
      </c>
      <c r="C53" s="8"/>
      <c r="D53" s="8"/>
      <c r="E53" s="8"/>
      <c r="F53" s="8"/>
      <c r="G53" s="8"/>
      <c r="H53" s="8"/>
      <c r="I53" s="8"/>
      <c r="J53" s="8"/>
      <c r="K53" s="8"/>
      <c r="L53" s="8"/>
    </row>
    <row r="54" spans="2:12" s="1" customFormat="1" ht="12.75">
      <c r="B54" s="8"/>
      <c r="C54" s="8"/>
      <c r="D54" s="8"/>
      <c r="E54" s="8"/>
      <c r="F54" s="8"/>
      <c r="G54" s="8"/>
      <c r="H54" s="8"/>
      <c r="I54" s="8"/>
      <c r="J54" s="8"/>
      <c r="K54" s="8"/>
      <c r="L54" s="8"/>
    </row>
    <row r="55" spans="2:12" s="1" customFormat="1" ht="12.75">
      <c r="B55" s="8" t="s">
        <v>145</v>
      </c>
      <c r="C55" s="34" t="s">
        <v>134</v>
      </c>
      <c r="D55" s="8"/>
      <c r="E55" s="8"/>
      <c r="F55" s="8"/>
      <c r="G55" s="8"/>
      <c r="H55" s="8"/>
      <c r="I55" s="8"/>
      <c r="J55" s="8"/>
      <c r="K55" s="8"/>
      <c r="L55" s="8"/>
    </row>
    <row r="56" spans="2:12" s="1" customFormat="1" ht="12.75">
      <c r="B56" s="8" t="s">
        <v>146</v>
      </c>
      <c r="C56" s="8" t="s">
        <v>133</v>
      </c>
      <c r="D56" s="8"/>
      <c r="E56" s="8"/>
      <c r="F56" s="8"/>
      <c r="G56" s="8"/>
      <c r="H56" s="8"/>
      <c r="I56" s="8"/>
      <c r="J56" s="8"/>
      <c r="K56" s="8"/>
      <c r="L56" s="8"/>
    </row>
    <row r="57" spans="2:12" s="1" customFormat="1" ht="12.75">
      <c r="B57" s="8" t="s">
        <v>147</v>
      </c>
      <c r="C57" s="8" t="s">
        <v>77</v>
      </c>
      <c r="D57" s="8"/>
      <c r="E57" s="8"/>
      <c r="F57" s="8"/>
      <c r="G57" s="8"/>
      <c r="H57" s="8"/>
      <c r="I57" s="8"/>
      <c r="J57" s="8"/>
      <c r="K57" s="8"/>
      <c r="L57" s="8"/>
    </row>
    <row r="58" spans="2:12" s="1" customFormat="1" ht="12.75">
      <c r="B58" s="8" t="s">
        <v>148</v>
      </c>
      <c r="C58" s="11">
        <v>35013</v>
      </c>
      <c r="D58" s="8"/>
      <c r="E58" s="8"/>
      <c r="F58" s="8"/>
      <c r="G58" s="8"/>
      <c r="H58" s="8"/>
      <c r="I58" s="8"/>
      <c r="J58" s="8"/>
      <c r="K58" s="8"/>
      <c r="L58" s="8"/>
    </row>
    <row r="59" spans="2:12" s="1" customFormat="1" ht="12.75">
      <c r="B59" s="8" t="s">
        <v>158</v>
      </c>
      <c r="C59" s="48">
        <v>35004</v>
      </c>
      <c r="D59" s="8"/>
      <c r="E59" s="8"/>
      <c r="F59" s="8"/>
      <c r="G59" s="8"/>
      <c r="H59" s="8"/>
      <c r="I59" s="8"/>
      <c r="J59" s="8"/>
      <c r="K59" s="8"/>
      <c r="L59" s="8"/>
    </row>
    <row r="60" spans="2:12" s="1" customFormat="1" ht="12.75">
      <c r="B60" s="8" t="s">
        <v>149</v>
      </c>
      <c r="C60" s="8" t="s">
        <v>117</v>
      </c>
      <c r="D60" s="8"/>
      <c r="E60" s="8"/>
      <c r="F60" s="8"/>
      <c r="G60" s="8"/>
      <c r="H60" s="8"/>
      <c r="I60" s="8"/>
      <c r="J60" s="8"/>
      <c r="K60" s="8"/>
      <c r="L60" s="8"/>
    </row>
    <row r="61" spans="2:12" s="1" customFormat="1" ht="12.75">
      <c r="B61" s="8" t="s">
        <v>150</v>
      </c>
      <c r="C61" s="11" t="s">
        <v>131</v>
      </c>
      <c r="D61" s="8"/>
      <c r="E61" s="8"/>
      <c r="F61" s="8"/>
      <c r="G61" s="8"/>
      <c r="H61" s="8"/>
      <c r="I61" s="8"/>
      <c r="J61" s="8"/>
      <c r="K61" s="8"/>
      <c r="L61" s="8"/>
    </row>
    <row r="62" spans="2:12" s="1" customFormat="1" ht="12.75">
      <c r="B62" s="8"/>
      <c r="C62" s="11"/>
      <c r="D62" s="8"/>
      <c r="E62" s="8"/>
      <c r="F62" s="8"/>
      <c r="G62" s="8"/>
      <c r="H62" s="8"/>
      <c r="I62" s="8"/>
      <c r="J62" s="8"/>
      <c r="K62" s="8"/>
      <c r="L62" s="8"/>
    </row>
    <row r="63" spans="2:12" s="1" customFormat="1" ht="12.75">
      <c r="B63" s="3" t="s">
        <v>124</v>
      </c>
      <c r="C63" s="8"/>
      <c r="D63" s="8"/>
      <c r="E63" s="8"/>
      <c r="F63" s="8"/>
      <c r="G63" s="8"/>
      <c r="H63" s="8"/>
      <c r="I63" s="8"/>
      <c r="J63" s="8"/>
      <c r="K63" s="8"/>
      <c r="L63" s="8"/>
    </row>
    <row r="64" spans="2:12" s="1" customFormat="1" ht="12.75">
      <c r="B64" s="8"/>
      <c r="C64" s="8"/>
      <c r="D64" s="8"/>
      <c r="E64" s="8"/>
      <c r="F64" s="8"/>
      <c r="G64" s="8"/>
      <c r="H64" s="8"/>
      <c r="I64" s="8"/>
      <c r="J64" s="8"/>
      <c r="K64" s="8"/>
      <c r="L64" s="8"/>
    </row>
    <row r="65" spans="2:12" s="1" customFormat="1" ht="12.75">
      <c r="B65" s="8" t="s">
        <v>145</v>
      </c>
      <c r="C65" s="34" t="s">
        <v>134</v>
      </c>
      <c r="D65" s="8"/>
      <c r="E65" s="8"/>
      <c r="F65" s="8"/>
      <c r="G65" s="8"/>
      <c r="H65" s="8"/>
      <c r="I65" s="8"/>
      <c r="J65" s="8"/>
      <c r="K65" s="8"/>
      <c r="L65" s="8"/>
    </row>
    <row r="66" spans="2:12" s="1" customFormat="1" ht="12.75">
      <c r="B66" s="8" t="s">
        <v>146</v>
      </c>
      <c r="C66" s="8" t="s">
        <v>133</v>
      </c>
      <c r="D66" s="8"/>
      <c r="E66" s="8"/>
      <c r="F66" s="8"/>
      <c r="G66" s="8"/>
      <c r="H66" s="8"/>
      <c r="I66" s="8"/>
      <c r="J66" s="8"/>
      <c r="K66" s="8"/>
      <c r="L66" s="8"/>
    </row>
    <row r="67" spans="2:12" s="1" customFormat="1" ht="12.75">
      <c r="B67" s="8" t="s">
        <v>147</v>
      </c>
      <c r="C67" s="8" t="s">
        <v>77</v>
      </c>
      <c r="D67" s="8"/>
      <c r="E67" s="8"/>
      <c r="F67" s="8"/>
      <c r="G67" s="8"/>
      <c r="H67" s="8"/>
      <c r="I67" s="8"/>
      <c r="J67" s="8"/>
      <c r="K67" s="8"/>
      <c r="L67" s="8"/>
    </row>
    <row r="68" spans="2:12" s="1" customFormat="1" ht="12.75">
      <c r="B68" s="8" t="s">
        <v>148</v>
      </c>
      <c r="C68" s="11">
        <v>35014</v>
      </c>
      <c r="D68" s="8"/>
      <c r="E68" s="8"/>
      <c r="F68" s="8"/>
      <c r="G68" s="8"/>
      <c r="H68" s="8"/>
      <c r="I68" s="8"/>
      <c r="J68" s="8"/>
      <c r="K68" s="8"/>
      <c r="L68" s="8"/>
    </row>
    <row r="69" spans="2:12" s="1" customFormat="1" ht="12.75">
      <c r="B69" s="8" t="s">
        <v>158</v>
      </c>
      <c r="C69" s="48">
        <v>35004</v>
      </c>
      <c r="D69" s="8"/>
      <c r="E69" s="8"/>
      <c r="F69" s="8"/>
      <c r="G69" s="8"/>
      <c r="H69" s="8"/>
      <c r="I69" s="8"/>
      <c r="J69" s="8"/>
      <c r="K69" s="8"/>
      <c r="L69" s="8"/>
    </row>
    <row r="70" spans="2:12" s="1" customFormat="1" ht="12.75">
      <c r="B70" s="8" t="s">
        <v>149</v>
      </c>
      <c r="C70" s="8" t="s">
        <v>86</v>
      </c>
      <c r="D70" s="8"/>
      <c r="E70" s="8"/>
      <c r="F70" s="8"/>
      <c r="G70" s="8"/>
      <c r="H70" s="8"/>
      <c r="I70" s="8"/>
      <c r="J70" s="8"/>
      <c r="K70" s="8"/>
      <c r="L70" s="8"/>
    </row>
    <row r="71" spans="2:12" s="1" customFormat="1" ht="12.75">
      <c r="B71" s="8" t="s">
        <v>150</v>
      </c>
      <c r="C71" s="11" t="s">
        <v>132</v>
      </c>
      <c r="D71" s="8"/>
      <c r="E71" s="8"/>
      <c r="F71" s="8"/>
      <c r="G71" s="8"/>
      <c r="H71" s="8"/>
      <c r="I71" s="8"/>
      <c r="J71" s="8"/>
      <c r="K71" s="8"/>
      <c r="L71" s="8"/>
    </row>
  </sheetData>
  <printOptions headings="1" horizontalCentered="1"/>
  <pageMargins left="0.25" right="0.25" top="0.5" bottom="0.5" header="0.25" footer="0.25"/>
  <pageSetup horizontalDpi="600" verticalDpi="600" orientation="portrait" pageOrder="overThenDown" scale="80" r:id="rId1"/>
  <headerFooter alignWithMargins="0">
    <oddFooter>&amp;C&amp;P, &amp;A, &amp;F</oddFooter>
  </headerFooter>
</worksheet>
</file>

<file path=xl/worksheets/sheet4.xml><?xml version="1.0" encoding="utf-8"?>
<worksheet xmlns="http://schemas.openxmlformats.org/spreadsheetml/2006/main" xmlns:r="http://schemas.openxmlformats.org/officeDocument/2006/relationships">
  <dimension ref="A1:M167"/>
  <sheetViews>
    <sheetView workbookViewId="0" topLeftCell="B1">
      <selection activeCell="G1" sqref="G1"/>
    </sheetView>
  </sheetViews>
  <sheetFormatPr defaultColWidth="9.140625" defaultRowHeight="12.75"/>
  <cols>
    <col min="1" max="1" width="4.7109375" style="13" hidden="1" customWidth="1"/>
    <col min="2" max="2" width="16.00390625" style="13" customWidth="1"/>
    <col min="3" max="3" width="6.421875" style="13" customWidth="1"/>
    <col min="4" max="4" width="8.8515625" style="5" customWidth="1"/>
    <col min="5" max="6" width="3.140625" style="5" customWidth="1"/>
    <col min="7" max="7" width="10.00390625" style="13" customWidth="1"/>
    <col min="8" max="8" width="2.7109375" style="13" customWidth="1"/>
    <col min="9" max="9" width="9.7109375" style="14" customWidth="1"/>
    <col min="10" max="10" width="2.8515625" style="13" customWidth="1"/>
    <col min="11" max="11" width="12.28125" style="13" customWidth="1"/>
    <col min="12" max="12" width="2.57421875" style="13" customWidth="1"/>
    <col min="13" max="13" width="8.8515625" style="13" customWidth="1"/>
    <col min="14" max="14" width="2.140625" style="13" customWidth="1"/>
    <col min="15" max="16384" width="8.8515625" style="13" customWidth="1"/>
  </cols>
  <sheetData>
    <row r="1" spans="2:3" ht="12.75">
      <c r="B1" s="12" t="s">
        <v>151</v>
      </c>
      <c r="C1" s="12"/>
    </row>
    <row r="2" spans="2:12" ht="12.75">
      <c r="B2" s="15"/>
      <c r="C2" s="15"/>
      <c r="G2" s="15"/>
      <c r="H2" s="15"/>
      <c r="I2" s="16"/>
      <c r="J2" s="15"/>
      <c r="K2" s="15"/>
      <c r="L2" s="15"/>
    </row>
    <row r="3" spans="2:5" ht="12.75">
      <c r="B3" s="8"/>
      <c r="C3" s="8" t="s">
        <v>59</v>
      </c>
      <c r="D3" s="5" t="s">
        <v>12</v>
      </c>
      <c r="E3" s="5" t="s">
        <v>36</v>
      </c>
    </row>
    <row r="4" spans="2:12" ht="12.75">
      <c r="B4" s="8"/>
      <c r="C4" s="8"/>
      <c r="G4" s="15"/>
      <c r="H4" s="15"/>
      <c r="I4" s="16"/>
      <c r="J4" s="15"/>
      <c r="K4" s="15"/>
      <c r="L4" s="15"/>
    </row>
    <row r="5" spans="1:13" ht="12.75">
      <c r="A5" s="13">
        <v>1</v>
      </c>
      <c r="B5" s="17" t="s">
        <v>118</v>
      </c>
      <c r="C5" s="17" t="s">
        <v>60</v>
      </c>
      <c r="G5" s="15" t="s">
        <v>153</v>
      </c>
      <c r="H5" s="15"/>
      <c r="I5" s="16" t="s">
        <v>154</v>
      </c>
      <c r="J5" s="15"/>
      <c r="K5" s="15" t="s">
        <v>155</v>
      </c>
      <c r="L5" s="15"/>
      <c r="M5" s="13" t="s">
        <v>152</v>
      </c>
    </row>
    <row r="6" spans="2:12" ht="12.75">
      <c r="B6" s="5"/>
      <c r="C6" s="5"/>
      <c r="D6" s="8"/>
      <c r="E6" s="8"/>
      <c r="F6" s="8"/>
      <c r="G6" s="8"/>
      <c r="H6" s="8"/>
      <c r="I6" s="18"/>
      <c r="J6" s="8"/>
      <c r="K6" s="8"/>
      <c r="L6" s="15"/>
    </row>
    <row r="7" spans="2:13" ht="12.75">
      <c r="B7" s="5" t="s">
        <v>92</v>
      </c>
      <c r="C7" s="5" t="s">
        <v>157</v>
      </c>
      <c r="D7" s="5" t="s">
        <v>14</v>
      </c>
      <c r="E7" s="5" t="s">
        <v>15</v>
      </c>
      <c r="F7"/>
      <c r="G7">
        <v>0.035</v>
      </c>
      <c r="H7"/>
      <c r="I7">
        <v>0.023</v>
      </c>
      <c r="J7"/>
      <c r="K7">
        <v>0.025</v>
      </c>
      <c r="L7"/>
      <c r="M7" s="41">
        <f>AVERAGE(K7,I7,G7)</f>
        <v>0.02766666666666667</v>
      </c>
    </row>
    <row r="8" spans="2:13" ht="12.75">
      <c r="B8" s="5" t="s">
        <v>65</v>
      </c>
      <c r="C8" s="5" t="s">
        <v>157</v>
      </c>
      <c r="D8" s="5" t="s">
        <v>16</v>
      </c>
      <c r="E8" s="5" t="s">
        <v>15</v>
      </c>
      <c r="F8"/>
      <c r="G8">
        <v>0</v>
      </c>
      <c r="H8"/>
      <c r="I8"/>
      <c r="J8"/>
      <c r="K8">
        <v>0.1</v>
      </c>
      <c r="L8"/>
      <c r="M8">
        <f>AVERAGE(K8,I8,G8)</f>
        <v>0.05</v>
      </c>
    </row>
    <row r="9" spans="2:13" ht="12.75">
      <c r="B9" s="5" t="s">
        <v>95</v>
      </c>
      <c r="C9" s="5" t="s">
        <v>157</v>
      </c>
      <c r="D9" s="5" t="s">
        <v>16</v>
      </c>
      <c r="E9" s="5" t="s">
        <v>15</v>
      </c>
      <c r="F9"/>
      <c r="G9">
        <v>0</v>
      </c>
      <c r="H9"/>
      <c r="I9">
        <v>1</v>
      </c>
      <c r="J9"/>
      <c r="K9">
        <v>1.4</v>
      </c>
      <c r="L9"/>
      <c r="M9">
        <f>AVERAGE(K9,I9,G9)</f>
        <v>0.7999999999999999</v>
      </c>
    </row>
    <row r="10" spans="2:13" ht="12.75">
      <c r="B10" s="5" t="s">
        <v>93</v>
      </c>
      <c r="C10" s="5" t="s">
        <v>157</v>
      </c>
      <c r="D10" s="5" t="s">
        <v>16</v>
      </c>
      <c r="E10" s="5" t="s">
        <v>15</v>
      </c>
      <c r="G10">
        <v>1.7</v>
      </c>
      <c r="H10" s="5"/>
      <c r="I10">
        <v>7.9</v>
      </c>
      <c r="J10" s="5"/>
      <c r="K10">
        <v>11</v>
      </c>
      <c r="L10"/>
      <c r="M10" s="37">
        <f>AVERAGE(K10,I10,G10)</f>
        <v>6.866666666666666</v>
      </c>
    </row>
    <row r="11" spans="2:13" ht="12.75">
      <c r="B11" s="5"/>
      <c r="C11" s="5"/>
      <c r="F11"/>
      <c r="G11"/>
      <c r="H11"/>
      <c r="I11"/>
      <c r="J11"/>
      <c r="K11"/>
      <c r="L11"/>
      <c r="M11"/>
    </row>
    <row r="12" spans="2:13" ht="12.75">
      <c r="B12" s="5" t="s">
        <v>51</v>
      </c>
      <c r="C12" s="5"/>
      <c r="D12" s="5" t="s">
        <v>24</v>
      </c>
      <c r="G12" s="36">
        <v>0.00468</v>
      </c>
      <c r="H12" s="5"/>
      <c r="I12" s="36">
        <v>0.00472</v>
      </c>
      <c r="J12" s="5"/>
      <c r="K12" s="36">
        <v>0.00472</v>
      </c>
      <c r="L12"/>
      <c r="M12"/>
    </row>
    <row r="13" spans="2:13" ht="12.75">
      <c r="B13" s="5" t="s">
        <v>52</v>
      </c>
      <c r="C13" s="5"/>
      <c r="D13" s="5" t="s">
        <v>24</v>
      </c>
      <c r="G13" s="36">
        <v>8.57E-05</v>
      </c>
      <c r="H13" s="5"/>
      <c r="I13" s="36">
        <v>5.76E-05</v>
      </c>
      <c r="J13" s="5"/>
      <c r="K13" s="36">
        <v>4.93E-05</v>
      </c>
      <c r="L13"/>
      <c r="M13"/>
    </row>
    <row r="14" spans="2:13" ht="12.75">
      <c r="B14" s="5" t="s">
        <v>53</v>
      </c>
      <c r="C14" s="5"/>
      <c r="D14" s="5" t="s">
        <v>24</v>
      </c>
      <c r="G14" s="36">
        <v>0.0011</v>
      </c>
      <c r="H14" s="5"/>
      <c r="I14" s="36">
        <v>0.000933</v>
      </c>
      <c r="J14" s="5"/>
      <c r="K14" s="36">
        <v>0.00148</v>
      </c>
      <c r="L14"/>
      <c r="M14"/>
    </row>
    <row r="15" spans="2:13" ht="12.75">
      <c r="B15" s="5" t="s">
        <v>54</v>
      </c>
      <c r="C15" s="5"/>
      <c r="D15" s="5" t="s">
        <v>24</v>
      </c>
      <c r="G15" s="36">
        <v>2.07E-06</v>
      </c>
      <c r="H15" s="5"/>
      <c r="I15" s="36">
        <v>2.09E-06</v>
      </c>
      <c r="J15" s="5"/>
      <c r="K15" s="36">
        <v>2.09E-06</v>
      </c>
      <c r="L15"/>
      <c r="M15"/>
    </row>
    <row r="16" spans="2:13" ht="12.75">
      <c r="B16" s="5" t="s">
        <v>55</v>
      </c>
      <c r="C16" s="5"/>
      <c r="D16" s="5" t="s">
        <v>24</v>
      </c>
      <c r="G16" s="36">
        <v>0.0133</v>
      </c>
      <c r="H16" s="5"/>
      <c r="I16" s="36">
        <v>0.0118</v>
      </c>
      <c r="J16" s="5"/>
      <c r="K16" s="36">
        <v>0.0126</v>
      </c>
      <c r="L16"/>
      <c r="M16"/>
    </row>
    <row r="17" spans="2:13" ht="12.75">
      <c r="B17" s="5" t="s">
        <v>66</v>
      </c>
      <c r="C17" s="5"/>
      <c r="D17" s="5" t="s">
        <v>24</v>
      </c>
      <c r="G17" s="36">
        <v>0.00029</v>
      </c>
      <c r="H17" s="5"/>
      <c r="I17" s="36">
        <v>0.00028</v>
      </c>
      <c r="J17" s="5"/>
      <c r="K17" s="36">
        <v>0.000334</v>
      </c>
      <c r="L17"/>
      <c r="M17"/>
    </row>
    <row r="18" spans="2:13" ht="12.75">
      <c r="B18" s="5" t="s">
        <v>50</v>
      </c>
      <c r="C18" s="5"/>
      <c r="D18" s="5" t="s">
        <v>24</v>
      </c>
      <c r="G18" s="36">
        <v>0.104</v>
      </c>
      <c r="H18" s="5"/>
      <c r="I18" s="36">
        <v>0.0711</v>
      </c>
      <c r="J18" s="5"/>
      <c r="K18" s="36">
        <v>0.0754</v>
      </c>
      <c r="L18"/>
      <c r="M18"/>
    </row>
    <row r="19" spans="2:13" ht="12.75">
      <c r="B19" s="5" t="s">
        <v>56</v>
      </c>
      <c r="C19" s="5"/>
      <c r="D19" s="5" t="s">
        <v>24</v>
      </c>
      <c r="G19" s="36">
        <v>1.85E-05</v>
      </c>
      <c r="H19" s="5"/>
      <c r="I19" s="36">
        <v>1.84E-05</v>
      </c>
      <c r="J19" s="5"/>
      <c r="K19" s="36">
        <v>1.92E-05</v>
      </c>
      <c r="L19"/>
      <c r="M19"/>
    </row>
    <row r="20" spans="2:13" ht="12.75">
      <c r="B20" s="5" t="s">
        <v>57</v>
      </c>
      <c r="C20" s="5"/>
      <c r="D20" s="5" t="s">
        <v>24</v>
      </c>
      <c r="G20" s="36">
        <v>2.07E-05</v>
      </c>
      <c r="H20" s="5"/>
      <c r="I20" s="36">
        <v>9.19E-06</v>
      </c>
      <c r="J20" s="5"/>
      <c r="K20" s="36">
        <v>1.25E-05</v>
      </c>
      <c r="L20"/>
      <c r="M20"/>
    </row>
    <row r="21" spans="2:13" ht="12.75">
      <c r="B21" s="5" t="s">
        <v>58</v>
      </c>
      <c r="C21" s="5"/>
      <c r="D21" s="5" t="s">
        <v>24</v>
      </c>
      <c r="G21" s="36">
        <v>2.07E-06</v>
      </c>
      <c r="H21" s="5"/>
      <c r="I21" s="36">
        <v>2.09E-06</v>
      </c>
      <c r="J21" s="5"/>
      <c r="K21" s="36">
        <v>2.09E-06</v>
      </c>
      <c r="L21"/>
      <c r="M21"/>
    </row>
    <row r="23" spans="2:13" ht="12.75">
      <c r="B23" s="5" t="s">
        <v>67</v>
      </c>
      <c r="C23" s="5" t="s">
        <v>94</v>
      </c>
      <c r="D23" s="5" t="s">
        <v>157</v>
      </c>
      <c r="F23"/>
      <c r="G23"/>
      <c r="H23"/>
      <c r="I23"/>
      <c r="J23"/>
      <c r="K23"/>
      <c r="L23"/>
      <c r="M23"/>
    </row>
    <row r="24" spans="2:13" ht="12.75">
      <c r="B24" s="5" t="s">
        <v>49</v>
      </c>
      <c r="C24" s="5"/>
      <c r="D24" s="5" t="s">
        <v>17</v>
      </c>
      <c r="F24"/>
      <c r="G24" s="2">
        <f>141495/60</f>
        <v>2358.25</v>
      </c>
      <c r="H24" s="2"/>
      <c r="I24" s="2">
        <f>159180/60</f>
        <v>2653</v>
      </c>
      <c r="J24" s="2"/>
      <c r="K24" s="2">
        <f>164586/60</f>
        <v>2743.1</v>
      </c>
      <c r="L24" s="2"/>
      <c r="M24" s="2">
        <f>AVERAGE(K24,I24,G24)</f>
        <v>2584.7833333333333</v>
      </c>
    </row>
    <row r="25" spans="2:13" ht="12.75">
      <c r="B25" s="5" t="s">
        <v>63</v>
      </c>
      <c r="C25" s="5"/>
      <c r="D25" s="5" t="s">
        <v>18</v>
      </c>
      <c r="F25"/>
      <c r="G25">
        <v>12.6</v>
      </c>
      <c r="H25"/>
      <c r="I25">
        <v>12.4</v>
      </c>
      <c r="J25"/>
      <c r="K25">
        <v>12.4</v>
      </c>
      <c r="L25"/>
      <c r="M25" s="2">
        <f>AVERAGE(K25,I25,G25)</f>
        <v>12.466666666666667</v>
      </c>
    </row>
    <row r="26" spans="2:13" ht="12.75">
      <c r="B26" s="5" t="s">
        <v>64</v>
      </c>
      <c r="C26" s="5"/>
      <c r="D26" s="5" t="s">
        <v>18</v>
      </c>
      <c r="F26"/>
      <c r="G26">
        <v>6.2</v>
      </c>
      <c r="H26"/>
      <c r="I26">
        <v>6</v>
      </c>
      <c r="J26"/>
      <c r="K26">
        <v>6.4</v>
      </c>
      <c r="L26"/>
      <c r="M26" s="2">
        <f>AVERAGE(K26,I26,G26)</f>
        <v>6.2</v>
      </c>
    </row>
    <row r="27" spans="2:13" ht="12.75">
      <c r="B27" s="5" t="s">
        <v>48</v>
      </c>
      <c r="C27" s="5"/>
      <c r="D27" s="5" t="s">
        <v>19</v>
      </c>
      <c r="F27"/>
      <c r="G27">
        <v>198</v>
      </c>
      <c r="H27"/>
      <c r="I27">
        <v>188</v>
      </c>
      <c r="J27"/>
      <c r="K27">
        <v>188</v>
      </c>
      <c r="L27"/>
      <c r="M27" s="2">
        <f>AVERAGE(K27,I27,G27)</f>
        <v>191.33333333333334</v>
      </c>
    </row>
    <row r="28" spans="2:11" ht="12.75">
      <c r="B28" s="5"/>
      <c r="C28" s="5"/>
      <c r="G28" s="19"/>
      <c r="H28" s="19"/>
      <c r="I28" s="20"/>
      <c r="J28" s="19"/>
      <c r="K28" s="19"/>
    </row>
    <row r="29" spans="2:13" ht="12.75">
      <c r="B29" s="5" t="s">
        <v>51</v>
      </c>
      <c r="C29" s="13" t="s">
        <v>157</v>
      </c>
      <c r="D29" s="5" t="s">
        <v>29</v>
      </c>
      <c r="E29" s="5" t="s">
        <v>15</v>
      </c>
      <c r="G29" s="38">
        <f>G12*454/60/0.0283/G$24*(21-7)/(21-G$25)*1000000</f>
        <v>884.3474472558745</v>
      </c>
      <c r="H29" s="38"/>
      <c r="I29" s="38">
        <f>I12*454/60/0.0283/I$24*(21-7)/(21-I$25)*1000000</f>
        <v>774.3770974489802</v>
      </c>
      <c r="J29" s="38"/>
      <c r="K29" s="38">
        <f aca="true" t="shared" si="0" ref="K29:K38">K12*454/60/0.0283/K$24*(21-7)/(21-K$25)*1000000</f>
        <v>748.9418685181527</v>
      </c>
      <c r="M29" s="38">
        <f aca="true" t="shared" si="1" ref="M29:M35">AVERAGE(G29,I29,K29)</f>
        <v>802.5554710743357</v>
      </c>
    </row>
    <row r="30" spans="2:13" ht="12.75">
      <c r="B30" s="5" t="s">
        <v>52</v>
      </c>
      <c r="C30" s="13" t="s">
        <v>157</v>
      </c>
      <c r="D30" s="5" t="s">
        <v>29</v>
      </c>
      <c r="E30" s="5" t="s">
        <v>15</v>
      </c>
      <c r="G30" s="38">
        <f aca="true" t="shared" si="2" ref="G30:I38">G13*454/60/0.0283/G$24*(21-7)/(21-G$25)*1000000</f>
        <v>16.194140220048812</v>
      </c>
      <c r="H30" s="38"/>
      <c r="I30" s="38">
        <f t="shared" si="2"/>
        <v>9.450025595987553</v>
      </c>
      <c r="J30" s="38"/>
      <c r="K30" s="38">
        <f t="shared" si="0"/>
        <v>7.8226343470222295</v>
      </c>
      <c r="M30" s="38">
        <f t="shared" si="1"/>
        <v>11.155600054352865</v>
      </c>
    </row>
    <row r="31" spans="2:13" ht="12.75">
      <c r="B31" s="5" t="s">
        <v>53</v>
      </c>
      <c r="C31" s="13" t="s">
        <v>157</v>
      </c>
      <c r="D31" s="5" t="s">
        <v>29</v>
      </c>
      <c r="E31" s="5" t="s">
        <v>15</v>
      </c>
      <c r="G31" s="38">
        <f t="shared" si="2"/>
        <v>207.85944273108163</v>
      </c>
      <c r="H31" s="38"/>
      <c r="I31" s="38">
        <f t="shared" si="2"/>
        <v>153.07072710167344</v>
      </c>
      <c r="J31" s="38"/>
      <c r="K31" s="38">
        <f t="shared" si="0"/>
        <v>234.837704535353</v>
      </c>
      <c r="M31" s="38">
        <f t="shared" si="1"/>
        <v>198.58929145603602</v>
      </c>
    </row>
    <row r="32" spans="2:13" ht="12.75">
      <c r="B32" s="5" t="s">
        <v>54</v>
      </c>
      <c r="C32" s="13" t="s">
        <v>157</v>
      </c>
      <c r="D32" s="5" t="s">
        <v>29</v>
      </c>
      <c r="E32" s="5" t="s">
        <v>15</v>
      </c>
      <c r="G32" s="38">
        <f t="shared" si="2"/>
        <v>0.39115367859394456</v>
      </c>
      <c r="H32" s="38"/>
      <c r="I32" s="38">
        <f t="shared" si="2"/>
        <v>0.34289155374329844</v>
      </c>
      <c r="J32" s="38"/>
      <c r="K32" s="38">
        <f t="shared" si="0"/>
        <v>0.331628920593843</v>
      </c>
      <c r="M32" s="38">
        <f t="shared" si="1"/>
        <v>0.35522471764369534</v>
      </c>
    </row>
    <row r="33" spans="2:13" ht="12.75">
      <c r="B33" s="5" t="s">
        <v>55</v>
      </c>
      <c r="C33" s="13" t="s">
        <v>157</v>
      </c>
      <c r="D33" s="5" t="s">
        <v>29</v>
      </c>
      <c r="E33" s="5" t="s">
        <v>15</v>
      </c>
      <c r="G33" s="38">
        <f t="shared" si="2"/>
        <v>2513.2096257485323</v>
      </c>
      <c r="H33" s="38"/>
      <c r="I33" s="38">
        <f t="shared" si="2"/>
        <v>1935.9427436224505</v>
      </c>
      <c r="J33" s="38"/>
      <c r="K33" s="38">
        <f t="shared" si="0"/>
        <v>1999.2939710442208</v>
      </c>
      <c r="M33" s="38">
        <f t="shared" si="1"/>
        <v>2149.4821134717345</v>
      </c>
    </row>
    <row r="34" spans="2:13" ht="12.75">
      <c r="B34" s="5" t="s">
        <v>66</v>
      </c>
      <c r="C34" s="13" t="s">
        <v>157</v>
      </c>
      <c r="D34" s="5" t="s">
        <v>29</v>
      </c>
      <c r="E34" s="5" t="s">
        <v>15</v>
      </c>
      <c r="G34" s="38">
        <f t="shared" si="2"/>
        <v>54.799307629103346</v>
      </c>
      <c r="H34" s="38"/>
      <c r="I34" s="38">
        <f t="shared" si="2"/>
        <v>45.93762442493951</v>
      </c>
      <c r="J34" s="38"/>
      <c r="K34" s="38">
        <f t="shared" si="0"/>
        <v>52.99715764514046</v>
      </c>
      <c r="M34" s="38">
        <f t="shared" si="1"/>
        <v>51.24469656639443</v>
      </c>
    </row>
    <row r="35" spans="2:13" ht="12.75">
      <c r="B35" s="5" t="s">
        <v>50</v>
      </c>
      <c r="C35" s="13" t="s">
        <v>157</v>
      </c>
      <c r="D35" s="5" t="s">
        <v>29</v>
      </c>
      <c r="E35" s="5" t="s">
        <v>15</v>
      </c>
      <c r="G35" s="38">
        <f t="shared" si="2"/>
        <v>19652.16549457499</v>
      </c>
      <c r="H35" s="38"/>
      <c r="I35" s="38">
        <f t="shared" si="2"/>
        <v>11664.87534504714</v>
      </c>
      <c r="J35" s="38"/>
      <c r="K35" s="38">
        <f t="shared" si="0"/>
        <v>11964.029001328117</v>
      </c>
      <c r="M35" s="38">
        <f t="shared" si="1"/>
        <v>14427.023280316751</v>
      </c>
    </row>
    <row r="36" spans="2:13" ht="12.75">
      <c r="B36" s="5" t="s">
        <v>56</v>
      </c>
      <c r="C36" s="13" t="s">
        <v>157</v>
      </c>
      <c r="D36" s="5" t="s">
        <v>29</v>
      </c>
      <c r="E36" s="5" t="s">
        <v>15</v>
      </c>
      <c r="G36" s="38">
        <f t="shared" si="2"/>
        <v>3.495817900477282</v>
      </c>
      <c r="H36" s="38"/>
      <c r="I36" s="38">
        <f t="shared" si="2"/>
        <v>3.0187581764960245</v>
      </c>
      <c r="J36" s="38"/>
      <c r="K36" s="38">
        <f t="shared" si="0"/>
        <v>3.046543193972146</v>
      </c>
      <c r="M36" s="38">
        <f>AVERAGE(G36,I36,K36)</f>
        <v>3.1870397569818176</v>
      </c>
    </row>
    <row r="37" spans="2:13" ht="12.75">
      <c r="B37" s="5" t="s">
        <v>57</v>
      </c>
      <c r="C37" s="13" t="s">
        <v>157</v>
      </c>
      <c r="D37" s="5" t="s">
        <v>29</v>
      </c>
      <c r="E37" s="5" t="s">
        <v>15</v>
      </c>
      <c r="G37" s="38">
        <f t="shared" si="2"/>
        <v>3.9115367859394445</v>
      </c>
      <c r="H37" s="39"/>
      <c r="I37" s="38">
        <f t="shared" si="2"/>
        <v>1.5077384588042646</v>
      </c>
      <c r="J37" s="39"/>
      <c r="K37" s="38">
        <f t="shared" si="0"/>
        <v>1.9834265585756163</v>
      </c>
      <c r="M37" s="38">
        <f>AVERAGE(G37,I37,K37)</f>
        <v>2.4675672677731084</v>
      </c>
    </row>
    <row r="38" spans="2:13" ht="12.75">
      <c r="B38" s="5" t="s">
        <v>58</v>
      </c>
      <c r="C38" s="13" t="s">
        <v>157</v>
      </c>
      <c r="D38" s="5" t="s">
        <v>29</v>
      </c>
      <c r="E38" s="5" t="s">
        <v>15</v>
      </c>
      <c r="G38" s="38">
        <f t="shared" si="2"/>
        <v>0.39115367859394456</v>
      </c>
      <c r="H38" s="38"/>
      <c r="I38" s="38">
        <f t="shared" si="2"/>
        <v>0.34289155374329844</v>
      </c>
      <c r="J38" s="38"/>
      <c r="K38" s="38">
        <f t="shared" si="0"/>
        <v>0.331628920593843</v>
      </c>
      <c r="M38" s="38">
        <f>AVERAGE(G38,I38,K38)</f>
        <v>0.35522471764369534</v>
      </c>
    </row>
    <row r="39" spans="2:11" ht="12.75">
      <c r="B39" s="5"/>
      <c r="C39" s="5"/>
      <c r="G39" s="40"/>
      <c r="H39" s="38"/>
      <c r="I39" s="40"/>
      <c r="J39" s="38"/>
      <c r="K39" s="38"/>
    </row>
    <row r="40" spans="2:13" ht="12.75">
      <c r="B40" s="5" t="s">
        <v>30</v>
      </c>
      <c r="C40" s="13" t="s">
        <v>157</v>
      </c>
      <c r="D40" s="5" t="s">
        <v>29</v>
      </c>
      <c r="E40" s="5" t="s">
        <v>15</v>
      </c>
      <c r="G40" s="42">
        <f>G33+G35</f>
        <v>22165.375120323522</v>
      </c>
      <c r="H40" s="43"/>
      <c r="I40" s="42">
        <f>I33+I35</f>
        <v>13600.81808866959</v>
      </c>
      <c r="J40" s="43"/>
      <c r="K40" s="42">
        <f>K33+K35</f>
        <v>13963.322972372338</v>
      </c>
      <c r="L40" s="43"/>
      <c r="M40" s="43">
        <f>AVERAGE(G40,I40,K40)</f>
        <v>16576.505393788484</v>
      </c>
    </row>
    <row r="41" spans="2:13" ht="12.75">
      <c r="B41" s="5" t="s">
        <v>31</v>
      </c>
      <c r="C41" s="13" t="s">
        <v>157</v>
      </c>
      <c r="D41" s="5" t="s">
        <v>29</v>
      </c>
      <c r="E41" s="5" t="s">
        <v>15</v>
      </c>
      <c r="G41" s="40">
        <f>G30+G32+G34</f>
        <v>71.3846015277461</v>
      </c>
      <c r="H41" s="38"/>
      <c r="I41" s="40">
        <f>I30+I32+I34</f>
        <v>55.730541574670355</v>
      </c>
      <c r="J41" s="38"/>
      <c r="K41" s="40">
        <f>K30+K32+K34</f>
        <v>61.151420912756535</v>
      </c>
      <c r="M41" s="38">
        <f>AVERAGE(G41,I41,K41)</f>
        <v>62.755521338391</v>
      </c>
    </row>
    <row r="42" spans="2:9" ht="12.75">
      <c r="B42" s="5"/>
      <c r="C42" s="5"/>
      <c r="G42" s="19"/>
      <c r="I42" s="20"/>
    </row>
    <row r="43" spans="1:13" ht="12.75">
      <c r="A43" s="13">
        <v>2</v>
      </c>
      <c r="B43" s="17" t="s">
        <v>119</v>
      </c>
      <c r="C43" s="17" t="s">
        <v>60</v>
      </c>
      <c r="G43" s="15" t="s">
        <v>153</v>
      </c>
      <c r="H43" s="15"/>
      <c r="I43" s="16" t="s">
        <v>154</v>
      </c>
      <c r="J43" s="15"/>
      <c r="K43" s="15" t="s">
        <v>155</v>
      </c>
      <c r="L43" s="15"/>
      <c r="M43" s="13" t="s">
        <v>152</v>
      </c>
    </row>
    <row r="44" spans="2:12" ht="12.75">
      <c r="B44" s="5"/>
      <c r="C44" s="5"/>
      <c r="D44" s="8"/>
      <c r="E44" s="8"/>
      <c r="F44" s="8"/>
      <c r="G44" s="8"/>
      <c r="H44" s="8"/>
      <c r="I44" s="18"/>
      <c r="J44" s="8"/>
      <c r="K44" s="8"/>
      <c r="L44" s="15"/>
    </row>
    <row r="45" spans="2:13" ht="12.75">
      <c r="B45" s="5" t="s">
        <v>92</v>
      </c>
      <c r="C45" s="5" t="s">
        <v>157</v>
      </c>
      <c r="D45" s="5" t="s">
        <v>14</v>
      </c>
      <c r="E45" s="5" t="s">
        <v>15</v>
      </c>
      <c r="F45"/>
      <c r="G45">
        <v>0.155</v>
      </c>
      <c r="H45"/>
      <c r="I45">
        <v>0.229</v>
      </c>
      <c r="J45"/>
      <c r="K45">
        <v>0.183</v>
      </c>
      <c r="L45"/>
      <c r="M45">
        <f>AVERAGE(K45,I45,G45)</f>
        <v>0.18900000000000003</v>
      </c>
    </row>
    <row r="46" spans="2:13" ht="12.75">
      <c r="B46" s="5" t="s">
        <v>65</v>
      </c>
      <c r="C46" s="5" t="s">
        <v>157</v>
      </c>
      <c r="D46" s="5" t="s">
        <v>16</v>
      </c>
      <c r="E46" s="5" t="s">
        <v>15</v>
      </c>
      <c r="F46"/>
      <c r="G46">
        <v>3</v>
      </c>
      <c r="H46"/>
      <c r="I46">
        <v>4.9</v>
      </c>
      <c r="J46"/>
      <c r="K46">
        <v>6.1</v>
      </c>
      <c r="L46"/>
      <c r="M46" s="37">
        <f>AVERAGE(K46,I46,G46)</f>
        <v>4.666666666666667</v>
      </c>
    </row>
    <row r="47" spans="2:13" ht="12.75">
      <c r="B47" s="5" t="s">
        <v>95</v>
      </c>
      <c r="C47" s="5" t="s">
        <v>157</v>
      </c>
      <c r="D47" s="5" t="s">
        <v>16</v>
      </c>
      <c r="E47" s="5" t="s">
        <v>15</v>
      </c>
      <c r="F47"/>
      <c r="G47">
        <v>3.4</v>
      </c>
      <c r="H47"/>
      <c r="I47">
        <v>5.7</v>
      </c>
      <c r="J47"/>
      <c r="K47">
        <v>7.2</v>
      </c>
      <c r="L47"/>
      <c r="M47" s="37">
        <f>AVERAGE(K47,I47,G47)</f>
        <v>5.433333333333334</v>
      </c>
    </row>
    <row r="48" spans="2:13" ht="12.75">
      <c r="B48" s="5" t="s">
        <v>93</v>
      </c>
      <c r="C48" s="5" t="s">
        <v>157</v>
      </c>
      <c r="D48" s="5" t="s">
        <v>16</v>
      </c>
      <c r="E48" s="5" t="s">
        <v>15</v>
      </c>
      <c r="G48">
        <v>0.9</v>
      </c>
      <c r="H48" s="5"/>
      <c r="I48">
        <v>4.3</v>
      </c>
      <c r="J48" s="5"/>
      <c r="K48">
        <v>0.4</v>
      </c>
      <c r="L48"/>
      <c r="M48" s="37">
        <f>AVERAGE(K48,I48,G48)</f>
        <v>1.866666666666667</v>
      </c>
    </row>
    <row r="49" spans="2:13" ht="12.75">
      <c r="B49" s="5"/>
      <c r="C49" s="5"/>
      <c r="G49"/>
      <c r="H49" s="5"/>
      <c r="I49"/>
      <c r="J49" s="5"/>
      <c r="K49"/>
      <c r="L49"/>
      <c r="M49"/>
    </row>
    <row r="50" spans="2:13" ht="12.75">
      <c r="B50" s="5" t="s">
        <v>40</v>
      </c>
      <c r="C50" s="5" t="s">
        <v>97</v>
      </c>
      <c r="G50"/>
      <c r="H50" s="5"/>
      <c r="I50"/>
      <c r="J50" s="5"/>
      <c r="K50"/>
      <c r="L50"/>
      <c r="M50"/>
    </row>
    <row r="51" spans="2:13" ht="12.75">
      <c r="B51" s="5" t="s">
        <v>61</v>
      </c>
      <c r="C51" s="5"/>
      <c r="D51" s="5" t="s">
        <v>24</v>
      </c>
      <c r="G51">
        <v>13.184</v>
      </c>
      <c r="H51" s="5"/>
      <c r="I51">
        <v>14.001</v>
      </c>
      <c r="J51" s="5"/>
      <c r="K51">
        <v>14.001</v>
      </c>
      <c r="L51"/>
      <c r="M51"/>
    </row>
    <row r="52" spans="2:13" ht="12.75">
      <c r="B52" s="5" t="s">
        <v>62</v>
      </c>
      <c r="C52" s="5" t="s">
        <v>157</v>
      </c>
      <c r="D52" s="5" t="s">
        <v>24</v>
      </c>
      <c r="G52" s="36">
        <v>9.543E-05</v>
      </c>
      <c r="H52" s="5"/>
      <c r="I52" s="36">
        <v>9.663E-05</v>
      </c>
      <c r="J52" s="5"/>
      <c r="K52" s="36">
        <v>9.424E-05</v>
      </c>
      <c r="L52"/>
      <c r="M52"/>
    </row>
    <row r="53" spans="2:13" ht="12.75">
      <c r="B53" s="5" t="s">
        <v>23</v>
      </c>
      <c r="C53" s="5" t="s">
        <v>157</v>
      </c>
      <c r="D53" s="5" t="s">
        <v>18</v>
      </c>
      <c r="G53">
        <v>99.9993</v>
      </c>
      <c r="H53" s="5"/>
      <c r="I53">
        <v>99.9993</v>
      </c>
      <c r="J53" s="5"/>
      <c r="K53">
        <v>99.9993</v>
      </c>
      <c r="L53"/>
      <c r="M53"/>
    </row>
    <row r="54" spans="2:13" ht="12.75">
      <c r="B54" s="5"/>
      <c r="C54" s="5"/>
      <c r="G54"/>
      <c r="H54" s="5"/>
      <c r="I54"/>
      <c r="J54" s="5"/>
      <c r="K54"/>
      <c r="L54"/>
      <c r="M54"/>
    </row>
    <row r="55" spans="2:13" ht="12.75">
      <c r="B55" s="5" t="s">
        <v>40</v>
      </c>
      <c r="C55" s="5" t="s">
        <v>98</v>
      </c>
      <c r="G55"/>
      <c r="H55" s="5"/>
      <c r="I55"/>
      <c r="J55" s="5"/>
      <c r="K55"/>
      <c r="L55"/>
      <c r="M55"/>
    </row>
    <row r="56" spans="2:13" ht="12.75">
      <c r="B56" s="5" t="s">
        <v>61</v>
      </c>
      <c r="C56" s="5"/>
      <c r="D56" s="5" t="s">
        <v>24</v>
      </c>
      <c r="G56">
        <v>1.813</v>
      </c>
      <c r="H56" s="5"/>
      <c r="I56">
        <v>1.813</v>
      </c>
      <c r="J56" s="5"/>
      <c r="K56">
        <v>1.813</v>
      </c>
      <c r="L56"/>
      <c r="M56"/>
    </row>
    <row r="57" spans="2:13" ht="12.75">
      <c r="B57" s="5" t="s">
        <v>62</v>
      </c>
      <c r="C57" s="5" t="s">
        <v>157</v>
      </c>
      <c r="D57" s="5" t="s">
        <v>24</v>
      </c>
      <c r="G57" s="36">
        <v>9.543E-05</v>
      </c>
      <c r="H57" s="5"/>
      <c r="I57" s="36">
        <v>9.663E-05</v>
      </c>
      <c r="J57" s="5"/>
      <c r="K57" s="36">
        <v>9.424E-05</v>
      </c>
      <c r="L57"/>
      <c r="M57"/>
    </row>
    <row r="58" spans="2:13" ht="12.75">
      <c r="B58" s="5" t="s">
        <v>23</v>
      </c>
      <c r="C58" s="5" t="s">
        <v>157</v>
      </c>
      <c r="D58" s="5" t="s">
        <v>18</v>
      </c>
      <c r="G58">
        <v>99.9947</v>
      </c>
      <c r="H58" s="5"/>
      <c r="I58">
        <v>99.9946</v>
      </c>
      <c r="J58" s="5"/>
      <c r="K58">
        <v>99.9948</v>
      </c>
      <c r="L58"/>
      <c r="M58"/>
    </row>
    <row r="59" spans="2:13" ht="12.75">
      <c r="B59" s="5"/>
      <c r="C59" s="5"/>
      <c r="F59"/>
      <c r="G59"/>
      <c r="H59"/>
      <c r="I59"/>
      <c r="J59"/>
      <c r="K59"/>
      <c r="L59"/>
      <c r="M59"/>
    </row>
    <row r="60" spans="2:13" ht="12.75">
      <c r="B60" s="5" t="s">
        <v>51</v>
      </c>
      <c r="C60" s="5"/>
      <c r="D60" s="5" t="s">
        <v>24</v>
      </c>
      <c r="G60" s="36">
        <v>0.0209</v>
      </c>
      <c r="H60" s="5"/>
      <c r="I60" s="36">
        <v>0.025</v>
      </c>
      <c r="J60" s="5"/>
      <c r="K60" s="36">
        <v>0.0219</v>
      </c>
      <c r="L60"/>
      <c r="M60"/>
    </row>
    <row r="61" spans="2:13" ht="12.75">
      <c r="B61" s="5" t="s">
        <v>52</v>
      </c>
      <c r="C61" s="5"/>
      <c r="D61" s="5" t="s">
        <v>24</v>
      </c>
      <c r="G61" s="36">
        <v>7.81E-05</v>
      </c>
      <c r="H61" s="5"/>
      <c r="I61" s="36">
        <v>0.000115</v>
      </c>
      <c r="J61" s="5"/>
      <c r="K61" s="36">
        <v>0.000105</v>
      </c>
      <c r="L61"/>
      <c r="M61"/>
    </row>
    <row r="62" spans="2:13" ht="12.75">
      <c r="B62" s="5" t="s">
        <v>53</v>
      </c>
      <c r="C62" s="5"/>
      <c r="D62" s="5" t="s">
        <v>24</v>
      </c>
      <c r="G62" s="36">
        <v>0.00488</v>
      </c>
      <c r="H62" s="5"/>
      <c r="I62" s="36">
        <v>0.00716</v>
      </c>
      <c r="J62" s="5"/>
      <c r="K62" s="36">
        <v>0.00759</v>
      </c>
      <c r="L62"/>
      <c r="M62"/>
    </row>
    <row r="63" spans="2:13" ht="12.75">
      <c r="B63" s="5" t="s">
        <v>54</v>
      </c>
      <c r="C63" s="5"/>
      <c r="D63" s="5" t="s">
        <v>24</v>
      </c>
      <c r="G63" s="36">
        <v>2.08E-06</v>
      </c>
      <c r="H63" s="5"/>
      <c r="I63" s="36">
        <v>2.14E-06</v>
      </c>
      <c r="J63" s="5"/>
      <c r="K63" s="36">
        <v>2.17E-06</v>
      </c>
      <c r="L63"/>
      <c r="M63"/>
    </row>
    <row r="64" spans="2:13" ht="12.75">
      <c r="B64" s="5" t="s">
        <v>55</v>
      </c>
      <c r="C64" s="5"/>
      <c r="D64" s="5" t="s">
        <v>24</v>
      </c>
      <c r="G64" s="36">
        <v>2.08E-05</v>
      </c>
      <c r="H64" s="5"/>
      <c r="I64" s="36">
        <v>0.000608</v>
      </c>
      <c r="J64" s="5"/>
      <c r="K64" s="36">
        <v>0.000327</v>
      </c>
      <c r="L64"/>
      <c r="M64"/>
    </row>
    <row r="65" spans="2:13" ht="12.75">
      <c r="B65" s="5" t="s">
        <v>66</v>
      </c>
      <c r="C65" s="5"/>
      <c r="D65" s="5" t="s">
        <v>24</v>
      </c>
      <c r="G65" s="36">
        <v>7.94E-05</v>
      </c>
      <c r="H65" s="5"/>
      <c r="I65" s="36">
        <v>6.89E-05</v>
      </c>
      <c r="J65" s="5"/>
      <c r="K65" s="36">
        <v>6.86E-05</v>
      </c>
      <c r="L65"/>
      <c r="M65"/>
    </row>
    <row r="66" spans="2:13" ht="12.75">
      <c r="B66" s="5" t="s">
        <v>50</v>
      </c>
      <c r="C66" s="5"/>
      <c r="D66" s="5" t="s">
        <v>24</v>
      </c>
      <c r="G66" s="36">
        <v>0.541</v>
      </c>
      <c r="H66" s="5"/>
      <c r="I66" s="36">
        <v>0.728</v>
      </c>
      <c r="J66" s="5"/>
      <c r="K66" s="36">
        <v>0.597</v>
      </c>
      <c r="L66"/>
      <c r="M66"/>
    </row>
    <row r="67" spans="2:13" ht="12.75">
      <c r="B67" s="5" t="s">
        <v>56</v>
      </c>
      <c r="C67" s="5"/>
      <c r="D67" s="5" t="s">
        <v>24</v>
      </c>
      <c r="G67" s="36">
        <v>2.68E-05</v>
      </c>
      <c r="H67" s="5"/>
      <c r="I67" s="36">
        <v>3.96E-05</v>
      </c>
      <c r="J67" s="5"/>
      <c r="K67" s="36">
        <v>3.15E-05</v>
      </c>
      <c r="L67"/>
      <c r="M67"/>
    </row>
    <row r="68" spans="2:13" ht="12.75">
      <c r="B68" s="5" t="s">
        <v>57</v>
      </c>
      <c r="C68" s="5"/>
      <c r="D68" s="5" t="s">
        <v>24</v>
      </c>
      <c r="G68" s="21">
        <v>9.14E-06</v>
      </c>
      <c r="I68" s="21">
        <v>1.8E-05</v>
      </c>
      <c r="K68" s="21">
        <v>2.56E-05</v>
      </c>
      <c r="L68"/>
      <c r="M68"/>
    </row>
    <row r="69" spans="2:13" ht="12.75">
      <c r="B69" s="5" t="s">
        <v>58</v>
      </c>
      <c r="C69" s="5"/>
      <c r="D69" s="5" t="s">
        <v>24</v>
      </c>
      <c r="G69" s="36">
        <v>2.08E-06</v>
      </c>
      <c r="H69"/>
      <c r="I69" s="36">
        <v>2.14E-06</v>
      </c>
      <c r="J69"/>
      <c r="K69" s="36">
        <v>2.17E-06</v>
      </c>
      <c r="L69"/>
      <c r="M69"/>
    </row>
    <row r="70" ht="12.75">
      <c r="I70" s="13"/>
    </row>
    <row r="71" spans="2:13" ht="12.75">
      <c r="B71" s="5" t="s">
        <v>67</v>
      </c>
      <c r="C71" s="5" t="s">
        <v>13</v>
      </c>
      <c r="D71" s="5" t="s">
        <v>157</v>
      </c>
      <c r="F71"/>
      <c r="I71" s="13"/>
      <c r="L71"/>
      <c r="M71"/>
    </row>
    <row r="72" spans="2:13" ht="12.75">
      <c r="B72" s="5" t="s">
        <v>49</v>
      </c>
      <c r="C72" s="5"/>
      <c r="D72" s="5" t="s">
        <v>17</v>
      </c>
      <c r="F72"/>
      <c r="G72">
        <f>138700/60</f>
        <v>2311.6666666666665</v>
      </c>
      <c r="H72"/>
      <c r="I72">
        <f>137157/60</f>
        <v>2285.95</v>
      </c>
      <c r="J72"/>
      <c r="K72">
        <f>141258/60</f>
        <v>2354.3</v>
      </c>
      <c r="L72"/>
      <c r="M72" s="2">
        <f>AVERAGE(K72,I72,G72)</f>
        <v>2317.305555555555</v>
      </c>
    </row>
    <row r="73" spans="2:13" ht="12.75">
      <c r="B73" s="5" t="s">
        <v>63</v>
      </c>
      <c r="C73" s="5"/>
      <c r="D73" s="5" t="s">
        <v>18</v>
      </c>
      <c r="F73"/>
      <c r="G73">
        <v>7</v>
      </c>
      <c r="H73"/>
      <c r="I73">
        <v>7.6</v>
      </c>
      <c r="J73"/>
      <c r="K73">
        <v>7.4</v>
      </c>
      <c r="L73"/>
      <c r="M73" s="2">
        <f>AVERAGE(K73,I73,G73)</f>
        <v>7.333333333333333</v>
      </c>
    </row>
    <row r="74" spans="2:13" ht="12.75">
      <c r="B74" s="5" t="s">
        <v>64</v>
      </c>
      <c r="C74" s="5"/>
      <c r="D74" s="5" t="s">
        <v>18</v>
      </c>
      <c r="F74"/>
      <c r="G74">
        <v>6.8</v>
      </c>
      <c r="H74"/>
      <c r="I74">
        <v>7.1</v>
      </c>
      <c r="J74"/>
      <c r="K74">
        <v>6.4</v>
      </c>
      <c r="L74"/>
      <c r="M74" s="2">
        <f>AVERAGE(K74,I74,G74)</f>
        <v>6.766666666666667</v>
      </c>
    </row>
    <row r="75" spans="2:13" ht="12.75">
      <c r="B75" s="5" t="s">
        <v>48</v>
      </c>
      <c r="C75" s="5"/>
      <c r="D75" s="5" t="s">
        <v>19</v>
      </c>
      <c r="F75"/>
      <c r="G75">
        <v>192</v>
      </c>
      <c r="H75"/>
      <c r="I75">
        <v>183</v>
      </c>
      <c r="J75"/>
      <c r="K75">
        <v>188</v>
      </c>
      <c r="L75"/>
      <c r="M75" s="2">
        <f>AVERAGE(K75,I75,G75)</f>
        <v>187.66666666666666</v>
      </c>
    </row>
    <row r="76" spans="2:11" ht="12.75">
      <c r="B76" s="5"/>
      <c r="C76" s="5"/>
      <c r="G76" s="19"/>
      <c r="H76" s="19"/>
      <c r="I76" s="20"/>
      <c r="J76" s="19"/>
      <c r="K76" s="19"/>
    </row>
    <row r="77" spans="2:13" ht="12.75">
      <c r="B77" s="5" t="s">
        <v>51</v>
      </c>
      <c r="C77" s="13" t="s">
        <v>157</v>
      </c>
      <c r="D77" s="5" t="s">
        <v>29</v>
      </c>
      <c r="E77" s="5" t="s">
        <v>15</v>
      </c>
      <c r="G77" s="38">
        <f>G60*454/60/0.0283/G$72*(21-7)/(21-G$73)*1000000</f>
        <v>2417.348371169951</v>
      </c>
      <c r="H77" s="38"/>
      <c r="I77" s="38">
        <f>I60*454/60/0.0283/I$72*(21-7)/(21-I$73)*1000000</f>
        <v>3055.024419340824</v>
      </c>
      <c r="J77" s="38"/>
      <c r="K77" s="38">
        <f aca="true" t="shared" si="3" ref="K77:K86">K60*454/60/0.0283/K$72*(21-7)/(21-K$73)*1000000</f>
        <v>2560.292632418206</v>
      </c>
      <c r="M77" s="38">
        <f aca="true" t="shared" si="4" ref="M77:M83">AVERAGE(G77,I77,K77)</f>
        <v>2677.555140976327</v>
      </c>
    </row>
    <row r="78" spans="2:13" ht="12.75">
      <c r="B78" s="5" t="s">
        <v>52</v>
      </c>
      <c r="C78" s="13" t="s">
        <v>157</v>
      </c>
      <c r="D78" s="5" t="s">
        <v>29</v>
      </c>
      <c r="E78" s="5" t="s">
        <v>15</v>
      </c>
      <c r="G78" s="38">
        <f aca="true" t="shared" si="5" ref="G78:I86">G61*454/60/0.0283/G$72*(21-7)/(21-G$73)*1000000</f>
        <v>9.033249176477183</v>
      </c>
      <c r="H78" s="38"/>
      <c r="I78" s="38">
        <f t="shared" si="5"/>
        <v>14.053112328967789</v>
      </c>
      <c r="J78" s="38"/>
      <c r="K78" s="38">
        <f t="shared" si="3"/>
        <v>12.275375634881811</v>
      </c>
      <c r="M78" s="38">
        <f t="shared" si="4"/>
        <v>11.78724571344226</v>
      </c>
    </row>
    <row r="79" spans="2:13" ht="12.75">
      <c r="B79" s="5" t="s">
        <v>53</v>
      </c>
      <c r="C79" s="13" t="s">
        <v>157</v>
      </c>
      <c r="D79" s="5" t="s">
        <v>29</v>
      </c>
      <c r="E79" s="5" t="s">
        <v>15</v>
      </c>
      <c r="G79" s="38">
        <f t="shared" si="5"/>
        <v>564.4334952779598</v>
      </c>
      <c r="H79" s="38"/>
      <c r="I79" s="38">
        <f t="shared" si="5"/>
        <v>874.9589936992118</v>
      </c>
      <c r="J79" s="38"/>
      <c r="K79" s="38">
        <f t="shared" si="3"/>
        <v>887.334295892885</v>
      </c>
      <c r="M79" s="38">
        <f t="shared" si="4"/>
        <v>775.5755949566856</v>
      </c>
    </row>
    <row r="80" spans="2:13" ht="12.75">
      <c r="B80" s="5" t="s">
        <v>54</v>
      </c>
      <c r="C80" s="13" t="s">
        <v>157</v>
      </c>
      <c r="D80" s="5" t="s">
        <v>29</v>
      </c>
      <c r="E80" s="5" t="s">
        <v>15</v>
      </c>
      <c r="G80" s="38">
        <f t="shared" si="5"/>
        <v>0.24057821110208116</v>
      </c>
      <c r="H80" s="38"/>
      <c r="I80" s="38">
        <f t="shared" si="5"/>
        <v>0.2615100902955745</v>
      </c>
      <c r="J80" s="38"/>
      <c r="K80" s="38">
        <f t="shared" si="3"/>
        <v>0.25369109645422405</v>
      </c>
      <c r="M80" s="38">
        <f t="shared" si="4"/>
        <v>0.25192646595062657</v>
      </c>
    </row>
    <row r="81" spans="2:13" ht="12.75">
      <c r="B81" s="5" t="s">
        <v>55</v>
      </c>
      <c r="C81" s="13" t="s">
        <v>157</v>
      </c>
      <c r="D81" s="5" t="s">
        <v>29</v>
      </c>
      <c r="E81" s="5" t="s">
        <v>15</v>
      </c>
      <c r="G81" s="38">
        <f t="shared" si="5"/>
        <v>2.405782111020812</v>
      </c>
      <c r="H81" s="38"/>
      <c r="I81" s="38">
        <f t="shared" si="5"/>
        <v>74.29819387836883</v>
      </c>
      <c r="J81" s="38"/>
      <c r="K81" s="38">
        <f t="shared" si="3"/>
        <v>38.22902697720335</v>
      </c>
      <c r="M81" s="38">
        <f t="shared" si="4"/>
        <v>38.31100098886433</v>
      </c>
    </row>
    <row r="82" spans="2:13" ht="12.75">
      <c r="B82" s="5" t="s">
        <v>66</v>
      </c>
      <c r="C82" s="13" t="s">
        <v>157</v>
      </c>
      <c r="D82" s="5" t="s">
        <v>29</v>
      </c>
      <c r="E82" s="5" t="s">
        <v>15</v>
      </c>
      <c r="G82" s="38">
        <f t="shared" si="5"/>
        <v>9.183610558415984</v>
      </c>
      <c r="H82" s="38"/>
      <c r="I82" s="38">
        <f t="shared" si="5"/>
        <v>8.41964729970331</v>
      </c>
      <c r="J82" s="38"/>
      <c r="K82" s="38">
        <f t="shared" si="3"/>
        <v>8.019912081456116</v>
      </c>
      <c r="M82" s="38">
        <f t="shared" si="4"/>
        <v>8.541056646525137</v>
      </c>
    </row>
    <row r="83" spans="2:13" ht="12.75">
      <c r="B83" s="5" t="s">
        <v>50</v>
      </c>
      <c r="C83" s="13" t="s">
        <v>157</v>
      </c>
      <c r="D83" s="5" t="s">
        <v>29</v>
      </c>
      <c r="E83" s="5" t="s">
        <v>15</v>
      </c>
      <c r="G83" s="38">
        <f t="shared" si="5"/>
        <v>62573.46740683939</v>
      </c>
      <c r="H83" s="38"/>
      <c r="I83" s="38">
        <f t="shared" si="5"/>
        <v>88962.3110912048</v>
      </c>
      <c r="J83" s="38"/>
      <c r="K83" s="38">
        <f t="shared" si="3"/>
        <v>69794.27860975658</v>
      </c>
      <c r="M83" s="38">
        <f t="shared" si="4"/>
        <v>73776.68570260025</v>
      </c>
    </row>
    <row r="84" spans="2:13" ht="12.75">
      <c r="B84" s="5" t="s">
        <v>56</v>
      </c>
      <c r="C84" s="13" t="s">
        <v>157</v>
      </c>
      <c r="D84" s="5" t="s">
        <v>29</v>
      </c>
      <c r="E84" s="5" t="s">
        <v>15</v>
      </c>
      <c r="G84" s="38">
        <f t="shared" si="5"/>
        <v>3.099757719969123</v>
      </c>
      <c r="H84" s="38"/>
      <c r="I84" s="38">
        <f t="shared" si="5"/>
        <v>4.839158680235865</v>
      </c>
      <c r="J84" s="38"/>
      <c r="K84" s="38">
        <f t="shared" si="3"/>
        <v>3.682612690464543</v>
      </c>
      <c r="M84" s="38">
        <f>AVERAGE(G84,I84,K84)</f>
        <v>3.873843030223177</v>
      </c>
    </row>
    <row r="85" spans="2:13" ht="12.75">
      <c r="B85" s="5" t="s">
        <v>57</v>
      </c>
      <c r="C85" s="13" t="s">
        <v>157</v>
      </c>
      <c r="D85" s="5" t="s">
        <v>29</v>
      </c>
      <c r="E85" s="5" t="s">
        <v>15</v>
      </c>
      <c r="G85" s="38">
        <f t="shared" si="5"/>
        <v>1.0571561776312608</v>
      </c>
      <c r="H85" s="38"/>
      <c r="I85" s="38">
        <f t="shared" si="5"/>
        <v>2.1996175819253936</v>
      </c>
      <c r="J85" s="38"/>
      <c r="K85" s="38">
        <f t="shared" si="3"/>
        <v>2.9928534881235653</v>
      </c>
      <c r="M85" s="38">
        <f>AVERAGE(G85,I85,K85)</f>
        <v>2.083209082560073</v>
      </c>
    </row>
    <row r="86" spans="2:13" ht="12.75">
      <c r="B86" s="5" t="s">
        <v>58</v>
      </c>
      <c r="C86" s="13" t="s">
        <v>157</v>
      </c>
      <c r="D86" s="5" t="s">
        <v>29</v>
      </c>
      <c r="E86" s="5" t="s">
        <v>15</v>
      </c>
      <c r="G86" s="38">
        <f t="shared" si="5"/>
        <v>0.24057821110208116</v>
      </c>
      <c r="H86" s="38"/>
      <c r="I86" s="38">
        <f t="shared" si="5"/>
        <v>0.2615100902955745</v>
      </c>
      <c r="J86" s="38"/>
      <c r="K86" s="38">
        <f t="shared" si="3"/>
        <v>0.25369109645422405</v>
      </c>
      <c r="M86" s="38">
        <f>AVERAGE(G86,I86,K86)</f>
        <v>0.25192646595062657</v>
      </c>
    </row>
    <row r="87" spans="2:11" ht="12.75">
      <c r="B87" s="5"/>
      <c r="C87" s="5"/>
      <c r="G87" s="40"/>
      <c r="H87" s="38"/>
      <c r="I87" s="40"/>
      <c r="J87" s="38"/>
      <c r="K87" s="38"/>
    </row>
    <row r="88" spans="2:13" ht="12.75">
      <c r="B88" s="5" t="s">
        <v>30</v>
      </c>
      <c r="C88" s="13" t="s">
        <v>157</v>
      </c>
      <c r="D88" s="5" t="s">
        <v>29</v>
      </c>
      <c r="E88" s="5" t="s">
        <v>15</v>
      </c>
      <c r="G88" s="42">
        <f>G81+G83</f>
        <v>62575.873188950405</v>
      </c>
      <c r="H88" s="43"/>
      <c r="I88" s="42">
        <f>I81+I83</f>
        <v>89036.60928508316</v>
      </c>
      <c r="J88" s="43"/>
      <c r="K88" s="42">
        <f>K81+K83</f>
        <v>69832.50763673379</v>
      </c>
      <c r="L88" s="43"/>
      <c r="M88" s="43">
        <f>AVERAGE(G88,I88,K88)</f>
        <v>73814.99670358912</v>
      </c>
    </row>
    <row r="89" spans="2:13" ht="12.75">
      <c r="B89" s="5" t="s">
        <v>31</v>
      </c>
      <c r="C89" s="13" t="s">
        <v>157</v>
      </c>
      <c r="D89" s="5" t="s">
        <v>29</v>
      </c>
      <c r="E89" s="5" t="s">
        <v>15</v>
      </c>
      <c r="G89" s="40">
        <f>G78+G80+G82</f>
        <v>18.457437945995245</v>
      </c>
      <c r="H89" s="38"/>
      <c r="I89" s="40">
        <f>I78+I80+I82</f>
        <v>22.734269718966672</v>
      </c>
      <c r="J89" s="38"/>
      <c r="K89" s="40">
        <f>K78+K80+K82</f>
        <v>20.54897881279215</v>
      </c>
      <c r="M89" s="38">
        <f>AVERAGE(G89,I89,K89)</f>
        <v>20.580228825918024</v>
      </c>
    </row>
    <row r="91" spans="1:13" ht="12.75">
      <c r="A91" s="13">
        <v>3</v>
      </c>
      <c r="B91" s="17" t="s">
        <v>120</v>
      </c>
      <c r="C91" s="17" t="s">
        <v>60</v>
      </c>
      <c r="G91" s="15" t="s">
        <v>153</v>
      </c>
      <c r="H91" s="15"/>
      <c r="I91" s="16" t="s">
        <v>154</v>
      </c>
      <c r="J91" s="15"/>
      <c r="K91" s="15" t="s">
        <v>155</v>
      </c>
      <c r="L91" s="15"/>
      <c r="M91" s="13" t="s">
        <v>152</v>
      </c>
    </row>
    <row r="92" spans="2:12" ht="12.75">
      <c r="B92" s="5"/>
      <c r="C92" s="5"/>
      <c r="D92" s="8"/>
      <c r="E92" s="8"/>
      <c r="F92" s="8"/>
      <c r="G92" s="8"/>
      <c r="H92" s="8"/>
      <c r="I92" s="18"/>
      <c r="J92" s="8"/>
      <c r="K92" s="8"/>
      <c r="L92" s="15"/>
    </row>
    <row r="93" spans="2:13" ht="12.75">
      <c r="B93" s="5" t="s">
        <v>92</v>
      </c>
      <c r="C93" s="5" t="s">
        <v>157</v>
      </c>
      <c r="D93" s="5" t="s">
        <v>14</v>
      </c>
      <c r="E93" s="5" t="s">
        <v>15</v>
      </c>
      <c r="F93"/>
      <c r="G93">
        <v>0.028</v>
      </c>
      <c r="H93"/>
      <c r="I93">
        <v>0.029</v>
      </c>
      <c r="J93"/>
      <c r="K93">
        <v>0.037</v>
      </c>
      <c r="L93"/>
      <c r="M93" s="41">
        <f>AVERAGE(K93,I93,G93)</f>
        <v>0.03133333333333333</v>
      </c>
    </row>
    <row r="94" spans="2:13" ht="12.75">
      <c r="B94" s="5" t="s">
        <v>65</v>
      </c>
      <c r="C94" s="5" t="s">
        <v>157</v>
      </c>
      <c r="D94" s="5" t="s">
        <v>16</v>
      </c>
      <c r="E94" s="5" t="s">
        <v>15</v>
      </c>
      <c r="F94"/>
      <c r="G94">
        <v>5.7</v>
      </c>
      <c r="H94"/>
      <c r="I94">
        <v>4.5</v>
      </c>
      <c r="J94"/>
      <c r="K94">
        <v>4.3</v>
      </c>
      <c r="L94"/>
      <c r="M94" s="37">
        <f>AVERAGE(K94,I94,G94)</f>
        <v>4.833333333333333</v>
      </c>
    </row>
    <row r="95" spans="2:13" ht="12.75">
      <c r="B95" s="5" t="s">
        <v>95</v>
      </c>
      <c r="C95" s="5" t="s">
        <v>157</v>
      </c>
      <c r="D95" s="5" t="s">
        <v>16</v>
      </c>
      <c r="E95" s="5" t="s">
        <v>15</v>
      </c>
      <c r="F95"/>
      <c r="G95">
        <v>6.3</v>
      </c>
      <c r="H95"/>
      <c r="I95">
        <v>4.7</v>
      </c>
      <c r="J95"/>
      <c r="K95">
        <v>3.4</v>
      </c>
      <c r="L95"/>
      <c r="M95">
        <f>AVERAGE(K95,I95,G95)</f>
        <v>4.8</v>
      </c>
    </row>
    <row r="96" spans="2:13" ht="12.75">
      <c r="B96" s="5" t="s">
        <v>93</v>
      </c>
      <c r="C96" s="5" t="s">
        <v>157</v>
      </c>
      <c r="D96" s="5" t="s">
        <v>16</v>
      </c>
      <c r="E96" s="5" t="s">
        <v>15</v>
      </c>
      <c r="G96">
        <v>1</v>
      </c>
      <c r="H96" s="5"/>
      <c r="I96">
        <v>2.5</v>
      </c>
      <c r="J96" s="5"/>
      <c r="K96">
        <v>1</v>
      </c>
      <c r="L96"/>
      <c r="M96">
        <f>AVERAGE(K96,I96,G96)</f>
        <v>1.5</v>
      </c>
    </row>
    <row r="97" spans="2:13" ht="12.75">
      <c r="B97" s="5"/>
      <c r="C97" s="5"/>
      <c r="G97"/>
      <c r="H97" s="5"/>
      <c r="I97"/>
      <c r="J97" s="5"/>
      <c r="K97"/>
      <c r="L97"/>
      <c r="M97"/>
    </row>
    <row r="98" spans="2:13" ht="12.75">
      <c r="B98" s="5" t="s">
        <v>40</v>
      </c>
      <c r="C98" s="5" t="s">
        <v>97</v>
      </c>
      <c r="G98"/>
      <c r="H98" s="5"/>
      <c r="I98"/>
      <c r="J98" s="5"/>
      <c r="K98"/>
      <c r="L98"/>
      <c r="M98"/>
    </row>
    <row r="99" spans="2:13" ht="12.75">
      <c r="B99" s="5" t="s">
        <v>61</v>
      </c>
      <c r="C99" s="5"/>
      <c r="D99" s="5" t="s">
        <v>24</v>
      </c>
      <c r="G99">
        <v>21.144</v>
      </c>
      <c r="H99" s="5"/>
      <c r="I99">
        <v>21.144</v>
      </c>
      <c r="J99" s="5"/>
      <c r="K99">
        <v>21.144</v>
      </c>
      <c r="L99"/>
      <c r="M99"/>
    </row>
    <row r="100" spans="2:13" ht="12.75">
      <c r="B100" s="5" t="s">
        <v>62</v>
      </c>
      <c r="C100" s="5" t="s">
        <v>157</v>
      </c>
      <c r="D100" s="5" t="s">
        <v>24</v>
      </c>
      <c r="G100" s="36">
        <v>9.932E-05</v>
      </c>
      <c r="H100" s="5"/>
      <c r="I100" s="36">
        <v>9.472E-05</v>
      </c>
      <c r="J100" s="5"/>
      <c r="K100" s="36">
        <v>9.843E-05</v>
      </c>
      <c r="L100"/>
      <c r="M100"/>
    </row>
    <row r="101" spans="2:13" ht="12.75">
      <c r="B101" s="5" t="s">
        <v>23</v>
      </c>
      <c r="C101" s="5" t="s">
        <v>157</v>
      </c>
      <c r="D101" s="5" t="s">
        <v>18</v>
      </c>
      <c r="G101">
        <v>99.9995</v>
      </c>
      <c r="H101" s="5"/>
      <c r="I101">
        <v>99.9996</v>
      </c>
      <c r="J101" s="5"/>
      <c r="K101">
        <v>99.9995</v>
      </c>
      <c r="L101"/>
      <c r="M101"/>
    </row>
    <row r="102" ht="12.75">
      <c r="I102" s="13"/>
    </row>
    <row r="103" spans="2:13" ht="12.75">
      <c r="B103" s="5" t="s">
        <v>67</v>
      </c>
      <c r="C103" s="5" t="s">
        <v>13</v>
      </c>
      <c r="D103" s="5" t="s">
        <v>157</v>
      </c>
      <c r="F103"/>
      <c r="I103" s="13"/>
      <c r="L103"/>
      <c r="M103"/>
    </row>
    <row r="104" spans="2:13" ht="12.75">
      <c r="B104" s="5" t="s">
        <v>49</v>
      </c>
      <c r="C104" s="5"/>
      <c r="D104" s="5" t="s">
        <v>17</v>
      </c>
      <c r="F104"/>
      <c r="G104" s="2">
        <f>133664/60</f>
        <v>2227.733333333333</v>
      </c>
      <c r="H104" s="2"/>
      <c r="I104" s="2">
        <f>137331/60</f>
        <v>2288.85</v>
      </c>
      <c r="J104" s="2"/>
      <c r="K104" s="2">
        <f>136692/60</f>
        <v>2278.2</v>
      </c>
      <c r="L104" s="2"/>
      <c r="M104" s="2">
        <f>AVERAGE(K104,I104,G104)</f>
        <v>2264.9277777777775</v>
      </c>
    </row>
    <row r="105" spans="2:13" ht="12.75">
      <c r="B105" s="5" t="s">
        <v>63</v>
      </c>
      <c r="C105" s="5"/>
      <c r="D105" s="5" t="s">
        <v>18</v>
      </c>
      <c r="F105"/>
      <c r="G105">
        <v>11.8</v>
      </c>
      <c r="H105"/>
      <c r="I105">
        <v>11.2</v>
      </c>
      <c r="J105"/>
      <c r="K105">
        <v>12.2</v>
      </c>
      <c r="L105"/>
      <c r="M105" s="2">
        <f>AVERAGE(K105,I105,G105)</f>
        <v>11.733333333333334</v>
      </c>
    </row>
    <row r="106" spans="2:13" ht="12.75">
      <c r="B106" s="5" t="s">
        <v>64</v>
      </c>
      <c r="C106" s="5"/>
      <c r="D106" s="5" t="s">
        <v>18</v>
      </c>
      <c r="F106"/>
      <c r="G106">
        <v>7.7</v>
      </c>
      <c r="H106"/>
      <c r="I106">
        <v>7.4</v>
      </c>
      <c r="J106"/>
      <c r="K106">
        <v>7.3</v>
      </c>
      <c r="L106"/>
      <c r="M106" s="2">
        <f>AVERAGE(K106,I106,G106)</f>
        <v>7.466666666666666</v>
      </c>
    </row>
    <row r="107" spans="2:13" ht="12.75">
      <c r="B107" s="5" t="s">
        <v>48</v>
      </c>
      <c r="C107" s="5"/>
      <c r="D107" s="5" t="s">
        <v>19</v>
      </c>
      <c r="F107"/>
      <c r="G107">
        <v>186</v>
      </c>
      <c r="H107"/>
      <c r="I107">
        <v>189</v>
      </c>
      <c r="J107"/>
      <c r="K107">
        <v>182</v>
      </c>
      <c r="L107"/>
      <c r="M107" s="2">
        <f>AVERAGE(K107,I107,G107)</f>
        <v>185.66666666666666</v>
      </c>
    </row>
    <row r="109" spans="1:13" ht="12.75">
      <c r="A109" s="13">
        <v>4</v>
      </c>
      <c r="B109" s="17" t="s">
        <v>121</v>
      </c>
      <c r="C109" s="17" t="s">
        <v>60</v>
      </c>
      <c r="G109" s="15" t="s">
        <v>153</v>
      </c>
      <c r="H109" s="15"/>
      <c r="I109" s="16" t="s">
        <v>154</v>
      </c>
      <c r="J109" s="15"/>
      <c r="K109" s="15" t="s">
        <v>155</v>
      </c>
      <c r="L109" s="15"/>
      <c r="M109" s="13" t="s">
        <v>152</v>
      </c>
    </row>
    <row r="110" spans="2:12" ht="12.75">
      <c r="B110" s="5"/>
      <c r="C110" s="5"/>
      <c r="D110" s="8"/>
      <c r="E110" s="8"/>
      <c r="F110" s="8"/>
      <c r="G110" s="8"/>
      <c r="H110" s="8"/>
      <c r="I110" s="18"/>
      <c r="J110" s="8"/>
      <c r="K110" s="8"/>
      <c r="L110" s="15"/>
    </row>
    <row r="111" spans="2:13" ht="12.75">
      <c r="B111" s="5" t="s">
        <v>92</v>
      </c>
      <c r="C111" s="5" t="s">
        <v>157</v>
      </c>
      <c r="D111" s="5" t="s">
        <v>14</v>
      </c>
      <c r="E111" s="5" t="s">
        <v>15</v>
      </c>
      <c r="F111"/>
      <c r="G111">
        <v>0.017</v>
      </c>
      <c r="H111"/>
      <c r="I111">
        <v>0.015</v>
      </c>
      <c r="J111"/>
      <c r="K111">
        <v>0.021</v>
      </c>
      <c r="L111"/>
      <c r="M111" s="41">
        <f>AVERAGE(K111,I111,G111)</f>
        <v>0.017666666666666667</v>
      </c>
    </row>
    <row r="112" spans="2:13" ht="12.75">
      <c r="B112" s="5" t="s">
        <v>65</v>
      </c>
      <c r="C112" s="5" t="s">
        <v>157</v>
      </c>
      <c r="D112" s="5" t="s">
        <v>16</v>
      </c>
      <c r="E112" s="5" t="s">
        <v>15</v>
      </c>
      <c r="F112"/>
      <c r="G112">
        <v>1.9</v>
      </c>
      <c r="H112"/>
      <c r="I112">
        <v>2.6</v>
      </c>
      <c r="J112"/>
      <c r="K112">
        <v>2.8</v>
      </c>
      <c r="L112"/>
      <c r="M112" s="37">
        <f>AVERAGE(K112,I112,G112)</f>
        <v>2.4333333333333336</v>
      </c>
    </row>
    <row r="113" spans="2:13" ht="12.75">
      <c r="B113" s="5" t="s">
        <v>95</v>
      </c>
      <c r="C113" s="5" t="s">
        <v>157</v>
      </c>
      <c r="D113" s="5" t="s">
        <v>16</v>
      </c>
      <c r="E113" s="5" t="s">
        <v>15</v>
      </c>
      <c r="F113"/>
      <c r="G113">
        <v>1.7</v>
      </c>
      <c r="H113"/>
      <c r="I113">
        <v>1.7</v>
      </c>
      <c r="J113"/>
      <c r="K113">
        <v>1.7</v>
      </c>
      <c r="L113"/>
      <c r="M113">
        <f>AVERAGE(K113,I113,G113)</f>
        <v>1.7</v>
      </c>
    </row>
    <row r="114" spans="2:13" ht="12.75">
      <c r="B114" s="5" t="s">
        <v>93</v>
      </c>
      <c r="C114" s="5" t="s">
        <v>157</v>
      </c>
      <c r="D114" s="5" t="s">
        <v>16</v>
      </c>
      <c r="E114" s="5" t="s">
        <v>15</v>
      </c>
      <c r="G114">
        <v>10.9</v>
      </c>
      <c r="H114" s="5"/>
      <c r="I114">
        <v>0.6</v>
      </c>
      <c r="J114" s="5"/>
      <c r="K114">
        <v>0.6</v>
      </c>
      <c r="L114"/>
      <c r="M114" s="37">
        <f>AVERAGE(K114,I114,G114)</f>
        <v>4.033333333333333</v>
      </c>
    </row>
    <row r="115" spans="2:13" ht="12.75">
      <c r="B115" s="5"/>
      <c r="C115" s="5"/>
      <c r="G115"/>
      <c r="H115" s="5"/>
      <c r="I115"/>
      <c r="J115" s="5"/>
      <c r="K115"/>
      <c r="L115"/>
      <c r="M115"/>
    </row>
    <row r="116" spans="2:13" ht="12.75">
      <c r="B116" s="5" t="s">
        <v>40</v>
      </c>
      <c r="C116" s="5" t="s">
        <v>98</v>
      </c>
      <c r="G116"/>
      <c r="H116" s="5"/>
      <c r="I116"/>
      <c r="J116" s="5"/>
      <c r="K116"/>
      <c r="L116"/>
      <c r="M116"/>
    </row>
    <row r="117" spans="2:13" ht="12.75">
      <c r="B117" s="5" t="s">
        <v>61</v>
      </c>
      <c r="C117" s="5"/>
      <c r="D117" s="5" t="s">
        <v>24</v>
      </c>
      <c r="G117">
        <v>54.288</v>
      </c>
      <c r="H117" s="5"/>
      <c r="I117">
        <v>54.288</v>
      </c>
      <c r="J117" s="5"/>
      <c r="K117">
        <v>54.288</v>
      </c>
      <c r="L117"/>
      <c r="M117"/>
    </row>
    <row r="118" spans="2:13" ht="12.75">
      <c r="B118" s="5" t="s">
        <v>62</v>
      </c>
      <c r="C118" s="5" t="s">
        <v>157</v>
      </c>
      <c r="D118" s="5" t="s">
        <v>24</v>
      </c>
      <c r="G118" s="36">
        <v>9.539E-05</v>
      </c>
      <c r="H118" s="5"/>
      <c r="I118" s="36">
        <v>9.397E-05</v>
      </c>
      <c r="J118" s="5"/>
      <c r="K118" s="36">
        <v>9.385E-05</v>
      </c>
      <c r="L118"/>
      <c r="M118"/>
    </row>
    <row r="119" spans="2:13" ht="12.75">
      <c r="B119" s="5" t="s">
        <v>23</v>
      </c>
      <c r="C119" s="5" t="s">
        <v>157</v>
      </c>
      <c r="D119" s="5" t="s">
        <v>18</v>
      </c>
      <c r="G119">
        <v>99.9998</v>
      </c>
      <c r="H119" s="5"/>
      <c r="I119">
        <v>99.9998</v>
      </c>
      <c r="J119" s="5"/>
      <c r="K119">
        <v>99.9998</v>
      </c>
      <c r="L119"/>
      <c r="M119"/>
    </row>
    <row r="120" ht="12.75">
      <c r="I120" s="13"/>
    </row>
    <row r="121" spans="2:13" ht="12.75">
      <c r="B121" s="5" t="s">
        <v>67</v>
      </c>
      <c r="C121" s="5" t="s">
        <v>13</v>
      </c>
      <c r="D121" s="5" t="s">
        <v>157</v>
      </c>
      <c r="F121"/>
      <c r="I121" s="13"/>
      <c r="L121"/>
      <c r="M121"/>
    </row>
    <row r="122" spans="2:13" ht="12.75">
      <c r="B122" s="5" t="s">
        <v>49</v>
      </c>
      <c r="C122" s="5"/>
      <c r="D122" s="5" t="s">
        <v>17</v>
      </c>
      <c r="F122"/>
      <c r="G122" s="2">
        <f>131601/60</f>
        <v>2193.35</v>
      </c>
      <c r="H122" s="2"/>
      <c r="I122" s="2">
        <f>137461/60</f>
        <v>2291.016666666667</v>
      </c>
      <c r="J122" s="2"/>
      <c r="K122" s="2">
        <f>136120/60</f>
        <v>2268.6666666666665</v>
      </c>
      <c r="L122" s="2"/>
      <c r="M122" s="2">
        <f>AVERAGE(K122,I122,G122)</f>
        <v>2251.011111111111</v>
      </c>
    </row>
    <row r="123" spans="2:13" ht="12.75">
      <c r="B123" s="5" t="s">
        <v>63</v>
      </c>
      <c r="C123" s="5"/>
      <c r="D123" s="5" t="s">
        <v>18</v>
      </c>
      <c r="F123"/>
      <c r="G123">
        <v>6.6</v>
      </c>
      <c r="H123"/>
      <c r="I123">
        <v>6.6</v>
      </c>
      <c r="J123"/>
      <c r="K123">
        <v>6.2</v>
      </c>
      <c r="L123"/>
      <c r="M123" s="37">
        <f>AVERAGE(K123,I123,G123)</f>
        <v>6.466666666666666</v>
      </c>
    </row>
    <row r="124" spans="2:13" ht="12.75">
      <c r="B124" s="5" t="s">
        <v>64</v>
      </c>
      <c r="C124" s="5"/>
      <c r="D124" s="5" t="s">
        <v>18</v>
      </c>
      <c r="F124"/>
      <c r="G124">
        <v>7.3</v>
      </c>
      <c r="H124"/>
      <c r="I124">
        <v>6.9</v>
      </c>
      <c r="J124"/>
      <c r="K124">
        <v>7</v>
      </c>
      <c r="L124"/>
      <c r="M124" s="37">
        <f>AVERAGE(K124,I124,G124)</f>
        <v>7.066666666666666</v>
      </c>
    </row>
    <row r="125" spans="2:13" ht="12.75">
      <c r="B125" s="5" t="s">
        <v>48</v>
      </c>
      <c r="C125" s="5"/>
      <c r="D125" s="5" t="s">
        <v>19</v>
      </c>
      <c r="F125"/>
      <c r="G125">
        <v>174</v>
      </c>
      <c r="H125"/>
      <c r="I125">
        <v>180</v>
      </c>
      <c r="J125"/>
      <c r="K125">
        <v>178</v>
      </c>
      <c r="L125"/>
      <c r="M125" s="2">
        <f>AVERAGE(K125,I125,G125)</f>
        <v>177.33333333333334</v>
      </c>
    </row>
    <row r="127" spans="1:13" ht="12.75">
      <c r="A127" s="13">
        <v>5</v>
      </c>
      <c r="B127" s="17" t="s">
        <v>122</v>
      </c>
      <c r="C127" s="17" t="s">
        <v>60</v>
      </c>
      <c r="G127" s="15" t="s">
        <v>153</v>
      </c>
      <c r="H127" s="15"/>
      <c r="I127" s="16" t="s">
        <v>154</v>
      </c>
      <c r="J127" s="15"/>
      <c r="K127" s="15" t="s">
        <v>155</v>
      </c>
      <c r="L127" s="15"/>
      <c r="M127" s="13" t="s">
        <v>152</v>
      </c>
    </row>
    <row r="128" spans="2:12" ht="12.75">
      <c r="B128" s="5"/>
      <c r="C128" s="5"/>
      <c r="D128" s="8"/>
      <c r="E128" s="8"/>
      <c r="F128" s="8"/>
      <c r="G128" s="8"/>
      <c r="H128" s="8"/>
      <c r="I128" s="18"/>
      <c r="J128" s="8"/>
      <c r="K128" s="8"/>
      <c r="L128" s="15"/>
    </row>
    <row r="129" spans="2:13" ht="12.75">
      <c r="B129" s="5" t="s">
        <v>92</v>
      </c>
      <c r="C129" s="5" t="s">
        <v>157</v>
      </c>
      <c r="D129" s="5" t="s">
        <v>14</v>
      </c>
      <c r="E129" s="5" t="s">
        <v>15</v>
      </c>
      <c r="F129"/>
      <c r="G129">
        <v>0.101</v>
      </c>
      <c r="H129"/>
      <c r="I129">
        <v>0.108</v>
      </c>
      <c r="J129"/>
      <c r="K129">
        <v>0.139</v>
      </c>
      <c r="L129"/>
      <c r="M129">
        <f>AVERAGE(K129,I129,G129)</f>
        <v>0.11599999999999999</v>
      </c>
    </row>
    <row r="130" spans="2:13" ht="12.75">
      <c r="B130" s="5" t="s">
        <v>65</v>
      </c>
      <c r="C130" s="5" t="s">
        <v>157</v>
      </c>
      <c r="D130" s="5" t="s">
        <v>16</v>
      </c>
      <c r="E130" s="5" t="s">
        <v>15</v>
      </c>
      <c r="F130"/>
      <c r="G130">
        <v>18.7</v>
      </c>
      <c r="H130"/>
      <c r="I130">
        <v>3.4</v>
      </c>
      <c r="J130"/>
      <c r="K130">
        <v>5</v>
      </c>
      <c r="L130"/>
      <c r="M130" s="37">
        <f>AVERAGE(K130,I130,G130)</f>
        <v>9.033333333333333</v>
      </c>
    </row>
    <row r="131" spans="2:13" ht="12.75">
      <c r="B131" s="5" t="s">
        <v>95</v>
      </c>
      <c r="C131" s="5" t="s">
        <v>157</v>
      </c>
      <c r="D131" s="5" t="s">
        <v>16</v>
      </c>
      <c r="E131" s="5" t="s">
        <v>15</v>
      </c>
      <c r="F131"/>
      <c r="G131">
        <v>37.4</v>
      </c>
      <c r="H131"/>
      <c r="I131">
        <v>3.4</v>
      </c>
      <c r="J131"/>
      <c r="K131">
        <v>5.1</v>
      </c>
      <c r="L131"/>
      <c r="M131">
        <f>AVERAGE(K131,I131,G131)</f>
        <v>15.299999999999999</v>
      </c>
    </row>
    <row r="132" spans="2:13" ht="12.75">
      <c r="B132" s="5" t="s">
        <v>93</v>
      </c>
      <c r="C132" s="5" t="s">
        <v>157</v>
      </c>
      <c r="D132" s="5" t="s">
        <v>16</v>
      </c>
      <c r="E132" s="5" t="s">
        <v>15</v>
      </c>
      <c r="G132">
        <v>0.7</v>
      </c>
      <c r="H132" s="5"/>
      <c r="I132">
        <v>1</v>
      </c>
      <c r="J132" s="5"/>
      <c r="K132">
        <v>1.4</v>
      </c>
      <c r="L132"/>
      <c r="M132" s="37">
        <f>AVERAGE(K132,I132,G132)</f>
        <v>1.0333333333333332</v>
      </c>
    </row>
    <row r="133" ht="12.75">
      <c r="I133" s="13"/>
    </row>
    <row r="134" spans="2:13" ht="12.75">
      <c r="B134" s="5" t="s">
        <v>67</v>
      </c>
      <c r="C134" s="5" t="s">
        <v>13</v>
      </c>
      <c r="D134" s="5" t="s">
        <v>157</v>
      </c>
      <c r="F134"/>
      <c r="I134" s="13"/>
      <c r="L134"/>
      <c r="M134"/>
    </row>
    <row r="135" spans="2:13" ht="12.75">
      <c r="B135" s="5" t="s">
        <v>49</v>
      </c>
      <c r="C135" s="5"/>
      <c r="D135" s="5" t="s">
        <v>17</v>
      </c>
      <c r="F135"/>
      <c r="G135" s="2">
        <f>150734/60</f>
        <v>2512.233333333333</v>
      </c>
      <c r="H135" s="2"/>
      <c r="I135" s="2">
        <f>149446/60</f>
        <v>2490.766666666667</v>
      </c>
      <c r="J135" s="2"/>
      <c r="K135" s="2">
        <f>139846/60</f>
        <v>2330.766666666667</v>
      </c>
      <c r="L135" s="2"/>
      <c r="M135" s="2">
        <f>AVERAGE(K135,I135,G135)</f>
        <v>2444.588888888889</v>
      </c>
    </row>
    <row r="136" spans="2:13" ht="12.75">
      <c r="B136" s="5" t="s">
        <v>63</v>
      </c>
      <c r="C136" s="5"/>
      <c r="D136" s="5" t="s">
        <v>18</v>
      </c>
      <c r="F136"/>
      <c r="G136">
        <v>12.8</v>
      </c>
      <c r="H136"/>
      <c r="I136">
        <v>12.8</v>
      </c>
      <c r="J136"/>
      <c r="K136">
        <v>13</v>
      </c>
      <c r="L136"/>
      <c r="M136" s="37">
        <f>AVERAGE(K136,I136,G136)</f>
        <v>12.866666666666667</v>
      </c>
    </row>
    <row r="137" spans="2:13" ht="12.75">
      <c r="B137" s="5" t="s">
        <v>64</v>
      </c>
      <c r="C137" s="5"/>
      <c r="D137" s="5" t="s">
        <v>18</v>
      </c>
      <c r="F137"/>
      <c r="G137">
        <v>6.5</v>
      </c>
      <c r="H137"/>
      <c r="I137">
        <v>6.4</v>
      </c>
      <c r="J137"/>
      <c r="K137">
        <v>6.6</v>
      </c>
      <c r="L137"/>
      <c r="M137" s="37">
        <f>AVERAGE(K137,I137,G137)</f>
        <v>6.5</v>
      </c>
    </row>
    <row r="138" spans="2:13" ht="12.75">
      <c r="B138" s="5" t="s">
        <v>48</v>
      </c>
      <c r="C138" s="5"/>
      <c r="D138" s="5" t="s">
        <v>19</v>
      </c>
      <c r="F138"/>
      <c r="G138">
        <v>195</v>
      </c>
      <c r="H138"/>
      <c r="I138">
        <v>196</v>
      </c>
      <c r="J138"/>
      <c r="K138">
        <v>192</v>
      </c>
      <c r="L138"/>
      <c r="M138" s="2">
        <f>AVERAGE(K138,I138,G138)</f>
        <v>194.33333333333334</v>
      </c>
    </row>
    <row r="140" spans="1:13" ht="12.75">
      <c r="A140" s="13">
        <v>6</v>
      </c>
      <c r="B140" s="17" t="s">
        <v>123</v>
      </c>
      <c r="C140" s="17" t="s">
        <v>60</v>
      </c>
      <c r="G140" s="15" t="s">
        <v>153</v>
      </c>
      <c r="H140" s="15"/>
      <c r="I140" s="16" t="s">
        <v>154</v>
      </c>
      <c r="J140" s="15"/>
      <c r="K140" s="15" t="s">
        <v>155</v>
      </c>
      <c r="L140" s="15"/>
      <c r="M140" s="13" t="s">
        <v>152</v>
      </c>
    </row>
    <row r="141" spans="2:12" ht="12.75">
      <c r="B141" s="5"/>
      <c r="C141" s="5"/>
      <c r="D141" s="8"/>
      <c r="E141" s="8"/>
      <c r="F141" s="8"/>
      <c r="G141" s="8"/>
      <c r="H141" s="8"/>
      <c r="I141" s="18"/>
      <c r="J141" s="8"/>
      <c r="K141" s="8"/>
      <c r="L141" s="15"/>
    </row>
    <row r="142" spans="2:13" ht="12.75">
      <c r="B142" s="5" t="s">
        <v>92</v>
      </c>
      <c r="C142" s="5" t="s">
        <v>157</v>
      </c>
      <c r="D142" s="5" t="s">
        <v>14</v>
      </c>
      <c r="E142" s="5" t="s">
        <v>15</v>
      </c>
      <c r="F142"/>
      <c r="G142">
        <v>0.01</v>
      </c>
      <c r="H142"/>
      <c r="I142">
        <v>0.014</v>
      </c>
      <c r="J142"/>
      <c r="K142">
        <v>0.012</v>
      </c>
      <c r="L142"/>
      <c r="M142">
        <f>AVERAGE(K142,I142,G142)</f>
        <v>0.012000000000000002</v>
      </c>
    </row>
    <row r="143" spans="2:13" ht="12.75">
      <c r="B143" s="5" t="s">
        <v>65</v>
      </c>
      <c r="C143" s="5" t="s">
        <v>157</v>
      </c>
      <c r="D143" s="5" t="s">
        <v>16</v>
      </c>
      <c r="E143" s="5" t="s">
        <v>15</v>
      </c>
      <c r="F143"/>
      <c r="G143">
        <v>6.5</v>
      </c>
      <c r="H143"/>
      <c r="I143">
        <v>6.4</v>
      </c>
      <c r="J143"/>
      <c r="K143">
        <v>8</v>
      </c>
      <c r="L143"/>
      <c r="M143" s="37">
        <f>AVERAGE(K143,I143,G143)</f>
        <v>6.966666666666666</v>
      </c>
    </row>
    <row r="144" spans="2:13" ht="12.75">
      <c r="B144" s="5" t="s">
        <v>95</v>
      </c>
      <c r="C144" s="5" t="s">
        <v>157</v>
      </c>
      <c r="D144" s="5" t="s">
        <v>16</v>
      </c>
      <c r="E144" s="5" t="s">
        <v>15</v>
      </c>
      <c r="F144"/>
      <c r="G144">
        <v>88.5</v>
      </c>
      <c r="H144"/>
      <c r="I144">
        <v>6</v>
      </c>
      <c r="J144"/>
      <c r="K144">
        <v>7.3</v>
      </c>
      <c r="L144"/>
      <c r="M144" s="37">
        <f>AVERAGE(K144,I144,G144)</f>
        <v>33.93333333333333</v>
      </c>
    </row>
    <row r="145" ht="12.75">
      <c r="I145" s="13"/>
    </row>
    <row r="146" spans="2:13" ht="12.75">
      <c r="B146" s="5" t="s">
        <v>67</v>
      </c>
      <c r="C146" s="5" t="s">
        <v>13</v>
      </c>
      <c r="D146" s="5" t="s">
        <v>157</v>
      </c>
      <c r="F146"/>
      <c r="I146" s="13"/>
      <c r="L146"/>
      <c r="M146"/>
    </row>
    <row r="147" spans="2:13" ht="12.75">
      <c r="B147" s="5" t="s">
        <v>49</v>
      </c>
      <c r="C147" s="5"/>
      <c r="D147" s="5" t="s">
        <v>17</v>
      </c>
      <c r="F147"/>
      <c r="G147" s="2">
        <f>136000/60</f>
        <v>2266.6666666666665</v>
      </c>
      <c r="H147" s="2"/>
      <c r="I147" s="2">
        <f>146300/60</f>
        <v>2438.3333333333335</v>
      </c>
      <c r="J147" s="2"/>
      <c r="K147" s="2">
        <f>162700/60</f>
        <v>2711.6666666666665</v>
      </c>
      <c r="L147" s="2"/>
      <c r="M147" s="2">
        <f>AVERAGE(K147,I147,G147)</f>
        <v>2472.222222222222</v>
      </c>
    </row>
    <row r="148" spans="2:13" ht="12.75">
      <c r="B148" s="5" t="s">
        <v>63</v>
      </c>
      <c r="C148" s="5"/>
      <c r="D148" s="5" t="s">
        <v>18</v>
      </c>
      <c r="F148"/>
      <c r="G148">
        <v>14</v>
      </c>
      <c r="H148"/>
      <c r="I148">
        <v>13.5</v>
      </c>
      <c r="J148"/>
      <c r="K148">
        <v>12.7</v>
      </c>
      <c r="L148"/>
      <c r="M148" s="2">
        <f>AVERAGE(K148,I148,G148)</f>
        <v>13.4</v>
      </c>
    </row>
    <row r="149" spans="2:13" ht="12.75">
      <c r="B149" s="5" t="s">
        <v>64</v>
      </c>
      <c r="C149" s="5"/>
      <c r="D149" s="5" t="s">
        <v>18</v>
      </c>
      <c r="F149"/>
      <c r="G149">
        <v>6.9</v>
      </c>
      <c r="H149"/>
      <c r="I149">
        <v>6.2</v>
      </c>
      <c r="J149"/>
      <c r="K149">
        <v>5.7</v>
      </c>
      <c r="L149"/>
      <c r="M149" s="2">
        <f>AVERAGE(K149,I149,G149)</f>
        <v>6.266666666666667</v>
      </c>
    </row>
    <row r="150" spans="2:13" ht="12.75">
      <c r="B150" s="5" t="s">
        <v>48</v>
      </c>
      <c r="C150" s="5"/>
      <c r="D150" s="5" t="s">
        <v>19</v>
      </c>
      <c r="F150"/>
      <c r="G150">
        <v>189</v>
      </c>
      <c r="H150"/>
      <c r="I150">
        <v>194</v>
      </c>
      <c r="J150"/>
      <c r="K150">
        <v>176</v>
      </c>
      <c r="L150"/>
      <c r="M150" s="2">
        <f>AVERAGE(K150,I150,G150)</f>
        <v>186.33333333333334</v>
      </c>
    </row>
    <row r="152" spans="2:13" ht="12.75">
      <c r="B152" s="17" t="s">
        <v>124</v>
      </c>
      <c r="C152" s="17" t="s">
        <v>60</v>
      </c>
      <c r="G152" s="15" t="s">
        <v>153</v>
      </c>
      <c r="H152" s="15"/>
      <c r="I152" s="16" t="s">
        <v>154</v>
      </c>
      <c r="J152" s="15"/>
      <c r="K152" s="15" t="s">
        <v>155</v>
      </c>
      <c r="L152" s="15"/>
      <c r="M152" s="13" t="s">
        <v>152</v>
      </c>
    </row>
    <row r="153" spans="2:12" ht="12.75">
      <c r="B153" s="5"/>
      <c r="C153" s="5"/>
      <c r="D153" s="8"/>
      <c r="E153" s="8"/>
      <c r="F153" s="8"/>
      <c r="G153" s="8"/>
      <c r="H153" s="8"/>
      <c r="I153" s="18"/>
      <c r="J153" s="8"/>
      <c r="K153" s="8"/>
      <c r="L153" s="15"/>
    </row>
    <row r="154" spans="2:13" ht="12.75">
      <c r="B154" s="5" t="s">
        <v>92</v>
      </c>
      <c r="C154" s="5" t="s">
        <v>157</v>
      </c>
      <c r="D154" s="5" t="s">
        <v>14</v>
      </c>
      <c r="E154" s="5" t="s">
        <v>15</v>
      </c>
      <c r="F154"/>
      <c r="G154">
        <v>0.006</v>
      </c>
      <c r="H154"/>
      <c r="I154">
        <v>0.011</v>
      </c>
      <c r="J154"/>
      <c r="K154">
        <v>0.005</v>
      </c>
      <c r="L154"/>
      <c r="M154" s="41">
        <f>AVERAGE(K154,I154,G154)</f>
        <v>0.007333333333333333</v>
      </c>
    </row>
    <row r="155" spans="2:13" ht="12.75">
      <c r="B155" s="5" t="s">
        <v>65</v>
      </c>
      <c r="C155" s="5" t="s">
        <v>157</v>
      </c>
      <c r="D155" s="5" t="s">
        <v>16</v>
      </c>
      <c r="E155" s="5" t="s">
        <v>15</v>
      </c>
      <c r="F155"/>
      <c r="G155">
        <v>10</v>
      </c>
      <c r="H155"/>
      <c r="I155">
        <v>11.9</v>
      </c>
      <c r="J155"/>
      <c r="K155">
        <v>5.9</v>
      </c>
      <c r="L155"/>
      <c r="M155" s="37">
        <f>AVERAGE(K155,I155,G155)</f>
        <v>9.266666666666667</v>
      </c>
    </row>
    <row r="156" spans="2:13" ht="12.75">
      <c r="B156" s="5" t="s">
        <v>95</v>
      </c>
      <c r="C156" s="5" t="s">
        <v>157</v>
      </c>
      <c r="D156" s="5" t="s">
        <v>16</v>
      </c>
      <c r="E156" s="5" t="s">
        <v>15</v>
      </c>
      <c r="F156"/>
      <c r="G156">
        <v>10.5</v>
      </c>
      <c r="H156"/>
      <c r="I156">
        <v>12.4</v>
      </c>
      <c r="J156"/>
      <c r="K156">
        <v>83.7</v>
      </c>
      <c r="L156"/>
      <c r="M156" s="37">
        <f>AVERAGE(K156,I156,G156)</f>
        <v>35.53333333333334</v>
      </c>
    </row>
    <row r="157" spans="2:13" ht="12.75">
      <c r="B157" s="5"/>
      <c r="C157" s="5"/>
      <c r="F157"/>
      <c r="G157"/>
      <c r="H157"/>
      <c r="I157"/>
      <c r="J157"/>
      <c r="K157"/>
      <c r="L157"/>
      <c r="M157"/>
    </row>
    <row r="158" spans="2:13" ht="12.75">
      <c r="B158" s="5" t="s">
        <v>50</v>
      </c>
      <c r="C158" s="5"/>
      <c r="D158" s="5" t="s">
        <v>24</v>
      </c>
      <c r="F158"/>
      <c r="G158" s="36">
        <v>0.000775</v>
      </c>
      <c r="H158"/>
      <c r="I158" s="36">
        <v>0.000531</v>
      </c>
      <c r="J158"/>
      <c r="K158" s="36">
        <v>0.000534</v>
      </c>
      <c r="L158"/>
      <c r="M158"/>
    </row>
    <row r="159" ht="12.75">
      <c r="I159" s="13"/>
    </row>
    <row r="160" spans="2:13" ht="12.75">
      <c r="B160" s="5" t="s">
        <v>67</v>
      </c>
      <c r="C160" s="5" t="s">
        <v>13</v>
      </c>
      <c r="D160" s="5" t="s">
        <v>157</v>
      </c>
      <c r="F160"/>
      <c r="I160" s="13"/>
      <c r="L160"/>
      <c r="M160"/>
    </row>
    <row r="161" spans="2:13" ht="12.75">
      <c r="B161" s="5" t="s">
        <v>49</v>
      </c>
      <c r="C161" s="5"/>
      <c r="D161" s="5" t="s">
        <v>17</v>
      </c>
      <c r="F161"/>
      <c r="G161" s="2">
        <f>148300/60</f>
        <v>2471.6666666666665</v>
      </c>
      <c r="H161" s="2"/>
      <c r="I161" s="2">
        <f>148200/60</f>
        <v>2470</v>
      </c>
      <c r="J161" s="2"/>
      <c r="K161" s="2">
        <f>143700/60</f>
        <v>2395</v>
      </c>
      <c r="L161" s="2"/>
      <c r="M161" s="2">
        <f>AVERAGE(K161,I161,G161)</f>
        <v>2445.555555555555</v>
      </c>
    </row>
    <row r="162" spans="2:13" ht="12.75">
      <c r="B162" s="5" t="s">
        <v>63</v>
      </c>
      <c r="C162" s="5"/>
      <c r="D162" s="5" t="s">
        <v>18</v>
      </c>
      <c r="F162"/>
      <c r="G162">
        <v>12.8</v>
      </c>
      <c r="H162"/>
      <c r="I162">
        <v>12.8</v>
      </c>
      <c r="J162"/>
      <c r="K162">
        <v>12.8</v>
      </c>
      <c r="L162"/>
      <c r="M162" s="2">
        <f>AVERAGE(K162,I162,G162)</f>
        <v>12.800000000000002</v>
      </c>
    </row>
    <row r="163" spans="2:13" ht="12.75">
      <c r="B163" s="5" t="s">
        <v>64</v>
      </c>
      <c r="C163" s="5"/>
      <c r="D163" s="5" t="s">
        <v>18</v>
      </c>
      <c r="F163"/>
      <c r="G163">
        <v>5.6</v>
      </c>
      <c r="H163"/>
      <c r="I163">
        <v>5.1</v>
      </c>
      <c r="J163"/>
      <c r="K163">
        <v>5.9</v>
      </c>
      <c r="L163"/>
      <c r="M163" s="2">
        <f>AVERAGE(K163,I163,G163)</f>
        <v>5.533333333333334</v>
      </c>
    </row>
    <row r="164" spans="2:13" ht="12.75">
      <c r="B164" s="5" t="s">
        <v>48</v>
      </c>
      <c r="C164" s="5"/>
      <c r="D164" s="5" t="s">
        <v>19</v>
      </c>
      <c r="F164"/>
      <c r="G164" s="13">
        <v>192</v>
      </c>
      <c r="I164" s="14">
        <v>193</v>
      </c>
      <c r="K164" s="13">
        <v>190</v>
      </c>
      <c r="M164" s="2">
        <f>AVERAGE(K164,I164,G164)</f>
        <v>191.66666666666666</v>
      </c>
    </row>
    <row r="166" spans="2:13" ht="12.75">
      <c r="B166" s="5" t="s">
        <v>50</v>
      </c>
      <c r="C166" s="13" t="s">
        <v>157</v>
      </c>
      <c r="D166" s="5" t="s">
        <v>29</v>
      </c>
      <c r="E166" s="5" t="s">
        <v>15</v>
      </c>
      <c r="G166" s="38">
        <f>G158*454/60/0.0283/G161*(21-7)/(21-G162)*1000000</f>
        <v>143.1344429315808</v>
      </c>
      <c r="H166" s="38"/>
      <c r="I166" s="38">
        <f>I158*454/60/0.0283/I161*(21-7)/(21-I162)*1000000</f>
        <v>98.13635381886789</v>
      </c>
      <c r="J166" s="38"/>
      <c r="K166" s="38">
        <f>K158*454/60/0.0283/K161*(21-7)/(21-K162)*1000000</f>
        <v>101.78132248210952</v>
      </c>
      <c r="M166" s="41">
        <f>AVERAGE(K166,I166,G166)</f>
        <v>114.35070641085274</v>
      </c>
    </row>
    <row r="167" spans="2:13" ht="12.75">
      <c r="B167" s="13" t="s">
        <v>30</v>
      </c>
      <c r="C167" s="13" t="s">
        <v>157</v>
      </c>
      <c r="D167" s="5" t="s">
        <v>29</v>
      </c>
      <c r="E167" s="5" t="s">
        <v>15</v>
      </c>
      <c r="G167" s="38">
        <f>G166</f>
        <v>143.1344429315808</v>
      </c>
      <c r="I167" s="38">
        <f>I166</f>
        <v>98.13635381886789</v>
      </c>
      <c r="K167" s="38">
        <f>K166</f>
        <v>101.78132248210952</v>
      </c>
      <c r="M167" s="38">
        <f>M166</f>
        <v>114.35070641085274</v>
      </c>
    </row>
  </sheetData>
  <printOptions headings="1" horizontalCentered="1"/>
  <pageMargins left="0.25" right="0.25" top="0.5" bottom="0.5" header="0.25" footer="0.25"/>
  <pageSetup horizontalDpi="600" verticalDpi="600" orientation="portrait" pageOrder="overThenDown" scale="80" r:id="rId1"/>
  <headerFooter alignWithMargins="0">
    <oddFooter>&amp;C&amp;P, &amp;A, &amp;F</oddFooter>
  </headerFooter>
</worksheet>
</file>

<file path=xl/worksheets/sheet5.xml><?xml version="1.0" encoding="utf-8"?>
<worksheet xmlns="http://schemas.openxmlformats.org/spreadsheetml/2006/main" xmlns:r="http://schemas.openxmlformats.org/officeDocument/2006/relationships">
  <dimension ref="A1:V157"/>
  <sheetViews>
    <sheetView workbookViewId="0" topLeftCell="B1">
      <selection activeCell="B2" sqref="B2"/>
    </sheetView>
  </sheetViews>
  <sheetFormatPr defaultColWidth="9.140625" defaultRowHeight="12.75"/>
  <cols>
    <col min="1" max="1" width="3.421875" style="23" hidden="1" customWidth="1"/>
    <col min="2" max="2" width="20.140625" style="6" customWidth="1"/>
    <col min="3" max="3" width="4.140625" style="6" customWidth="1"/>
    <col min="4" max="4" width="9.28125" style="6" customWidth="1"/>
    <col min="5" max="5" width="2.00390625" style="6" customWidth="1"/>
    <col min="6" max="6" width="13.421875" style="6" customWidth="1"/>
    <col min="7" max="7" width="2.8515625" style="23" customWidth="1"/>
    <col min="8" max="8" width="17.421875" style="24" customWidth="1"/>
    <col min="9" max="9" width="3.00390625" style="23" customWidth="1"/>
    <col min="10" max="10" width="14.57421875" style="23" customWidth="1"/>
    <col min="11" max="11" width="2.8515625" style="23" customWidth="1"/>
    <col min="12" max="12" width="12.140625" style="23" customWidth="1"/>
    <col min="13" max="13" width="2.57421875" style="23" customWidth="1"/>
    <col min="14" max="14" width="10.57421875" style="23" customWidth="1"/>
    <col min="15" max="15" width="2.7109375" style="23" customWidth="1"/>
    <col min="16" max="16" width="10.140625" style="23" customWidth="1"/>
    <col min="17" max="17" width="2.57421875" style="23" customWidth="1"/>
    <col min="18" max="18" width="8.8515625" style="23" customWidth="1"/>
    <col min="19" max="19" width="3.140625" style="23" bestFit="1" customWidth="1"/>
    <col min="20" max="20" width="10.00390625" style="23" customWidth="1"/>
    <col min="21" max="21" width="9.7109375" style="23" customWidth="1"/>
    <col min="22" max="22" width="12.28125" style="23" customWidth="1"/>
    <col min="23" max="16384" width="8.8515625" style="23" customWidth="1"/>
  </cols>
  <sheetData>
    <row r="1" spans="2:3" ht="12.75">
      <c r="B1" s="22" t="s">
        <v>156</v>
      </c>
      <c r="C1" s="22"/>
    </row>
    <row r="4" spans="1:20" ht="12.75">
      <c r="A4" s="23" t="s">
        <v>69</v>
      </c>
      <c r="B4" s="22" t="s">
        <v>125</v>
      </c>
      <c r="C4" s="22" t="s">
        <v>68</v>
      </c>
      <c r="F4" s="25" t="s">
        <v>152</v>
      </c>
      <c r="G4" s="25"/>
      <c r="H4" s="25" t="s">
        <v>152</v>
      </c>
      <c r="I4" s="25"/>
      <c r="J4" s="25" t="s">
        <v>152</v>
      </c>
      <c r="K4" s="25"/>
      <c r="L4" s="25"/>
      <c r="M4" s="25"/>
      <c r="N4" s="25" t="s">
        <v>153</v>
      </c>
      <c r="O4" s="25"/>
      <c r="P4" s="25" t="s">
        <v>154</v>
      </c>
      <c r="Q4" s="25"/>
      <c r="R4" s="25" t="s">
        <v>155</v>
      </c>
      <c r="S4" s="25"/>
      <c r="T4" s="25" t="s">
        <v>152</v>
      </c>
    </row>
    <row r="5" spans="2:20" ht="12.75">
      <c r="B5" s="22"/>
      <c r="C5" s="22"/>
      <c r="F5" s="25"/>
      <c r="G5" s="25"/>
      <c r="H5" s="25"/>
      <c r="I5" s="25"/>
      <c r="J5" s="25"/>
      <c r="K5" s="25"/>
      <c r="L5" s="25"/>
      <c r="M5" s="25"/>
      <c r="N5" s="25"/>
      <c r="O5" s="25"/>
      <c r="P5" s="25"/>
      <c r="Q5" s="25"/>
      <c r="R5" s="25"/>
      <c r="S5" s="25"/>
      <c r="T5" s="25"/>
    </row>
    <row r="6" spans="2:20" ht="12.75">
      <c r="B6" s="6" t="s">
        <v>171</v>
      </c>
      <c r="C6" s="22"/>
      <c r="F6" s="25" t="s">
        <v>175</v>
      </c>
      <c r="G6" s="25"/>
      <c r="H6" s="25" t="s">
        <v>176</v>
      </c>
      <c r="I6" s="25"/>
      <c r="J6" s="25" t="s">
        <v>177</v>
      </c>
      <c r="K6" s="25"/>
      <c r="L6" s="25"/>
      <c r="M6" s="25"/>
      <c r="N6" s="25" t="s">
        <v>178</v>
      </c>
      <c r="O6" s="25"/>
      <c r="P6" s="25" t="s">
        <v>178</v>
      </c>
      <c r="Q6" s="25"/>
      <c r="R6" s="25" t="s">
        <v>178</v>
      </c>
      <c r="S6" s="25"/>
      <c r="T6" s="25" t="s">
        <v>178</v>
      </c>
    </row>
    <row r="7" spans="2:20" ht="12.75">
      <c r="B7" s="6" t="s">
        <v>172</v>
      </c>
      <c r="F7" s="6" t="s">
        <v>173</v>
      </c>
      <c r="H7" s="6" t="s">
        <v>173</v>
      </c>
      <c r="J7" s="23" t="s">
        <v>174</v>
      </c>
      <c r="N7" s="25" t="s">
        <v>20</v>
      </c>
      <c r="P7" s="25" t="s">
        <v>20</v>
      </c>
      <c r="R7" s="25" t="s">
        <v>20</v>
      </c>
      <c r="T7" s="25" t="s">
        <v>20</v>
      </c>
    </row>
    <row r="8" spans="2:20" ht="12.75">
      <c r="B8" s="6" t="s">
        <v>180</v>
      </c>
      <c r="H8" s="6"/>
      <c r="N8" s="25" t="s">
        <v>20</v>
      </c>
      <c r="P8" s="25" t="s">
        <v>20</v>
      </c>
      <c r="R8" s="25" t="s">
        <v>20</v>
      </c>
      <c r="T8" s="25" t="s">
        <v>20</v>
      </c>
    </row>
    <row r="9" spans="2:20" ht="12.75">
      <c r="B9" s="6" t="s">
        <v>21</v>
      </c>
      <c r="F9" s="6" t="s">
        <v>96</v>
      </c>
      <c r="G9" s="8"/>
      <c r="H9" s="6" t="s">
        <v>100</v>
      </c>
      <c r="I9" s="24"/>
      <c r="J9" s="6" t="s">
        <v>101</v>
      </c>
      <c r="K9" s="24"/>
      <c r="M9" s="24"/>
      <c r="N9" s="25" t="s">
        <v>20</v>
      </c>
      <c r="P9" s="25" t="s">
        <v>20</v>
      </c>
      <c r="R9" s="25" t="s">
        <v>20</v>
      </c>
      <c r="T9" s="25" t="s">
        <v>20</v>
      </c>
    </row>
    <row r="10" spans="2:13" ht="12.75">
      <c r="B10" s="6" t="s">
        <v>71</v>
      </c>
      <c r="D10" s="6" t="s">
        <v>99</v>
      </c>
      <c r="F10" s="24">
        <v>30000</v>
      </c>
      <c r="G10" s="8"/>
      <c r="H10" s="8"/>
      <c r="I10" s="24"/>
      <c r="K10" s="24"/>
      <c r="M10" s="24"/>
    </row>
    <row r="11" spans="2:21" ht="12.75">
      <c r="B11" s="6" t="s">
        <v>71</v>
      </c>
      <c r="C11" s="23"/>
      <c r="D11" s="6" t="s">
        <v>24</v>
      </c>
      <c r="G11" s="8"/>
      <c r="H11" s="24">
        <v>5.66</v>
      </c>
      <c r="U11" s="26"/>
    </row>
    <row r="12" spans="2:21" ht="12.75">
      <c r="B12" s="6" t="s">
        <v>71</v>
      </c>
      <c r="D12" s="6" t="s">
        <v>102</v>
      </c>
      <c r="G12" s="8"/>
      <c r="J12" s="28">
        <v>53.93333333333334</v>
      </c>
      <c r="U12" s="26"/>
    </row>
    <row r="13" spans="2:10" ht="12.75">
      <c r="B13" s="6" t="s">
        <v>126</v>
      </c>
      <c r="D13" s="6" t="s">
        <v>104</v>
      </c>
      <c r="G13" s="8"/>
      <c r="H13" s="19"/>
      <c r="J13" s="13">
        <v>140000</v>
      </c>
    </row>
    <row r="14" spans="2:20" ht="12.75">
      <c r="B14" s="6" t="s">
        <v>22</v>
      </c>
      <c r="D14" s="6" t="s">
        <v>24</v>
      </c>
      <c r="G14" s="8"/>
      <c r="H14" s="19"/>
      <c r="J14" s="13"/>
      <c r="N14" s="23">
        <v>3.24</v>
      </c>
      <c r="P14" s="23">
        <v>3.24</v>
      </c>
      <c r="R14" s="23">
        <v>3.24</v>
      </c>
      <c r="T14" s="23">
        <f>AVERAGE(N14,P14,R14)</f>
        <v>3.24</v>
      </c>
    </row>
    <row r="15" spans="2:20" ht="12.75">
      <c r="B15" s="6" t="s">
        <v>51</v>
      </c>
      <c r="D15" s="6" t="s">
        <v>24</v>
      </c>
      <c r="F15" s="19"/>
      <c r="G15" s="8"/>
      <c r="H15" s="19"/>
      <c r="J15" s="19"/>
      <c r="N15" s="23">
        <v>0.106</v>
      </c>
      <c r="P15" s="23">
        <v>0.106</v>
      </c>
      <c r="R15" s="23">
        <v>0.106</v>
      </c>
      <c r="T15" s="23">
        <f>AVERAGE(N15,P15,R15)</f>
        <v>0.106</v>
      </c>
    </row>
    <row r="16" spans="2:20" ht="12.75">
      <c r="B16" s="6" t="s">
        <v>53</v>
      </c>
      <c r="D16" s="6" t="s">
        <v>24</v>
      </c>
      <c r="F16" s="19"/>
      <c r="G16" s="8"/>
      <c r="H16" s="19"/>
      <c r="J16" s="19"/>
      <c r="N16" s="23">
        <v>0.104</v>
      </c>
      <c r="P16" s="23">
        <v>0.104</v>
      </c>
      <c r="R16" s="23">
        <v>0.104</v>
      </c>
      <c r="T16" s="23">
        <f>AVERAGE(N16,P16,R16)</f>
        <v>0.104</v>
      </c>
    </row>
    <row r="17" spans="2:20" ht="12.75">
      <c r="B17" s="6" t="s">
        <v>50</v>
      </c>
      <c r="D17" s="6" t="s">
        <v>24</v>
      </c>
      <c r="F17" s="19"/>
      <c r="G17" s="8"/>
      <c r="H17" s="19"/>
      <c r="J17" s="19"/>
      <c r="N17" s="23">
        <v>2.775</v>
      </c>
      <c r="P17" s="23">
        <v>2.775</v>
      </c>
      <c r="R17" s="23">
        <v>2.775</v>
      </c>
      <c r="T17" s="23">
        <f>AVERAGE(N17,P17,R17)</f>
        <v>2.775</v>
      </c>
    </row>
    <row r="18" spans="7:8" ht="12.75">
      <c r="G18" s="8"/>
      <c r="H18" s="8"/>
    </row>
    <row r="19" spans="7:11" ht="12.75">
      <c r="G19" s="8"/>
      <c r="H19" s="8"/>
      <c r="I19" s="24"/>
      <c r="J19" s="25"/>
      <c r="K19" s="25"/>
    </row>
    <row r="20" spans="2:20" ht="12.75">
      <c r="B20" s="6" t="s">
        <v>32</v>
      </c>
      <c r="D20" s="6" t="s">
        <v>17</v>
      </c>
      <c r="F20" s="29">
        <v>2584.7833333333333</v>
      </c>
      <c r="G20" s="8"/>
      <c r="H20" s="8"/>
      <c r="I20" s="24"/>
      <c r="J20" s="25"/>
      <c r="K20" s="25"/>
      <c r="N20" s="29">
        <f>141495/60</f>
        <v>2358.25</v>
      </c>
      <c r="O20" s="29"/>
      <c r="P20" s="29">
        <f>159180/60</f>
        <v>2653</v>
      </c>
      <c r="Q20" s="29"/>
      <c r="R20" s="29">
        <f>164586/60</f>
        <v>2743.1</v>
      </c>
      <c r="T20" s="26">
        <f>AVERAGE(N20,P20,R20)</f>
        <v>2584.7833333333333</v>
      </c>
    </row>
    <row r="21" spans="2:20" ht="12.75">
      <c r="B21" s="6" t="s">
        <v>33</v>
      </c>
      <c r="D21" s="6" t="s">
        <v>18</v>
      </c>
      <c r="F21" s="29">
        <v>12.466666666666667</v>
      </c>
      <c r="G21" s="8"/>
      <c r="H21" s="8"/>
      <c r="I21" s="24"/>
      <c r="J21" s="25"/>
      <c r="K21" s="25"/>
      <c r="N21" s="8">
        <v>12.6</v>
      </c>
      <c r="O21" s="8"/>
      <c r="P21" s="8">
        <v>12.4</v>
      </c>
      <c r="Q21" s="8"/>
      <c r="R21" s="8">
        <v>12.4</v>
      </c>
      <c r="T21" s="28">
        <f>AVERAGE(N21,P21,R21)</f>
        <v>12.466666666666667</v>
      </c>
    </row>
    <row r="22" spans="7:11" ht="12.75">
      <c r="G22" s="8"/>
      <c r="H22" s="8"/>
      <c r="I22" s="24"/>
      <c r="J22" s="25"/>
      <c r="K22" s="25"/>
    </row>
    <row r="23" spans="2:17" ht="12.75">
      <c r="B23" s="6" t="s">
        <v>70</v>
      </c>
      <c r="D23" s="6" t="s">
        <v>28</v>
      </c>
      <c r="G23" s="8"/>
      <c r="H23" s="8"/>
      <c r="I23" s="7"/>
      <c r="J23" s="25"/>
      <c r="K23" s="25"/>
      <c r="N23" s="26"/>
      <c r="O23" s="26"/>
      <c r="P23" s="26"/>
      <c r="Q23" s="26"/>
    </row>
    <row r="24" spans="2:17" ht="12.75">
      <c r="B24" s="6" t="s">
        <v>181</v>
      </c>
      <c r="D24" s="6" t="s">
        <v>28</v>
      </c>
      <c r="G24" s="8"/>
      <c r="H24" s="8"/>
      <c r="I24" s="7"/>
      <c r="J24" s="25"/>
      <c r="K24" s="25"/>
      <c r="N24" s="7"/>
      <c r="O24" s="7"/>
      <c r="P24" s="7"/>
      <c r="Q24" s="7"/>
    </row>
    <row r="25" spans="7:17" ht="12.75">
      <c r="G25" s="8"/>
      <c r="H25" s="8"/>
      <c r="I25" s="7"/>
      <c r="J25" s="25"/>
      <c r="K25" s="25"/>
      <c r="N25" s="7"/>
      <c r="O25" s="7"/>
      <c r="P25" s="7"/>
      <c r="Q25" s="7"/>
    </row>
    <row r="26" spans="2:17" ht="12.75">
      <c r="B26" s="32" t="s">
        <v>44</v>
      </c>
      <c r="C26" s="32"/>
      <c r="G26" s="8"/>
      <c r="H26" s="8"/>
      <c r="I26" s="7"/>
      <c r="J26" s="25"/>
      <c r="K26" s="25"/>
      <c r="N26" s="7"/>
      <c r="O26" s="7"/>
      <c r="P26" s="7"/>
      <c r="Q26" s="7"/>
    </row>
    <row r="27" spans="8:11" ht="12.75">
      <c r="H27" s="27"/>
      <c r="I27" s="27"/>
      <c r="J27" s="24"/>
      <c r="K27" s="24"/>
    </row>
    <row r="28" spans="2:21" ht="12.75">
      <c r="B28" s="6" t="s">
        <v>22</v>
      </c>
      <c r="D28" s="6" t="s">
        <v>34</v>
      </c>
      <c r="H28" s="27"/>
      <c r="I28" s="27"/>
      <c r="J28" s="24"/>
      <c r="K28" s="24"/>
      <c r="N28" s="42">
        <f>N14*1/60*454*1000/(N$20*0.0283)*(21-7)/(21-N$21)</f>
        <v>612.2405404079132</v>
      </c>
      <c r="O28" s="13"/>
      <c r="P28" s="42">
        <f>P14*1/60*454*1000/(P$20*0.0283)*(21-7)/(21-P$21)</f>
        <v>531.5639397743</v>
      </c>
      <c r="Q28" s="13"/>
      <c r="R28" s="42">
        <f>R14*1/60*454*1000/(R$20*0.0283)*(21-7)/(21-R$21)</f>
        <v>514.1041639827997</v>
      </c>
      <c r="S28" s="13"/>
      <c r="T28" s="26">
        <f>AVERAGE(N28,P28,R28)</f>
        <v>552.636214721671</v>
      </c>
      <c r="U28" s="13"/>
    </row>
    <row r="29" spans="2:22" ht="12.75">
      <c r="B29" s="6" t="s">
        <v>51</v>
      </c>
      <c r="D29" s="6" t="s">
        <v>29</v>
      </c>
      <c r="H29" s="6"/>
      <c r="I29" s="27"/>
      <c r="J29" s="6"/>
      <c r="K29" s="24"/>
      <c r="N29" s="45">
        <f>N15*1/60*454*1000000/(N$20*0.0283)*(21-7)/(21-N$21)</f>
        <v>20030.091754086046</v>
      </c>
      <c r="O29" s="13"/>
      <c r="P29" s="45">
        <f>P15*1/60*454*1000000/(P$20*0.0283)*(21-7)/(21-P$21)</f>
        <v>17390.672103727098</v>
      </c>
      <c r="Q29" s="13"/>
      <c r="R29" s="45">
        <f>R15*1/60*454*1000000/(R$20*0.0283)*(21-7)/(21-R$21)</f>
        <v>16819.457216721225</v>
      </c>
      <c r="S29" s="13"/>
      <c r="T29" s="47">
        <f>AVERAGE(N29,P29,R29)</f>
        <v>18080.073691511458</v>
      </c>
      <c r="U29" s="49"/>
      <c r="V29" s="26"/>
    </row>
    <row r="30" spans="2:22" ht="12.75">
      <c r="B30" s="6" t="s">
        <v>53</v>
      </c>
      <c r="D30" s="6" t="s">
        <v>29</v>
      </c>
      <c r="H30" s="6"/>
      <c r="I30" s="27"/>
      <c r="J30" s="6"/>
      <c r="K30" s="24"/>
      <c r="N30" s="45">
        <f>N16*1/60*454*1000000/(N$20*0.0283)*(21-7)/(21-N$21)</f>
        <v>19652.165494574987</v>
      </c>
      <c r="O30" s="13"/>
      <c r="P30" s="45">
        <f>P16*1/60*454*1000000/(P$20*0.0283)*(21-7)/(21-P$21)</f>
        <v>17062.54621497753</v>
      </c>
      <c r="Q30" s="13"/>
      <c r="R30" s="45">
        <f>R16*1/60*454*1000000/(R$20*0.0283)*(21-7)/(21-R$21)</f>
        <v>16502.108967349126</v>
      </c>
      <c r="S30" s="13"/>
      <c r="T30" s="47">
        <f>AVERAGE(N30,P30,R30)</f>
        <v>17738.94022563388</v>
      </c>
      <c r="U30" s="49"/>
      <c r="V30" s="26"/>
    </row>
    <row r="31" spans="2:21" ht="12.75">
      <c r="B31" s="6" t="s">
        <v>50</v>
      </c>
      <c r="D31" s="6" t="s">
        <v>29</v>
      </c>
      <c r="H31" s="6"/>
      <c r="I31" s="27"/>
      <c r="J31" s="6"/>
      <c r="K31" s="24"/>
      <c r="N31" s="45">
        <f>N17*1/60*454*1000000/(N$20*0.0283)*(21-7)/(21-N$21)</f>
        <v>524372.6850715922</v>
      </c>
      <c r="O31" s="13"/>
      <c r="P31" s="45">
        <f>P17*1/60*454*1000000/(P$20*0.0283)*(21-7)/(21-P$21)</f>
        <v>455274.67064002546</v>
      </c>
      <c r="Q31" s="13"/>
      <c r="R31" s="45">
        <f>R17*1/60*454*1000000/(R$20*0.0283)*(21-7)/(21-R$21)</f>
        <v>440320.6960037868</v>
      </c>
      <c r="S31" s="13"/>
      <c r="T31" s="47">
        <f>AVERAGE(N31,P31,R31)</f>
        <v>473322.68390513485</v>
      </c>
      <c r="U31" s="13"/>
    </row>
    <row r="32" spans="2:21" ht="12.75">
      <c r="B32" s="6" t="s">
        <v>30</v>
      </c>
      <c r="D32" s="6" t="s">
        <v>29</v>
      </c>
      <c r="I32" s="24"/>
      <c r="N32" s="49">
        <f>N31</f>
        <v>524372.6850715922</v>
      </c>
      <c r="O32" s="13"/>
      <c r="P32" s="49">
        <f>P31</f>
        <v>455274.67064002546</v>
      </c>
      <c r="Q32" s="13"/>
      <c r="R32" s="49">
        <f>R31</f>
        <v>440320.6960037868</v>
      </c>
      <c r="S32" s="13"/>
      <c r="T32" s="47">
        <f>AVERAGE(N32,P32,R32)</f>
        <v>473322.68390513485</v>
      </c>
      <c r="U32" s="13"/>
    </row>
    <row r="33" spans="9:21" ht="12.75">
      <c r="I33" s="24"/>
      <c r="N33" s="13"/>
      <c r="O33" s="13"/>
      <c r="P33" s="13"/>
      <c r="Q33" s="13"/>
      <c r="R33" s="13"/>
      <c r="S33" s="13"/>
      <c r="T33" s="13"/>
      <c r="U33" s="13"/>
    </row>
    <row r="34" spans="1:20" ht="12.75">
      <c r="A34" s="23" t="s">
        <v>69</v>
      </c>
      <c r="B34" s="22" t="s">
        <v>119</v>
      </c>
      <c r="C34" s="22" t="s">
        <v>68</v>
      </c>
      <c r="F34" s="25" t="s">
        <v>152</v>
      </c>
      <c r="G34" s="25"/>
      <c r="H34" s="25" t="s">
        <v>152</v>
      </c>
      <c r="I34" s="25"/>
      <c r="J34" s="25" t="s">
        <v>152</v>
      </c>
      <c r="K34" s="25"/>
      <c r="L34" s="25" t="s">
        <v>152</v>
      </c>
      <c r="M34" s="25"/>
      <c r="N34" s="25" t="s">
        <v>153</v>
      </c>
      <c r="O34" s="25"/>
      <c r="P34" s="25" t="s">
        <v>154</v>
      </c>
      <c r="Q34" s="25"/>
      <c r="R34" s="25" t="s">
        <v>155</v>
      </c>
      <c r="S34" s="25"/>
      <c r="T34" s="25" t="s">
        <v>152</v>
      </c>
    </row>
    <row r="35" spans="2:20" ht="12.75">
      <c r="B35" s="22"/>
      <c r="C35" s="22"/>
      <c r="F35" s="25"/>
      <c r="G35" s="25"/>
      <c r="H35" s="25"/>
      <c r="I35" s="25"/>
      <c r="J35" s="25"/>
      <c r="K35" s="25"/>
      <c r="L35" s="25"/>
      <c r="M35" s="25"/>
      <c r="N35" s="25"/>
      <c r="O35" s="25"/>
      <c r="P35" s="25"/>
      <c r="Q35" s="25"/>
      <c r="R35" s="25"/>
      <c r="S35" s="25"/>
      <c r="T35" s="25"/>
    </row>
    <row r="36" spans="2:20" ht="12.75">
      <c r="B36" s="6" t="s">
        <v>171</v>
      </c>
      <c r="C36" s="22"/>
      <c r="F36" s="25" t="s">
        <v>175</v>
      </c>
      <c r="G36" s="25"/>
      <c r="H36" s="25" t="s">
        <v>176</v>
      </c>
      <c r="I36" s="25"/>
      <c r="J36" s="23" t="s">
        <v>177</v>
      </c>
      <c r="K36" s="25"/>
      <c r="L36" s="25" t="s">
        <v>178</v>
      </c>
      <c r="M36" s="25"/>
      <c r="N36" s="25" t="s">
        <v>179</v>
      </c>
      <c r="O36" s="25"/>
      <c r="P36" s="25" t="s">
        <v>179</v>
      </c>
      <c r="Q36" s="25"/>
      <c r="R36" s="25" t="s">
        <v>179</v>
      </c>
      <c r="S36" s="25"/>
      <c r="T36" s="25" t="s">
        <v>179</v>
      </c>
    </row>
    <row r="37" spans="2:20" ht="12.75">
      <c r="B37" s="6" t="s">
        <v>172</v>
      </c>
      <c r="F37" s="6" t="s">
        <v>173</v>
      </c>
      <c r="H37" s="6" t="s">
        <v>173</v>
      </c>
      <c r="J37" s="6" t="s">
        <v>173</v>
      </c>
      <c r="L37" s="23" t="s">
        <v>174</v>
      </c>
      <c r="N37" s="24" t="s">
        <v>20</v>
      </c>
      <c r="P37" s="24" t="s">
        <v>20</v>
      </c>
      <c r="R37" s="24" t="s">
        <v>20</v>
      </c>
      <c r="T37" s="24" t="s">
        <v>20</v>
      </c>
    </row>
    <row r="38" spans="8:20" ht="12.75">
      <c r="H38" s="6"/>
      <c r="J38" s="6"/>
      <c r="N38" s="24" t="s">
        <v>20</v>
      </c>
      <c r="P38" s="24" t="s">
        <v>20</v>
      </c>
      <c r="R38" s="24" t="s">
        <v>20</v>
      </c>
      <c r="T38" s="24" t="s">
        <v>20</v>
      </c>
    </row>
    <row r="39" spans="2:20" ht="12.75">
      <c r="B39" s="6" t="s">
        <v>21</v>
      </c>
      <c r="F39" s="6" t="s">
        <v>106</v>
      </c>
      <c r="G39" s="8"/>
      <c r="H39" s="6" t="s">
        <v>105</v>
      </c>
      <c r="I39" s="24"/>
      <c r="J39" s="6" t="s">
        <v>100</v>
      </c>
      <c r="K39" s="24"/>
      <c r="L39" s="6" t="s">
        <v>101</v>
      </c>
      <c r="M39" s="24"/>
      <c r="N39" s="24" t="s">
        <v>20</v>
      </c>
      <c r="P39" s="24" t="s">
        <v>20</v>
      </c>
      <c r="R39" s="24" t="s">
        <v>20</v>
      </c>
      <c r="T39" s="24" t="s">
        <v>20</v>
      </c>
    </row>
    <row r="40" spans="2:21" ht="12.75">
      <c r="B40" s="6" t="s">
        <v>71</v>
      </c>
      <c r="D40" s="6" t="s">
        <v>99</v>
      </c>
      <c r="F40" s="44">
        <v>6471.666666666667</v>
      </c>
      <c r="G40" s="8"/>
      <c r="H40" s="24">
        <v>11750</v>
      </c>
      <c r="T40" s="26">
        <f>SUM(F40,H40)</f>
        <v>18221.666666666668</v>
      </c>
      <c r="U40" s="26"/>
    </row>
    <row r="41" spans="2:21" ht="12.75">
      <c r="B41" s="6" t="s">
        <v>71</v>
      </c>
      <c r="D41" s="6" t="s">
        <v>24</v>
      </c>
      <c r="G41" s="8"/>
      <c r="J41" s="26">
        <v>153.63333333333333</v>
      </c>
      <c r="U41" s="26"/>
    </row>
    <row r="42" spans="2:21" ht="12.75">
      <c r="B42" s="6" t="s">
        <v>71</v>
      </c>
      <c r="D42" s="6" t="s">
        <v>102</v>
      </c>
      <c r="G42" s="8"/>
      <c r="L42" s="28">
        <v>48.26666666666667</v>
      </c>
      <c r="U42" s="26"/>
    </row>
    <row r="43" spans="2:12" ht="12.75">
      <c r="B43" s="6" t="s">
        <v>126</v>
      </c>
      <c r="D43" s="6" t="s">
        <v>104</v>
      </c>
      <c r="F43" s="23"/>
      <c r="G43" s="8"/>
      <c r="H43" s="19"/>
      <c r="J43" s="13"/>
      <c r="L43" s="24">
        <v>140000</v>
      </c>
    </row>
    <row r="44" spans="2:20" ht="12.75">
      <c r="B44" s="6" t="s">
        <v>22</v>
      </c>
      <c r="D44" s="6" t="s">
        <v>24</v>
      </c>
      <c r="F44" s="23"/>
      <c r="G44" s="8"/>
      <c r="H44" s="19"/>
      <c r="J44" s="13"/>
      <c r="L44" s="6"/>
      <c r="N44" s="23">
        <v>46.4</v>
      </c>
      <c r="P44" s="23">
        <v>49.2</v>
      </c>
      <c r="R44" s="23">
        <v>49.2</v>
      </c>
      <c r="T44" s="26">
        <f>AVERAGE(N44,P44,R44)</f>
        <v>48.26666666666667</v>
      </c>
    </row>
    <row r="45" spans="2:20" ht="12.75">
      <c r="B45" s="6" t="s">
        <v>51</v>
      </c>
      <c r="D45" s="6" t="s">
        <v>24</v>
      </c>
      <c r="F45" s="19"/>
      <c r="G45" s="8"/>
      <c r="H45" s="19"/>
      <c r="J45" s="19"/>
      <c r="N45" s="23">
        <f>12.295+0.373</f>
        <v>12.668</v>
      </c>
      <c r="P45" s="23">
        <f>12.647+0.393</f>
        <v>13.040000000000001</v>
      </c>
      <c r="R45" s="23">
        <f>12.647+0.393</f>
        <v>13.040000000000001</v>
      </c>
      <c r="T45" s="28">
        <f>AVERAGE(N45,P45,R45)</f>
        <v>12.915999999999999</v>
      </c>
    </row>
    <row r="46" spans="2:20" ht="12.75">
      <c r="B46" s="6" t="s">
        <v>53</v>
      </c>
      <c r="D46" s="6" t="s">
        <v>24</v>
      </c>
      <c r="F46" s="19"/>
      <c r="G46" s="8"/>
      <c r="H46" s="19"/>
      <c r="J46" s="19"/>
      <c r="N46" s="23">
        <v>9.629</v>
      </c>
      <c r="P46" s="23">
        <v>10.214</v>
      </c>
      <c r="R46" s="23">
        <v>10.214</v>
      </c>
      <c r="T46" s="28">
        <f>AVERAGE(N46,P46,R46)</f>
        <v>10.019</v>
      </c>
    </row>
    <row r="47" spans="2:20" ht="12.75">
      <c r="B47" s="6" t="s">
        <v>50</v>
      </c>
      <c r="D47" s="6" t="s">
        <v>24</v>
      </c>
      <c r="F47" s="19"/>
      <c r="G47" s="8"/>
      <c r="H47" s="19"/>
      <c r="J47" s="19"/>
      <c r="N47" s="23">
        <f>602.495+0.779</f>
        <v>603.274</v>
      </c>
      <c r="P47" s="23">
        <f>619.745+0.819</f>
        <v>620.564</v>
      </c>
      <c r="R47" s="23">
        <f>619.745+0.819</f>
        <v>620.564</v>
      </c>
      <c r="T47" s="28">
        <f>AVERAGE(N47,P47,R47)</f>
        <v>614.8006666666666</v>
      </c>
    </row>
    <row r="48" spans="7:8" ht="12.75">
      <c r="G48" s="8"/>
      <c r="H48" s="8"/>
    </row>
    <row r="49" spans="2:20" ht="12.75">
      <c r="B49" s="6" t="s">
        <v>32</v>
      </c>
      <c r="D49" s="6" t="s">
        <v>17</v>
      </c>
      <c r="F49" s="29">
        <v>2317.305555555555</v>
      </c>
      <c r="G49" s="8"/>
      <c r="H49" s="8"/>
      <c r="I49" s="24"/>
      <c r="J49" s="25"/>
      <c r="K49" s="25"/>
      <c r="N49" s="8">
        <f>138700/60</f>
        <v>2311.6666666666665</v>
      </c>
      <c r="O49" s="8"/>
      <c r="P49" s="8">
        <f>137157/60</f>
        <v>2285.95</v>
      </c>
      <c r="Q49" s="8"/>
      <c r="R49" s="8">
        <f>141258/60</f>
        <v>2354.3</v>
      </c>
      <c r="T49" s="28">
        <f>AVERAGE(N49,P49,R49)</f>
        <v>2317.3055555555557</v>
      </c>
    </row>
    <row r="50" spans="2:20" ht="12.75">
      <c r="B50" s="6" t="s">
        <v>33</v>
      </c>
      <c r="D50" s="6" t="s">
        <v>18</v>
      </c>
      <c r="F50" s="29">
        <v>7.333333333333333</v>
      </c>
      <c r="G50" s="8"/>
      <c r="H50" s="8"/>
      <c r="I50" s="24"/>
      <c r="J50" s="25"/>
      <c r="K50" s="25"/>
      <c r="N50" s="29">
        <v>7</v>
      </c>
      <c r="O50" s="8"/>
      <c r="P50" s="8">
        <v>7.6</v>
      </c>
      <c r="Q50" s="8"/>
      <c r="R50" s="8">
        <v>7.4</v>
      </c>
      <c r="T50" s="28">
        <f>AVERAGE(N50,P50,R50)</f>
        <v>7.333333333333333</v>
      </c>
    </row>
    <row r="51" spans="7:11" ht="12.75">
      <c r="G51" s="8"/>
      <c r="H51" s="8"/>
      <c r="I51" s="24"/>
      <c r="J51" s="25"/>
      <c r="K51" s="25"/>
    </row>
    <row r="52" spans="2:17" ht="12.75">
      <c r="B52" s="6" t="s">
        <v>70</v>
      </c>
      <c r="D52" s="6" t="s">
        <v>28</v>
      </c>
      <c r="G52" s="8"/>
      <c r="H52" s="8"/>
      <c r="I52" s="7"/>
      <c r="J52" s="25"/>
      <c r="K52" s="25"/>
      <c r="N52" s="26"/>
      <c r="O52" s="26"/>
      <c r="P52" s="26"/>
      <c r="Q52" s="26"/>
    </row>
    <row r="53" spans="2:17" ht="12.75">
      <c r="B53" s="6" t="s">
        <v>181</v>
      </c>
      <c r="D53" s="6" t="s">
        <v>28</v>
      </c>
      <c r="G53" s="8"/>
      <c r="H53" s="8"/>
      <c r="I53" s="7"/>
      <c r="J53" s="25"/>
      <c r="K53" s="25"/>
      <c r="N53" s="7"/>
      <c r="O53" s="7"/>
      <c r="P53" s="7"/>
      <c r="Q53" s="7"/>
    </row>
    <row r="54" spans="7:17" ht="12.75">
      <c r="G54" s="8"/>
      <c r="H54" s="8"/>
      <c r="I54" s="7"/>
      <c r="J54" s="25"/>
      <c r="K54" s="25"/>
      <c r="N54" s="7"/>
      <c r="O54" s="7"/>
      <c r="P54" s="7"/>
      <c r="Q54" s="7"/>
    </row>
    <row r="55" spans="2:20" ht="12.75">
      <c r="B55" s="32" t="s">
        <v>44</v>
      </c>
      <c r="C55" s="32"/>
      <c r="G55" s="8"/>
      <c r="H55" s="8"/>
      <c r="I55" s="7"/>
      <c r="J55" s="25"/>
      <c r="K55" s="25"/>
      <c r="N55" s="25"/>
      <c r="P55" s="25"/>
      <c r="R55" s="25"/>
      <c r="T55" s="25"/>
    </row>
    <row r="56" spans="8:20" ht="12.75">
      <c r="H56" s="27"/>
      <c r="I56" s="27"/>
      <c r="J56" s="24"/>
      <c r="K56" s="24"/>
      <c r="N56" s="25"/>
      <c r="P56" s="25"/>
      <c r="R56" s="25"/>
      <c r="T56" s="25"/>
    </row>
    <row r="57" spans="2:20" ht="12.75">
      <c r="B57" s="6" t="s">
        <v>22</v>
      </c>
      <c r="C57" s="23"/>
      <c r="D57" s="6" t="s">
        <v>34</v>
      </c>
      <c r="H57" s="27"/>
      <c r="I57" s="27"/>
      <c r="J57" s="24"/>
      <c r="K57" s="24"/>
      <c r="N57" s="42">
        <f>N44*1/60*454*1000/(N$49*0.0283)*(21-7)/(21-N$50)</f>
        <v>5366.744709200272</v>
      </c>
      <c r="P57" s="42">
        <f>P44*1/60*454*1000/(P$49*0.0283)*(21-7)/(21-P$50)</f>
        <v>6012.288057262743</v>
      </c>
      <c r="R57" s="42">
        <f>R44*1/60*454*1000/(R$49*0.0283)*(21-7)/(21-R$50)</f>
        <v>5751.890297487478</v>
      </c>
      <c r="T57" s="26">
        <f>AVERAGE(N57,P57,R57)</f>
        <v>5710.307687983498</v>
      </c>
    </row>
    <row r="58" spans="2:22" ht="12.75">
      <c r="B58" s="6" t="s">
        <v>51</v>
      </c>
      <c r="D58" s="6" t="s">
        <v>29</v>
      </c>
      <c r="H58" s="6"/>
      <c r="I58" s="27"/>
      <c r="J58" s="6"/>
      <c r="K58" s="24"/>
      <c r="L58" s="27"/>
      <c r="N58" s="45">
        <f>N45*1/60*454*1000000/(N$49*0.0283)*(21-7)/(21-N$50)</f>
        <v>1465213.8356928674</v>
      </c>
      <c r="P58" s="45">
        <f>P45*1/60*454*1000000/(P$49*0.0283)*(21-7)/(21-P$50)</f>
        <v>1593500.737128174</v>
      </c>
      <c r="R58" s="45">
        <f>R45*1/60*454*1000000/(R$49*0.0283)*(21-7)/(21-R$50)</f>
        <v>1524484.7455129412</v>
      </c>
      <c r="T58" s="47">
        <f>AVERAGE(N58,P58,R58)</f>
        <v>1527733.1061113274</v>
      </c>
      <c r="U58" s="47"/>
      <c r="V58" s="26"/>
    </row>
    <row r="59" spans="2:22" ht="12.75">
      <c r="B59" s="6" t="s">
        <v>53</v>
      </c>
      <c r="D59" s="6" t="s">
        <v>29</v>
      </c>
      <c r="H59" s="6"/>
      <c r="I59" s="27"/>
      <c r="J59" s="6"/>
      <c r="K59" s="24"/>
      <c r="L59" s="26"/>
      <c r="N59" s="45">
        <f>N46*1/60*454*1000000/(N$49*0.0283)*(21-7)/(21-N$50)</f>
        <v>1113715.189760548</v>
      </c>
      <c r="P59" s="45">
        <f>P46*1/60*454*1000000/(P$49*0.0283)*(21-7)/(21-P$50)</f>
        <v>1248160.7767658874</v>
      </c>
      <c r="R59" s="45">
        <f>R46*1/60*454*1000000/(R$49*0.0283)*(21-7)/(21-R$50)</f>
        <v>1194101.7784255508</v>
      </c>
      <c r="T59" s="47">
        <f>AVERAGE(N59,P59,R59)</f>
        <v>1185325.9149839955</v>
      </c>
      <c r="U59" s="47"/>
      <c r="V59" s="26"/>
    </row>
    <row r="60" spans="2:20" ht="12.75">
      <c r="B60" s="6" t="s">
        <v>50</v>
      </c>
      <c r="D60" s="6" t="s">
        <v>29</v>
      </c>
      <c r="H60" s="6"/>
      <c r="I60" s="27"/>
      <c r="J60" s="6"/>
      <c r="K60" s="24"/>
      <c r="N60" s="45">
        <f>N47*1/60*454*1000000/(N$49*0.0283)*(21-7)/(21-N$50)</f>
        <v>69776240.2521139</v>
      </c>
      <c r="P60" s="45">
        <f>P47*1/60*454*1000000/(P$49*0.0283)*(21-7)/(21-P$50)</f>
        <v>75833526.95055276</v>
      </c>
      <c r="R60" s="45">
        <f>R47*1/60*454*1000000/(R$49*0.0283)*(21-7)/(21-R$50)</f>
        <v>72549106.71890281</v>
      </c>
      <c r="T60" s="47">
        <f>AVERAGE(N60,P60,R60)</f>
        <v>72719624.64052315</v>
      </c>
    </row>
    <row r="61" spans="2:20" ht="12.75">
      <c r="B61" s="6" t="s">
        <v>30</v>
      </c>
      <c r="D61" s="6" t="s">
        <v>29</v>
      </c>
      <c r="H61" s="6"/>
      <c r="I61" s="27"/>
      <c r="J61" s="6"/>
      <c r="K61" s="24"/>
      <c r="N61" s="45">
        <f>N60</f>
        <v>69776240.2521139</v>
      </c>
      <c r="P61" s="45">
        <f>P60</f>
        <v>75833526.95055276</v>
      </c>
      <c r="R61" s="45">
        <f>R60</f>
        <v>72549106.71890281</v>
      </c>
      <c r="T61" s="45">
        <f>T60</f>
        <v>72719624.64052315</v>
      </c>
    </row>
    <row r="62" spans="8:20" ht="12.75">
      <c r="H62" s="6"/>
      <c r="I62" s="27"/>
      <c r="J62" s="6"/>
      <c r="K62" s="24"/>
      <c r="N62" s="45"/>
      <c r="P62" s="45"/>
      <c r="R62" s="45"/>
      <c r="T62" s="47"/>
    </row>
    <row r="64" spans="2:20" ht="12.75">
      <c r="B64" s="22" t="s">
        <v>120</v>
      </c>
      <c r="C64" s="22" t="s">
        <v>68</v>
      </c>
      <c r="F64" s="25" t="s">
        <v>152</v>
      </c>
      <c r="G64" s="25"/>
      <c r="H64" s="25" t="s">
        <v>152</v>
      </c>
      <c r="I64" s="25"/>
      <c r="J64" s="25" t="s">
        <v>152</v>
      </c>
      <c r="K64" s="25"/>
      <c r="L64" s="25"/>
      <c r="M64" s="25"/>
      <c r="N64" s="25" t="s">
        <v>153</v>
      </c>
      <c r="O64" s="25"/>
      <c r="P64" s="25" t="s">
        <v>154</v>
      </c>
      <c r="Q64" s="25"/>
      <c r="R64" s="25" t="s">
        <v>155</v>
      </c>
      <c r="S64" s="25"/>
      <c r="T64" s="25" t="s">
        <v>152</v>
      </c>
    </row>
    <row r="65" spans="2:20" ht="12.75">
      <c r="B65" s="22"/>
      <c r="C65" s="22"/>
      <c r="F65" s="25"/>
      <c r="G65" s="25"/>
      <c r="H65" s="25"/>
      <c r="I65" s="25"/>
      <c r="J65" s="25"/>
      <c r="K65" s="25"/>
      <c r="L65" s="25"/>
      <c r="M65" s="25"/>
      <c r="N65" s="25"/>
      <c r="O65" s="25"/>
      <c r="P65" s="25"/>
      <c r="Q65" s="25"/>
      <c r="R65" s="25"/>
      <c r="S65" s="25"/>
      <c r="T65" s="25"/>
    </row>
    <row r="66" spans="2:20" ht="12.75">
      <c r="B66" s="6" t="s">
        <v>171</v>
      </c>
      <c r="C66" s="22"/>
      <c r="F66" s="25" t="s">
        <v>175</v>
      </c>
      <c r="G66" s="25"/>
      <c r="H66" s="25" t="s">
        <v>176</v>
      </c>
      <c r="I66" s="25"/>
      <c r="J66" s="25" t="s">
        <v>177</v>
      </c>
      <c r="K66" s="25"/>
      <c r="L66" s="25"/>
      <c r="M66" s="25"/>
      <c r="N66" s="25" t="s">
        <v>178</v>
      </c>
      <c r="O66" s="25"/>
      <c r="P66" s="25" t="s">
        <v>178</v>
      </c>
      <c r="Q66" s="25"/>
      <c r="R66" s="25" t="s">
        <v>178</v>
      </c>
      <c r="S66" s="25"/>
      <c r="T66" s="25" t="s">
        <v>178</v>
      </c>
    </row>
    <row r="67" spans="2:20" ht="12.75">
      <c r="B67" s="6" t="s">
        <v>172</v>
      </c>
      <c r="F67" s="6" t="s">
        <v>173</v>
      </c>
      <c r="H67" s="6" t="s">
        <v>173</v>
      </c>
      <c r="J67" s="23" t="s">
        <v>174</v>
      </c>
      <c r="N67" s="25" t="s">
        <v>20</v>
      </c>
      <c r="P67" s="25" t="s">
        <v>20</v>
      </c>
      <c r="R67" s="25" t="s">
        <v>20</v>
      </c>
      <c r="T67" s="25" t="s">
        <v>20</v>
      </c>
    </row>
    <row r="68" spans="2:20" ht="12.75">
      <c r="B68" s="6" t="s">
        <v>180</v>
      </c>
      <c r="H68" s="6"/>
      <c r="N68" s="23" t="s">
        <v>20</v>
      </c>
      <c r="P68" s="23" t="s">
        <v>20</v>
      </c>
      <c r="R68" s="23" t="s">
        <v>20</v>
      </c>
      <c r="T68" s="23" t="s">
        <v>20</v>
      </c>
    </row>
    <row r="69" spans="2:20" ht="12.75">
      <c r="B69" s="6" t="s">
        <v>21</v>
      </c>
      <c r="F69" s="6" t="s">
        <v>127</v>
      </c>
      <c r="H69" s="6" t="s">
        <v>100</v>
      </c>
      <c r="J69" s="6" t="s">
        <v>101</v>
      </c>
      <c r="N69" s="23" t="s">
        <v>20</v>
      </c>
      <c r="P69" s="23" t="s">
        <v>20</v>
      </c>
      <c r="R69" s="23" t="s">
        <v>20</v>
      </c>
      <c r="T69" s="23" t="s">
        <v>20</v>
      </c>
    </row>
    <row r="70" spans="2:8" ht="12.75">
      <c r="B70" s="6" t="s">
        <v>71</v>
      </c>
      <c r="D70" s="6" t="s">
        <v>24</v>
      </c>
      <c r="F70" s="6">
        <v>240</v>
      </c>
      <c r="H70" s="24">
        <v>240</v>
      </c>
    </row>
    <row r="71" spans="2:10" ht="12.75">
      <c r="B71" s="6" t="s">
        <v>71</v>
      </c>
      <c r="D71" s="6" t="s">
        <v>102</v>
      </c>
      <c r="J71" s="28">
        <v>39.833333333333336</v>
      </c>
    </row>
    <row r="72" spans="2:10" ht="12.75">
      <c r="B72" s="6" t="s">
        <v>126</v>
      </c>
      <c r="D72" s="6" t="s">
        <v>104</v>
      </c>
      <c r="H72" s="6"/>
      <c r="J72" s="24">
        <v>140000</v>
      </c>
    </row>
    <row r="73" spans="2:20" ht="12.75">
      <c r="B73" s="6" t="s">
        <v>22</v>
      </c>
      <c r="D73" s="6" t="s">
        <v>24</v>
      </c>
      <c r="N73" s="23">
        <v>1.7</v>
      </c>
      <c r="P73" s="23">
        <v>1.7</v>
      </c>
      <c r="R73" s="23">
        <v>1.7</v>
      </c>
      <c r="T73" s="23">
        <f>AVERAGE(N73,P73,R73)</f>
        <v>1.7</v>
      </c>
    </row>
    <row r="74" spans="7:8" ht="12.75">
      <c r="G74" s="8"/>
      <c r="H74" s="8"/>
    </row>
    <row r="75" spans="2:20" ht="12.75">
      <c r="B75" s="6" t="s">
        <v>32</v>
      </c>
      <c r="D75" s="6" t="s">
        <v>17</v>
      </c>
      <c r="F75" s="29">
        <v>2264.9277777777775</v>
      </c>
      <c r="G75" s="8"/>
      <c r="H75" s="8"/>
      <c r="I75" s="24"/>
      <c r="J75" s="25"/>
      <c r="K75" s="25"/>
      <c r="N75" s="23">
        <f>emiss!G104</f>
        <v>2227.733333333333</v>
      </c>
      <c r="P75" s="23">
        <f>emiss!I104</f>
        <v>2288.85</v>
      </c>
      <c r="R75" s="23">
        <f>emiss!K104</f>
        <v>2278.2</v>
      </c>
      <c r="T75" s="23">
        <f>emiss!M104</f>
        <v>2264.9277777777775</v>
      </c>
    </row>
    <row r="76" spans="2:20" ht="12.75">
      <c r="B76" s="6" t="s">
        <v>33</v>
      </c>
      <c r="D76" s="6" t="s">
        <v>18</v>
      </c>
      <c r="F76" s="29">
        <v>11.733333333333334</v>
      </c>
      <c r="G76" s="8"/>
      <c r="H76" s="8"/>
      <c r="I76" s="24"/>
      <c r="J76" s="25"/>
      <c r="K76" s="25"/>
      <c r="N76" s="23">
        <f>emiss!G105</f>
        <v>11.8</v>
      </c>
      <c r="P76" s="23">
        <f>emiss!I105</f>
        <v>11.2</v>
      </c>
      <c r="R76" s="23">
        <f>emiss!K105</f>
        <v>12.2</v>
      </c>
      <c r="T76" s="23">
        <f>emiss!M105</f>
        <v>11.733333333333334</v>
      </c>
    </row>
    <row r="77" spans="7:11" ht="12.75">
      <c r="G77" s="8"/>
      <c r="H77" s="8"/>
      <c r="I77" s="24"/>
      <c r="J77" s="25"/>
      <c r="K77" s="25"/>
    </row>
    <row r="78" spans="2:17" ht="12.75">
      <c r="B78" s="6" t="s">
        <v>70</v>
      </c>
      <c r="D78" s="6" t="s">
        <v>28</v>
      </c>
      <c r="G78" s="8"/>
      <c r="H78" s="8"/>
      <c r="I78" s="7"/>
      <c r="J78" s="25"/>
      <c r="K78" s="25"/>
      <c r="N78" s="26"/>
      <c r="O78" s="26"/>
      <c r="P78" s="26"/>
      <c r="Q78" s="26"/>
    </row>
    <row r="79" spans="2:17" ht="12.75">
      <c r="B79" s="6" t="s">
        <v>181</v>
      </c>
      <c r="D79" s="6" t="s">
        <v>28</v>
      </c>
      <c r="G79" s="8"/>
      <c r="H79" s="8"/>
      <c r="I79" s="7"/>
      <c r="J79" s="25"/>
      <c r="K79" s="25"/>
      <c r="N79" s="7"/>
      <c r="O79" s="7"/>
      <c r="P79" s="7"/>
      <c r="Q79" s="7"/>
    </row>
    <row r="80" spans="7:17" ht="12.75">
      <c r="G80" s="8"/>
      <c r="H80" s="8"/>
      <c r="I80" s="7"/>
      <c r="J80" s="25"/>
      <c r="K80" s="25"/>
      <c r="N80" s="7"/>
      <c r="O80" s="7"/>
      <c r="P80" s="7"/>
      <c r="Q80" s="7"/>
    </row>
    <row r="81" spans="2:17" ht="12.75">
      <c r="B81" s="32" t="s">
        <v>44</v>
      </c>
      <c r="C81" s="32"/>
      <c r="G81" s="8"/>
      <c r="H81" s="8"/>
      <c r="I81" s="7"/>
      <c r="J81" s="25"/>
      <c r="K81" s="25"/>
      <c r="N81" s="7"/>
      <c r="O81" s="7"/>
      <c r="P81" s="7"/>
      <c r="Q81" s="7"/>
    </row>
    <row r="82" spans="8:11" ht="12.75">
      <c r="H82" s="27"/>
      <c r="I82" s="27"/>
      <c r="J82" s="24"/>
      <c r="K82" s="24"/>
    </row>
    <row r="83" spans="2:20" ht="12.75">
      <c r="B83" s="6" t="s">
        <v>22</v>
      </c>
      <c r="C83" s="23"/>
      <c r="D83" s="6" t="s">
        <v>34</v>
      </c>
      <c r="H83" s="27"/>
      <c r="I83" s="27"/>
      <c r="J83" s="24"/>
      <c r="K83" s="24"/>
      <c r="N83" s="7">
        <f>N73*454/60/0.0283/N$75*(21-7)/(21-N$76)*1000</f>
        <v>310.4874806776629</v>
      </c>
      <c r="P83" s="7">
        <f>P73*454/60/0.0283/P$75*(21-7)/(21-P$76)*1000</f>
        <v>283.6950226164076</v>
      </c>
      <c r="R83" s="7">
        <f>R73*454/60/0.0283/R$75*(21-7)/(21-R$76)*1000</f>
        <v>317.40999945394157</v>
      </c>
      <c r="T83" s="26">
        <f>AVERAGE(N83,P83,R83)</f>
        <v>303.8641675826707</v>
      </c>
    </row>
    <row r="84" spans="3:11" ht="12.75">
      <c r="C84" s="23"/>
      <c r="H84" s="27"/>
      <c r="I84" s="27"/>
      <c r="J84" s="24"/>
      <c r="K84" s="24"/>
    </row>
    <row r="85" spans="2:10" ht="12.75">
      <c r="B85" s="22" t="s">
        <v>121</v>
      </c>
      <c r="C85" s="22" t="s">
        <v>68</v>
      </c>
      <c r="F85" s="25" t="s">
        <v>152</v>
      </c>
      <c r="G85" s="25"/>
      <c r="H85" s="25" t="s">
        <v>152</v>
      </c>
      <c r="I85" s="25"/>
      <c r="J85" s="25" t="s">
        <v>152</v>
      </c>
    </row>
    <row r="86" spans="2:10" ht="12.75">
      <c r="B86" s="22"/>
      <c r="C86" s="22"/>
      <c r="F86" s="25"/>
      <c r="G86" s="25"/>
      <c r="H86" s="25"/>
      <c r="I86" s="25"/>
      <c r="J86" s="25"/>
    </row>
    <row r="87" spans="2:10" ht="12.75">
      <c r="B87" s="6" t="s">
        <v>171</v>
      </c>
      <c r="C87" s="22"/>
      <c r="F87" s="25" t="s">
        <v>175</v>
      </c>
      <c r="G87" s="25"/>
      <c r="H87" s="25" t="s">
        <v>176</v>
      </c>
      <c r="I87" s="25"/>
      <c r="J87" s="25" t="s">
        <v>177</v>
      </c>
    </row>
    <row r="88" spans="2:10" ht="12.75">
      <c r="B88" s="6" t="s">
        <v>172</v>
      </c>
      <c r="F88" s="6" t="s">
        <v>173</v>
      </c>
      <c r="H88" s="6" t="s">
        <v>173</v>
      </c>
      <c r="J88" s="23" t="s">
        <v>174</v>
      </c>
    </row>
    <row r="89" spans="2:10" ht="12.75">
      <c r="B89" s="6" t="s">
        <v>21</v>
      </c>
      <c r="F89" s="6" t="s">
        <v>128</v>
      </c>
      <c r="H89" s="6" t="s">
        <v>100</v>
      </c>
      <c r="J89" s="6" t="s">
        <v>101</v>
      </c>
    </row>
    <row r="90" spans="2:8" ht="12.75">
      <c r="B90" s="6" t="s">
        <v>71</v>
      </c>
      <c r="D90" s="6" t="s">
        <v>24</v>
      </c>
      <c r="F90" s="6">
        <v>240</v>
      </c>
      <c r="H90" s="24">
        <v>240</v>
      </c>
    </row>
    <row r="91" spans="2:10" ht="12.75">
      <c r="B91" s="6" t="s">
        <v>71</v>
      </c>
      <c r="D91" s="6" t="s">
        <v>102</v>
      </c>
      <c r="J91" s="26">
        <v>42.166666666666664</v>
      </c>
    </row>
    <row r="92" spans="2:10" ht="12.75">
      <c r="B92" s="6" t="s">
        <v>103</v>
      </c>
      <c r="D92" s="6" t="s">
        <v>104</v>
      </c>
      <c r="H92" s="6"/>
      <c r="J92" s="24">
        <v>140000</v>
      </c>
    </row>
    <row r="94" spans="2:20" ht="12.75">
      <c r="B94" s="22" t="s">
        <v>122</v>
      </c>
      <c r="C94" s="22" t="s">
        <v>68</v>
      </c>
      <c r="F94" s="25" t="s">
        <v>152</v>
      </c>
      <c r="G94" s="25"/>
      <c r="H94" s="25" t="s">
        <v>152</v>
      </c>
      <c r="I94" s="25"/>
      <c r="J94" s="25" t="s">
        <v>152</v>
      </c>
      <c r="K94" s="25"/>
      <c r="L94" s="25"/>
      <c r="M94" s="25"/>
      <c r="N94" s="25" t="s">
        <v>153</v>
      </c>
      <c r="O94" s="25"/>
      <c r="P94" s="25" t="s">
        <v>154</v>
      </c>
      <c r="Q94" s="25"/>
      <c r="R94" s="25" t="s">
        <v>155</v>
      </c>
      <c r="S94" s="25"/>
      <c r="T94" s="25" t="s">
        <v>152</v>
      </c>
    </row>
    <row r="95" spans="2:20" ht="12.75">
      <c r="B95" s="22"/>
      <c r="C95" s="22"/>
      <c r="F95" s="25"/>
      <c r="G95" s="25"/>
      <c r="H95" s="25"/>
      <c r="I95" s="25"/>
      <c r="J95" s="25"/>
      <c r="K95" s="25"/>
      <c r="L95" s="25"/>
      <c r="M95" s="25"/>
      <c r="N95" s="25"/>
      <c r="O95" s="25"/>
      <c r="P95" s="25"/>
      <c r="Q95" s="25"/>
      <c r="R95" s="25"/>
      <c r="S95" s="25"/>
      <c r="T95" s="25"/>
    </row>
    <row r="96" spans="2:20" ht="12.75">
      <c r="B96" s="6" t="s">
        <v>171</v>
      </c>
      <c r="C96" s="22"/>
      <c r="F96" s="25" t="s">
        <v>175</v>
      </c>
      <c r="G96" s="25"/>
      <c r="H96" s="25" t="s">
        <v>176</v>
      </c>
      <c r="I96" s="25"/>
      <c r="J96" s="25" t="s">
        <v>177</v>
      </c>
      <c r="K96" s="25"/>
      <c r="L96" s="25"/>
      <c r="M96" s="25"/>
      <c r="N96" s="25" t="s">
        <v>178</v>
      </c>
      <c r="O96" s="25"/>
      <c r="P96" s="25" t="s">
        <v>178</v>
      </c>
      <c r="Q96" s="25"/>
      <c r="R96" s="25" t="s">
        <v>178</v>
      </c>
      <c r="S96" s="25"/>
      <c r="T96" s="25" t="s">
        <v>178</v>
      </c>
    </row>
    <row r="97" spans="2:20" ht="12.75">
      <c r="B97" s="6" t="s">
        <v>172</v>
      </c>
      <c r="F97" s="6" t="s">
        <v>173</v>
      </c>
      <c r="H97" s="6" t="s">
        <v>173</v>
      </c>
      <c r="J97" s="23" t="s">
        <v>174</v>
      </c>
      <c r="N97" s="25" t="s">
        <v>20</v>
      </c>
      <c r="P97" s="25" t="s">
        <v>20</v>
      </c>
      <c r="R97" s="25" t="s">
        <v>20</v>
      </c>
      <c r="T97" s="25" t="s">
        <v>20</v>
      </c>
    </row>
    <row r="98" spans="2:20" ht="12.75">
      <c r="B98" s="6" t="s">
        <v>180</v>
      </c>
      <c r="H98" s="6"/>
      <c r="N98" s="25" t="s">
        <v>20</v>
      </c>
      <c r="P98" s="25" t="s">
        <v>20</v>
      </c>
      <c r="R98" s="25" t="s">
        <v>20</v>
      </c>
      <c r="T98" s="25" t="s">
        <v>20</v>
      </c>
    </row>
    <row r="99" spans="2:20" ht="12.75">
      <c r="B99" s="6" t="s">
        <v>21</v>
      </c>
      <c r="F99" s="6" t="s">
        <v>129</v>
      </c>
      <c r="H99" s="6" t="s">
        <v>100</v>
      </c>
      <c r="J99" s="6" t="s">
        <v>101</v>
      </c>
      <c r="N99" s="23" t="s">
        <v>20</v>
      </c>
      <c r="P99" s="23" t="s">
        <v>20</v>
      </c>
      <c r="R99" s="23" t="s">
        <v>20</v>
      </c>
      <c r="T99" s="23" t="s">
        <v>20</v>
      </c>
    </row>
    <row r="100" spans="2:6" ht="12.75">
      <c r="B100" s="6" t="s">
        <v>71</v>
      </c>
      <c r="D100" s="6" t="s">
        <v>99</v>
      </c>
      <c r="F100" s="6">
        <v>360</v>
      </c>
    </row>
    <row r="101" spans="2:8" ht="12.75">
      <c r="B101" s="6" t="s">
        <v>71</v>
      </c>
      <c r="D101" s="6" t="s">
        <v>24</v>
      </c>
      <c r="H101" s="24">
        <v>180</v>
      </c>
    </row>
    <row r="102" spans="2:10" ht="12.75">
      <c r="B102" s="6" t="s">
        <v>71</v>
      </c>
      <c r="D102" s="6" t="s">
        <v>102</v>
      </c>
      <c r="J102" s="28">
        <v>46.166666666666664</v>
      </c>
    </row>
    <row r="103" spans="2:10" ht="12.75">
      <c r="B103" s="6" t="s">
        <v>103</v>
      </c>
      <c r="D103" s="6" t="s">
        <v>104</v>
      </c>
      <c r="H103" s="6"/>
      <c r="J103" s="24">
        <v>140000</v>
      </c>
    </row>
    <row r="104" spans="2:20" ht="12.75">
      <c r="B104" s="6" t="s">
        <v>22</v>
      </c>
      <c r="D104" s="6" t="s">
        <v>24</v>
      </c>
      <c r="N104" s="23">
        <v>175.1</v>
      </c>
      <c r="P104" s="23">
        <v>175.1</v>
      </c>
      <c r="R104" s="23">
        <v>175.1</v>
      </c>
      <c r="T104" s="26">
        <f>AVERAGE(N104,P104,R104)</f>
        <v>175.1</v>
      </c>
    </row>
    <row r="105" spans="7:8" ht="12.75">
      <c r="G105" s="8"/>
      <c r="H105" s="8"/>
    </row>
    <row r="106" spans="2:20" ht="12.75">
      <c r="B106" s="6" t="s">
        <v>32</v>
      </c>
      <c r="D106" s="6" t="s">
        <v>17</v>
      </c>
      <c r="F106" s="29">
        <v>2444.588888888889</v>
      </c>
      <c r="G106" s="8"/>
      <c r="H106" s="8"/>
      <c r="I106" s="24"/>
      <c r="J106" s="25"/>
      <c r="K106" s="25"/>
      <c r="N106" s="23">
        <f>emiss!G135</f>
        <v>2512.233333333333</v>
      </c>
      <c r="P106" s="23">
        <f>emiss!I135</f>
        <v>2490.766666666667</v>
      </c>
      <c r="R106" s="23">
        <f>emiss!K135</f>
        <v>2330.766666666667</v>
      </c>
      <c r="T106" s="23">
        <f>emiss!M135</f>
        <v>2444.588888888889</v>
      </c>
    </row>
    <row r="107" spans="2:20" ht="12.75">
      <c r="B107" s="6" t="s">
        <v>33</v>
      </c>
      <c r="D107" s="6" t="s">
        <v>18</v>
      </c>
      <c r="F107" s="29">
        <v>12.866666666666667</v>
      </c>
      <c r="G107" s="8"/>
      <c r="H107" s="8"/>
      <c r="I107" s="24"/>
      <c r="J107" s="25"/>
      <c r="K107" s="25"/>
      <c r="N107" s="23">
        <f>emiss!G136</f>
        <v>12.8</v>
      </c>
      <c r="P107" s="23">
        <f>emiss!I136</f>
        <v>12.8</v>
      </c>
      <c r="R107" s="23">
        <f>emiss!K136</f>
        <v>13</v>
      </c>
      <c r="T107" s="23">
        <f>emiss!M136</f>
        <v>12.866666666666667</v>
      </c>
    </row>
    <row r="108" spans="7:11" ht="12.75">
      <c r="G108" s="8"/>
      <c r="H108" s="8"/>
      <c r="I108" s="24"/>
      <c r="J108" s="25"/>
      <c r="K108" s="25"/>
    </row>
    <row r="109" spans="2:17" ht="12.75">
      <c r="B109" s="6" t="s">
        <v>70</v>
      </c>
      <c r="D109" s="6" t="s">
        <v>28</v>
      </c>
      <c r="G109" s="8"/>
      <c r="H109" s="8"/>
      <c r="I109" s="7"/>
      <c r="J109" s="25"/>
      <c r="K109" s="25"/>
      <c r="N109" s="26"/>
      <c r="O109" s="26"/>
      <c r="P109" s="26"/>
      <c r="Q109" s="26"/>
    </row>
    <row r="110" spans="2:17" ht="12.75">
      <c r="B110" s="6" t="s">
        <v>181</v>
      </c>
      <c r="D110" s="6" t="s">
        <v>28</v>
      </c>
      <c r="G110" s="8"/>
      <c r="H110" s="8"/>
      <c r="I110" s="7"/>
      <c r="J110" s="25"/>
      <c r="K110" s="25"/>
      <c r="N110" s="7"/>
      <c r="O110" s="7"/>
      <c r="P110" s="7"/>
      <c r="Q110" s="7"/>
    </row>
    <row r="111" spans="7:17" ht="12.75">
      <c r="G111" s="8"/>
      <c r="H111" s="8"/>
      <c r="I111" s="7"/>
      <c r="J111" s="25"/>
      <c r="K111" s="25"/>
      <c r="N111" s="7"/>
      <c r="O111" s="7"/>
      <c r="P111" s="7"/>
      <c r="Q111" s="7"/>
    </row>
    <row r="112" spans="2:17" ht="12.75">
      <c r="B112" s="32" t="s">
        <v>44</v>
      </c>
      <c r="C112" s="32"/>
      <c r="G112" s="8"/>
      <c r="H112" s="8"/>
      <c r="I112" s="7"/>
      <c r="J112" s="25"/>
      <c r="K112" s="25"/>
      <c r="N112" s="7"/>
      <c r="O112" s="7"/>
      <c r="P112" s="7"/>
      <c r="Q112" s="7"/>
    </row>
    <row r="113" spans="8:11" ht="12.75">
      <c r="H113" s="27"/>
      <c r="I113" s="27"/>
      <c r="J113" s="24"/>
      <c r="K113" s="24"/>
    </row>
    <row r="114" spans="2:20" ht="12.75">
      <c r="B114" s="6" t="s">
        <v>22</v>
      </c>
      <c r="C114" s="23"/>
      <c r="D114" s="6" t="s">
        <v>34</v>
      </c>
      <c r="H114" s="27"/>
      <c r="I114" s="27"/>
      <c r="J114" s="24"/>
      <c r="K114" s="24"/>
      <c r="M114" s="47"/>
      <c r="N114" s="46">
        <f>N104*454/60/0.0283/N$106*(21-7)/(21-N$107)*1000</f>
        <v>31816.948326152204</v>
      </c>
      <c r="O114" s="47"/>
      <c r="P114" s="46">
        <f>P104*454/60/0.0283/P$106*(21-7)/(21-P$107)*1000</f>
        <v>32091.16262057349</v>
      </c>
      <c r="Q114" s="47"/>
      <c r="R114" s="46">
        <f>R104*454/60/0.0283/R$106*(21-7)/(21-R$107)*1000</f>
        <v>35151.47581067089</v>
      </c>
      <c r="S114" s="47"/>
      <c r="T114" s="47">
        <f>AVERAGE(N114,P114,R114)</f>
        <v>33019.86225246553</v>
      </c>
    </row>
    <row r="115" spans="3:12" ht="12.75">
      <c r="C115" s="23"/>
      <c r="H115" s="27"/>
      <c r="I115" s="27"/>
      <c r="J115" s="24"/>
      <c r="K115" s="24"/>
      <c r="L115" s="7"/>
    </row>
    <row r="116" spans="2:20" ht="12.75">
      <c r="B116" s="22" t="s">
        <v>123</v>
      </c>
      <c r="C116" s="22" t="s">
        <v>68</v>
      </c>
      <c r="F116" s="25" t="s">
        <v>152</v>
      </c>
      <c r="G116" s="25"/>
      <c r="H116" s="25" t="s">
        <v>152</v>
      </c>
      <c r="I116" s="25"/>
      <c r="J116" s="25" t="s">
        <v>152</v>
      </c>
      <c r="K116" s="25"/>
      <c r="L116" s="25"/>
      <c r="M116" s="25"/>
      <c r="N116" s="25" t="s">
        <v>153</v>
      </c>
      <c r="O116" s="25"/>
      <c r="P116" s="25" t="s">
        <v>154</v>
      </c>
      <c r="Q116" s="25"/>
      <c r="R116" s="25" t="s">
        <v>155</v>
      </c>
      <c r="S116" s="25"/>
      <c r="T116" s="25" t="s">
        <v>152</v>
      </c>
    </row>
    <row r="117" spans="2:20" ht="12.75">
      <c r="B117" s="22"/>
      <c r="C117" s="22"/>
      <c r="F117" s="25"/>
      <c r="G117" s="25"/>
      <c r="H117" s="25"/>
      <c r="I117" s="25"/>
      <c r="J117" s="25"/>
      <c r="K117" s="25"/>
      <c r="L117" s="25"/>
      <c r="M117" s="25"/>
      <c r="N117" s="25"/>
      <c r="O117" s="25"/>
      <c r="P117" s="25"/>
      <c r="Q117" s="25"/>
      <c r="R117" s="25"/>
      <c r="S117" s="25"/>
      <c r="T117" s="25"/>
    </row>
    <row r="118" spans="2:20" ht="12.75">
      <c r="B118" s="6" t="s">
        <v>171</v>
      </c>
      <c r="C118" s="22"/>
      <c r="F118" s="25" t="s">
        <v>175</v>
      </c>
      <c r="G118" s="25"/>
      <c r="H118" s="25" t="s">
        <v>176</v>
      </c>
      <c r="I118" s="25"/>
      <c r="J118" s="25" t="s">
        <v>177</v>
      </c>
      <c r="K118" s="25"/>
      <c r="L118" s="25"/>
      <c r="M118" s="25"/>
      <c r="N118" s="25" t="s">
        <v>178</v>
      </c>
      <c r="O118" s="25"/>
      <c r="P118" s="25" t="s">
        <v>178</v>
      </c>
      <c r="Q118" s="25"/>
      <c r="R118" s="25" t="s">
        <v>178</v>
      </c>
      <c r="S118" s="25"/>
      <c r="T118" s="25" t="s">
        <v>178</v>
      </c>
    </row>
    <row r="119" spans="2:20" ht="12.75">
      <c r="B119" s="6" t="s">
        <v>172</v>
      </c>
      <c r="F119" s="6" t="s">
        <v>173</v>
      </c>
      <c r="H119" s="6" t="s">
        <v>173</v>
      </c>
      <c r="J119" s="23" t="s">
        <v>174</v>
      </c>
      <c r="N119" s="25" t="s">
        <v>20</v>
      </c>
      <c r="P119" s="25" t="s">
        <v>20</v>
      </c>
      <c r="R119" s="25" t="s">
        <v>20</v>
      </c>
      <c r="T119" s="25" t="s">
        <v>20</v>
      </c>
    </row>
    <row r="120" spans="2:20" ht="12.75">
      <c r="B120" s="6" t="s">
        <v>180</v>
      </c>
      <c r="H120" s="6"/>
      <c r="N120" s="25" t="s">
        <v>20</v>
      </c>
      <c r="P120" s="25" t="s">
        <v>20</v>
      </c>
      <c r="R120" s="25" t="s">
        <v>20</v>
      </c>
      <c r="T120" s="25" t="s">
        <v>20</v>
      </c>
    </row>
    <row r="121" spans="2:20" ht="12.75">
      <c r="B121" s="6" t="s">
        <v>21</v>
      </c>
      <c r="F121" s="6" t="s">
        <v>130</v>
      </c>
      <c r="H121" s="6" t="s">
        <v>100</v>
      </c>
      <c r="J121" s="6" t="s">
        <v>101</v>
      </c>
      <c r="N121" s="25" t="s">
        <v>20</v>
      </c>
      <c r="P121" s="25" t="s">
        <v>20</v>
      </c>
      <c r="R121" s="25" t="s">
        <v>20</v>
      </c>
      <c r="T121" s="25" t="s">
        <v>20</v>
      </c>
    </row>
    <row r="122" spans="2:10" ht="12.75">
      <c r="B122" s="6" t="s">
        <v>71</v>
      </c>
      <c r="D122" s="6" t="s">
        <v>24</v>
      </c>
      <c r="F122" s="7">
        <v>325.33333333333337</v>
      </c>
      <c r="G122" s="28"/>
      <c r="H122" s="27">
        <v>162.63333333333333</v>
      </c>
      <c r="I122" s="28"/>
      <c r="J122" s="28"/>
    </row>
    <row r="123" spans="2:10" ht="12.75">
      <c r="B123" s="6" t="s">
        <v>71</v>
      </c>
      <c r="D123" s="6" t="s">
        <v>102</v>
      </c>
      <c r="F123" s="27"/>
      <c r="G123" s="28"/>
      <c r="H123" s="27"/>
      <c r="I123" s="28"/>
      <c r="J123" s="28">
        <v>44.96666666666666</v>
      </c>
    </row>
    <row r="124" spans="2:10" ht="12.75">
      <c r="B124" s="6" t="s">
        <v>103</v>
      </c>
      <c r="D124" s="6" t="s">
        <v>104</v>
      </c>
      <c r="F124" s="24"/>
      <c r="H124" s="6"/>
      <c r="J124" s="24">
        <v>140000</v>
      </c>
    </row>
    <row r="125" spans="2:20" ht="12.75">
      <c r="B125" s="6" t="s">
        <v>22</v>
      </c>
      <c r="D125" s="6" t="s">
        <v>24</v>
      </c>
      <c r="F125" s="24">
        <v>147</v>
      </c>
      <c r="H125" s="24">
        <v>146.7</v>
      </c>
      <c r="J125" s="23">
        <v>149.4</v>
      </c>
      <c r="N125" s="23">
        <v>147</v>
      </c>
      <c r="P125" s="23">
        <v>146.7</v>
      </c>
      <c r="R125" s="23">
        <v>149.4</v>
      </c>
      <c r="T125" s="23">
        <f>AVERAGE(N125,P125,R125)</f>
        <v>147.70000000000002</v>
      </c>
    </row>
    <row r="126" ht="12.75">
      <c r="F126" s="24"/>
    </row>
    <row r="127" spans="2:20" ht="12.75">
      <c r="B127" s="6" t="s">
        <v>32</v>
      </c>
      <c r="D127" s="6" t="s">
        <v>17</v>
      </c>
      <c r="F127" s="7">
        <v>2472.222222222222</v>
      </c>
      <c r="N127" s="23">
        <f>emiss!G147</f>
        <v>2266.6666666666665</v>
      </c>
      <c r="P127" s="23">
        <f>emiss!I147</f>
        <v>2438.3333333333335</v>
      </c>
      <c r="R127" s="23">
        <f>emiss!K147</f>
        <v>2711.6666666666665</v>
      </c>
      <c r="T127" s="23">
        <f>emiss!M147</f>
        <v>2472.222222222222</v>
      </c>
    </row>
    <row r="128" spans="2:20" ht="12.75">
      <c r="B128" s="6" t="s">
        <v>33</v>
      </c>
      <c r="D128" s="6" t="s">
        <v>18</v>
      </c>
      <c r="F128" s="24">
        <v>13.4</v>
      </c>
      <c r="N128" s="23">
        <f>emiss!G148</f>
        <v>14</v>
      </c>
      <c r="P128" s="23">
        <f>emiss!I148</f>
        <v>13.5</v>
      </c>
      <c r="R128" s="23">
        <f>emiss!K148</f>
        <v>12.7</v>
      </c>
      <c r="T128" s="23">
        <f>emiss!M148</f>
        <v>13.4</v>
      </c>
    </row>
    <row r="130" ht="12.75">
      <c r="B130" s="32" t="s">
        <v>44</v>
      </c>
    </row>
    <row r="131" ht="12.75">
      <c r="B131" s="32"/>
    </row>
    <row r="132" spans="2:20" ht="12.75">
      <c r="B132" s="6" t="s">
        <v>22</v>
      </c>
      <c r="D132" s="6" t="s">
        <v>34</v>
      </c>
      <c r="H132" s="6"/>
      <c r="J132" s="6"/>
      <c r="N132" s="7">
        <f>N125*454/60/0.0283/N$127*(21-7)/(21-N$128)*1000</f>
        <v>34679.90022864269</v>
      </c>
      <c r="P132" s="7">
        <f>P125*454/60/0.0283/P$127*(21-7)/(21-P$128)*1000</f>
        <v>30027.69371227618</v>
      </c>
      <c r="R132" s="7">
        <f>R125*454/60/0.0283/R$127*(21-7)/(21-R$128)*1000</f>
        <v>24847.483173739958</v>
      </c>
      <c r="T132" s="23">
        <f>AVERAGE(N132,P132,R132)</f>
        <v>29851.692371552945</v>
      </c>
    </row>
    <row r="134" spans="2:20" ht="12.75">
      <c r="B134" s="22" t="s">
        <v>124</v>
      </c>
      <c r="C134" s="22" t="s">
        <v>68</v>
      </c>
      <c r="F134" s="25" t="s">
        <v>152</v>
      </c>
      <c r="G134" s="25"/>
      <c r="H134" s="25" t="s">
        <v>152</v>
      </c>
      <c r="I134" s="25"/>
      <c r="J134" s="25" t="s">
        <v>152</v>
      </c>
      <c r="K134" s="25"/>
      <c r="L134" s="25" t="s">
        <v>152</v>
      </c>
      <c r="M134" s="25"/>
      <c r="N134" s="25" t="s">
        <v>153</v>
      </c>
      <c r="O134" s="25"/>
      <c r="P134" s="25" t="s">
        <v>154</v>
      </c>
      <c r="Q134" s="25"/>
      <c r="R134" s="25" t="s">
        <v>155</v>
      </c>
      <c r="S134" s="25"/>
      <c r="T134" s="25" t="s">
        <v>152</v>
      </c>
    </row>
    <row r="135" spans="2:20" ht="12.75">
      <c r="B135" s="22"/>
      <c r="C135" s="22"/>
      <c r="F135" s="25"/>
      <c r="G135" s="25"/>
      <c r="H135" s="25"/>
      <c r="I135" s="25"/>
      <c r="J135" s="25"/>
      <c r="K135" s="25"/>
      <c r="L135" s="25"/>
      <c r="M135" s="25"/>
      <c r="N135" s="25"/>
      <c r="O135" s="25"/>
      <c r="P135" s="25"/>
      <c r="Q135" s="25"/>
      <c r="R135" s="25"/>
      <c r="S135" s="25"/>
      <c r="T135" s="25"/>
    </row>
    <row r="136" spans="2:20" ht="12.75">
      <c r="B136" s="6" t="s">
        <v>171</v>
      </c>
      <c r="C136" s="22"/>
      <c r="F136" s="25" t="s">
        <v>175</v>
      </c>
      <c r="G136" s="25"/>
      <c r="H136" s="25" t="s">
        <v>176</v>
      </c>
      <c r="I136" s="25"/>
      <c r="J136" s="23" t="s">
        <v>177</v>
      </c>
      <c r="K136" s="25"/>
      <c r="L136" s="25" t="s">
        <v>178</v>
      </c>
      <c r="M136" s="25"/>
      <c r="N136" s="25" t="s">
        <v>179</v>
      </c>
      <c r="O136" s="25"/>
      <c r="P136" s="25" t="s">
        <v>179</v>
      </c>
      <c r="Q136" s="25"/>
      <c r="R136" s="25" t="s">
        <v>179</v>
      </c>
      <c r="S136" s="25"/>
      <c r="T136" s="25" t="s">
        <v>179</v>
      </c>
    </row>
    <row r="137" spans="2:20" ht="12.75">
      <c r="B137" s="6" t="s">
        <v>172</v>
      </c>
      <c r="F137" s="6" t="s">
        <v>173</v>
      </c>
      <c r="H137" s="6" t="s">
        <v>173</v>
      </c>
      <c r="J137" s="6" t="s">
        <v>173</v>
      </c>
      <c r="L137" s="23" t="s">
        <v>174</v>
      </c>
      <c r="N137" s="24" t="s">
        <v>20</v>
      </c>
      <c r="P137" s="24" t="s">
        <v>20</v>
      </c>
      <c r="R137" s="24" t="s">
        <v>20</v>
      </c>
      <c r="T137" s="24" t="s">
        <v>20</v>
      </c>
    </row>
    <row r="138" spans="2:20" ht="12.75">
      <c r="B138" s="6" t="s">
        <v>180</v>
      </c>
      <c r="H138" s="6"/>
      <c r="J138" s="6"/>
      <c r="N138" s="24" t="s">
        <v>20</v>
      </c>
      <c r="P138" s="24" t="s">
        <v>20</v>
      </c>
      <c r="R138" s="24" t="s">
        <v>20</v>
      </c>
      <c r="T138" s="24" t="s">
        <v>20</v>
      </c>
    </row>
    <row r="139" spans="2:20" ht="12.75">
      <c r="B139" s="6" t="s">
        <v>21</v>
      </c>
      <c r="F139" s="6" t="s">
        <v>106</v>
      </c>
      <c r="G139" s="8"/>
      <c r="H139" s="6" t="s">
        <v>105</v>
      </c>
      <c r="I139" s="24"/>
      <c r="J139" s="6" t="s">
        <v>100</v>
      </c>
      <c r="L139" s="6" t="s">
        <v>101</v>
      </c>
      <c r="N139" s="23" t="s">
        <v>20</v>
      </c>
      <c r="P139" s="23" t="s">
        <v>20</v>
      </c>
      <c r="R139" s="23" t="s">
        <v>20</v>
      </c>
      <c r="T139" s="23" t="s">
        <v>20</v>
      </c>
    </row>
    <row r="140" spans="2:20" ht="12.75">
      <c r="B140" s="6" t="s">
        <v>71</v>
      </c>
      <c r="D140" s="6" t="s">
        <v>99</v>
      </c>
      <c r="F140" s="24">
        <v>4428</v>
      </c>
      <c r="G140" s="8"/>
      <c r="H140" s="7">
        <v>8836.666666666666</v>
      </c>
      <c r="T140" s="26">
        <f>SUM(F140,H140)</f>
        <v>13264.666666666666</v>
      </c>
    </row>
    <row r="141" spans="2:10" ht="12.75">
      <c r="B141" s="6" t="s">
        <v>71</v>
      </c>
      <c r="D141" s="6" t="s">
        <v>24</v>
      </c>
      <c r="G141" s="8"/>
      <c r="J141" s="23">
        <v>112.9</v>
      </c>
    </row>
    <row r="142" spans="2:12" ht="12.75">
      <c r="B142" s="6" t="s">
        <v>71</v>
      </c>
      <c r="D142" s="6" t="s">
        <v>102</v>
      </c>
      <c r="G142" s="8"/>
      <c r="L142" s="28">
        <v>48.36666666666667</v>
      </c>
    </row>
    <row r="143" spans="2:12" ht="12.75">
      <c r="B143" s="6" t="s">
        <v>103</v>
      </c>
      <c r="D143" s="6" t="s">
        <v>104</v>
      </c>
      <c r="G143" s="8"/>
      <c r="H143" s="19"/>
      <c r="L143" s="13">
        <v>140000</v>
      </c>
    </row>
    <row r="144" spans="2:20" ht="12.75">
      <c r="B144" s="6" t="s">
        <v>22</v>
      </c>
      <c r="D144" s="6" t="s">
        <v>24</v>
      </c>
      <c r="F144" s="19"/>
      <c r="G144" s="8"/>
      <c r="H144" s="19"/>
      <c r="J144" s="19"/>
      <c r="N144" s="23">
        <v>18.9</v>
      </c>
      <c r="P144" s="23">
        <v>18.9</v>
      </c>
      <c r="R144" s="23">
        <v>18.9</v>
      </c>
      <c r="T144" s="23">
        <f>AVERAGE(N144,P144,R144)</f>
        <v>18.9</v>
      </c>
    </row>
    <row r="145" spans="2:20" ht="12.75">
      <c r="B145" s="6" t="s">
        <v>50</v>
      </c>
      <c r="D145" s="6" t="s">
        <v>24</v>
      </c>
      <c r="F145" s="19"/>
      <c r="G145" s="8"/>
      <c r="H145" s="19"/>
      <c r="J145" s="19"/>
      <c r="N145" s="23">
        <f>440.2+0.6</f>
        <v>440.8</v>
      </c>
      <c r="P145" s="23">
        <f>441.9+0.6</f>
        <v>442.5</v>
      </c>
      <c r="R145" s="23">
        <f>442.2+0.6</f>
        <v>442.8</v>
      </c>
      <c r="T145" s="28">
        <f>AVERAGE(N145,P145,R145)</f>
        <v>442.0333333333333</v>
      </c>
    </row>
    <row r="146" spans="7:8" ht="12.75">
      <c r="G146" s="8"/>
      <c r="H146" s="8"/>
    </row>
    <row r="147" spans="2:20" ht="12.75">
      <c r="B147" s="6" t="s">
        <v>32</v>
      </c>
      <c r="D147" s="6" t="s">
        <v>17</v>
      </c>
      <c r="F147" s="29">
        <v>2317.305555555555</v>
      </c>
      <c r="G147" s="8"/>
      <c r="H147" s="8"/>
      <c r="I147" s="24"/>
      <c r="J147" s="25"/>
      <c r="N147" s="47">
        <f>emiss!G161</f>
        <v>2471.6666666666665</v>
      </c>
      <c r="O147" s="47"/>
      <c r="P147" s="47">
        <f>emiss!I161</f>
        <v>2470</v>
      </c>
      <c r="Q147" s="47"/>
      <c r="R147" s="47">
        <f>emiss!K161</f>
        <v>2395</v>
      </c>
      <c r="S147" s="47"/>
      <c r="T147" s="47">
        <f>emiss!M161</f>
        <v>2445.555555555555</v>
      </c>
    </row>
    <row r="148" spans="2:20" ht="12.75">
      <c r="B148" s="6" t="s">
        <v>33</v>
      </c>
      <c r="D148" s="6" t="s">
        <v>18</v>
      </c>
      <c r="F148" s="29">
        <v>7.333333333333333</v>
      </c>
      <c r="G148" s="8"/>
      <c r="H148" s="8"/>
      <c r="I148" s="24"/>
      <c r="J148" s="25"/>
      <c r="N148" s="23">
        <f>emiss!G162</f>
        <v>12.8</v>
      </c>
      <c r="P148" s="23">
        <f>emiss!I162</f>
        <v>12.8</v>
      </c>
      <c r="R148" s="23">
        <f>emiss!K162</f>
        <v>12.8</v>
      </c>
      <c r="T148" s="23">
        <f>emiss!M162</f>
        <v>12.800000000000002</v>
      </c>
    </row>
    <row r="149" spans="7:10" ht="12.75">
      <c r="G149" s="8"/>
      <c r="H149" s="8"/>
      <c r="I149" s="24"/>
      <c r="J149" s="25"/>
    </row>
    <row r="150" spans="2:10" ht="12.75">
      <c r="B150" s="6" t="s">
        <v>70</v>
      </c>
      <c r="D150" s="6" t="s">
        <v>28</v>
      </c>
      <c r="G150" s="8"/>
      <c r="H150" s="8"/>
      <c r="I150" s="7"/>
      <c r="J150" s="25"/>
    </row>
    <row r="151" spans="2:10" ht="12.75">
      <c r="B151" s="6" t="s">
        <v>181</v>
      </c>
      <c r="D151" s="6" t="s">
        <v>28</v>
      </c>
      <c r="G151" s="8"/>
      <c r="H151" s="8"/>
      <c r="I151" s="7"/>
      <c r="J151" s="25"/>
    </row>
    <row r="152" spans="7:10" ht="12.75">
      <c r="G152" s="8"/>
      <c r="H152" s="8"/>
      <c r="I152" s="7"/>
      <c r="J152" s="25"/>
    </row>
    <row r="153" spans="2:10" ht="12.75">
      <c r="B153" s="32" t="s">
        <v>44</v>
      </c>
      <c r="C153" s="32"/>
      <c r="G153" s="8"/>
      <c r="H153" s="8"/>
      <c r="I153" s="7"/>
      <c r="J153" s="25"/>
    </row>
    <row r="154" spans="8:10" ht="12.75">
      <c r="H154" s="27"/>
      <c r="I154" s="27"/>
      <c r="J154" s="24"/>
    </row>
    <row r="155" spans="2:20" ht="12.75">
      <c r="B155" s="6" t="s">
        <v>22</v>
      </c>
      <c r="D155" s="6" t="s">
        <v>34</v>
      </c>
      <c r="H155" s="6"/>
      <c r="I155" s="27"/>
      <c r="J155" s="6"/>
      <c r="N155" s="46">
        <f>N144*454/60/0.0283/N$147*(21-7)/(21-N$148)*1000</f>
        <v>3490.6335114927438</v>
      </c>
      <c r="P155" s="46">
        <f>P144*454/60/0.0283/P$147*(21-7)/(21-P$148)*1000</f>
        <v>3492.988864739364</v>
      </c>
      <c r="R155" s="46">
        <f>R144*454/60/0.0283/R$147*(21-7)/(21-R$148)*1000</f>
        <v>3602.372649647695</v>
      </c>
      <c r="T155" s="28">
        <f>AVERAGE(N155,P155,R155)</f>
        <v>3528.6650086266013</v>
      </c>
    </row>
    <row r="156" spans="2:20" ht="12.75">
      <c r="B156" s="6" t="s">
        <v>50</v>
      </c>
      <c r="D156" s="6" t="s">
        <v>29</v>
      </c>
      <c r="H156" s="6"/>
      <c r="I156" s="27"/>
      <c r="J156" s="6"/>
      <c r="N156" s="46">
        <f>N145*454/60/0.0283/N$147*(21-7)/(21-N$148)*1000</f>
        <v>81411.1773474075</v>
      </c>
      <c r="P156" s="46">
        <f>P145*454/60/0.0283/P$147*(21-7)/(21-P$148)*1000</f>
        <v>81780.29484905658</v>
      </c>
      <c r="R156" s="46">
        <f>R145*454/60/0.0283/R$147*(21-7)/(21-R$148)*1000</f>
        <v>84398.44493460318</v>
      </c>
      <c r="T156" s="47">
        <f>AVERAGE(N156,P156,R156)</f>
        <v>82529.97237702242</v>
      </c>
    </row>
    <row r="157" spans="2:20" ht="12.75">
      <c r="B157" s="6" t="s">
        <v>30</v>
      </c>
      <c r="D157" s="6" t="s">
        <v>29</v>
      </c>
      <c r="N157" s="47">
        <f>N156</f>
        <v>81411.1773474075</v>
      </c>
      <c r="P157" s="47">
        <f>P156</f>
        <v>81780.29484905658</v>
      </c>
      <c r="R157" s="47">
        <f>R156</f>
        <v>84398.44493460318</v>
      </c>
      <c r="T157" s="47">
        <f>T156</f>
        <v>82529.97237702242</v>
      </c>
    </row>
  </sheetData>
  <printOptions headings="1" horizontalCentered="1"/>
  <pageMargins left="0.25" right="0.25" top="0.5" bottom="0.5" header="0.25" footer="0.25"/>
  <pageSetup horizontalDpi="600" verticalDpi="600" orientation="landscape" pageOrder="overThenDown" scale="70" r:id="rId1"/>
  <headerFooter alignWithMargins="0">
    <oddFooter>&amp;C&amp;P, &amp;A, &amp;F</oddFooter>
  </headerFooter>
</worksheet>
</file>

<file path=xl/worksheets/sheet6.xml><?xml version="1.0" encoding="utf-8"?>
<worksheet xmlns="http://schemas.openxmlformats.org/spreadsheetml/2006/main" xmlns:r="http://schemas.openxmlformats.org/officeDocument/2006/relationships">
  <dimension ref="A1:G96"/>
  <sheetViews>
    <sheetView tabSelected="1" workbookViewId="0" topLeftCell="B1">
      <selection activeCell="C1" sqref="C1"/>
    </sheetView>
  </sheetViews>
  <sheetFormatPr defaultColWidth="9.140625" defaultRowHeight="12.75"/>
  <cols>
    <col min="1" max="1" width="3.8515625" style="0" hidden="1" customWidth="1"/>
    <col min="2" max="2" width="29.8515625" style="0" customWidth="1"/>
    <col min="3" max="3" width="9.7109375" style="0" customWidth="1"/>
    <col min="4" max="4" width="3.140625" style="0" customWidth="1"/>
    <col min="5" max="5" width="12.28125" style="0" customWidth="1"/>
    <col min="6" max="6" width="12.421875" style="0" customWidth="1"/>
  </cols>
  <sheetData>
    <row r="1" spans="2:6" ht="12.75">
      <c r="B1" s="3" t="s">
        <v>37</v>
      </c>
      <c r="C1" s="3"/>
      <c r="D1" s="8"/>
      <c r="E1" s="8"/>
      <c r="F1" s="8"/>
    </row>
    <row r="2" spans="2:6" ht="12.75">
      <c r="B2" s="8"/>
      <c r="C2" s="8"/>
      <c r="D2" s="8"/>
      <c r="E2" s="8"/>
      <c r="F2" s="8"/>
    </row>
    <row r="3" spans="1:7" ht="12.75">
      <c r="A3" t="s">
        <v>69</v>
      </c>
      <c r="B3" s="3" t="s">
        <v>118</v>
      </c>
      <c r="C3" s="3" t="s">
        <v>68</v>
      </c>
      <c r="D3" s="8"/>
      <c r="E3" s="33" t="s">
        <v>25</v>
      </c>
      <c r="F3" s="33" t="s">
        <v>26</v>
      </c>
      <c r="G3" s="33" t="s">
        <v>184</v>
      </c>
    </row>
    <row r="4" spans="2:6" ht="12.75">
      <c r="B4" s="8"/>
      <c r="C4" s="8"/>
      <c r="D4" s="8"/>
      <c r="F4" s="8"/>
    </row>
    <row r="5" spans="2:7" ht="14.25">
      <c r="B5" s="8" t="s">
        <v>108</v>
      </c>
      <c r="C5" s="8" t="s">
        <v>136</v>
      </c>
      <c r="D5" s="4"/>
      <c r="E5">
        <v>-0.27</v>
      </c>
      <c r="F5">
        <v>-0.27</v>
      </c>
      <c r="G5">
        <v>-0.27</v>
      </c>
    </row>
    <row r="6" spans="2:7" ht="14.25">
      <c r="B6" s="8" t="s">
        <v>74</v>
      </c>
      <c r="C6" s="8" t="s">
        <v>75</v>
      </c>
      <c r="D6" s="4"/>
      <c r="E6">
        <v>1.8</v>
      </c>
      <c r="F6" s="8">
        <v>1.8</v>
      </c>
      <c r="G6">
        <v>1.7</v>
      </c>
    </row>
    <row r="7" spans="2:7" ht="14.25">
      <c r="B7" s="8" t="s">
        <v>116</v>
      </c>
      <c r="C7" s="4" t="s">
        <v>27</v>
      </c>
      <c r="D7" s="8"/>
      <c r="E7">
        <v>351</v>
      </c>
      <c r="F7" s="8">
        <v>357</v>
      </c>
      <c r="G7">
        <v>357</v>
      </c>
    </row>
    <row r="8" spans="2:7" ht="14.25">
      <c r="B8" s="8" t="s">
        <v>109</v>
      </c>
      <c r="C8" s="4" t="s">
        <v>27</v>
      </c>
      <c r="D8" s="8"/>
      <c r="E8">
        <v>1169</v>
      </c>
      <c r="F8" s="8">
        <v>1082</v>
      </c>
      <c r="G8">
        <v>1001</v>
      </c>
    </row>
    <row r="9" spans="2:7" ht="14.25">
      <c r="B9" s="8" t="s">
        <v>110</v>
      </c>
      <c r="C9" s="4" t="s">
        <v>27</v>
      </c>
      <c r="D9" s="8"/>
      <c r="E9">
        <v>1750</v>
      </c>
      <c r="F9" s="8">
        <v>1750</v>
      </c>
      <c r="G9">
        <v>1750</v>
      </c>
    </row>
    <row r="10" spans="2:7" ht="14.25">
      <c r="B10" s="8" t="s">
        <v>111</v>
      </c>
      <c r="C10" s="4" t="s">
        <v>27</v>
      </c>
      <c r="D10" s="8"/>
      <c r="E10">
        <v>658</v>
      </c>
      <c r="F10" s="8">
        <v>667</v>
      </c>
      <c r="G10">
        <v>666</v>
      </c>
    </row>
    <row r="11" spans="2:7" ht="14.25">
      <c r="B11" s="8" t="s">
        <v>112</v>
      </c>
      <c r="C11" s="4" t="s">
        <v>27</v>
      </c>
      <c r="D11" s="8"/>
      <c r="E11">
        <v>274</v>
      </c>
      <c r="F11" s="8">
        <v>275</v>
      </c>
      <c r="G11">
        <v>275</v>
      </c>
    </row>
    <row r="12" spans="2:7" ht="14.25">
      <c r="B12" s="8" t="s">
        <v>113</v>
      </c>
      <c r="C12" s="4" t="s">
        <v>27</v>
      </c>
      <c r="D12" s="8"/>
      <c r="E12">
        <v>258</v>
      </c>
      <c r="F12" s="8">
        <v>244</v>
      </c>
      <c r="G12">
        <v>241</v>
      </c>
    </row>
    <row r="13" spans="2:7" ht="12.75">
      <c r="B13" s="8" t="s">
        <v>73</v>
      </c>
      <c r="C13" s="8" t="s">
        <v>136</v>
      </c>
      <c r="D13" s="8"/>
      <c r="E13" s="8">
        <v>1.27</v>
      </c>
      <c r="F13" s="8">
        <v>2.13</v>
      </c>
      <c r="G13">
        <v>2.78</v>
      </c>
    </row>
    <row r="14" spans="2:7" ht="12.75">
      <c r="B14" s="8" t="s">
        <v>114</v>
      </c>
      <c r="C14" s="8" t="s">
        <v>137</v>
      </c>
      <c r="E14" s="8">
        <v>25.9</v>
      </c>
      <c r="F14" s="8">
        <v>28.5</v>
      </c>
      <c r="G14">
        <v>29.6</v>
      </c>
    </row>
    <row r="15" spans="2:6" ht="12.75">
      <c r="B15" t="s">
        <v>115</v>
      </c>
      <c r="E15" s="8"/>
      <c r="F15" s="8"/>
    </row>
    <row r="16" spans="5:6" ht="12.75">
      <c r="E16" s="8"/>
      <c r="F16" s="8"/>
    </row>
    <row r="17" spans="2:7" ht="12.75">
      <c r="B17" s="3" t="s">
        <v>119</v>
      </c>
      <c r="C17" s="3" t="s">
        <v>68</v>
      </c>
      <c r="D17" s="8"/>
      <c r="E17" s="33" t="s">
        <v>25</v>
      </c>
      <c r="F17" s="33" t="s">
        <v>26</v>
      </c>
      <c r="G17" s="33" t="s">
        <v>184</v>
      </c>
    </row>
    <row r="18" spans="2:6" ht="12.75">
      <c r="B18" s="8"/>
      <c r="C18" s="8"/>
      <c r="D18" s="8"/>
      <c r="F18" s="8"/>
    </row>
    <row r="19" spans="2:7" ht="14.25">
      <c r="B19" s="8" t="s">
        <v>108</v>
      </c>
      <c r="C19" s="8" t="s">
        <v>136</v>
      </c>
      <c r="D19" s="4"/>
      <c r="E19">
        <v>-0.27</v>
      </c>
      <c r="F19">
        <v>-0.27</v>
      </c>
      <c r="G19">
        <v>-0.27</v>
      </c>
    </row>
    <row r="20" spans="2:7" ht="14.25">
      <c r="B20" s="8" t="s">
        <v>74</v>
      </c>
      <c r="C20" s="8" t="s">
        <v>75</v>
      </c>
      <c r="D20" s="4"/>
      <c r="E20">
        <v>2.7</v>
      </c>
      <c r="F20" s="8">
        <v>2.6</v>
      </c>
      <c r="G20">
        <v>2.5</v>
      </c>
    </row>
    <row r="21" spans="2:7" ht="14.25">
      <c r="B21" s="8" t="s">
        <v>116</v>
      </c>
      <c r="C21" s="4" t="s">
        <v>27</v>
      </c>
      <c r="D21" s="8"/>
      <c r="E21">
        <v>574</v>
      </c>
      <c r="F21" s="8">
        <v>553</v>
      </c>
      <c r="G21">
        <v>483</v>
      </c>
    </row>
    <row r="22" spans="2:7" ht="14.25">
      <c r="B22" s="8" t="s">
        <v>109</v>
      </c>
      <c r="C22" s="4" t="s">
        <v>27</v>
      </c>
      <c r="D22" s="8"/>
      <c r="E22">
        <v>1295</v>
      </c>
      <c r="F22" s="8">
        <v>1079</v>
      </c>
      <c r="G22">
        <v>1263</v>
      </c>
    </row>
    <row r="23" spans="2:7" ht="14.25">
      <c r="B23" s="8" t="s">
        <v>110</v>
      </c>
      <c r="C23" s="4" t="s">
        <v>27</v>
      </c>
      <c r="D23" s="8"/>
      <c r="E23">
        <v>1750</v>
      </c>
      <c r="F23" s="8">
        <v>1750</v>
      </c>
      <c r="G23">
        <v>1750</v>
      </c>
    </row>
    <row r="24" spans="2:7" ht="14.25">
      <c r="B24" s="8" t="s">
        <v>111</v>
      </c>
      <c r="C24" s="4" t="s">
        <v>27</v>
      </c>
      <c r="D24" s="8"/>
      <c r="E24">
        <v>663</v>
      </c>
      <c r="F24" s="8">
        <v>619</v>
      </c>
      <c r="G24">
        <v>685</v>
      </c>
    </row>
    <row r="25" spans="2:7" ht="14.25">
      <c r="B25" s="8" t="s">
        <v>112</v>
      </c>
      <c r="C25" s="4" t="s">
        <v>27</v>
      </c>
      <c r="D25" s="8"/>
      <c r="E25">
        <v>276</v>
      </c>
      <c r="F25" s="8">
        <v>272</v>
      </c>
      <c r="G25">
        <v>275</v>
      </c>
    </row>
    <row r="26" spans="2:7" ht="14.25">
      <c r="B26" s="8" t="s">
        <v>113</v>
      </c>
      <c r="C26" s="4" t="s">
        <v>27</v>
      </c>
      <c r="D26" s="8"/>
      <c r="E26">
        <v>253</v>
      </c>
      <c r="F26" s="8">
        <v>239</v>
      </c>
      <c r="G26">
        <v>244</v>
      </c>
    </row>
    <row r="27" spans="2:7" ht="12.75">
      <c r="B27" s="8" t="s">
        <v>73</v>
      </c>
      <c r="C27" s="8" t="s">
        <v>136</v>
      </c>
      <c r="D27" s="8"/>
      <c r="E27" s="8">
        <v>2.23</v>
      </c>
      <c r="F27" s="8">
        <v>2.62</v>
      </c>
      <c r="G27">
        <v>2.72</v>
      </c>
    </row>
    <row r="28" spans="2:7" ht="12.75">
      <c r="B28" s="8" t="s">
        <v>114</v>
      </c>
      <c r="C28" s="8" t="s">
        <v>137</v>
      </c>
      <c r="E28" s="8">
        <v>25.5</v>
      </c>
      <c r="F28" s="8">
        <v>25.5</v>
      </c>
      <c r="G28">
        <v>25.4</v>
      </c>
    </row>
    <row r="29" spans="2:6" ht="12.75">
      <c r="B29" t="s">
        <v>115</v>
      </c>
      <c r="E29" s="8"/>
      <c r="F29" s="8"/>
    </row>
    <row r="31" spans="2:7" ht="12.75">
      <c r="B31" s="3" t="s">
        <v>120</v>
      </c>
      <c r="C31" s="3" t="s">
        <v>68</v>
      </c>
      <c r="D31" s="8"/>
      <c r="E31" s="33" t="s">
        <v>25</v>
      </c>
      <c r="F31" s="33" t="s">
        <v>26</v>
      </c>
      <c r="G31" s="33" t="s">
        <v>184</v>
      </c>
    </row>
    <row r="32" spans="2:6" ht="12.75">
      <c r="B32" s="8"/>
      <c r="C32" s="8"/>
      <c r="D32" s="8"/>
      <c r="F32" s="8"/>
    </row>
    <row r="33" spans="2:7" ht="14.25">
      <c r="B33" s="8" t="s">
        <v>108</v>
      </c>
      <c r="C33" s="8" t="s">
        <v>136</v>
      </c>
      <c r="D33" s="4"/>
      <c r="E33">
        <v>-0.27</v>
      </c>
      <c r="F33">
        <v>-0.27</v>
      </c>
      <c r="G33">
        <v>-0.27</v>
      </c>
    </row>
    <row r="34" spans="2:7" ht="14.25">
      <c r="B34" s="8" t="s">
        <v>74</v>
      </c>
      <c r="C34" s="8" t="s">
        <v>75</v>
      </c>
      <c r="D34" s="4"/>
      <c r="E34">
        <v>2.8</v>
      </c>
      <c r="F34" s="8">
        <v>2.9</v>
      </c>
      <c r="G34">
        <v>2.9</v>
      </c>
    </row>
    <row r="35" spans="2:7" ht="14.25">
      <c r="B35" s="8" t="s">
        <v>116</v>
      </c>
      <c r="C35" s="4" t="s">
        <v>27</v>
      </c>
      <c r="D35" s="8"/>
      <c r="E35">
        <v>738</v>
      </c>
      <c r="F35" s="8">
        <v>814</v>
      </c>
      <c r="G35">
        <v>750</v>
      </c>
    </row>
    <row r="36" spans="2:7" ht="14.25">
      <c r="B36" s="8" t="s">
        <v>109</v>
      </c>
      <c r="C36" s="4" t="s">
        <v>27</v>
      </c>
      <c r="D36" s="8"/>
      <c r="E36">
        <v>965</v>
      </c>
      <c r="F36" s="8">
        <v>925</v>
      </c>
      <c r="G36">
        <v>958</v>
      </c>
    </row>
    <row r="37" spans="2:7" ht="14.25">
      <c r="B37" s="8" t="s">
        <v>110</v>
      </c>
      <c r="C37" s="4" t="s">
        <v>27</v>
      </c>
      <c r="D37" s="8"/>
      <c r="E37">
        <v>1700</v>
      </c>
      <c r="F37" s="8">
        <v>1701</v>
      </c>
      <c r="G37">
        <v>1701</v>
      </c>
    </row>
    <row r="38" spans="2:7" ht="14.25">
      <c r="B38" s="8" t="s">
        <v>111</v>
      </c>
      <c r="C38" s="4" t="s">
        <v>27</v>
      </c>
      <c r="D38" s="8"/>
      <c r="E38">
        <v>638</v>
      </c>
      <c r="F38" s="8">
        <v>668</v>
      </c>
      <c r="G38">
        <v>653</v>
      </c>
    </row>
    <row r="39" spans="2:7" ht="14.25">
      <c r="B39" s="8" t="s">
        <v>112</v>
      </c>
      <c r="C39" s="4" t="s">
        <v>27</v>
      </c>
      <c r="D39" s="8"/>
      <c r="E39">
        <v>273</v>
      </c>
      <c r="F39" s="8">
        <v>275</v>
      </c>
      <c r="G39">
        <v>274</v>
      </c>
    </row>
    <row r="40" spans="2:7" ht="14.25">
      <c r="B40" s="8" t="s">
        <v>113</v>
      </c>
      <c r="C40" s="4" t="s">
        <v>27</v>
      </c>
      <c r="D40" s="8"/>
      <c r="E40">
        <v>244</v>
      </c>
      <c r="F40" s="8">
        <v>245</v>
      </c>
      <c r="G40">
        <v>239</v>
      </c>
    </row>
    <row r="41" spans="2:7" ht="12.75">
      <c r="B41" s="8" t="s">
        <v>73</v>
      </c>
      <c r="C41" s="8" t="s">
        <v>136</v>
      </c>
      <c r="D41" s="8"/>
      <c r="E41" s="8">
        <v>2.66</v>
      </c>
      <c r="F41" s="8">
        <v>2.77</v>
      </c>
      <c r="G41">
        <v>2.93</v>
      </c>
    </row>
    <row r="42" spans="2:7" ht="12.75">
      <c r="B42" s="8" t="s">
        <v>114</v>
      </c>
      <c r="C42" s="8" t="s">
        <v>137</v>
      </c>
      <c r="E42" s="8">
        <v>24.7</v>
      </c>
      <c r="F42" s="8">
        <v>24.4</v>
      </c>
      <c r="G42">
        <v>24.7</v>
      </c>
    </row>
    <row r="43" spans="2:6" ht="12.75">
      <c r="B43" t="s">
        <v>115</v>
      </c>
      <c r="E43" s="8"/>
      <c r="F43" s="8"/>
    </row>
    <row r="45" spans="2:7" ht="12.75">
      <c r="B45" s="3" t="s">
        <v>121</v>
      </c>
      <c r="C45" s="3" t="s">
        <v>68</v>
      </c>
      <c r="D45" s="8"/>
      <c r="E45" s="33" t="s">
        <v>25</v>
      </c>
      <c r="F45" s="33" t="s">
        <v>26</v>
      </c>
      <c r="G45" s="33" t="s">
        <v>184</v>
      </c>
    </row>
    <row r="46" spans="2:6" ht="12.75">
      <c r="B46" s="8"/>
      <c r="C46" s="8"/>
      <c r="D46" s="8"/>
      <c r="F46" s="8"/>
    </row>
    <row r="47" spans="2:7" ht="14.25">
      <c r="B47" s="8" t="s">
        <v>108</v>
      </c>
      <c r="C47" s="8" t="s">
        <v>136</v>
      </c>
      <c r="D47" s="4"/>
      <c r="E47">
        <v>-0.27</v>
      </c>
      <c r="F47">
        <v>-0.27</v>
      </c>
      <c r="G47">
        <v>-0.27</v>
      </c>
    </row>
    <row r="48" spans="2:7" ht="14.25">
      <c r="B48" s="8" t="s">
        <v>74</v>
      </c>
      <c r="C48" s="8" t="s">
        <v>75</v>
      </c>
      <c r="D48" s="4"/>
      <c r="E48">
        <v>3</v>
      </c>
      <c r="F48" s="8">
        <v>3</v>
      </c>
      <c r="G48">
        <v>2.9</v>
      </c>
    </row>
    <row r="49" spans="2:7" ht="14.25">
      <c r="B49" s="8" t="s">
        <v>116</v>
      </c>
      <c r="C49" s="4" t="s">
        <v>27</v>
      </c>
      <c r="D49" s="8"/>
      <c r="E49">
        <v>741</v>
      </c>
      <c r="F49" s="8">
        <v>521</v>
      </c>
      <c r="G49">
        <v>770</v>
      </c>
    </row>
    <row r="50" spans="2:7" ht="14.25">
      <c r="B50" s="8" t="s">
        <v>109</v>
      </c>
      <c r="C50" s="4" t="s">
        <v>27</v>
      </c>
      <c r="D50" s="8"/>
      <c r="E50">
        <v>979</v>
      </c>
      <c r="F50" s="8">
        <v>1052</v>
      </c>
      <c r="G50">
        <v>976</v>
      </c>
    </row>
    <row r="51" spans="2:7" ht="14.25">
      <c r="B51" s="8" t="s">
        <v>110</v>
      </c>
      <c r="C51" s="4" t="s">
        <v>27</v>
      </c>
      <c r="D51" s="8"/>
      <c r="E51">
        <v>1701</v>
      </c>
      <c r="F51" s="8">
        <v>1700</v>
      </c>
      <c r="G51">
        <v>1700</v>
      </c>
    </row>
    <row r="52" spans="2:7" ht="14.25">
      <c r="B52" s="8" t="s">
        <v>111</v>
      </c>
      <c r="C52" s="4" t="s">
        <v>27</v>
      </c>
      <c r="D52" s="8"/>
      <c r="E52">
        <v>624</v>
      </c>
      <c r="F52" s="8">
        <v>673</v>
      </c>
      <c r="G52">
        <v>650</v>
      </c>
    </row>
    <row r="53" spans="2:7" ht="14.25">
      <c r="B53" s="8" t="s">
        <v>112</v>
      </c>
      <c r="C53" s="4" t="s">
        <v>27</v>
      </c>
      <c r="D53" s="8"/>
      <c r="E53">
        <v>271</v>
      </c>
      <c r="F53" s="8">
        <v>273</v>
      </c>
      <c r="G53">
        <v>273</v>
      </c>
    </row>
    <row r="54" spans="2:7" ht="14.25">
      <c r="B54" s="8" t="s">
        <v>113</v>
      </c>
      <c r="C54" s="4" t="s">
        <v>27</v>
      </c>
      <c r="D54" s="8"/>
      <c r="E54">
        <v>243</v>
      </c>
      <c r="F54" s="8">
        <v>232</v>
      </c>
      <c r="G54">
        <v>248</v>
      </c>
    </row>
    <row r="55" spans="2:7" ht="12.75">
      <c r="B55" s="8" t="s">
        <v>73</v>
      </c>
      <c r="C55" s="8" t="s">
        <v>136</v>
      </c>
      <c r="D55" s="8"/>
      <c r="E55" s="8">
        <v>0.84</v>
      </c>
      <c r="F55" s="8">
        <v>1.37</v>
      </c>
      <c r="G55">
        <v>1.57</v>
      </c>
    </row>
    <row r="56" spans="2:7" ht="12.75">
      <c r="B56" s="8" t="s">
        <v>114</v>
      </c>
      <c r="C56" s="8" t="s">
        <v>137</v>
      </c>
      <c r="E56" s="8">
        <v>23.6</v>
      </c>
      <c r="F56" s="8">
        <v>25.2</v>
      </c>
      <c r="G56">
        <v>24.2</v>
      </c>
    </row>
    <row r="57" spans="2:6" ht="12.75">
      <c r="B57" t="s">
        <v>115</v>
      </c>
      <c r="E57" s="8"/>
      <c r="F57" s="8"/>
    </row>
    <row r="59" spans="2:7" ht="12.75">
      <c r="B59" s="3" t="s">
        <v>122</v>
      </c>
      <c r="C59" s="3" t="s">
        <v>68</v>
      </c>
      <c r="D59" s="8"/>
      <c r="E59" s="33" t="s">
        <v>25</v>
      </c>
      <c r="F59" s="33" t="s">
        <v>26</v>
      </c>
      <c r="G59" s="33" t="s">
        <v>184</v>
      </c>
    </row>
    <row r="60" spans="2:6" ht="12.75">
      <c r="B60" s="8"/>
      <c r="C60" s="8"/>
      <c r="D60" s="8"/>
      <c r="F60" s="8"/>
    </row>
    <row r="61" spans="2:7" ht="14.25">
      <c r="B61" s="8" t="s">
        <v>108</v>
      </c>
      <c r="C61" s="8" t="s">
        <v>136</v>
      </c>
      <c r="D61" s="4"/>
      <c r="E61">
        <v>-0.27</v>
      </c>
      <c r="F61">
        <v>-0.27</v>
      </c>
      <c r="G61">
        <v>-0.27</v>
      </c>
    </row>
    <row r="62" spans="2:7" ht="14.25">
      <c r="B62" s="8" t="s">
        <v>74</v>
      </c>
      <c r="C62" s="8" t="s">
        <v>75</v>
      </c>
      <c r="D62" s="4"/>
      <c r="E62">
        <v>2.5</v>
      </c>
      <c r="F62" s="8">
        <v>2.4</v>
      </c>
      <c r="G62">
        <v>2.4</v>
      </c>
    </row>
    <row r="63" spans="2:7" ht="14.25">
      <c r="B63" s="8" t="s">
        <v>116</v>
      </c>
      <c r="C63" s="4" t="s">
        <v>27</v>
      </c>
      <c r="D63" s="8"/>
      <c r="E63">
        <v>352</v>
      </c>
      <c r="F63" s="8">
        <v>385</v>
      </c>
      <c r="G63">
        <v>390</v>
      </c>
    </row>
    <row r="64" spans="2:7" ht="14.25">
      <c r="B64" s="8" t="s">
        <v>109</v>
      </c>
      <c r="C64" s="4" t="s">
        <v>27</v>
      </c>
      <c r="D64" s="8"/>
      <c r="E64">
        <v>1079</v>
      </c>
      <c r="F64" s="8">
        <v>1057</v>
      </c>
      <c r="G64">
        <v>1033</v>
      </c>
    </row>
    <row r="65" spans="2:7" ht="14.25">
      <c r="B65" s="8" t="s">
        <v>110</v>
      </c>
      <c r="C65" s="4" t="s">
        <v>27</v>
      </c>
      <c r="D65" s="8"/>
      <c r="E65">
        <v>1700</v>
      </c>
      <c r="F65" s="8">
        <v>1700</v>
      </c>
      <c r="G65">
        <v>1700</v>
      </c>
    </row>
    <row r="66" spans="2:7" ht="14.25">
      <c r="B66" s="8" t="s">
        <v>111</v>
      </c>
      <c r="C66" s="4" t="s">
        <v>27</v>
      </c>
      <c r="D66" s="8"/>
      <c r="E66">
        <v>695</v>
      </c>
      <c r="F66" s="8">
        <v>693</v>
      </c>
      <c r="G66">
        <v>690</v>
      </c>
    </row>
    <row r="67" spans="2:7" ht="14.25">
      <c r="B67" s="8" t="s">
        <v>112</v>
      </c>
      <c r="C67" s="4" t="s">
        <v>27</v>
      </c>
      <c r="D67" s="8"/>
      <c r="E67">
        <v>276</v>
      </c>
      <c r="F67" s="8">
        <v>276</v>
      </c>
      <c r="G67">
        <v>276</v>
      </c>
    </row>
    <row r="68" spans="2:7" ht="14.25">
      <c r="B68" s="8" t="s">
        <v>113</v>
      </c>
      <c r="C68" s="4" t="s">
        <v>27</v>
      </c>
      <c r="D68" s="8"/>
      <c r="E68">
        <v>237</v>
      </c>
      <c r="F68" s="8">
        <v>243</v>
      </c>
      <c r="G68">
        <v>241</v>
      </c>
    </row>
    <row r="69" spans="2:7" ht="12.75">
      <c r="B69" s="8" t="s">
        <v>73</v>
      </c>
      <c r="C69" s="8" t="s">
        <v>136</v>
      </c>
      <c r="D69" s="8"/>
      <c r="E69" s="8">
        <v>2.23</v>
      </c>
      <c r="F69" s="8">
        <v>2.49</v>
      </c>
      <c r="G69">
        <v>2.48</v>
      </c>
    </row>
    <row r="70" spans="2:7" ht="12.75">
      <c r="B70" s="8" t="s">
        <v>114</v>
      </c>
      <c r="C70" s="8" t="s">
        <v>137</v>
      </c>
      <c r="E70" s="8">
        <v>27.5</v>
      </c>
      <c r="F70" s="8">
        <v>27.2</v>
      </c>
      <c r="G70">
        <v>26.7</v>
      </c>
    </row>
    <row r="72" spans="2:7" ht="12.75">
      <c r="B72" s="3" t="s">
        <v>123</v>
      </c>
      <c r="C72" s="3" t="s">
        <v>68</v>
      </c>
      <c r="D72" s="8"/>
      <c r="E72" s="33" t="s">
        <v>25</v>
      </c>
      <c r="F72" s="33" t="s">
        <v>26</v>
      </c>
      <c r="G72" s="33" t="s">
        <v>184</v>
      </c>
    </row>
    <row r="73" spans="2:6" ht="12.75">
      <c r="B73" s="8"/>
      <c r="C73" s="8"/>
      <c r="D73" s="8"/>
      <c r="F73" s="8"/>
    </row>
    <row r="74" spans="2:7" ht="14.25">
      <c r="B74" s="8" t="s">
        <v>108</v>
      </c>
      <c r="C74" s="8" t="s">
        <v>136</v>
      </c>
      <c r="D74" s="4"/>
      <c r="E74">
        <v>-0.27</v>
      </c>
      <c r="F74">
        <v>-0.27</v>
      </c>
      <c r="G74">
        <v>-0.27</v>
      </c>
    </row>
    <row r="75" spans="2:7" ht="14.25">
      <c r="B75" s="8" t="s">
        <v>74</v>
      </c>
      <c r="C75" s="8" t="s">
        <v>75</v>
      </c>
      <c r="D75" s="4"/>
      <c r="E75">
        <v>2.8</v>
      </c>
      <c r="F75" s="8">
        <v>3</v>
      </c>
      <c r="G75">
        <v>3</v>
      </c>
    </row>
    <row r="76" spans="2:7" ht="14.25">
      <c r="B76" s="8" t="s">
        <v>116</v>
      </c>
      <c r="C76" s="4" t="s">
        <v>27</v>
      </c>
      <c r="D76" s="8"/>
      <c r="E76">
        <v>373</v>
      </c>
      <c r="F76" s="8">
        <v>358</v>
      </c>
      <c r="G76">
        <v>399</v>
      </c>
    </row>
    <row r="77" spans="2:7" ht="14.25">
      <c r="B77" s="8" t="s">
        <v>109</v>
      </c>
      <c r="C77" s="4" t="s">
        <v>27</v>
      </c>
      <c r="D77" s="8"/>
      <c r="E77">
        <v>1060</v>
      </c>
      <c r="F77" s="8">
        <v>1348</v>
      </c>
      <c r="G77">
        <v>1211</v>
      </c>
    </row>
    <row r="78" spans="2:7" ht="14.25">
      <c r="B78" s="8" t="s">
        <v>110</v>
      </c>
      <c r="C78" s="4" t="s">
        <v>27</v>
      </c>
      <c r="D78" s="8"/>
      <c r="E78">
        <v>1699</v>
      </c>
      <c r="F78" s="8">
        <v>1700</v>
      </c>
      <c r="G78">
        <v>1700</v>
      </c>
    </row>
    <row r="79" spans="2:7" ht="14.25">
      <c r="B79" s="8" t="s">
        <v>111</v>
      </c>
      <c r="C79" s="4" t="s">
        <v>27</v>
      </c>
      <c r="D79" s="8"/>
      <c r="E79">
        <v>713</v>
      </c>
      <c r="F79" s="8">
        <v>746</v>
      </c>
      <c r="G79">
        <v>743</v>
      </c>
    </row>
    <row r="80" spans="2:7" ht="14.25">
      <c r="B80" s="8" t="s">
        <v>112</v>
      </c>
      <c r="C80" s="4" t="s">
        <v>27</v>
      </c>
      <c r="D80" s="8"/>
      <c r="E80">
        <v>274</v>
      </c>
      <c r="F80" s="8">
        <v>274</v>
      </c>
      <c r="G80">
        <v>274</v>
      </c>
    </row>
    <row r="81" spans="2:7" ht="14.25">
      <c r="B81" s="8" t="s">
        <v>113</v>
      </c>
      <c r="C81" s="4" t="s">
        <v>27</v>
      </c>
      <c r="D81" s="8"/>
      <c r="E81">
        <v>247</v>
      </c>
      <c r="F81" s="8">
        <v>255</v>
      </c>
      <c r="G81">
        <v>247</v>
      </c>
    </row>
    <row r="82" spans="2:7" ht="12.75">
      <c r="B82" s="8" t="s">
        <v>73</v>
      </c>
      <c r="C82" s="8" t="s">
        <v>136</v>
      </c>
      <c r="D82" s="8"/>
      <c r="E82" s="8">
        <v>2.69</v>
      </c>
      <c r="F82" s="8">
        <v>3.94</v>
      </c>
      <c r="G82">
        <v>1.42</v>
      </c>
    </row>
    <row r="83" spans="2:7" ht="12.75">
      <c r="B83" s="8" t="s">
        <v>114</v>
      </c>
      <c r="C83" s="8" t="s">
        <v>137</v>
      </c>
      <c r="E83" s="8">
        <v>25</v>
      </c>
      <c r="F83" s="8">
        <v>26.9</v>
      </c>
      <c r="G83">
        <v>28.9</v>
      </c>
    </row>
    <row r="85" spans="2:7" ht="12.75">
      <c r="B85" s="3" t="s">
        <v>124</v>
      </c>
      <c r="C85" s="3" t="s">
        <v>68</v>
      </c>
      <c r="D85" s="8"/>
      <c r="E85" s="33" t="s">
        <v>25</v>
      </c>
      <c r="F85" s="33" t="s">
        <v>26</v>
      </c>
      <c r="G85" s="33" t="s">
        <v>184</v>
      </c>
    </row>
    <row r="86" spans="2:6" ht="12.75">
      <c r="B86" s="8"/>
      <c r="C86" s="8"/>
      <c r="D86" s="8"/>
      <c r="F86" s="8"/>
    </row>
    <row r="87" spans="2:7" ht="14.25">
      <c r="B87" s="8" t="s">
        <v>108</v>
      </c>
      <c r="C87" s="8" t="s">
        <v>136</v>
      </c>
      <c r="D87" s="4"/>
      <c r="E87">
        <v>-0.27</v>
      </c>
      <c r="F87">
        <v>-0.27</v>
      </c>
      <c r="G87">
        <v>-0.27</v>
      </c>
    </row>
    <row r="88" spans="2:7" ht="14.25">
      <c r="B88" s="8" t="s">
        <v>74</v>
      </c>
      <c r="C88" s="8" t="s">
        <v>75</v>
      </c>
      <c r="D88" s="4"/>
      <c r="E88">
        <v>2.5</v>
      </c>
      <c r="F88" s="8">
        <v>2.6</v>
      </c>
      <c r="G88">
        <v>2.6</v>
      </c>
    </row>
    <row r="89" spans="2:7" ht="14.25">
      <c r="B89" s="8" t="s">
        <v>116</v>
      </c>
      <c r="C89" s="4" t="s">
        <v>27</v>
      </c>
      <c r="D89" s="8"/>
      <c r="E89">
        <v>461</v>
      </c>
      <c r="F89" s="8">
        <v>601</v>
      </c>
      <c r="G89">
        <v>456</v>
      </c>
    </row>
    <row r="90" spans="2:7" ht="14.25">
      <c r="B90" s="8" t="s">
        <v>109</v>
      </c>
      <c r="C90" s="4" t="s">
        <v>27</v>
      </c>
      <c r="D90" s="8"/>
      <c r="E90">
        <v>1578</v>
      </c>
      <c r="F90" s="8">
        <v>1535</v>
      </c>
      <c r="G90">
        <v>1425</v>
      </c>
    </row>
    <row r="91" spans="2:7" ht="14.25">
      <c r="B91" s="8" t="s">
        <v>110</v>
      </c>
      <c r="C91" s="4" t="s">
        <v>27</v>
      </c>
      <c r="D91" s="8"/>
      <c r="E91">
        <v>1749</v>
      </c>
      <c r="F91" s="8">
        <v>1750</v>
      </c>
      <c r="G91">
        <v>1749</v>
      </c>
    </row>
    <row r="92" spans="2:7" ht="14.25">
      <c r="B92" s="8" t="s">
        <v>111</v>
      </c>
      <c r="C92" s="4" t="s">
        <v>27</v>
      </c>
      <c r="D92" s="8"/>
      <c r="E92">
        <v>743</v>
      </c>
      <c r="F92" s="8">
        <v>719</v>
      </c>
      <c r="G92">
        <v>747</v>
      </c>
    </row>
    <row r="93" spans="2:7" ht="14.25">
      <c r="B93" s="8" t="s">
        <v>112</v>
      </c>
      <c r="C93" s="4" t="s">
        <v>27</v>
      </c>
      <c r="D93" s="8"/>
      <c r="E93">
        <v>275</v>
      </c>
      <c r="F93" s="8">
        <v>275</v>
      </c>
      <c r="G93">
        <v>275</v>
      </c>
    </row>
    <row r="94" spans="2:7" ht="14.25">
      <c r="B94" s="8" t="s">
        <v>113</v>
      </c>
      <c r="C94" s="4" t="s">
        <v>27</v>
      </c>
      <c r="D94" s="8"/>
      <c r="E94">
        <v>253</v>
      </c>
      <c r="F94" s="8">
        <v>256</v>
      </c>
      <c r="G94">
        <v>245</v>
      </c>
    </row>
    <row r="95" spans="2:7" ht="12.75">
      <c r="B95" s="8" t="s">
        <v>73</v>
      </c>
      <c r="C95" s="8" t="s">
        <v>136</v>
      </c>
      <c r="D95" s="8"/>
      <c r="E95" s="8">
        <v>2.58</v>
      </c>
      <c r="F95" s="8">
        <v>3.5</v>
      </c>
      <c r="G95">
        <v>2.3</v>
      </c>
    </row>
    <row r="96" spans="2:7" ht="12.75">
      <c r="B96" s="8" t="s">
        <v>114</v>
      </c>
      <c r="C96" s="8" t="s">
        <v>137</v>
      </c>
      <c r="E96" s="8">
        <v>26.6</v>
      </c>
      <c r="F96" s="8">
        <v>27</v>
      </c>
      <c r="G96">
        <v>26</v>
      </c>
    </row>
  </sheetData>
  <printOptions headings="1" horizontalCentered="1"/>
  <pageMargins left="0.25" right="0.25" top="0.5" bottom="0.5" header="0.25" footer="0.25"/>
  <pageSetup horizontalDpi="600" verticalDpi="600" orientation="portrait" pageOrder="overThenDown" scale="80" r:id="rId1"/>
  <headerFooter alignWithMargins="0">
    <oddFooter>&amp;C&amp;P, &amp;A,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Springsteen</dc:creator>
  <cp:keywords/>
  <dc:description/>
  <cp:lastModifiedBy>Bruce Springsteen</cp:lastModifiedBy>
  <cp:lastPrinted>2004-02-24T00:41:11Z</cp:lastPrinted>
  <dcterms:created xsi:type="dcterms:W3CDTF">2000-01-10T00:44:42Z</dcterms:created>
  <dcterms:modified xsi:type="dcterms:W3CDTF">2004-02-24T00:43:05Z</dcterms:modified>
  <cp:category/>
  <cp:version/>
  <cp:contentType/>
  <cp:contentStatus/>
</cp:coreProperties>
</file>