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<sst xmlns="http://schemas.openxmlformats.org/spreadsheetml/2006/main" count="864" uniqueCount="167">
  <si>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</si>
  <si>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</si>
  <si>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</si>
  <si>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</si>
  <si>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</si>
  <si>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</si>
  <si>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</si>
  <si>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</si>
  <si>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</si>
  <si>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</si>
  <si>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</si>
  <si>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</si>
  <si>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</si>
  <si>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</si>
  <si>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</si>
  <si>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</si>
  <si>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</si>
  <si>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</si>
  <si>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</si>
  <si>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</si>
  <si>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</si>
  <si>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Feedstream Description</t>
  </si>
  <si>
    <t>Ash</t>
  </si>
  <si>
    <t>HCl</t>
  </si>
  <si>
    <t>Cl2</t>
  </si>
  <si>
    <t>DRE</t>
  </si>
  <si>
    <t>lb/hr</t>
  </si>
  <si>
    <t>ug/dscm</t>
  </si>
  <si>
    <t>SVM</t>
  </si>
  <si>
    <t>LVM</t>
  </si>
  <si>
    <t>Stack Gas Emissions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</si>
  <si>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</si>
  <si>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</si>
  <si>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</si>
  <si>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</si>
  <si>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</si>
  <si>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</si>
  <si>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</si>
  <si>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</si>
  <si>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</si>
  <si>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</si>
  <si>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</si>
  <si>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</si>
  <si>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</si>
  <si>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</si>
  <si>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</si>
  <si>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Comments</t>
  </si>
  <si>
    <t xml:space="preserve">   O2</t>
  </si>
  <si>
    <t xml:space="preserve">   Moisture</t>
  </si>
  <si>
    <t>Chromium</t>
  </si>
  <si>
    <t>Sampling Train</t>
  </si>
  <si>
    <t>Trial burn</t>
  </si>
  <si>
    <t>*</t>
  </si>
  <si>
    <t>Feed Rate</t>
  </si>
  <si>
    <t>HWC Burn Status (Date if Terminated)</t>
  </si>
  <si>
    <t>nd</t>
  </si>
  <si>
    <t>n</t>
  </si>
  <si>
    <t>Total Chlorine</t>
  </si>
  <si>
    <t>Phase I ID No.</t>
  </si>
  <si>
    <t>Arsenic</t>
  </si>
  <si>
    <t>Cadmium</t>
  </si>
  <si>
    <t>Antimony</t>
  </si>
  <si>
    <t>CO (RA)</t>
  </si>
  <si>
    <t>Natural gas</t>
  </si>
  <si>
    <t>Stack Gas Flowrate</t>
  </si>
  <si>
    <t>Oxygen</t>
  </si>
  <si>
    <t>Feedrate MTEC Calculations</t>
  </si>
  <si>
    <t>PM, HCl/Cl2</t>
  </si>
  <si>
    <t>Chlorine</t>
  </si>
  <si>
    <t>Heating Value</t>
  </si>
  <si>
    <t>Btu/lb</t>
  </si>
  <si>
    <t>Thermal Feedrate</t>
  </si>
  <si>
    <t>MMBtu/hr</t>
  </si>
  <si>
    <t>Estimated Firing Rate</t>
  </si>
  <si>
    <t>F</t>
  </si>
  <si>
    <t>gpm</t>
  </si>
  <si>
    <t>R1</t>
  </si>
  <si>
    <t>R2</t>
  </si>
  <si>
    <t>R3</t>
  </si>
  <si>
    <t>MOD9857988164</t>
  </si>
  <si>
    <t>ICI Explosives Environmental Company</t>
  </si>
  <si>
    <t>Joplin</t>
  </si>
  <si>
    <t>Missouri</t>
  </si>
  <si>
    <t>APE 1236</t>
  </si>
  <si>
    <t>Spray dryer (ME-104) and baghouse (ME-105 A,B,C), absorber</t>
  </si>
  <si>
    <t>Test Report for Trial Burn, Vol. 1, February 1996</t>
  </si>
  <si>
    <t>Midwest Research Institute</t>
  </si>
  <si>
    <t>Tier II for all metals</t>
  </si>
  <si>
    <t>April 27-30, 1995</t>
  </si>
  <si>
    <t>May 1-9, 1995</t>
  </si>
  <si>
    <t>May 11-12, 1995</t>
  </si>
  <si>
    <t>Trial burn, max pressure wave, max feedrate</t>
  </si>
  <si>
    <t>PM, HCl/Cl2, DRE</t>
  </si>
  <si>
    <t>Trial burn, max clorine feed, max heat content</t>
  </si>
  <si>
    <t>Trial burn, max feedrate</t>
  </si>
  <si>
    <t>3011C1</t>
  </si>
  <si>
    <t>ppm</t>
  </si>
  <si>
    <t>g/hr</t>
  </si>
  <si>
    <t>3011C2</t>
  </si>
  <si>
    <t xml:space="preserve">POHC </t>
  </si>
  <si>
    <t>POHC Feedrate</t>
  </si>
  <si>
    <t>Emission Rate</t>
  </si>
  <si>
    <t>Nitroglycerin</t>
  </si>
  <si>
    <t>HCE</t>
  </si>
  <si>
    <t>Napth</t>
  </si>
  <si>
    <t>Metals, DRE</t>
  </si>
  <si>
    <t>3011C3</t>
  </si>
  <si>
    <t>M96</t>
  </si>
  <si>
    <t>M30 Propellant</t>
  </si>
  <si>
    <t>Inert Materials</t>
  </si>
  <si>
    <t>Superfrac 6000P</t>
  </si>
  <si>
    <t>Rotary Kiln Exit Temp</t>
  </si>
  <si>
    <t>Rotary Kiln Burner Temp</t>
  </si>
  <si>
    <t>Rotary Kiln Exit Pressure</t>
  </si>
  <si>
    <t>SCC Exit Temp</t>
  </si>
  <si>
    <t>SCC Exit Pressure</t>
  </si>
  <si>
    <t>Quench Water Flow</t>
  </si>
  <si>
    <t>Spray Dryer Exit Temp</t>
  </si>
  <si>
    <t>Spray Dryer Exit Pressure</t>
  </si>
  <si>
    <t>Baghouse Pressure Drop</t>
  </si>
  <si>
    <t>Baghouse Outlet Temp</t>
  </si>
  <si>
    <t>Soda Ash Solution Flow</t>
  </si>
  <si>
    <t>in. W.C</t>
  </si>
  <si>
    <t>R4</t>
  </si>
  <si>
    <t>Explosive munitions (M96), M30 propellant, inert materials</t>
  </si>
  <si>
    <t>SD/BH/ABS</t>
  </si>
  <si>
    <t>PM, HCl/Cl2, DRE, metals</t>
  </si>
  <si>
    <t>PM, HCl/Cl2, DRE, lead</t>
  </si>
  <si>
    <t>ICIEEC Rotary Kiln KI-101</t>
  </si>
  <si>
    <t>Combustor Class</t>
  </si>
  <si>
    <t>Combustor Type</t>
  </si>
  <si>
    <t>Condition Description</t>
  </si>
  <si>
    <t>Report Name/Date</t>
  </si>
  <si>
    <t>Report Prepare</t>
  </si>
  <si>
    <t>Testing Firm</t>
  </si>
  <si>
    <t>Testing Dates</t>
  </si>
  <si>
    <t>Condition Descr</t>
  </si>
  <si>
    <t>Content</t>
  </si>
  <si>
    <t>Cond Avg</t>
  </si>
  <si>
    <t>Designed to incinerate a max processing rate of 2080 lb/hr of obsolete and ammunition and bulk explosives. Single burner assembly.</t>
  </si>
  <si>
    <t>Feedstream</t>
  </si>
  <si>
    <t>E1</t>
  </si>
  <si>
    <t>E2</t>
  </si>
  <si>
    <t>Chromium (Hex)</t>
  </si>
  <si>
    <t>Cond Dates</t>
  </si>
  <si>
    <t>Number of Sister Facilities</t>
  </si>
  <si>
    <t>APCS Detailed Acronym</t>
  </si>
  <si>
    <t>APCS General Class</t>
  </si>
  <si>
    <t>LEWS, FF</t>
  </si>
  <si>
    <t>Liq, solid</t>
  </si>
  <si>
    <t>source</t>
  </si>
  <si>
    <t>cond</t>
  </si>
  <si>
    <t>emiss</t>
  </si>
  <si>
    <t>feed</t>
  </si>
  <si>
    <t>process</t>
  </si>
  <si>
    <t>Rotary hearth</t>
  </si>
  <si>
    <t>HC (RA)</t>
  </si>
  <si>
    <t>Onsite incinerator, munitions popping</t>
  </si>
  <si>
    <t>Feedstream Number</t>
  </si>
  <si>
    <t>Feed Class</t>
  </si>
  <si>
    <t>Solid HW</t>
  </si>
  <si>
    <t>F1</t>
  </si>
  <si>
    <t>F2</t>
  </si>
  <si>
    <t>F3</t>
  </si>
  <si>
    <t>F4</t>
  </si>
  <si>
    <t>Liq HW</t>
  </si>
  <si>
    <t>Feed Class 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</si>
</sst>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M7" sqref="M7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49"/>
  <sheetViews>
    <sheetView workbookViewId="0" topLeftCell="B1">
      <selection activeCell="C11" sqref="C11"/>
    </sheetView>
  </sheetViews>
  <sheetFormatPr defaultColWidth="9.140625" defaultRowHeight="12.75"/>
  <cols>
    <col min="1" max="1" width="2.00390625" style="1" hidden="1" customWidth="1"/>
    <col min="2" max="2" width="23.8515625" style="1" customWidth="1"/>
    <col min="3" max="3" width="58.421875" style="1" customWidth="1"/>
    <col min="4" max="16384" width="8.8515625" style="1" customWidth="1"/>
  </cols>
  <sheetData>
    <row r="1" spans="2:12" ht="12.75">
      <c r="B1" s="3" t="s">
        <v>39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2.7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.75">
      <c r="B3" s="8" t="s">
        <v>58</v>
      </c>
      <c r="C3" s="9">
        <v>3011</v>
      </c>
      <c r="D3" s="8"/>
      <c r="E3" s="8"/>
      <c r="F3" s="8"/>
      <c r="G3" s="8"/>
      <c r="H3" s="8"/>
      <c r="I3" s="8"/>
      <c r="J3" s="8"/>
      <c r="K3" s="8"/>
      <c r="L3" s="8"/>
    </row>
    <row r="4" spans="2:12" ht="12.75">
      <c r="B4" s="8" t="s">
        <v>0</v>
      </c>
      <c r="C4" s="8" t="s">
        <v>79</v>
      </c>
      <c r="D4" s="8"/>
      <c r="E4" s="8"/>
      <c r="F4" s="8"/>
      <c r="G4" s="8"/>
      <c r="H4" s="8"/>
      <c r="I4" s="8"/>
      <c r="J4" s="8"/>
      <c r="K4" s="8"/>
      <c r="L4" s="8"/>
    </row>
    <row r="5" spans="2:12" ht="12.75">
      <c r="B5" s="8" t="s">
        <v>1</v>
      </c>
      <c r="C5" s="8" t="s">
        <v>80</v>
      </c>
      <c r="D5" s="8"/>
      <c r="E5" s="8"/>
      <c r="F5" s="8"/>
      <c r="G5" s="8"/>
      <c r="H5" s="8"/>
      <c r="I5" s="8"/>
      <c r="J5" s="8"/>
      <c r="K5" s="8"/>
      <c r="L5" s="8"/>
    </row>
    <row r="6" spans="2:12" ht="12.75">
      <c r="B6" s="8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12.75">
      <c r="B7" s="8" t="s">
        <v>3</v>
      </c>
      <c r="C7" s="8" t="s">
        <v>81</v>
      </c>
      <c r="D7" s="8"/>
      <c r="E7" s="8"/>
      <c r="F7" s="8"/>
      <c r="G7" s="8"/>
      <c r="H7" s="8"/>
      <c r="I7" s="8"/>
      <c r="J7" s="8"/>
      <c r="K7" s="8"/>
      <c r="L7" s="8"/>
    </row>
    <row r="8" spans="2:12" ht="12.75">
      <c r="B8" s="8" t="s">
        <v>4</v>
      </c>
      <c r="C8" s="8" t="s">
        <v>82</v>
      </c>
      <c r="D8" s="8"/>
      <c r="E8" s="8"/>
      <c r="F8" s="8"/>
      <c r="G8" s="8"/>
      <c r="H8" s="8"/>
      <c r="I8" s="8"/>
      <c r="J8" s="8"/>
      <c r="K8" s="8"/>
      <c r="L8" s="8"/>
    </row>
    <row r="9" spans="2:12" ht="12.75">
      <c r="B9" s="8" t="s">
        <v>5</v>
      </c>
      <c r="C9" s="8" t="s">
        <v>128</v>
      </c>
      <c r="D9" s="8"/>
      <c r="E9" s="8"/>
      <c r="F9" s="8"/>
      <c r="G9" s="8"/>
      <c r="H9" s="8"/>
      <c r="I9" s="8"/>
      <c r="J9" s="8"/>
      <c r="K9" s="8"/>
      <c r="L9" s="8"/>
    </row>
    <row r="10" spans="2:12" ht="12.75">
      <c r="B10" s="8" t="s">
        <v>6</v>
      </c>
      <c r="C10" s="8" t="s">
        <v>83</v>
      </c>
      <c r="D10" s="8"/>
      <c r="E10" s="8"/>
      <c r="F10" s="8"/>
      <c r="G10" s="8"/>
      <c r="H10" s="8"/>
      <c r="I10" s="8"/>
      <c r="J10" s="8"/>
      <c r="K10" s="8"/>
      <c r="L10" s="8"/>
    </row>
    <row r="11" spans="2:12" ht="12.75">
      <c r="B11" s="8" t="s">
        <v>145</v>
      </c>
      <c r="C11" s="9">
        <v>1</v>
      </c>
      <c r="D11" s="8"/>
      <c r="E11" s="8"/>
      <c r="F11" s="8"/>
      <c r="G11" s="8"/>
      <c r="H11" s="8"/>
      <c r="I11" s="8"/>
      <c r="J11" s="8"/>
      <c r="K11" s="8"/>
      <c r="L11" s="8"/>
    </row>
    <row r="12" spans="2:12" ht="12.75">
      <c r="B12" s="8" t="s">
        <v>129</v>
      </c>
      <c r="C12" s="8" t="s">
        <v>157</v>
      </c>
      <c r="D12" s="8"/>
      <c r="E12" s="8"/>
      <c r="F12" s="8"/>
      <c r="G12" s="8"/>
      <c r="H12" s="8"/>
      <c r="I12" s="8"/>
      <c r="J12" s="8"/>
      <c r="K12" s="8"/>
      <c r="L12" s="8"/>
    </row>
    <row r="13" spans="2:12" ht="12.75">
      <c r="B13" s="8" t="s">
        <v>130</v>
      </c>
      <c r="C13" s="8" t="s">
        <v>155</v>
      </c>
      <c r="D13" s="8"/>
      <c r="E13" s="8"/>
      <c r="F13" s="8"/>
      <c r="G13" s="8"/>
      <c r="H13" s="8"/>
      <c r="I13" s="8"/>
      <c r="J13" s="8"/>
      <c r="K13" s="8"/>
      <c r="L13" s="8"/>
    </row>
    <row r="14" spans="2:12" s="31" customFormat="1" ht="38.25">
      <c r="B14" s="30" t="s">
        <v>31</v>
      </c>
      <c r="C14" s="30" t="s">
        <v>139</v>
      </c>
      <c r="D14" s="30"/>
      <c r="E14" s="30"/>
      <c r="F14" s="30"/>
      <c r="G14" s="30"/>
      <c r="H14" s="30"/>
      <c r="I14" s="30"/>
      <c r="J14" s="30"/>
      <c r="K14" s="30"/>
      <c r="L14" s="30"/>
    </row>
    <row r="15" spans="2:12" s="31" customFormat="1" ht="12.75">
      <c r="B15" s="30" t="s">
        <v>36</v>
      </c>
      <c r="C15" s="32">
        <v>4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2:12" s="31" customFormat="1" ht="12.75">
      <c r="B16" s="8" t="s">
        <v>40</v>
      </c>
      <c r="C16" s="30"/>
      <c r="F16" s="30"/>
      <c r="G16" s="30"/>
      <c r="H16" s="30"/>
      <c r="I16" s="30"/>
      <c r="J16" s="30"/>
      <c r="K16" s="30"/>
      <c r="L16" s="30"/>
    </row>
    <row r="17" spans="2:12" s="31" customFormat="1" ht="12.75">
      <c r="B17" s="8" t="s">
        <v>146</v>
      </c>
      <c r="C17" s="30" t="s">
        <v>125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2:12" s="31" customFormat="1" ht="12.75">
      <c r="B18" s="8" t="s">
        <v>147</v>
      </c>
      <c r="C18" s="30" t="s">
        <v>148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12.75">
      <c r="B19" s="30" t="s">
        <v>7</v>
      </c>
      <c r="C19" s="30" t="s">
        <v>84</v>
      </c>
      <c r="D19" s="8"/>
      <c r="E19" s="8"/>
      <c r="F19" s="8"/>
      <c r="G19" s="8"/>
      <c r="H19" s="8"/>
      <c r="I19" s="8"/>
      <c r="J19" s="8"/>
      <c r="K19" s="8"/>
      <c r="L19" s="8"/>
    </row>
    <row r="20" spans="2:12" ht="12.75">
      <c r="B20" s="8" t="s">
        <v>34</v>
      </c>
      <c r="C20" s="30" t="s">
        <v>149</v>
      </c>
      <c r="D20" s="8"/>
      <c r="E20" s="8"/>
      <c r="F20" s="8"/>
      <c r="G20" s="8"/>
      <c r="H20" s="8"/>
      <c r="I20" s="8"/>
      <c r="J20" s="8"/>
      <c r="K20" s="8"/>
      <c r="L20" s="8"/>
    </row>
    <row r="21" spans="2:12" ht="12.75">
      <c r="B21" s="8" t="s">
        <v>41</v>
      </c>
      <c r="C21" s="36" t="s">
        <v>124</v>
      </c>
      <c r="D21" s="8"/>
      <c r="E21" s="8"/>
      <c r="F21" s="8"/>
      <c r="G21" s="8"/>
      <c r="H21" s="8"/>
      <c r="I21" s="8"/>
      <c r="J21" s="8"/>
      <c r="K21" s="8"/>
      <c r="L21" s="8"/>
    </row>
    <row r="22" spans="2:12" ht="12.75">
      <c r="B22" s="8" t="s">
        <v>35</v>
      </c>
      <c r="C22" s="8" t="s">
        <v>63</v>
      </c>
      <c r="D22" s="8"/>
      <c r="E22" s="8"/>
      <c r="F22" s="8"/>
      <c r="G22" s="8"/>
      <c r="H22" s="8"/>
      <c r="I22" s="8"/>
      <c r="J22" s="8"/>
      <c r="K22" s="8"/>
      <c r="L22" s="8"/>
    </row>
    <row r="23" spans="2:12" ht="12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2" ht="12.75">
      <c r="B24" s="8" t="s">
        <v>8</v>
      </c>
      <c r="C24" s="9"/>
      <c r="D24" s="8"/>
      <c r="E24" s="8"/>
      <c r="F24" s="8"/>
      <c r="G24" s="8"/>
      <c r="H24" s="8"/>
      <c r="I24" s="8"/>
      <c r="J24" s="8"/>
      <c r="K24" s="8"/>
      <c r="L24" s="8"/>
    </row>
    <row r="25" spans="2:12" ht="12.75">
      <c r="B25" s="8" t="s">
        <v>9</v>
      </c>
      <c r="C25" s="35">
        <v>2</v>
      </c>
      <c r="D25" s="8"/>
      <c r="E25" s="8"/>
      <c r="F25" s="8"/>
      <c r="G25" s="8"/>
      <c r="H25" s="8"/>
      <c r="I25" s="8"/>
      <c r="J25" s="8"/>
      <c r="K25" s="8"/>
      <c r="L25" s="8"/>
    </row>
    <row r="26" spans="2:12" ht="12.75">
      <c r="B26" s="8" t="s">
        <v>10</v>
      </c>
      <c r="C26" s="9">
        <v>65</v>
      </c>
      <c r="D26" s="8"/>
      <c r="E26" s="8"/>
      <c r="F26" s="8"/>
      <c r="G26" s="8"/>
      <c r="H26" s="8"/>
      <c r="I26" s="8"/>
      <c r="J26" s="8"/>
      <c r="K26" s="8"/>
      <c r="L26" s="8"/>
    </row>
    <row r="27" spans="2:12" ht="12.75">
      <c r="B27" s="8" t="s">
        <v>37</v>
      </c>
      <c r="C27" s="10">
        <f>2700/60</f>
        <v>45</v>
      </c>
      <c r="D27" s="8"/>
      <c r="E27" s="8"/>
      <c r="F27" s="8"/>
      <c r="G27" s="8"/>
      <c r="H27" s="8"/>
      <c r="I27" s="8"/>
      <c r="J27" s="8"/>
      <c r="K27" s="8"/>
      <c r="L27" s="8"/>
    </row>
    <row r="28" spans="2:12" ht="14.25" customHeight="1">
      <c r="B28" s="8" t="s">
        <v>38</v>
      </c>
      <c r="C28" s="9">
        <v>310</v>
      </c>
      <c r="D28" s="8"/>
      <c r="E28" s="8"/>
      <c r="F28" s="8"/>
      <c r="G28" s="8"/>
      <c r="H28" s="8"/>
      <c r="I28" s="8"/>
      <c r="J28" s="8"/>
      <c r="K28" s="8"/>
      <c r="L28" s="8"/>
    </row>
    <row r="29" spans="2:12" ht="12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2.75">
      <c r="B30" s="8" t="s">
        <v>11</v>
      </c>
      <c r="C30" s="8" t="s">
        <v>87</v>
      </c>
      <c r="D30" s="8"/>
      <c r="E30" s="8"/>
      <c r="F30" s="8"/>
      <c r="G30" s="8"/>
      <c r="H30" s="8"/>
      <c r="I30" s="8"/>
      <c r="J30" s="8"/>
      <c r="K30" s="8"/>
      <c r="L30" s="8"/>
    </row>
    <row r="31" spans="2:12" ht="12.75">
      <c r="B31" s="8" t="s">
        <v>54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48" spans="2:12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2.75">
      <c r="B49" s="8"/>
      <c r="C49" s="11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39"/>
      <c r="C51" s="37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2:12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2:12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2:12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2:12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2:12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2:12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2:12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2:12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2:12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2:12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2:12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2:12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2:12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2:12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2:12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2:12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2:12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2:12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2:12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2:12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2:12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2:12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2:12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2:12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2:12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2:12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2:12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2:12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2:12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2:12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2:12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2:12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2:12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2:12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2:12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2:12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2:12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B1">
      <selection activeCell="C11" sqref="C11"/>
    </sheetView>
  </sheetViews>
  <sheetFormatPr defaultColWidth="9.140625" defaultRowHeight="12.75"/>
  <cols>
    <col min="1" max="1" width="2.8515625" style="0" hidden="1" customWidth="1"/>
    <col min="2" max="2" width="25.28125" style="0" customWidth="1"/>
    <col min="3" max="3" width="56.7109375" style="0" customWidth="1"/>
  </cols>
  <sheetData>
    <row r="1" ht="12.75">
      <c r="B1" s="3" t="s">
        <v>131</v>
      </c>
    </row>
    <row r="3" spans="2:12" s="1" customFormat="1" ht="12.75">
      <c r="B3" s="3" t="s">
        <v>95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s="1" customFormat="1" ht="12.75">
      <c r="B4" s="3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s="1" customFormat="1" ht="12.75">
      <c r="B5" s="39" t="s">
        <v>132</v>
      </c>
      <c r="C5" s="36" t="s">
        <v>85</v>
      </c>
      <c r="D5" s="8"/>
      <c r="E5" s="8"/>
      <c r="F5" s="8"/>
      <c r="G5" s="8"/>
      <c r="H5" s="8"/>
      <c r="I5" s="8"/>
      <c r="J5" s="8"/>
      <c r="K5" s="8"/>
      <c r="L5" s="8"/>
    </row>
    <row r="6" spans="2:12" s="1" customFormat="1" ht="12.75">
      <c r="B6" s="8" t="s">
        <v>133</v>
      </c>
      <c r="C6" s="8" t="s">
        <v>86</v>
      </c>
      <c r="D6" s="8"/>
      <c r="E6" s="8"/>
      <c r="F6" s="8"/>
      <c r="G6" s="8"/>
      <c r="H6" s="8"/>
      <c r="I6" s="8"/>
      <c r="J6" s="8"/>
      <c r="K6" s="8"/>
      <c r="L6" s="8"/>
    </row>
    <row r="7" spans="2:12" s="1" customFormat="1" ht="12.75">
      <c r="B7" s="8" t="s">
        <v>134</v>
      </c>
      <c r="C7" s="8" t="s">
        <v>80</v>
      </c>
      <c r="D7" s="8"/>
      <c r="E7" s="8"/>
      <c r="F7" s="8"/>
      <c r="G7" s="8"/>
      <c r="H7" s="8"/>
      <c r="I7" s="8"/>
      <c r="J7" s="8"/>
      <c r="K7" s="8"/>
      <c r="L7" s="8"/>
    </row>
    <row r="8" spans="2:12" s="1" customFormat="1" ht="12.75">
      <c r="B8" s="8" t="s">
        <v>135</v>
      </c>
      <c r="C8" s="11" t="s">
        <v>88</v>
      </c>
      <c r="D8" s="8"/>
      <c r="E8" s="8"/>
      <c r="F8" s="8"/>
      <c r="G8" s="8"/>
      <c r="H8" s="8"/>
      <c r="I8" s="8"/>
      <c r="J8" s="8"/>
      <c r="K8" s="8"/>
      <c r="L8" s="8"/>
    </row>
    <row r="9" spans="2:12" s="1" customFormat="1" ht="12.75">
      <c r="B9" s="8" t="s">
        <v>144</v>
      </c>
      <c r="C9" s="50">
        <v>34790</v>
      </c>
      <c r="D9" s="8"/>
      <c r="E9" s="8"/>
      <c r="F9" s="8"/>
      <c r="G9" s="8"/>
      <c r="H9" s="8"/>
      <c r="I9" s="8"/>
      <c r="J9" s="8"/>
      <c r="K9" s="8"/>
      <c r="L9" s="8"/>
    </row>
    <row r="10" spans="2:12" s="1" customFormat="1" ht="12.75">
      <c r="B10" s="8" t="s">
        <v>136</v>
      </c>
      <c r="C10" s="8" t="s">
        <v>91</v>
      </c>
      <c r="D10" s="8"/>
      <c r="E10" s="8"/>
      <c r="F10" s="8"/>
      <c r="G10" s="8"/>
      <c r="H10" s="8"/>
      <c r="I10" s="8"/>
      <c r="J10" s="8"/>
      <c r="K10" s="8"/>
      <c r="L10" s="8"/>
    </row>
    <row r="11" spans="2:12" s="1" customFormat="1" ht="12.75">
      <c r="B11" s="39" t="s">
        <v>137</v>
      </c>
      <c r="C11" s="37" t="s">
        <v>92</v>
      </c>
      <c r="D11" s="8"/>
      <c r="E11" s="8"/>
      <c r="F11" s="8"/>
      <c r="G11" s="8"/>
      <c r="H11" s="8"/>
      <c r="I11" s="8"/>
      <c r="J11" s="8"/>
      <c r="K11" s="8"/>
      <c r="L11" s="8"/>
    </row>
    <row r="12" spans="2:12" s="1" customFormat="1" ht="12.75">
      <c r="B12" s="39"/>
      <c r="C12" s="37"/>
      <c r="D12" s="8"/>
      <c r="E12" s="8"/>
      <c r="F12" s="8"/>
      <c r="G12" s="8"/>
      <c r="H12" s="8"/>
      <c r="I12" s="8"/>
      <c r="J12" s="8"/>
      <c r="K12" s="8"/>
      <c r="L12" s="8"/>
    </row>
    <row r="13" spans="2:12" s="1" customFormat="1" ht="12.75">
      <c r="B13" s="3" t="s">
        <v>98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2:12" s="1" customFormat="1" ht="12.75"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s="1" customFormat="1" ht="12.75">
      <c r="B15" s="39" t="s">
        <v>132</v>
      </c>
      <c r="C15" s="36" t="s">
        <v>85</v>
      </c>
      <c r="D15" s="8"/>
      <c r="E15" s="8"/>
      <c r="F15" s="8"/>
      <c r="G15" s="8"/>
      <c r="H15" s="8"/>
      <c r="I15" s="8"/>
      <c r="J15" s="8"/>
      <c r="K15" s="8"/>
      <c r="L15" s="8"/>
    </row>
    <row r="16" spans="2:12" s="1" customFormat="1" ht="12.75">
      <c r="B16" s="8" t="s">
        <v>133</v>
      </c>
      <c r="C16" s="8" t="s">
        <v>86</v>
      </c>
      <c r="D16" s="8"/>
      <c r="E16" s="8"/>
      <c r="F16" s="8"/>
      <c r="G16" s="8"/>
      <c r="H16" s="8"/>
      <c r="I16" s="8"/>
      <c r="J16" s="8"/>
      <c r="K16" s="8"/>
      <c r="L16" s="8"/>
    </row>
    <row r="17" spans="2:12" s="1" customFormat="1" ht="12.75">
      <c r="B17" s="8" t="s">
        <v>134</v>
      </c>
      <c r="C17" s="8" t="s">
        <v>80</v>
      </c>
      <c r="D17" s="8"/>
      <c r="E17" s="8"/>
      <c r="F17" s="8"/>
      <c r="G17" s="8"/>
      <c r="H17" s="8"/>
      <c r="I17" s="8"/>
      <c r="J17" s="8"/>
      <c r="K17" s="8"/>
      <c r="L17" s="8"/>
    </row>
    <row r="18" spans="2:12" s="1" customFormat="1" ht="12.75">
      <c r="B18" s="8" t="s">
        <v>135</v>
      </c>
      <c r="C18" s="11" t="s">
        <v>89</v>
      </c>
      <c r="D18" s="8"/>
      <c r="E18" s="8"/>
      <c r="F18" s="8"/>
      <c r="G18" s="8"/>
      <c r="H18" s="8"/>
      <c r="I18" s="8"/>
      <c r="J18" s="8"/>
      <c r="K18" s="8"/>
      <c r="L18" s="8"/>
    </row>
    <row r="19" spans="2:12" s="1" customFormat="1" ht="12.75">
      <c r="B19" s="8" t="s">
        <v>144</v>
      </c>
      <c r="C19" s="50">
        <v>34820</v>
      </c>
      <c r="D19" s="8"/>
      <c r="E19" s="8"/>
      <c r="F19" s="8"/>
      <c r="G19" s="8"/>
      <c r="H19" s="8"/>
      <c r="I19" s="8"/>
      <c r="J19" s="8"/>
      <c r="K19" s="8"/>
      <c r="L19" s="8"/>
    </row>
    <row r="20" spans="2:12" s="1" customFormat="1" ht="12.75">
      <c r="B20" s="8" t="s">
        <v>136</v>
      </c>
      <c r="C20" s="8" t="s">
        <v>93</v>
      </c>
      <c r="D20" s="8"/>
      <c r="E20" s="8"/>
      <c r="F20" s="8"/>
      <c r="G20" s="8"/>
      <c r="H20" s="8"/>
      <c r="I20" s="8"/>
      <c r="J20" s="8"/>
      <c r="K20" s="8"/>
      <c r="L20" s="8"/>
    </row>
    <row r="21" spans="2:12" s="1" customFormat="1" ht="12.75">
      <c r="B21" s="39" t="s">
        <v>137</v>
      </c>
      <c r="C21" s="37" t="s">
        <v>126</v>
      </c>
      <c r="D21" s="8"/>
      <c r="E21" s="8"/>
      <c r="F21" s="8"/>
      <c r="G21" s="8"/>
      <c r="H21" s="8"/>
      <c r="I21" s="8"/>
      <c r="J21" s="8"/>
      <c r="K21" s="8"/>
      <c r="L21" s="8"/>
    </row>
    <row r="22" spans="2:12" s="1" customFormat="1" ht="12.75">
      <c r="B22" s="39"/>
      <c r="C22" s="37"/>
      <c r="D22" s="8"/>
      <c r="E22" s="8"/>
      <c r="F22" s="8"/>
      <c r="G22" s="8"/>
      <c r="H22" s="8"/>
      <c r="I22" s="8"/>
      <c r="J22" s="8"/>
      <c r="K22" s="8"/>
      <c r="L22" s="8"/>
    </row>
    <row r="23" spans="2:12" s="1" customFormat="1" ht="12.75">
      <c r="B23" s="3" t="s">
        <v>106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2" s="1" customFormat="1" ht="12.75"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2" s="1" customFormat="1" ht="12.75">
      <c r="B25" s="39" t="s">
        <v>132</v>
      </c>
      <c r="C25" s="36" t="s">
        <v>85</v>
      </c>
      <c r="D25" s="8"/>
      <c r="E25" s="8"/>
      <c r="F25" s="8"/>
      <c r="G25" s="8"/>
      <c r="H25" s="8"/>
      <c r="I25" s="8"/>
      <c r="J25" s="8"/>
      <c r="K25" s="8"/>
      <c r="L25" s="8"/>
    </row>
    <row r="26" spans="2:12" s="1" customFormat="1" ht="12.75">
      <c r="B26" s="8" t="s">
        <v>133</v>
      </c>
      <c r="C26" s="8" t="s">
        <v>86</v>
      </c>
      <c r="D26" s="8"/>
      <c r="E26" s="8"/>
      <c r="F26" s="8"/>
      <c r="G26" s="8"/>
      <c r="H26" s="8"/>
      <c r="I26" s="8"/>
      <c r="J26" s="8"/>
      <c r="K26" s="8"/>
      <c r="L26" s="8"/>
    </row>
    <row r="27" spans="2:12" s="1" customFormat="1" ht="12.75">
      <c r="B27" s="8" t="s">
        <v>134</v>
      </c>
      <c r="C27" s="8" t="s">
        <v>80</v>
      </c>
      <c r="D27" s="8"/>
      <c r="E27" s="8"/>
      <c r="F27" s="8"/>
      <c r="G27" s="8"/>
      <c r="H27" s="8"/>
      <c r="I27" s="8"/>
      <c r="J27" s="8"/>
      <c r="K27" s="8"/>
      <c r="L27" s="8"/>
    </row>
    <row r="28" spans="2:12" s="1" customFormat="1" ht="12.75">
      <c r="B28" s="8" t="s">
        <v>135</v>
      </c>
      <c r="C28" s="11" t="s">
        <v>90</v>
      </c>
      <c r="D28" s="8"/>
      <c r="E28" s="8"/>
      <c r="F28" s="8"/>
      <c r="G28" s="8"/>
      <c r="H28" s="8"/>
      <c r="I28" s="8"/>
      <c r="J28" s="8"/>
      <c r="K28" s="8"/>
      <c r="L28" s="8"/>
    </row>
    <row r="29" spans="2:12" s="1" customFormat="1" ht="12.75">
      <c r="B29" s="8" t="s">
        <v>144</v>
      </c>
      <c r="C29" s="50">
        <v>34820</v>
      </c>
      <c r="D29" s="8"/>
      <c r="E29" s="8"/>
      <c r="F29" s="8"/>
      <c r="G29" s="8"/>
      <c r="H29" s="8"/>
      <c r="I29" s="8"/>
      <c r="J29" s="8"/>
      <c r="K29" s="8"/>
      <c r="L29" s="8"/>
    </row>
    <row r="30" spans="2:12" s="1" customFormat="1" ht="12.75">
      <c r="B30" s="8" t="s">
        <v>136</v>
      </c>
      <c r="C30" s="8" t="s">
        <v>94</v>
      </c>
      <c r="D30" s="8"/>
      <c r="E30" s="8"/>
      <c r="F30" s="8"/>
      <c r="G30" s="8"/>
      <c r="H30" s="8"/>
      <c r="I30" s="8"/>
      <c r="J30" s="8"/>
      <c r="K30" s="8"/>
      <c r="L30" s="8"/>
    </row>
    <row r="31" spans="2:12" s="1" customFormat="1" ht="12.75">
      <c r="B31" s="39" t="s">
        <v>137</v>
      </c>
      <c r="C31" s="37" t="s">
        <v>127</v>
      </c>
      <c r="D31" s="8"/>
      <c r="E31" s="8"/>
      <c r="F31" s="8"/>
      <c r="G31" s="8"/>
      <c r="H31" s="8"/>
      <c r="I31" s="8"/>
      <c r="J31" s="8"/>
      <c r="K31" s="8"/>
      <c r="L31" s="8"/>
    </row>
  </sheetData>
  <printOptions headings="1" horizontalCentered="1"/>
  <pageMargins left="0.25" right="0.25" top="0.5" bottom="0.5" header="0.25" footer="0.25"/>
  <pageSetup horizontalDpi="1200" verticalDpi="12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3"/>
  <sheetViews>
    <sheetView workbookViewId="0" topLeftCell="B1">
      <selection activeCell="C11" sqref="C11"/>
    </sheetView>
  </sheetViews>
  <sheetFormatPr defaultColWidth="9.140625" defaultRowHeight="12.75"/>
  <cols>
    <col min="1" max="1" width="1.421875" style="13" hidden="1" customWidth="1"/>
    <col min="2" max="2" width="17.421875" style="13" customWidth="1"/>
    <col min="3" max="3" width="6.140625" style="13" customWidth="1"/>
    <col min="4" max="4" width="8.8515625" style="4" customWidth="1"/>
    <col min="5" max="5" width="6.140625" style="4" customWidth="1"/>
    <col min="6" max="6" width="4.00390625" style="4" customWidth="1"/>
    <col min="7" max="7" width="10.421875" style="13" customWidth="1"/>
    <col min="8" max="8" width="3.8515625" style="13" customWidth="1"/>
    <col min="9" max="9" width="11.00390625" style="14" customWidth="1"/>
    <col min="10" max="10" width="4.7109375" style="13" customWidth="1"/>
    <col min="11" max="11" width="10.8515625" style="13" customWidth="1"/>
    <col min="12" max="12" width="4.00390625" style="13" customWidth="1"/>
    <col min="14" max="14" width="4.140625" style="13" customWidth="1"/>
    <col min="15" max="16384" width="8.8515625" style="13" customWidth="1"/>
  </cols>
  <sheetData>
    <row r="1" spans="2:3" ht="12.75">
      <c r="B1" s="12" t="s">
        <v>30</v>
      </c>
      <c r="C1" s="12"/>
    </row>
    <row r="2" spans="2:12" ht="12.75">
      <c r="B2" s="15"/>
      <c r="C2" s="15"/>
      <c r="G2" s="15"/>
      <c r="H2" s="15"/>
      <c r="I2" s="16"/>
      <c r="J2" s="15"/>
      <c r="K2" s="15"/>
      <c r="L2" s="15"/>
    </row>
    <row r="3" spans="2:5" ht="12.75">
      <c r="B3" s="8"/>
      <c r="C3" s="8" t="s">
        <v>46</v>
      </c>
      <c r="D3" s="4" t="s">
        <v>12</v>
      </c>
      <c r="E3" s="4" t="s">
        <v>32</v>
      </c>
    </row>
    <row r="4" spans="2:12" ht="12.75">
      <c r="B4" s="8"/>
      <c r="C4" s="8"/>
      <c r="G4" s="15"/>
      <c r="H4" s="15"/>
      <c r="I4" s="16"/>
      <c r="J4" s="15"/>
      <c r="K4" s="15"/>
      <c r="L4" s="15"/>
    </row>
    <row r="5" spans="2:12" ht="12.75">
      <c r="B5" s="8"/>
      <c r="C5" s="8"/>
      <c r="G5" s="15"/>
      <c r="H5" s="15"/>
      <c r="I5" s="16"/>
      <c r="J5" s="15"/>
      <c r="K5" s="15"/>
      <c r="L5" s="15"/>
    </row>
    <row r="6" spans="1:15" ht="12.75">
      <c r="A6" s="13">
        <v>1</v>
      </c>
      <c r="B6" s="17" t="s">
        <v>95</v>
      </c>
      <c r="C6" s="17"/>
      <c r="G6" s="15" t="s">
        <v>76</v>
      </c>
      <c r="H6" s="15"/>
      <c r="I6" s="16" t="s">
        <v>77</v>
      </c>
      <c r="J6" s="15"/>
      <c r="K6" s="15" t="s">
        <v>78</v>
      </c>
      <c r="L6" s="15"/>
      <c r="M6" s="38" t="s">
        <v>123</v>
      </c>
      <c r="O6" s="13" t="s">
        <v>138</v>
      </c>
    </row>
    <row r="7" spans="2:13" ht="12.75">
      <c r="B7" s="17"/>
      <c r="C7" s="17"/>
      <c r="G7" s="15"/>
      <c r="H7" s="15"/>
      <c r="I7" s="16"/>
      <c r="J7" s="15"/>
      <c r="K7" s="15"/>
      <c r="L7" s="15"/>
      <c r="M7" s="13"/>
    </row>
    <row r="8" spans="2:15" ht="12.75">
      <c r="B8" s="4" t="s">
        <v>13</v>
      </c>
      <c r="C8" s="4" t="s">
        <v>141</v>
      </c>
      <c r="D8" s="4" t="s">
        <v>14</v>
      </c>
      <c r="E8" s="4" t="s">
        <v>15</v>
      </c>
      <c r="F8"/>
      <c r="G8">
        <v>0.0011</v>
      </c>
      <c r="H8"/>
      <c r="I8">
        <v>0.0007</v>
      </c>
      <c r="J8"/>
      <c r="K8">
        <v>0.0009</v>
      </c>
      <c r="L8"/>
      <c r="M8" s="13">
        <v>0.0003</v>
      </c>
      <c r="O8" s="40">
        <f>AVERAGE(I8,G8,K8,M8)</f>
        <v>0.00075</v>
      </c>
    </row>
    <row r="9" spans="2:15" ht="12.75">
      <c r="B9" s="4" t="s">
        <v>62</v>
      </c>
      <c r="C9" s="4" t="s">
        <v>141</v>
      </c>
      <c r="D9" s="8" t="s">
        <v>16</v>
      </c>
      <c r="E9" s="4" t="s">
        <v>15</v>
      </c>
      <c r="F9"/>
      <c r="G9">
        <v>2.8</v>
      </c>
      <c r="H9"/>
      <c r="I9">
        <v>2.8</v>
      </c>
      <c r="J9"/>
      <c r="K9">
        <v>2.7</v>
      </c>
      <c r="L9"/>
      <c r="M9" s="13">
        <v>3.2</v>
      </c>
      <c r="O9" s="40">
        <f>AVERAGE(I9,G9,K9,M9)</f>
        <v>2.875</v>
      </c>
    </row>
    <row r="11" ht="12.75">
      <c r="M11" s="13"/>
    </row>
    <row r="12" spans="2:13" ht="12.75">
      <c r="B12" s="4" t="s">
        <v>156</v>
      </c>
      <c r="C12" s="4"/>
      <c r="D12" s="8" t="s">
        <v>96</v>
      </c>
      <c r="E12" s="8" t="s">
        <v>56</v>
      </c>
      <c r="F12"/>
      <c r="G12">
        <v>0.7</v>
      </c>
      <c r="H12"/>
      <c r="I12">
        <v>0.7</v>
      </c>
      <c r="J12"/>
      <c r="K12">
        <v>0.8</v>
      </c>
      <c r="L12"/>
      <c r="M12" s="13">
        <v>0.7</v>
      </c>
    </row>
    <row r="13" spans="2:15" ht="12.75">
      <c r="B13" s="4" t="s">
        <v>23</v>
      </c>
      <c r="C13" s="4"/>
      <c r="D13" s="4" t="s">
        <v>26</v>
      </c>
      <c r="E13" s="8" t="s">
        <v>56</v>
      </c>
      <c r="F13" t="s">
        <v>55</v>
      </c>
      <c r="G13" s="19">
        <v>0.009</v>
      </c>
      <c r="H13" t="s">
        <v>55</v>
      </c>
      <c r="I13">
        <v>0.01</v>
      </c>
      <c r="J13" t="s">
        <v>55</v>
      </c>
      <c r="K13">
        <v>0.01</v>
      </c>
      <c r="L13" t="s">
        <v>55</v>
      </c>
      <c r="M13" s="13">
        <v>0.01</v>
      </c>
      <c r="O13" s="2"/>
    </row>
    <row r="14" spans="2:15" ht="12.75">
      <c r="B14" s="4" t="s">
        <v>24</v>
      </c>
      <c r="C14" s="4"/>
      <c r="D14" s="4" t="s">
        <v>26</v>
      </c>
      <c r="E14" s="8" t="s">
        <v>56</v>
      </c>
      <c r="F14" t="s">
        <v>55</v>
      </c>
      <c r="G14">
        <v>0.006</v>
      </c>
      <c r="H14" t="s">
        <v>55</v>
      </c>
      <c r="I14">
        <v>0.01</v>
      </c>
      <c r="J14" t="s">
        <v>55</v>
      </c>
      <c r="K14">
        <v>0.007</v>
      </c>
      <c r="L14" t="s">
        <v>55</v>
      </c>
      <c r="M14" s="13">
        <v>0.007</v>
      </c>
      <c r="O14" s="2"/>
    </row>
    <row r="15" spans="2:13" ht="12.75">
      <c r="B15" s="4"/>
      <c r="C15" s="4"/>
      <c r="G15" s="42"/>
      <c r="H15" s="4"/>
      <c r="I15" s="42"/>
      <c r="J15" s="4"/>
      <c r="K15" s="42"/>
      <c r="L15"/>
      <c r="M15" s="2"/>
    </row>
    <row r="16" spans="2:13" ht="12.75">
      <c r="B16" s="4" t="s">
        <v>99</v>
      </c>
      <c r="C16" s="4" t="s">
        <v>102</v>
      </c>
      <c r="G16" s="19"/>
      <c r="H16" s="19"/>
      <c r="I16" s="20"/>
      <c r="J16" s="19"/>
      <c r="K16" s="19"/>
      <c r="M16" s="44"/>
    </row>
    <row r="17" spans="2:13" ht="12.75">
      <c r="B17" s="4" t="s">
        <v>100</v>
      </c>
      <c r="C17" s="4"/>
      <c r="D17" s="4" t="s">
        <v>26</v>
      </c>
      <c r="G17" s="19">
        <v>13.43</v>
      </c>
      <c r="H17" s="19"/>
      <c r="I17" s="20">
        <v>13.5</v>
      </c>
      <c r="J17" s="19"/>
      <c r="K17" s="19">
        <v>13.5</v>
      </c>
      <c r="M17" s="44">
        <v>13.5</v>
      </c>
    </row>
    <row r="18" spans="2:13" ht="12.75">
      <c r="B18" s="4" t="s">
        <v>101</v>
      </c>
      <c r="C18" s="4" t="s">
        <v>142</v>
      </c>
      <c r="D18" s="4" t="s">
        <v>26</v>
      </c>
      <c r="G18" s="45">
        <v>1.2E-06</v>
      </c>
      <c r="H18" s="4"/>
      <c r="I18" s="45">
        <v>1.6E-06</v>
      </c>
      <c r="J18" s="4"/>
      <c r="K18" s="45">
        <v>1.5E-06</v>
      </c>
      <c r="L18" s="4" t="s">
        <v>55</v>
      </c>
      <c r="M18" s="21">
        <v>1.4E-06</v>
      </c>
    </row>
    <row r="19" spans="2:13" ht="12.75">
      <c r="B19" s="4" t="s">
        <v>25</v>
      </c>
      <c r="C19" s="4" t="s">
        <v>142</v>
      </c>
      <c r="D19" s="4" t="s">
        <v>18</v>
      </c>
      <c r="G19" s="19">
        <v>99.9999913</v>
      </c>
      <c r="H19" s="4"/>
      <c r="I19" s="19">
        <v>99.999988</v>
      </c>
      <c r="J19" s="4"/>
      <c r="K19" s="19">
        <v>99.999989</v>
      </c>
      <c r="L19" s="4"/>
      <c r="M19" s="19">
        <v>99.99999</v>
      </c>
    </row>
    <row r="20" spans="2:15" ht="12" customHeight="1">
      <c r="B20" s="4"/>
      <c r="C20" s="4"/>
      <c r="F20"/>
      <c r="G20"/>
      <c r="H20"/>
      <c r="I20"/>
      <c r="J20"/>
      <c r="K20"/>
      <c r="L20"/>
      <c r="M20" s="13"/>
      <c r="O20"/>
    </row>
    <row r="21" spans="2:15" ht="12.75">
      <c r="B21" s="4" t="s">
        <v>50</v>
      </c>
      <c r="C21" s="4" t="s">
        <v>67</v>
      </c>
      <c r="D21" s="4" t="s">
        <v>141</v>
      </c>
      <c r="F21"/>
      <c r="I21" s="13"/>
      <c r="M21" s="13"/>
      <c r="O21"/>
    </row>
    <row r="22" spans="2:15" ht="12.75">
      <c r="B22" s="4" t="s">
        <v>43</v>
      </c>
      <c r="C22" s="4"/>
      <c r="D22" s="4" t="s">
        <v>17</v>
      </c>
      <c r="F22"/>
      <c r="G22">
        <v>5348</v>
      </c>
      <c r="H22"/>
      <c r="I22">
        <v>5359</v>
      </c>
      <c r="J22"/>
      <c r="K22">
        <v>5366</v>
      </c>
      <c r="L22"/>
      <c r="M22" s="13">
        <v>5611</v>
      </c>
      <c r="O22" s="2">
        <f>AVERAGE(M22,K22,I22,G22)</f>
        <v>5421</v>
      </c>
    </row>
    <row r="23" spans="2:15" ht="12.75">
      <c r="B23" s="4" t="s">
        <v>47</v>
      </c>
      <c r="C23" s="4"/>
      <c r="D23" s="4" t="s">
        <v>18</v>
      </c>
      <c r="F23"/>
      <c r="G23">
        <v>12.6</v>
      </c>
      <c r="H23"/>
      <c r="I23">
        <v>12.4</v>
      </c>
      <c r="J23"/>
      <c r="K23">
        <v>12.2</v>
      </c>
      <c r="L23"/>
      <c r="M23" s="13">
        <v>12.2</v>
      </c>
      <c r="O23" s="2">
        <f>AVERAGE(M23,K23,I23,G23)</f>
        <v>12.35</v>
      </c>
    </row>
    <row r="24" spans="2:15" ht="12.75">
      <c r="B24" s="4" t="s">
        <v>48</v>
      </c>
      <c r="C24" s="4"/>
      <c r="D24" s="4" t="s">
        <v>18</v>
      </c>
      <c r="F24"/>
      <c r="G24">
        <v>38.3</v>
      </c>
      <c r="H24"/>
      <c r="I24">
        <v>38.6</v>
      </c>
      <c r="J24"/>
      <c r="K24">
        <v>39.9</v>
      </c>
      <c r="L24"/>
      <c r="M24" s="13">
        <v>40</v>
      </c>
      <c r="O24" s="2">
        <f>AVERAGE(M24,K24,I24,G24)</f>
        <v>39.2</v>
      </c>
    </row>
    <row r="25" spans="2:15" ht="12.75">
      <c r="B25" s="4" t="s">
        <v>42</v>
      </c>
      <c r="C25" s="4"/>
      <c r="D25" s="4" t="s">
        <v>19</v>
      </c>
      <c r="F25"/>
      <c r="G25">
        <v>309</v>
      </c>
      <c r="H25"/>
      <c r="I25">
        <v>310</v>
      </c>
      <c r="J25"/>
      <c r="K25">
        <v>310</v>
      </c>
      <c r="L25"/>
      <c r="M25" s="13">
        <v>316</v>
      </c>
      <c r="O25" s="2">
        <f>AVERAGE(M25,K25,I25,G25)</f>
        <v>311.25</v>
      </c>
    </row>
    <row r="26" spans="2:15" ht="12" customHeight="1">
      <c r="B26" s="4"/>
      <c r="C26" s="4"/>
      <c r="F26"/>
      <c r="G26"/>
      <c r="H26"/>
      <c r="I26"/>
      <c r="J26"/>
      <c r="K26"/>
      <c r="L26"/>
      <c r="M26" s="13"/>
      <c r="O26"/>
    </row>
    <row r="27" spans="2:15" ht="12.75">
      <c r="B27" s="4" t="s">
        <v>50</v>
      </c>
      <c r="C27" s="4" t="s">
        <v>25</v>
      </c>
      <c r="D27" s="4" t="s">
        <v>142</v>
      </c>
      <c r="F27"/>
      <c r="I27" s="13"/>
      <c r="M27" s="13"/>
      <c r="O27"/>
    </row>
    <row r="28" spans="2:15" ht="12.75">
      <c r="B28" s="4" t="s">
        <v>43</v>
      </c>
      <c r="C28" s="4"/>
      <c r="D28" s="4" t="s">
        <v>17</v>
      </c>
      <c r="F28"/>
      <c r="G28" s="2">
        <f>152/0.0283</f>
        <v>5371.024734982332</v>
      </c>
      <c r="H28"/>
      <c r="I28" s="2">
        <f>152/0.0283</f>
        <v>5371.024734982332</v>
      </c>
      <c r="J28"/>
      <c r="K28" s="2">
        <f>152/0.0283</f>
        <v>5371.024734982332</v>
      </c>
      <c r="L28"/>
      <c r="M28" s="13">
        <f>159/0.0283</f>
        <v>5618.374558303887</v>
      </c>
      <c r="O28" s="2">
        <f>AVERAGE(M28,K28,I28,G28)</f>
        <v>5432.862190812722</v>
      </c>
    </row>
    <row r="29" spans="2:15" ht="12.75">
      <c r="B29" s="4" t="s">
        <v>47</v>
      </c>
      <c r="C29" s="4"/>
      <c r="D29" s="4" t="s">
        <v>18</v>
      </c>
      <c r="F29"/>
      <c r="G29"/>
      <c r="H29"/>
      <c r="I29"/>
      <c r="J29"/>
      <c r="K29"/>
      <c r="L29"/>
      <c r="M29" s="13"/>
      <c r="O29" s="2"/>
    </row>
    <row r="30" spans="2:15" ht="12.75">
      <c r="B30" s="4" t="s">
        <v>48</v>
      </c>
      <c r="C30" s="4"/>
      <c r="D30" s="4" t="s">
        <v>18</v>
      </c>
      <c r="F30"/>
      <c r="G30"/>
      <c r="H30"/>
      <c r="I30"/>
      <c r="J30"/>
      <c r="K30"/>
      <c r="L30"/>
      <c r="M30" s="13"/>
      <c r="O30" s="2"/>
    </row>
    <row r="31" spans="2:15" ht="12.75">
      <c r="B31" s="4" t="s">
        <v>42</v>
      </c>
      <c r="C31" s="4"/>
      <c r="D31" s="4" t="s">
        <v>19</v>
      </c>
      <c r="F31"/>
      <c r="G31"/>
      <c r="H31"/>
      <c r="I31"/>
      <c r="J31"/>
      <c r="K31"/>
      <c r="L31"/>
      <c r="M31" s="13"/>
      <c r="O31" s="2"/>
    </row>
    <row r="32" spans="2:15" ht="12.75">
      <c r="B32" s="4"/>
      <c r="C32" s="4"/>
      <c r="F32"/>
      <c r="G32"/>
      <c r="H32"/>
      <c r="I32"/>
      <c r="J32"/>
      <c r="K32"/>
      <c r="L32"/>
      <c r="M32" s="13"/>
      <c r="O32" s="2"/>
    </row>
    <row r="33" spans="2:15" ht="12.75">
      <c r="B33" s="4" t="s">
        <v>156</v>
      </c>
      <c r="C33" s="4" t="s">
        <v>141</v>
      </c>
      <c r="D33" s="4" t="s">
        <v>16</v>
      </c>
      <c r="E33" s="4" t="s">
        <v>15</v>
      </c>
      <c r="F33"/>
      <c r="G33" s="42">
        <f>G12*(21-7)/(21-G23)*(1-(G24/100))</f>
        <v>0.7198333333333332</v>
      </c>
      <c r="H33"/>
      <c r="I33" s="42">
        <f>I12*(21-7)/(21-I23)*(1-(I24/100))</f>
        <v>0.6996744186046512</v>
      </c>
      <c r="J33"/>
      <c r="K33" s="42">
        <f>K12*(21-7)/(21-K23)*(1-(K24/100))</f>
        <v>0.7649090909090909</v>
      </c>
      <c r="L33"/>
      <c r="M33" s="42">
        <f>M12*(21-7)/(21-M23)*(1-(M24/100))</f>
        <v>0.6681818181818181</v>
      </c>
      <c r="O33" s="2">
        <f>AVERAGE(M33,K33,I33,G33)</f>
        <v>0.7131496652572233</v>
      </c>
    </row>
    <row r="34" spans="2:15" ht="12.75">
      <c r="B34" s="4"/>
      <c r="C34" s="4"/>
      <c r="F34"/>
      <c r="G34" s="42"/>
      <c r="H34"/>
      <c r="I34" s="42"/>
      <c r="J34"/>
      <c r="K34" s="42"/>
      <c r="L34"/>
      <c r="M34" s="42"/>
      <c r="O34"/>
    </row>
    <row r="35" spans="2:15" ht="12.75">
      <c r="B35" s="4" t="s">
        <v>23</v>
      </c>
      <c r="C35" s="4" t="s">
        <v>141</v>
      </c>
      <c r="D35" s="4" t="s">
        <v>16</v>
      </c>
      <c r="E35" s="4" t="s">
        <v>15</v>
      </c>
      <c r="F35" t="s">
        <v>55</v>
      </c>
      <c r="G35" s="42">
        <f>G13*454/60/0.0283/G$22*(21-7)/(21-G$23)*667.8</f>
        <v>0.5008001406027416</v>
      </c>
      <c r="H35" t="s">
        <v>55</v>
      </c>
      <c r="I35" s="42">
        <f>I13*454/60/0.0283/I$22*(21-7)/(21-I23)*667.8</f>
        <v>0.5423884203666437</v>
      </c>
      <c r="J35" t="s">
        <v>55</v>
      </c>
      <c r="K35" s="42">
        <f>K13*454/60/0.0283/K$22*(21-7)/(21-K23)*667.8</f>
        <v>0.5293699404670326</v>
      </c>
      <c r="L35" t="s">
        <v>55</v>
      </c>
      <c r="M35" s="42">
        <f>M13*454/60/0.0283/M$22*(21-7)/(21-M23)*667.8</f>
        <v>0.5062554091153265</v>
      </c>
      <c r="N35" s="13">
        <v>100</v>
      </c>
      <c r="O35" s="2">
        <f>AVERAGE(M35,K35,I35,G35)</f>
        <v>0.5197034776379361</v>
      </c>
    </row>
    <row r="36" spans="2:15" ht="12.75">
      <c r="B36" s="4" t="s">
        <v>24</v>
      </c>
      <c r="C36" t="s">
        <v>141</v>
      </c>
      <c r="D36" s="4" t="s">
        <v>16</v>
      </c>
      <c r="E36" s="4" t="s">
        <v>15</v>
      </c>
      <c r="F36" t="s">
        <v>55</v>
      </c>
      <c r="G36" s="42">
        <f>G14*454/60/0.0283/G$22*(21-7)/(21-G$23)*343.4</f>
        <v>0.17168290734050262</v>
      </c>
      <c r="H36" t="s">
        <v>55</v>
      </c>
      <c r="I36" s="42">
        <f>I14*454/60/0.0283/I$22*(21-7)/(21-I$23)*343.4</f>
        <v>0.278910128113066</v>
      </c>
      <c r="J36" t="s">
        <v>55</v>
      </c>
      <c r="K36" s="42">
        <f>K14*454/60/0.0283/K$22*(21-7)/(21-K$23)*343.4</f>
        <v>0.1905509827635</v>
      </c>
      <c r="L36" t="s">
        <v>55</v>
      </c>
      <c r="M36" s="42">
        <f>M14*454/60/0.0283/M$22*(21-7)/(21-M$23)*343.4</f>
        <v>0.1822307206396259</v>
      </c>
      <c r="N36">
        <v>100</v>
      </c>
      <c r="O36" s="2">
        <f>AVERAGE(M36,K36,I36,G36)</f>
        <v>0.20584368471417364</v>
      </c>
    </row>
    <row r="37" spans="2:15" ht="12.75">
      <c r="B37" s="4" t="s">
        <v>57</v>
      </c>
      <c r="C37" s="4" t="s">
        <v>141</v>
      </c>
      <c r="D37" s="4" t="s">
        <v>16</v>
      </c>
      <c r="E37" s="4" t="s">
        <v>15</v>
      </c>
      <c r="F37">
        <v>100</v>
      </c>
      <c r="G37" s="42">
        <f>(G36*2+G35)</f>
        <v>0.8441659552837468</v>
      </c>
      <c r="H37">
        <v>100</v>
      </c>
      <c r="I37" s="42">
        <f>(I36*2+I35)</f>
        <v>1.1002086765927757</v>
      </c>
      <c r="J37">
        <v>100</v>
      </c>
      <c r="K37" s="42">
        <f>(K36*2+K35)</f>
        <v>0.9104719059940325</v>
      </c>
      <c r="L37">
        <v>100</v>
      </c>
      <c r="M37" s="42">
        <f>(M36*2+M35)</f>
        <v>0.8707168503945784</v>
      </c>
      <c r="N37">
        <v>100</v>
      </c>
      <c r="O37" s="2">
        <f>AVERAGE(M37,K37,I37,G37)</f>
        <v>0.9313908470662833</v>
      </c>
    </row>
    <row r="38" ht="12.75">
      <c r="B38" s="4"/>
    </row>
    <row r="39" spans="1:15" ht="12.75">
      <c r="A39" s="13">
        <v>2</v>
      </c>
      <c r="B39" s="17" t="s">
        <v>98</v>
      </c>
      <c r="C39" s="17"/>
      <c r="G39" s="15" t="s">
        <v>76</v>
      </c>
      <c r="H39" s="15"/>
      <c r="I39" s="16" t="s">
        <v>77</v>
      </c>
      <c r="J39" s="15"/>
      <c r="K39" s="15" t="s">
        <v>78</v>
      </c>
      <c r="L39" s="15"/>
      <c r="M39" s="38" t="s">
        <v>123</v>
      </c>
      <c r="O39" s="13" t="s">
        <v>138</v>
      </c>
    </row>
    <row r="41" spans="2:15" ht="12.75">
      <c r="B41" s="4" t="s">
        <v>13</v>
      </c>
      <c r="C41" s="4" t="s">
        <v>141</v>
      </c>
      <c r="D41" s="4" t="s">
        <v>14</v>
      </c>
      <c r="E41" s="4" t="s">
        <v>15</v>
      </c>
      <c r="F41"/>
      <c r="G41">
        <v>0.0002</v>
      </c>
      <c r="H41"/>
      <c r="I41">
        <v>0.0009</v>
      </c>
      <c r="J41"/>
      <c r="K41">
        <v>0.0008</v>
      </c>
      <c r="L41"/>
      <c r="M41" s="13">
        <v>0.0024</v>
      </c>
      <c r="O41" s="40">
        <f>AVERAGE(I41,G41,K41,M41)</f>
        <v>0.001075</v>
      </c>
    </row>
    <row r="42" spans="2:15" ht="12.75">
      <c r="B42" s="4" t="s">
        <v>62</v>
      </c>
      <c r="C42" s="4" t="s">
        <v>141</v>
      </c>
      <c r="D42" s="8" t="s">
        <v>16</v>
      </c>
      <c r="E42" s="8" t="s">
        <v>15</v>
      </c>
      <c r="F42"/>
      <c r="G42" s="2">
        <v>4.6</v>
      </c>
      <c r="H42" s="2"/>
      <c r="I42" s="2">
        <v>1.6</v>
      </c>
      <c r="J42"/>
      <c r="K42">
        <v>1.6</v>
      </c>
      <c r="L42"/>
      <c r="M42" s="13">
        <v>4.8</v>
      </c>
      <c r="O42" s="42">
        <f>AVERAGE(I42,G42,K42,M42)</f>
        <v>3.1499999999999995</v>
      </c>
    </row>
    <row r="43" spans="2:15" ht="12.75">
      <c r="B43" s="4"/>
      <c r="C43" s="4"/>
      <c r="D43" s="8"/>
      <c r="E43" s="8"/>
      <c r="F43"/>
      <c r="G43" s="2"/>
      <c r="H43" s="2"/>
      <c r="I43" s="2"/>
      <c r="J43"/>
      <c r="K43"/>
      <c r="L43"/>
      <c r="M43" s="13"/>
      <c r="O43" s="42"/>
    </row>
    <row r="44" spans="2:13" ht="12.75">
      <c r="B44" s="4" t="s">
        <v>156</v>
      </c>
      <c r="C44" s="4"/>
      <c r="D44" s="8" t="s">
        <v>16</v>
      </c>
      <c r="E44" s="8" t="s">
        <v>56</v>
      </c>
      <c r="F44"/>
      <c r="G44">
        <v>1.4</v>
      </c>
      <c r="H44"/>
      <c r="I44">
        <v>0.8</v>
      </c>
      <c r="J44"/>
      <c r="K44">
        <v>0.7</v>
      </c>
      <c r="L44"/>
      <c r="M44" s="13">
        <v>0.8</v>
      </c>
    </row>
    <row r="45" spans="2:15" ht="12.75">
      <c r="B45" s="4" t="s">
        <v>23</v>
      </c>
      <c r="C45" s="4"/>
      <c r="D45" s="4" t="s">
        <v>26</v>
      </c>
      <c r="E45" s="4" t="s">
        <v>56</v>
      </c>
      <c r="F45" s="4" t="s">
        <v>55</v>
      </c>
      <c r="G45">
        <v>0.022</v>
      </c>
      <c r="H45" s="4" t="s">
        <v>55</v>
      </c>
      <c r="I45">
        <v>0.011</v>
      </c>
      <c r="J45" s="4" t="s">
        <v>55</v>
      </c>
      <c r="K45">
        <v>0.01</v>
      </c>
      <c r="L45" s="4" t="s">
        <v>55</v>
      </c>
      <c r="M45" s="13">
        <v>0.011</v>
      </c>
      <c r="O45" s="2"/>
    </row>
    <row r="46" spans="2:15" ht="12.75">
      <c r="B46" s="4" t="s">
        <v>24</v>
      </c>
      <c r="C46" s="4"/>
      <c r="D46" s="4" t="s">
        <v>26</v>
      </c>
      <c r="E46" s="4" t="s">
        <v>56</v>
      </c>
      <c r="F46" s="4" t="s">
        <v>55</v>
      </c>
      <c r="G46">
        <v>0.006</v>
      </c>
      <c r="H46" s="4" t="s">
        <v>55</v>
      </c>
      <c r="I46">
        <v>0.007</v>
      </c>
      <c r="J46" s="4" t="s">
        <v>55</v>
      </c>
      <c r="K46">
        <v>0.007</v>
      </c>
      <c r="L46" s="4" t="s">
        <v>55</v>
      </c>
      <c r="M46" s="13">
        <v>0.007</v>
      </c>
      <c r="O46" s="2"/>
    </row>
    <row r="47" spans="2:13" ht="12.75">
      <c r="B47" s="4"/>
      <c r="C47" s="4"/>
      <c r="G47" s="42"/>
      <c r="H47" s="4"/>
      <c r="I47" s="42"/>
      <c r="J47" s="4"/>
      <c r="K47" s="42"/>
      <c r="L47"/>
      <c r="M47" s="2"/>
    </row>
    <row r="48" spans="2:13" ht="12.75">
      <c r="B48" s="4" t="s">
        <v>99</v>
      </c>
      <c r="C48" s="4" t="s">
        <v>103</v>
      </c>
      <c r="G48" s="19"/>
      <c r="H48" s="19"/>
      <c r="I48" s="20"/>
      <c r="J48" s="19"/>
      <c r="K48" s="19"/>
      <c r="M48" s="44"/>
    </row>
    <row r="49" spans="2:13" ht="12.75">
      <c r="B49" s="4" t="s">
        <v>100</v>
      </c>
      <c r="C49" s="4"/>
      <c r="D49" s="4" t="s">
        <v>26</v>
      </c>
      <c r="G49" s="19">
        <v>96.1</v>
      </c>
      <c r="H49" s="19"/>
      <c r="I49" s="20">
        <v>96.56</v>
      </c>
      <c r="J49" s="19"/>
      <c r="K49" s="19">
        <v>96.35</v>
      </c>
      <c r="M49" s="44">
        <v>96.56</v>
      </c>
    </row>
    <row r="50" spans="2:13" ht="12.75">
      <c r="B50" s="4" t="s">
        <v>101</v>
      </c>
      <c r="C50" s="4" t="s">
        <v>142</v>
      </c>
      <c r="D50" s="4" t="s">
        <v>26</v>
      </c>
      <c r="F50" s="4" t="s">
        <v>55</v>
      </c>
      <c r="G50" s="45">
        <v>3.22E-05</v>
      </c>
      <c r="H50" s="4" t="s">
        <v>55</v>
      </c>
      <c r="I50" s="45">
        <v>1E-06</v>
      </c>
      <c r="J50" s="4"/>
      <c r="K50" s="45">
        <v>2.26E-05</v>
      </c>
      <c r="L50" s="4" t="s">
        <v>55</v>
      </c>
      <c r="M50" s="21">
        <v>1E-06</v>
      </c>
    </row>
    <row r="51" spans="2:13" ht="12.75">
      <c r="B51" s="4" t="s">
        <v>25</v>
      </c>
      <c r="C51" s="4" t="s">
        <v>142</v>
      </c>
      <c r="D51" s="4" t="s">
        <v>18</v>
      </c>
      <c r="G51" s="19">
        <v>99.9999955</v>
      </c>
      <c r="H51" s="4"/>
      <c r="I51" s="19">
        <v>99.9999953</v>
      </c>
      <c r="J51" s="4"/>
      <c r="K51" s="19">
        <v>99.9999953</v>
      </c>
      <c r="L51" s="4"/>
      <c r="M51" s="19">
        <v>99.9999955</v>
      </c>
    </row>
    <row r="52" spans="2:13" ht="12.75">
      <c r="B52" s="4"/>
      <c r="C52" s="4"/>
      <c r="G52" s="42"/>
      <c r="H52" s="4"/>
      <c r="I52" s="42"/>
      <c r="J52" s="4"/>
      <c r="K52" s="42"/>
      <c r="L52"/>
      <c r="M52" s="2"/>
    </row>
    <row r="53" spans="2:13" ht="12.75">
      <c r="B53" s="4" t="s">
        <v>99</v>
      </c>
      <c r="C53" s="4" t="s">
        <v>104</v>
      </c>
      <c r="G53" s="19"/>
      <c r="H53" s="19"/>
      <c r="I53" s="20"/>
      <c r="J53" s="19"/>
      <c r="K53" s="19"/>
      <c r="M53" s="44"/>
    </row>
    <row r="54" spans="2:13" ht="12.75">
      <c r="B54" s="4" t="s">
        <v>100</v>
      </c>
      <c r="C54" s="4"/>
      <c r="D54" s="4" t="s">
        <v>26</v>
      </c>
      <c r="G54" s="19">
        <v>29.6</v>
      </c>
      <c r="H54" s="19"/>
      <c r="I54" s="20">
        <v>29.78</v>
      </c>
      <c r="J54" s="19"/>
      <c r="K54" s="19">
        <v>29.7</v>
      </c>
      <c r="M54" s="44">
        <v>29.78</v>
      </c>
    </row>
    <row r="55" spans="2:13" ht="12.75">
      <c r="B55" s="4" t="s">
        <v>101</v>
      </c>
      <c r="C55" s="4" t="s">
        <v>142</v>
      </c>
      <c r="D55" s="4" t="s">
        <v>26</v>
      </c>
      <c r="F55" s="4" t="s">
        <v>55</v>
      </c>
      <c r="G55" s="45">
        <v>1E-06</v>
      </c>
      <c r="H55" s="4" t="s">
        <v>55</v>
      </c>
      <c r="I55" s="45">
        <v>1E-06</v>
      </c>
      <c r="J55" s="4" t="s">
        <v>55</v>
      </c>
      <c r="K55" s="45">
        <v>1E-06</v>
      </c>
      <c r="L55" s="4" t="s">
        <v>55</v>
      </c>
      <c r="M55" s="21">
        <v>1E-06</v>
      </c>
    </row>
    <row r="56" spans="2:13" ht="12.75">
      <c r="B56" s="4" t="s">
        <v>25</v>
      </c>
      <c r="C56" s="4" t="s">
        <v>142</v>
      </c>
      <c r="D56" s="4" t="s">
        <v>18</v>
      </c>
      <c r="G56" s="19">
        <v>99.9999913</v>
      </c>
      <c r="H56" s="4"/>
      <c r="I56" s="19">
        <v>99.999988</v>
      </c>
      <c r="J56" s="4"/>
      <c r="K56" s="19">
        <v>99.999989</v>
      </c>
      <c r="L56" s="4"/>
      <c r="M56" s="19">
        <v>99.99999</v>
      </c>
    </row>
    <row r="57" spans="2:15" ht="12.75">
      <c r="B57" s="4"/>
      <c r="C57" s="4"/>
      <c r="F57"/>
      <c r="G57"/>
      <c r="H57"/>
      <c r="I57"/>
      <c r="J57"/>
      <c r="K57"/>
      <c r="L57"/>
      <c r="M57" s="13"/>
      <c r="O57" s="2"/>
    </row>
    <row r="58" spans="2:15" ht="12.75">
      <c r="B58" s="4" t="s">
        <v>59</v>
      </c>
      <c r="C58" s="4"/>
      <c r="D58" s="4" t="s">
        <v>97</v>
      </c>
      <c r="F58" t="s">
        <v>55</v>
      </c>
      <c r="G58">
        <v>0.0506</v>
      </c>
      <c r="H58" t="s">
        <v>55</v>
      </c>
      <c r="I58">
        <v>0.0508</v>
      </c>
      <c r="J58" t="s">
        <v>55</v>
      </c>
      <c r="K58">
        <v>0.0542</v>
      </c>
      <c r="L58" t="s">
        <v>55</v>
      </c>
      <c r="M58" s="13">
        <v>0.054</v>
      </c>
      <c r="O58" s="2"/>
    </row>
    <row r="59" spans="2:15" ht="12.75">
      <c r="B59" s="4" t="s">
        <v>45</v>
      </c>
      <c r="C59" s="4"/>
      <c r="D59" s="4" t="s">
        <v>97</v>
      </c>
      <c r="F59" t="s">
        <v>55</v>
      </c>
      <c r="G59">
        <v>0.001</v>
      </c>
      <c r="H59" t="s">
        <v>55</v>
      </c>
      <c r="I59">
        <v>0.001</v>
      </c>
      <c r="J59" t="s">
        <v>55</v>
      </c>
      <c r="K59">
        <v>0.001</v>
      </c>
      <c r="L59" t="s">
        <v>55</v>
      </c>
      <c r="M59" s="13">
        <v>0.001</v>
      </c>
      <c r="O59" s="2"/>
    </row>
    <row r="60" spans="2:15" ht="12.75">
      <c r="B60" s="4" t="s">
        <v>60</v>
      </c>
      <c r="C60" s="4"/>
      <c r="D60" s="4" t="s">
        <v>97</v>
      </c>
      <c r="F60"/>
      <c r="G60">
        <v>0.032</v>
      </c>
      <c r="H60"/>
      <c r="I60">
        <v>0.038</v>
      </c>
      <c r="J60"/>
      <c r="K60">
        <v>0.027</v>
      </c>
      <c r="L60"/>
      <c r="M60" s="13">
        <v>0.024</v>
      </c>
      <c r="O60" s="2"/>
    </row>
    <row r="61" spans="2:15" ht="12.75">
      <c r="B61" s="4" t="s">
        <v>49</v>
      </c>
      <c r="C61" s="4"/>
      <c r="D61" s="4" t="s">
        <v>97</v>
      </c>
      <c r="F61"/>
      <c r="G61">
        <v>0.02</v>
      </c>
      <c r="H61"/>
      <c r="I61">
        <v>0.022</v>
      </c>
      <c r="J61"/>
      <c r="K61">
        <v>0.023</v>
      </c>
      <c r="L61"/>
      <c r="M61" s="13">
        <v>0.019</v>
      </c>
      <c r="O61" s="2"/>
    </row>
    <row r="62" spans="2:15" ht="12.75">
      <c r="B62" s="49" t="s">
        <v>143</v>
      </c>
      <c r="C62" s="4"/>
      <c r="D62" s="4" t="s">
        <v>97</v>
      </c>
      <c r="F62" t="s">
        <v>55</v>
      </c>
      <c r="G62">
        <v>0.0088</v>
      </c>
      <c r="H62" t="s">
        <v>55</v>
      </c>
      <c r="I62">
        <v>0.0083</v>
      </c>
      <c r="J62" t="s">
        <v>55</v>
      </c>
      <c r="K62">
        <v>0.0084</v>
      </c>
      <c r="L62" t="s">
        <v>55</v>
      </c>
      <c r="M62" s="13">
        <v>0.0082</v>
      </c>
      <c r="O62" s="2"/>
    </row>
    <row r="63" spans="2:15" ht="12.75">
      <c r="B63" s="4" t="s">
        <v>44</v>
      </c>
      <c r="C63" s="4"/>
      <c r="D63" s="4" t="s">
        <v>97</v>
      </c>
      <c r="F63"/>
      <c r="G63">
        <v>0.12</v>
      </c>
      <c r="H63" t="s">
        <v>55</v>
      </c>
      <c r="I63">
        <v>0.054</v>
      </c>
      <c r="J63" t="s">
        <v>55</v>
      </c>
      <c r="K63">
        <v>0.115</v>
      </c>
      <c r="L63" t="s">
        <v>55</v>
      </c>
      <c r="M63" s="13">
        <v>0.087</v>
      </c>
      <c r="O63" s="2">
        <f>AVERAGE(I63,G63)</f>
        <v>0.087</v>
      </c>
    </row>
    <row r="64" spans="2:15" ht="12.75">
      <c r="B64" s="4" t="s">
        <v>61</v>
      </c>
      <c r="C64" s="4"/>
      <c r="D64" s="4" t="s">
        <v>97</v>
      </c>
      <c r="F64"/>
      <c r="G64">
        <v>0.115</v>
      </c>
      <c r="H64"/>
      <c r="I64">
        <v>0.118</v>
      </c>
      <c r="J64"/>
      <c r="K64">
        <v>0.129</v>
      </c>
      <c r="L64"/>
      <c r="M64" s="13">
        <v>0.11</v>
      </c>
      <c r="O64" s="2"/>
    </row>
    <row r="65" spans="2:15" ht="12.75">
      <c r="B65" s="4"/>
      <c r="C65" s="4"/>
      <c r="F65"/>
      <c r="G65"/>
      <c r="H65"/>
      <c r="I65"/>
      <c r="J65"/>
      <c r="K65"/>
      <c r="L65"/>
      <c r="M65" s="13"/>
      <c r="O65"/>
    </row>
    <row r="66" spans="2:15" ht="12.75">
      <c r="B66" s="4" t="s">
        <v>50</v>
      </c>
      <c r="C66" s="4" t="s">
        <v>67</v>
      </c>
      <c r="D66" s="4" t="s">
        <v>141</v>
      </c>
      <c r="F66"/>
      <c r="G66"/>
      <c r="H66"/>
      <c r="I66"/>
      <c r="J66"/>
      <c r="K66"/>
      <c r="L66"/>
      <c r="M66" s="13"/>
      <c r="O66"/>
    </row>
    <row r="67" spans="2:15" ht="12.75">
      <c r="B67" s="4" t="s">
        <v>43</v>
      </c>
      <c r="C67" s="4"/>
      <c r="D67" s="4" t="s">
        <v>17</v>
      </c>
      <c r="F67"/>
      <c r="G67">
        <v>5329</v>
      </c>
      <c r="H67"/>
      <c r="I67">
        <v>5245</v>
      </c>
      <c r="J67"/>
      <c r="K67">
        <v>5057</v>
      </c>
      <c r="L67"/>
      <c r="M67" s="13">
        <v>5487</v>
      </c>
      <c r="O67" s="2">
        <f>AVERAGE(I67,G67,K67,M67)</f>
        <v>5279.5</v>
      </c>
    </row>
    <row r="68" spans="2:15" ht="12.75">
      <c r="B68" s="4" t="s">
        <v>47</v>
      </c>
      <c r="C68" s="4"/>
      <c r="D68" s="4" t="s">
        <v>18</v>
      </c>
      <c r="F68"/>
      <c r="G68" s="13">
        <v>12.1</v>
      </c>
      <c r="I68">
        <v>12.1</v>
      </c>
      <c r="J68"/>
      <c r="K68">
        <v>12.2</v>
      </c>
      <c r="L68"/>
      <c r="M68">
        <v>12.3</v>
      </c>
      <c r="O68" s="2">
        <f>AVERAGE(I68,G68,K68,M68)</f>
        <v>12.175</v>
      </c>
    </row>
    <row r="69" spans="2:15" ht="12.75">
      <c r="B69" s="4" t="s">
        <v>48</v>
      </c>
      <c r="C69" s="4"/>
      <c r="D69" s="4" t="s">
        <v>18</v>
      </c>
      <c r="F69"/>
      <c r="G69" s="13">
        <v>40.9</v>
      </c>
      <c r="I69">
        <v>40.9</v>
      </c>
      <c r="J69"/>
      <c r="K69">
        <v>41</v>
      </c>
      <c r="L69"/>
      <c r="M69">
        <v>40.4</v>
      </c>
      <c r="O69" s="2">
        <f>AVERAGE(I69,G69,K69,M69)</f>
        <v>40.8</v>
      </c>
    </row>
    <row r="70" spans="2:15" ht="12.75">
      <c r="B70" s="4" t="s">
        <v>42</v>
      </c>
      <c r="C70" s="4"/>
      <c r="D70" s="4" t="s">
        <v>19</v>
      </c>
      <c r="F70"/>
      <c r="G70" s="13">
        <v>314</v>
      </c>
      <c r="I70">
        <v>312</v>
      </c>
      <c r="J70"/>
      <c r="K70">
        <v>308</v>
      </c>
      <c r="L70"/>
      <c r="M70">
        <v>315</v>
      </c>
      <c r="O70" s="2">
        <f>AVERAGE(I70,G70,K70,M70)</f>
        <v>312.25</v>
      </c>
    </row>
    <row r="71" spans="2:15" ht="12.75">
      <c r="B71" s="4"/>
      <c r="C71" s="4"/>
      <c r="F71"/>
      <c r="G71"/>
      <c r="H71"/>
      <c r="I71"/>
      <c r="J71"/>
      <c r="K71"/>
      <c r="L71"/>
      <c r="M71" s="13"/>
      <c r="O71"/>
    </row>
    <row r="72" spans="2:15" ht="12.75">
      <c r="B72" s="4" t="s">
        <v>50</v>
      </c>
      <c r="C72" s="4" t="s">
        <v>105</v>
      </c>
      <c r="D72" s="4" t="s">
        <v>142</v>
      </c>
      <c r="F72"/>
      <c r="G72"/>
      <c r="H72"/>
      <c r="I72"/>
      <c r="J72"/>
      <c r="K72"/>
      <c r="L72"/>
      <c r="M72" s="13"/>
      <c r="O72"/>
    </row>
    <row r="73" spans="2:15" ht="12.75">
      <c r="B73" s="4" t="s">
        <v>43</v>
      </c>
      <c r="C73" s="4"/>
      <c r="D73" s="4" t="s">
        <v>17</v>
      </c>
      <c r="F73"/>
      <c r="G73" s="2">
        <f>319755/60</f>
        <v>5329.25</v>
      </c>
      <c r="H73" s="2"/>
      <c r="I73" s="2">
        <f>314670/60</f>
        <v>5244.5</v>
      </c>
      <c r="J73" s="2"/>
      <c r="K73" s="2">
        <f>303390/60</f>
        <v>5056.5</v>
      </c>
      <c r="L73" s="2"/>
      <c r="M73" s="41">
        <f>329220/60</f>
        <v>5487</v>
      </c>
      <c r="O73" s="2">
        <f>AVERAGE(I73,K73,M73,G73)</f>
        <v>5279.3125</v>
      </c>
    </row>
    <row r="74" spans="2:15" ht="12.75">
      <c r="B74" s="4" t="s">
        <v>47</v>
      </c>
      <c r="C74" s="4"/>
      <c r="D74" s="4" t="s">
        <v>18</v>
      </c>
      <c r="F74"/>
      <c r="G74">
        <v>15.3</v>
      </c>
      <c r="H74"/>
      <c r="I74">
        <v>11.8</v>
      </c>
      <c r="J74"/>
      <c r="K74">
        <v>12</v>
      </c>
      <c r="L74"/>
      <c r="M74" s="13">
        <v>12.1</v>
      </c>
      <c r="O74" s="2">
        <f>AVERAGE(I74,K74,M74,G74)</f>
        <v>12.8</v>
      </c>
    </row>
    <row r="75" spans="2:15" ht="12.75">
      <c r="B75" s="4" t="s">
        <v>48</v>
      </c>
      <c r="C75" s="4"/>
      <c r="D75" s="4" t="s">
        <v>18</v>
      </c>
      <c r="F75"/>
      <c r="G75"/>
      <c r="H75"/>
      <c r="I75"/>
      <c r="J75"/>
      <c r="K75"/>
      <c r="L75"/>
      <c r="M75" s="13"/>
      <c r="O75" s="2"/>
    </row>
    <row r="76" spans="2:15" ht="12.75">
      <c r="B76" s="4" t="s">
        <v>42</v>
      </c>
      <c r="C76" s="4"/>
      <c r="D76" s="4" t="s">
        <v>19</v>
      </c>
      <c r="F76"/>
      <c r="G76"/>
      <c r="H76"/>
      <c r="I76"/>
      <c r="J76"/>
      <c r="K76"/>
      <c r="L76"/>
      <c r="M76" s="13"/>
      <c r="O76" s="2"/>
    </row>
    <row r="77" spans="2:15" ht="12.75">
      <c r="B77" s="4"/>
      <c r="C77" s="4"/>
      <c r="F77"/>
      <c r="G77"/>
      <c r="H77"/>
      <c r="I77"/>
      <c r="J77"/>
      <c r="K77"/>
      <c r="L77"/>
      <c r="M77" s="13"/>
      <c r="O77" s="2"/>
    </row>
    <row r="78" spans="2:15" ht="12.75">
      <c r="B78" s="4" t="s">
        <v>156</v>
      </c>
      <c r="C78" s="4" t="s">
        <v>141</v>
      </c>
      <c r="D78" s="4" t="s">
        <v>16</v>
      </c>
      <c r="E78" s="4" t="s">
        <v>15</v>
      </c>
      <c r="F78"/>
      <c r="G78" s="42">
        <f>G44*(21-7)/(21-I68)*(1-(I69/100))</f>
        <v>1.3015280898876402</v>
      </c>
      <c r="H78"/>
      <c r="I78" s="42">
        <f>I44*(21-7)/(21-K68)*(1-(K69/100))</f>
        <v>0.750909090909091</v>
      </c>
      <c r="J78"/>
      <c r="K78" s="42">
        <f>K44*(21-7)/(21-M68)*(1-(M69/100))</f>
        <v>0.6713563218390806</v>
      </c>
      <c r="L78"/>
      <c r="M78" s="42">
        <f>M44*(21-7)/(21-O68)*(1-(O69/100))</f>
        <v>0.7513201133144478</v>
      </c>
      <c r="O78" s="2">
        <f>AVERAGE(I78,K78,M78,G78)</f>
        <v>0.8687784039875649</v>
      </c>
    </row>
    <row r="79" spans="2:15" ht="12.75">
      <c r="B79" s="4"/>
      <c r="C79" s="4"/>
      <c r="F79"/>
      <c r="G79"/>
      <c r="H79"/>
      <c r="I79"/>
      <c r="J79"/>
      <c r="K79"/>
      <c r="L79"/>
      <c r="M79" s="13"/>
      <c r="O79" s="2"/>
    </row>
    <row r="80" spans="2:15" ht="12.75">
      <c r="B80" s="4" t="s">
        <v>23</v>
      </c>
      <c r="C80" s="4" t="s">
        <v>141</v>
      </c>
      <c r="D80" s="4" t="s">
        <v>16</v>
      </c>
      <c r="E80" s="4" t="s">
        <v>15</v>
      </c>
      <c r="F80" s="4" t="s">
        <v>55</v>
      </c>
      <c r="G80" s="43">
        <f>G45*454/60/0.0283/G$67*(21-7)/(21-I$68)*667.8</f>
        <v>1.1595235437762095</v>
      </c>
      <c r="H80" s="4" t="s">
        <v>55</v>
      </c>
      <c r="I80" s="43">
        <f>I45*454/60/0.0283/I$67*(21-7)/(21-K$68)*667.8</f>
        <v>0.5957405167970842</v>
      </c>
      <c r="J80" s="4" t="s">
        <v>55</v>
      </c>
      <c r="K80" s="43">
        <f>K45*454/60/0.0283/K$67*(21-7)/(21-M$68)*667.8</f>
        <v>0.5681727634803619</v>
      </c>
      <c r="L80" s="4" t="s">
        <v>55</v>
      </c>
      <c r="M80" s="43">
        <f>M45*454/60/0.0283/M$67*(21-7)/(21-O$68)*667.8</f>
        <v>0.5678526126040117</v>
      </c>
      <c r="N80" s="13">
        <v>100</v>
      </c>
      <c r="O80" s="42">
        <f>AVERAGE(I80,K80,M80,G80)</f>
        <v>0.7228223591644168</v>
      </c>
    </row>
    <row r="81" spans="2:15" ht="12.75">
      <c r="B81" s="4" t="s">
        <v>24</v>
      </c>
      <c r="C81" s="4" t="s">
        <v>141</v>
      </c>
      <c r="D81" s="4" t="s">
        <v>16</v>
      </c>
      <c r="E81" s="4" t="s">
        <v>15</v>
      </c>
      <c r="F81" s="4" t="s">
        <v>55</v>
      </c>
      <c r="G81" s="43">
        <f>G46*454/60/0.0283/G$67*(21-7)/(21-I$68)*343.4</f>
        <v>0.16261552925457418</v>
      </c>
      <c r="H81" s="4" t="s">
        <v>55</v>
      </c>
      <c r="I81" s="43">
        <f>I46*454/60/0.0283/I$67*(21-7)/(21-K$68)*343.4</f>
        <v>0.1949469158262995</v>
      </c>
      <c r="J81" s="4" t="s">
        <v>55</v>
      </c>
      <c r="K81" s="43">
        <f>K46*454/60/0.0283/K$67*(21-7)/(21-M$68)*343.4</f>
        <v>0.20451837209555168</v>
      </c>
      <c r="L81" s="4" t="s">
        <v>55</v>
      </c>
      <c r="M81" s="43">
        <f>M46*454/60/0.0283/M$67*(21-7)/(21-O$68)*343.4</f>
        <v>0.1858210283668931</v>
      </c>
      <c r="N81" s="13">
        <v>100</v>
      </c>
      <c r="O81" s="42">
        <f>AVERAGE(I81,K81,M81,G81)</f>
        <v>0.1869754613858296</v>
      </c>
    </row>
    <row r="82" spans="2:15" ht="12.75">
      <c r="B82" s="4" t="s">
        <v>57</v>
      </c>
      <c r="C82" s="4" t="s">
        <v>141</v>
      </c>
      <c r="D82" s="4" t="s">
        <v>16</v>
      </c>
      <c r="E82" s="4" t="s">
        <v>15</v>
      </c>
      <c r="F82">
        <v>100</v>
      </c>
      <c r="G82" s="42">
        <f>(G81*2+G80)</f>
        <v>1.4847546022853577</v>
      </c>
      <c r="H82">
        <v>100</v>
      </c>
      <c r="I82" s="42">
        <f>(I81*2+I80)</f>
        <v>0.9856343484496832</v>
      </c>
      <c r="J82">
        <v>100</v>
      </c>
      <c r="K82" s="42">
        <f>(K81*2+K80)</f>
        <v>0.9772095076714653</v>
      </c>
      <c r="L82">
        <v>100</v>
      </c>
      <c r="M82" s="42">
        <f>(M81*2+M80)</f>
        <v>0.9394946693377979</v>
      </c>
      <c r="N82" s="13">
        <v>100</v>
      </c>
      <c r="O82" s="42">
        <f>AVERAGE(I82,K82,M82,G82)</f>
        <v>1.096773281936076</v>
      </c>
    </row>
    <row r="83" spans="2:15" ht="12.75">
      <c r="B83" s="4"/>
      <c r="C83" s="4"/>
      <c r="F83"/>
      <c r="G83"/>
      <c r="H83"/>
      <c r="I83"/>
      <c r="J83"/>
      <c r="K83"/>
      <c r="L83"/>
      <c r="M83" s="13"/>
      <c r="O83" s="2"/>
    </row>
    <row r="84" spans="2:15" ht="12.75">
      <c r="B84" s="4" t="s">
        <v>59</v>
      </c>
      <c r="C84" s="4" t="s">
        <v>142</v>
      </c>
      <c r="D84" s="4" t="s">
        <v>27</v>
      </c>
      <c r="E84" s="4" t="s">
        <v>15</v>
      </c>
      <c r="F84" t="s">
        <v>55</v>
      </c>
      <c r="G84" s="2">
        <f>G58/60/0.0283/G$73*(21-7)/(21-G$74)*1000000</f>
        <v>13.734090887097135</v>
      </c>
      <c r="H84" t="s">
        <v>55</v>
      </c>
      <c r="I84" s="2">
        <f>I58/60/0.0283/I$73*(21-7)/(21-I$74)*1000000</f>
        <v>8.680847861828322</v>
      </c>
      <c r="J84" t="s">
        <v>55</v>
      </c>
      <c r="K84" s="2">
        <f aca="true" t="shared" si="0" ref="K84:K90">K58/60/0.0283/K$73*(21-7)/(21-K$74)*1000000</f>
        <v>9.819675023367992</v>
      </c>
      <c r="L84" t="s">
        <v>55</v>
      </c>
      <c r="M84" s="2">
        <f aca="true" t="shared" si="1" ref="M84:M90">M58/60/0.0283/M$73*(21-7)/(21-M$74)*1000000</f>
        <v>9.117150895554941</v>
      </c>
      <c r="N84" s="13">
        <v>100</v>
      </c>
      <c r="O84" s="42">
        <f aca="true" t="shared" si="2" ref="O84:O90">AVERAGE(I84,K84,M84,G84)</f>
        <v>10.337941166962096</v>
      </c>
    </row>
    <row r="85" spans="2:15" ht="12.75">
      <c r="B85" s="4" t="s">
        <v>45</v>
      </c>
      <c r="C85" s="4" t="s">
        <v>142</v>
      </c>
      <c r="D85" s="4" t="s">
        <v>27</v>
      </c>
      <c r="E85" s="4" t="s">
        <v>15</v>
      </c>
      <c r="F85" t="s">
        <v>55</v>
      </c>
      <c r="G85" s="2">
        <f aca="true" t="shared" si="3" ref="G85:I90">G59/60/0.0283/G$73*(21-7)/(21-G$74)*1000000</f>
        <v>0.2714247210888762</v>
      </c>
      <c r="H85" t="s">
        <v>55</v>
      </c>
      <c r="I85" s="2">
        <f t="shared" si="3"/>
        <v>0.1708828319257544</v>
      </c>
      <c r="J85" t="s">
        <v>55</v>
      </c>
      <c r="K85" s="2">
        <f t="shared" si="0"/>
        <v>0.18117481592929877</v>
      </c>
      <c r="L85" t="s">
        <v>55</v>
      </c>
      <c r="M85" s="2">
        <f t="shared" si="1"/>
        <v>0.16883612769546186</v>
      </c>
      <c r="N85" s="13">
        <v>100</v>
      </c>
      <c r="O85" s="42">
        <f t="shared" si="2"/>
        <v>0.1980796241598478</v>
      </c>
    </row>
    <row r="86" spans="2:15" ht="12.75">
      <c r="B86" s="4" t="s">
        <v>60</v>
      </c>
      <c r="C86" s="4" t="s">
        <v>142</v>
      </c>
      <c r="D86" s="4" t="s">
        <v>27</v>
      </c>
      <c r="E86" s="4" t="s">
        <v>15</v>
      </c>
      <c r="F86"/>
      <c r="G86" s="2">
        <f t="shared" si="3"/>
        <v>8.685591074844039</v>
      </c>
      <c r="H86"/>
      <c r="I86" s="2">
        <f t="shared" si="3"/>
        <v>6.493547613178666</v>
      </c>
      <c r="J86"/>
      <c r="K86" s="2">
        <f t="shared" si="0"/>
        <v>4.891720030091067</v>
      </c>
      <c r="L86"/>
      <c r="M86" s="2">
        <f t="shared" si="1"/>
        <v>4.052067064691085</v>
      </c>
      <c r="O86" s="42">
        <f t="shared" si="2"/>
        <v>6.030731445701214</v>
      </c>
    </row>
    <row r="87" spans="2:15" ht="12.75">
      <c r="B87" s="4" t="s">
        <v>49</v>
      </c>
      <c r="C87" s="4" t="s">
        <v>142</v>
      </c>
      <c r="D87" s="4" t="s">
        <v>27</v>
      </c>
      <c r="E87" s="4" t="s">
        <v>15</v>
      </c>
      <c r="F87"/>
      <c r="G87" s="2">
        <f t="shared" si="3"/>
        <v>5.428494421777525</v>
      </c>
      <c r="H87"/>
      <c r="I87" s="2">
        <f t="shared" si="3"/>
        <v>3.7594223023665965</v>
      </c>
      <c r="J87"/>
      <c r="K87" s="2">
        <f t="shared" si="0"/>
        <v>4.167020766373871</v>
      </c>
      <c r="L87"/>
      <c r="M87" s="2">
        <f t="shared" si="1"/>
        <v>3.2078864262137747</v>
      </c>
      <c r="O87" s="42">
        <f t="shared" si="2"/>
        <v>4.1407059791829415</v>
      </c>
    </row>
    <row r="88" spans="2:15" ht="12.75">
      <c r="B88" s="49" t="s">
        <v>143</v>
      </c>
      <c r="C88" s="4" t="s">
        <v>142</v>
      </c>
      <c r="D88" s="4" t="s">
        <v>27</v>
      </c>
      <c r="E88" s="4" t="s">
        <v>15</v>
      </c>
      <c r="F88" t="s">
        <v>55</v>
      </c>
      <c r="G88" s="2">
        <f t="shared" si="3"/>
        <v>2.3885375455821105</v>
      </c>
      <c r="H88" t="s">
        <v>55</v>
      </c>
      <c r="I88" s="2">
        <f t="shared" si="3"/>
        <v>1.4183275049837614</v>
      </c>
      <c r="J88" t="s">
        <v>55</v>
      </c>
      <c r="K88" s="2">
        <f t="shared" si="0"/>
        <v>1.5218684538061096</v>
      </c>
      <c r="L88" t="s">
        <v>55</v>
      </c>
      <c r="M88" s="2">
        <f t="shared" si="1"/>
        <v>1.3844562471027875</v>
      </c>
      <c r="N88" s="13">
        <v>100</v>
      </c>
      <c r="O88" s="42">
        <f t="shared" si="2"/>
        <v>1.6782974378686921</v>
      </c>
    </row>
    <row r="89" spans="2:15" ht="12.75">
      <c r="B89" s="4" t="s">
        <v>44</v>
      </c>
      <c r="C89" s="4" t="s">
        <v>142</v>
      </c>
      <c r="D89" s="4" t="s">
        <v>27</v>
      </c>
      <c r="E89" s="4" t="s">
        <v>15</v>
      </c>
      <c r="F89"/>
      <c r="G89" s="2">
        <f t="shared" si="3"/>
        <v>32.570966530665146</v>
      </c>
      <c r="H89" t="s">
        <v>55</v>
      </c>
      <c r="I89" s="2">
        <f t="shared" si="3"/>
        <v>9.227672923990738</v>
      </c>
      <c r="J89" t="s">
        <v>55</v>
      </c>
      <c r="K89" s="2">
        <f t="shared" si="0"/>
        <v>20.835103831869358</v>
      </c>
      <c r="L89" t="s">
        <v>55</v>
      </c>
      <c r="M89" s="2">
        <f t="shared" si="1"/>
        <v>14.68874310950518</v>
      </c>
      <c r="N89" s="13">
        <f>(I89+K89+M89)/(4*O89)*100</f>
        <v>57.87646252883911</v>
      </c>
      <c r="O89" s="42">
        <f t="shared" si="2"/>
        <v>19.330621599007607</v>
      </c>
    </row>
    <row r="90" spans="2:15" ht="12.75">
      <c r="B90" s="4" t="s">
        <v>61</v>
      </c>
      <c r="C90" s="4" t="s">
        <v>142</v>
      </c>
      <c r="D90" s="4" t="s">
        <v>27</v>
      </c>
      <c r="E90" s="4" t="s">
        <v>15</v>
      </c>
      <c r="F90"/>
      <c r="G90" s="2">
        <f t="shared" si="3"/>
        <v>31.213842925220774</v>
      </c>
      <c r="H90"/>
      <c r="I90" s="2">
        <f t="shared" si="3"/>
        <v>20.16417416723902</v>
      </c>
      <c r="J90"/>
      <c r="K90" s="2">
        <f t="shared" si="0"/>
        <v>23.37155125487954</v>
      </c>
      <c r="L90"/>
      <c r="M90" s="2">
        <f t="shared" si="1"/>
        <v>18.571974046500802</v>
      </c>
      <c r="O90" s="42">
        <f t="shared" si="2"/>
        <v>23.330385598460033</v>
      </c>
    </row>
    <row r="91" spans="2:15" ht="12.75">
      <c r="B91" s="4"/>
      <c r="C91" s="4"/>
      <c r="F91"/>
      <c r="G91"/>
      <c r="H91"/>
      <c r="I91"/>
      <c r="J91"/>
      <c r="K91"/>
      <c r="L91"/>
      <c r="M91" s="13"/>
      <c r="O91" s="2"/>
    </row>
    <row r="92" spans="2:15" ht="12.75">
      <c r="B92" s="4" t="s">
        <v>28</v>
      </c>
      <c r="C92" s="4" t="s">
        <v>142</v>
      </c>
      <c r="D92" s="4" t="s">
        <v>27</v>
      </c>
      <c r="E92" s="4" t="s">
        <v>15</v>
      </c>
      <c r="F92"/>
      <c r="G92" s="2">
        <f>G86+G89</f>
        <v>41.25655760550919</v>
      </c>
      <c r="H92">
        <f>I89/I92*100</f>
        <v>58.69565217391305</v>
      </c>
      <c r="I92" s="2">
        <f>I86+I89</f>
        <v>15.721220537169405</v>
      </c>
      <c r="J92">
        <f>K89/K92*100</f>
        <v>80.98591549295774</v>
      </c>
      <c r="K92" s="2">
        <f>K86+K89</f>
        <v>25.726823861960426</v>
      </c>
      <c r="L92">
        <f>M89/M92*100</f>
        <v>78.37837837837837</v>
      </c>
      <c r="M92" s="2">
        <f>M86+M89</f>
        <v>18.740810174196266</v>
      </c>
      <c r="N92">
        <f>O89/O92*100</f>
        <v>76.22078193119347</v>
      </c>
      <c r="O92" s="42">
        <f>AVERAGE(I92,K92,M92,G92)</f>
        <v>25.36135304470882</v>
      </c>
    </row>
    <row r="93" spans="2:15" ht="12.75">
      <c r="B93" s="4" t="s">
        <v>29</v>
      </c>
      <c r="C93" s="4" t="s">
        <v>142</v>
      </c>
      <c r="D93" s="4" t="s">
        <v>27</v>
      </c>
      <c r="E93" s="4" t="s">
        <v>15</v>
      </c>
      <c r="F93"/>
      <c r="G93" s="2">
        <f>G84+G87+G85</f>
        <v>19.434010029963538</v>
      </c>
      <c r="H93"/>
      <c r="I93" s="2">
        <f>I84+I87+I85</f>
        <v>12.611152996120673</v>
      </c>
      <c r="J93"/>
      <c r="K93" s="2">
        <f>K84+K87+K85</f>
        <v>14.167870605671162</v>
      </c>
      <c r="L93"/>
      <c r="M93" s="2">
        <f>M84+M87+M85</f>
        <v>12.493873449464177</v>
      </c>
      <c r="O93" s="42">
        <f>AVERAGE(I93,K93,M93,G93)</f>
        <v>14.676726770304887</v>
      </c>
    </row>
    <row r="94" spans="2:15" ht="12.75">
      <c r="B94" s="4"/>
      <c r="C94" s="4"/>
      <c r="F94"/>
      <c r="G94"/>
      <c r="H94"/>
      <c r="I94"/>
      <c r="J94"/>
      <c r="K94"/>
      <c r="L94"/>
      <c r="M94" s="13"/>
      <c r="O94" s="2"/>
    </row>
    <row r="95" spans="1:15" ht="12.75">
      <c r="A95" s="13">
        <v>3</v>
      </c>
      <c r="B95" s="17" t="s">
        <v>106</v>
      </c>
      <c r="C95" s="17"/>
      <c r="G95" s="15" t="s">
        <v>76</v>
      </c>
      <c r="H95" s="15"/>
      <c r="I95" s="16" t="s">
        <v>77</v>
      </c>
      <c r="J95" s="15"/>
      <c r="K95" s="15" t="s">
        <v>78</v>
      </c>
      <c r="L95" s="15"/>
      <c r="M95" s="38" t="s">
        <v>123</v>
      </c>
      <c r="O95" s="13" t="s">
        <v>138</v>
      </c>
    </row>
    <row r="96" spans="2:13" ht="12.75">
      <c r="B96" s="17"/>
      <c r="C96" s="17"/>
      <c r="G96" s="15"/>
      <c r="H96" s="15"/>
      <c r="I96" s="16"/>
      <c r="J96" s="15"/>
      <c r="K96" s="15"/>
      <c r="L96" s="15"/>
      <c r="M96" s="13"/>
    </row>
    <row r="97" spans="2:15" ht="12.75">
      <c r="B97" s="4" t="s">
        <v>13</v>
      </c>
      <c r="C97" s="4" t="s">
        <v>141</v>
      </c>
      <c r="D97" s="4" t="s">
        <v>14</v>
      </c>
      <c r="E97" s="4" t="s">
        <v>15</v>
      </c>
      <c r="F97"/>
      <c r="G97">
        <v>0.0002</v>
      </c>
      <c r="H97"/>
      <c r="I97">
        <v>0.0005</v>
      </c>
      <c r="J97"/>
      <c r="K97">
        <v>0.0008</v>
      </c>
      <c r="L97"/>
      <c r="M97" s="13"/>
      <c r="O97" s="40">
        <f>AVERAGE(I97,G97,K97,M97)</f>
        <v>0.0005</v>
      </c>
    </row>
    <row r="98" spans="2:15" ht="12.75">
      <c r="B98" s="4" t="s">
        <v>62</v>
      </c>
      <c r="C98" s="4" t="s">
        <v>141</v>
      </c>
      <c r="D98" s="8" t="s">
        <v>16</v>
      </c>
      <c r="E98" s="4" t="s">
        <v>15</v>
      </c>
      <c r="F98"/>
      <c r="G98">
        <v>0.1</v>
      </c>
      <c r="H98"/>
      <c r="I98">
        <v>2.6</v>
      </c>
      <c r="J98"/>
      <c r="K98">
        <v>2.6</v>
      </c>
      <c r="L98"/>
      <c r="M98" s="13"/>
      <c r="O98" s="42">
        <f>AVERAGE(I98,G98,K98,M98)</f>
        <v>1.7666666666666668</v>
      </c>
    </row>
    <row r="100" ht="12.75">
      <c r="M100" s="13"/>
    </row>
    <row r="101" spans="2:13" ht="12.75">
      <c r="B101" s="4" t="s">
        <v>156</v>
      </c>
      <c r="C101" s="4"/>
      <c r="D101" s="8" t="s">
        <v>96</v>
      </c>
      <c r="E101" s="8" t="s">
        <v>56</v>
      </c>
      <c r="F101"/>
      <c r="G101">
        <v>0.7</v>
      </c>
      <c r="H101"/>
      <c r="I101">
        <v>0.7</v>
      </c>
      <c r="J101"/>
      <c r="K101">
        <v>0.8</v>
      </c>
      <c r="L101"/>
      <c r="M101" s="13"/>
    </row>
    <row r="102" spans="2:15" ht="12.75">
      <c r="B102" s="4" t="s">
        <v>23</v>
      </c>
      <c r="C102" s="4"/>
      <c r="D102" s="4" t="s">
        <v>26</v>
      </c>
      <c r="E102" s="8" t="s">
        <v>56</v>
      </c>
      <c r="F102" t="s">
        <v>55</v>
      </c>
      <c r="G102" s="19">
        <v>0.01</v>
      </c>
      <c r="H102" t="s">
        <v>55</v>
      </c>
      <c r="I102">
        <v>0.01</v>
      </c>
      <c r="J102" t="s">
        <v>55</v>
      </c>
      <c r="K102">
        <v>0.011</v>
      </c>
      <c r="L102"/>
      <c r="M102" s="13"/>
      <c r="O102" s="2"/>
    </row>
    <row r="103" spans="2:15" ht="12.75">
      <c r="B103" s="4" t="s">
        <v>24</v>
      </c>
      <c r="C103" s="4"/>
      <c r="D103" s="4" t="s">
        <v>26</v>
      </c>
      <c r="E103" s="8" t="s">
        <v>56</v>
      </c>
      <c r="F103" t="s">
        <v>55</v>
      </c>
      <c r="G103">
        <v>0.007</v>
      </c>
      <c r="H103" t="s">
        <v>55</v>
      </c>
      <c r="I103">
        <v>0.007</v>
      </c>
      <c r="J103" t="s">
        <v>55</v>
      </c>
      <c r="K103">
        <v>0.006</v>
      </c>
      <c r="L103"/>
      <c r="M103" s="13"/>
      <c r="O103" s="2"/>
    </row>
    <row r="104" spans="2:15" ht="12.75">
      <c r="B104" s="4"/>
      <c r="C104" s="4"/>
      <c r="E104" s="8"/>
      <c r="F104"/>
      <c r="G104"/>
      <c r="H104"/>
      <c r="I104"/>
      <c r="J104"/>
      <c r="K104"/>
      <c r="L104"/>
      <c r="M104" s="13"/>
      <c r="O104" s="2"/>
    </row>
    <row r="105" spans="2:15" ht="12.75">
      <c r="B105" s="4" t="s">
        <v>44</v>
      </c>
      <c r="C105" s="4"/>
      <c r="D105" s="4" t="s">
        <v>97</v>
      </c>
      <c r="E105" s="8"/>
      <c r="F105" t="s">
        <v>55</v>
      </c>
      <c r="G105">
        <v>0.0667</v>
      </c>
      <c r="H105"/>
      <c r="I105">
        <v>0.1307</v>
      </c>
      <c r="J105"/>
      <c r="K105">
        <v>0.0843</v>
      </c>
      <c r="L105"/>
      <c r="M105" s="13"/>
      <c r="O105" s="2"/>
    </row>
    <row r="106" spans="2:13" ht="12.75">
      <c r="B106" s="4"/>
      <c r="C106" s="4"/>
      <c r="G106" s="42"/>
      <c r="H106" s="4"/>
      <c r="I106" s="42"/>
      <c r="J106" s="4"/>
      <c r="K106" s="42"/>
      <c r="L106"/>
      <c r="M106" s="2"/>
    </row>
    <row r="107" spans="2:13" ht="12.75">
      <c r="B107" s="4" t="s">
        <v>99</v>
      </c>
      <c r="C107" s="4" t="s">
        <v>103</v>
      </c>
      <c r="G107" s="19"/>
      <c r="H107" s="19"/>
      <c r="I107" s="20"/>
      <c r="J107" s="19"/>
      <c r="K107" s="19"/>
      <c r="M107" s="44"/>
    </row>
    <row r="108" spans="2:13" ht="12.75">
      <c r="B108" s="4" t="s">
        <v>100</v>
      </c>
      <c r="C108" s="4"/>
      <c r="D108" s="4" t="s">
        <v>26</v>
      </c>
      <c r="G108" s="19">
        <v>87.12</v>
      </c>
      <c r="H108" s="19"/>
      <c r="I108" s="20">
        <v>95.47</v>
      </c>
      <c r="J108" s="19"/>
      <c r="K108" s="19">
        <v>95.28</v>
      </c>
      <c r="M108" s="44"/>
    </row>
    <row r="109" spans="2:13" ht="12.75">
      <c r="B109" s="4" t="s">
        <v>101</v>
      </c>
      <c r="C109" s="4" t="s">
        <v>142</v>
      </c>
      <c r="D109" s="4" t="s">
        <v>26</v>
      </c>
      <c r="F109" s="4" t="s">
        <v>55</v>
      </c>
      <c r="G109" s="45">
        <v>1E-06</v>
      </c>
      <c r="H109" s="4"/>
      <c r="I109" s="45">
        <v>2.12E-05</v>
      </c>
      <c r="J109" s="4"/>
      <c r="K109" s="45">
        <v>2.39E-05</v>
      </c>
      <c r="L109" s="4"/>
      <c r="M109" s="21"/>
    </row>
    <row r="110" spans="2:13" ht="12.75">
      <c r="B110" s="4" t="s">
        <v>25</v>
      </c>
      <c r="C110" s="4" t="s">
        <v>142</v>
      </c>
      <c r="D110" s="4" t="s">
        <v>18</v>
      </c>
      <c r="G110" s="19">
        <v>99.9999984</v>
      </c>
      <c r="H110" s="4"/>
      <c r="I110" s="19">
        <v>99.999978</v>
      </c>
      <c r="J110" s="4"/>
      <c r="K110" s="19">
        <v>99.999975</v>
      </c>
      <c r="L110" s="4"/>
      <c r="M110" s="19"/>
    </row>
    <row r="111" spans="2:13" ht="12.75">
      <c r="B111" s="4"/>
      <c r="C111" s="4"/>
      <c r="G111" s="42"/>
      <c r="H111" s="4"/>
      <c r="I111" s="42"/>
      <c r="J111" s="4"/>
      <c r="K111" s="42"/>
      <c r="L111"/>
      <c r="M111" s="2"/>
    </row>
    <row r="112" spans="2:13" ht="12.75">
      <c r="B112" s="4" t="s">
        <v>99</v>
      </c>
      <c r="C112" s="4" t="s">
        <v>104</v>
      </c>
      <c r="G112" s="19"/>
      <c r="H112" s="19"/>
      <c r="I112" s="20"/>
      <c r="J112" s="19"/>
      <c r="K112" s="19"/>
      <c r="M112" s="44"/>
    </row>
    <row r="113" spans="2:13" ht="12.75">
      <c r="B113" s="4" t="s">
        <v>100</v>
      </c>
      <c r="C113" s="4"/>
      <c r="D113" s="4" t="s">
        <v>26</v>
      </c>
      <c r="G113" s="19">
        <v>26.87</v>
      </c>
      <c r="H113" s="19"/>
      <c r="I113" s="20">
        <v>29.45</v>
      </c>
      <c r="J113" s="19"/>
      <c r="K113" s="19">
        <v>29.38</v>
      </c>
      <c r="M113" s="44"/>
    </row>
    <row r="114" spans="2:13" ht="12.75">
      <c r="B114" s="4" t="s">
        <v>101</v>
      </c>
      <c r="C114" s="4" t="s">
        <v>142</v>
      </c>
      <c r="D114" s="4" t="s">
        <v>26</v>
      </c>
      <c r="F114" s="4" t="s">
        <v>55</v>
      </c>
      <c r="G114" s="45">
        <v>1E-06</v>
      </c>
      <c r="H114" s="4" t="s">
        <v>55</v>
      </c>
      <c r="I114" s="45">
        <v>1E-06</v>
      </c>
      <c r="J114" s="4" t="s">
        <v>55</v>
      </c>
      <c r="K114" s="45">
        <v>1E-06</v>
      </c>
      <c r="L114" s="4"/>
      <c r="M114" s="21"/>
    </row>
    <row r="115" spans="2:13" ht="12.75">
      <c r="B115" s="4" t="s">
        <v>25</v>
      </c>
      <c r="C115" s="4" t="s">
        <v>142</v>
      </c>
      <c r="D115" s="4" t="s">
        <v>18</v>
      </c>
      <c r="G115" s="19">
        <v>99.999995</v>
      </c>
      <c r="H115" s="4"/>
      <c r="I115" s="19">
        <v>99.9999954</v>
      </c>
      <c r="J115" s="4"/>
      <c r="K115" s="19">
        <v>99.9999954</v>
      </c>
      <c r="L115" s="4"/>
      <c r="M115" s="19"/>
    </row>
    <row r="116" spans="2:15" ht="12.75">
      <c r="B116" s="4"/>
      <c r="C116" s="4"/>
      <c r="F116"/>
      <c r="G116"/>
      <c r="H116"/>
      <c r="I116"/>
      <c r="J116"/>
      <c r="K116"/>
      <c r="L116"/>
      <c r="M116" s="13"/>
      <c r="O116"/>
    </row>
    <row r="117" spans="2:15" ht="12.75">
      <c r="B117" s="4" t="s">
        <v>50</v>
      </c>
      <c r="C117" s="4" t="s">
        <v>67</v>
      </c>
      <c r="D117" s="4" t="s">
        <v>141</v>
      </c>
      <c r="F117"/>
      <c r="I117" s="13"/>
      <c r="M117" s="13"/>
      <c r="O117"/>
    </row>
    <row r="118" spans="2:15" ht="12.75">
      <c r="B118" s="4" t="s">
        <v>43</v>
      </c>
      <c r="C118" s="4"/>
      <c r="D118" s="4" t="s">
        <v>17</v>
      </c>
      <c r="F118"/>
      <c r="G118" s="13">
        <v>5316</v>
      </c>
      <c r="I118">
        <v>5576</v>
      </c>
      <c r="J118"/>
      <c r="K118">
        <v>5584</v>
      </c>
      <c r="L118"/>
      <c r="O118" s="2">
        <f>AVERAGE(M118,K118,I118)</f>
        <v>5580</v>
      </c>
    </row>
    <row r="119" spans="2:15" ht="12.75">
      <c r="B119" s="4" t="s">
        <v>47</v>
      </c>
      <c r="C119" s="4"/>
      <c r="D119" s="4" t="s">
        <v>18</v>
      </c>
      <c r="F119"/>
      <c r="G119" s="13">
        <v>12.2</v>
      </c>
      <c r="I119">
        <v>13.2</v>
      </c>
      <c r="J119"/>
      <c r="K119">
        <v>13.1</v>
      </c>
      <c r="L119"/>
      <c r="O119" s="2">
        <f>AVERAGE(M119,K119,I119)</f>
        <v>13.149999999999999</v>
      </c>
    </row>
    <row r="120" spans="2:15" ht="12.75">
      <c r="B120" s="4" t="s">
        <v>48</v>
      </c>
      <c r="C120" s="4"/>
      <c r="D120" s="4" t="s">
        <v>18</v>
      </c>
      <c r="F120"/>
      <c r="G120" s="13">
        <v>39.3</v>
      </c>
      <c r="I120">
        <v>39.6</v>
      </c>
      <c r="J120"/>
      <c r="K120">
        <v>39.8</v>
      </c>
      <c r="L120"/>
      <c r="O120" s="2">
        <f>AVERAGE(M120,K120,I120)</f>
        <v>39.7</v>
      </c>
    </row>
    <row r="121" spans="2:15" ht="12.75">
      <c r="B121" s="4" t="s">
        <v>42</v>
      </c>
      <c r="C121" s="4"/>
      <c r="D121" s="4" t="s">
        <v>19</v>
      </c>
      <c r="F121"/>
      <c r="G121" s="13">
        <v>313</v>
      </c>
      <c r="I121">
        <v>314</v>
      </c>
      <c r="J121"/>
      <c r="K121">
        <v>318</v>
      </c>
      <c r="L121"/>
      <c r="O121" s="2">
        <f>AVERAGE(M121,K121,I121)</f>
        <v>316</v>
      </c>
    </row>
    <row r="122" spans="2:15" ht="12.75">
      <c r="B122" s="4"/>
      <c r="C122" s="4"/>
      <c r="F122"/>
      <c r="G122"/>
      <c r="H122"/>
      <c r="I122"/>
      <c r="J122"/>
      <c r="K122"/>
      <c r="L122"/>
      <c r="M122" s="13"/>
      <c r="O122"/>
    </row>
    <row r="123" spans="2:15" ht="12.75">
      <c r="B123" s="4" t="s">
        <v>50</v>
      </c>
      <c r="C123" s="4" t="s">
        <v>105</v>
      </c>
      <c r="D123" s="4" t="s">
        <v>142</v>
      </c>
      <c r="F123"/>
      <c r="I123" s="13"/>
      <c r="M123" s="13"/>
      <c r="O123"/>
    </row>
    <row r="124" spans="2:15" ht="12.75">
      <c r="B124" s="4" t="s">
        <v>43</v>
      </c>
      <c r="C124" s="4"/>
      <c r="D124" s="4" t="s">
        <v>17</v>
      </c>
      <c r="F124"/>
      <c r="G124" s="2">
        <f>314980/60</f>
        <v>5249.666666666667</v>
      </c>
      <c r="H124" s="2"/>
      <c r="I124" s="2">
        <f>307520/60</f>
        <v>5125.333333333333</v>
      </c>
      <c r="J124" s="2"/>
      <c r="K124" s="2">
        <f>298880/60</f>
        <v>4981.333333333333</v>
      </c>
      <c r="L124"/>
      <c r="M124" s="13"/>
      <c r="O124" s="2">
        <f>AVERAGE(M124,K124,I124,G124)</f>
        <v>5118.777777777777</v>
      </c>
    </row>
    <row r="125" spans="2:15" ht="12.75">
      <c r="B125" s="4" t="s">
        <v>47</v>
      </c>
      <c r="C125" s="4"/>
      <c r="D125" s="4" t="s">
        <v>18</v>
      </c>
      <c r="F125"/>
      <c r="G125">
        <v>13.2</v>
      </c>
      <c r="H125"/>
      <c r="I125">
        <v>13.2</v>
      </c>
      <c r="J125"/>
      <c r="K125">
        <v>13</v>
      </c>
      <c r="L125"/>
      <c r="M125" s="13"/>
      <c r="O125" s="2">
        <f>AVERAGE(M125,K125,I125,G125)</f>
        <v>13.133333333333333</v>
      </c>
    </row>
    <row r="126" spans="2:15" ht="12.75">
      <c r="B126" s="4" t="s">
        <v>48</v>
      </c>
      <c r="C126" s="4"/>
      <c r="D126" s="4" t="s">
        <v>18</v>
      </c>
      <c r="F126"/>
      <c r="G126"/>
      <c r="H126"/>
      <c r="I126"/>
      <c r="J126"/>
      <c r="K126"/>
      <c r="L126"/>
      <c r="M126" s="13"/>
      <c r="O126" s="2"/>
    </row>
    <row r="127" spans="2:15" ht="12.75">
      <c r="B127" s="4" t="s">
        <v>42</v>
      </c>
      <c r="C127" s="4"/>
      <c r="D127" s="4" t="s">
        <v>19</v>
      </c>
      <c r="F127"/>
      <c r="G127"/>
      <c r="H127"/>
      <c r="I127"/>
      <c r="J127"/>
      <c r="K127"/>
      <c r="L127"/>
      <c r="M127" s="13"/>
      <c r="O127" s="2"/>
    </row>
    <row r="128" spans="2:15" ht="12.75">
      <c r="B128" s="4"/>
      <c r="C128" s="4"/>
      <c r="F128"/>
      <c r="G128"/>
      <c r="H128"/>
      <c r="I128"/>
      <c r="J128"/>
      <c r="K128"/>
      <c r="L128"/>
      <c r="M128" s="13"/>
      <c r="O128" s="2"/>
    </row>
    <row r="129" spans="2:15" ht="12.75">
      <c r="B129" s="4" t="s">
        <v>156</v>
      </c>
      <c r="C129" s="4" t="s">
        <v>141</v>
      </c>
      <c r="D129" s="4" t="s">
        <v>16</v>
      </c>
      <c r="E129" s="4" t="s">
        <v>15</v>
      </c>
      <c r="F129"/>
      <c r="G129" s="42">
        <f>G101*(21-7)/(21-I119)*(1-(I120/100))</f>
        <v>0.7588717948717947</v>
      </c>
      <c r="H129"/>
      <c r="I129" s="42">
        <f>I101*(21-7)/(21-K119)*(1-(K120/100))</f>
        <v>0.7467848101265823</v>
      </c>
      <c r="J129"/>
      <c r="K129" s="42">
        <f>K101*(21-7)/(21-M119)*(1-(M120/100))</f>
        <v>0.5333333333333334</v>
      </c>
      <c r="L129"/>
      <c r="M129" s="42"/>
      <c r="O129" s="2">
        <f>AVERAGE(M129,K129,I129,G129)</f>
        <v>0.6796633127772368</v>
      </c>
    </row>
    <row r="130" spans="2:15" ht="12.75">
      <c r="B130" s="4"/>
      <c r="C130" s="4"/>
      <c r="F130"/>
      <c r="G130" s="42"/>
      <c r="H130"/>
      <c r="I130" s="42"/>
      <c r="J130"/>
      <c r="K130" s="42"/>
      <c r="L130"/>
      <c r="M130" s="42"/>
      <c r="O130"/>
    </row>
    <row r="131" spans="2:15" ht="12.75">
      <c r="B131" s="4" t="s">
        <v>23</v>
      </c>
      <c r="C131" s="4" t="s">
        <v>141</v>
      </c>
      <c r="D131" s="4" t="s">
        <v>16</v>
      </c>
      <c r="E131" s="4" t="s">
        <v>15</v>
      </c>
      <c r="F131" t="s">
        <v>55</v>
      </c>
      <c r="G131" s="42">
        <f>G102*454/60/0.0283/G$118*(21-7)/(21-G$119)*667.8</f>
        <v>0.5343489654902364</v>
      </c>
      <c r="H131" t="s">
        <v>55</v>
      </c>
      <c r="I131" s="42">
        <f>I102*454/60/0.0283/I$118*(21-7)/(21-I$119)*667.8</f>
        <v>0.5747450632013954</v>
      </c>
      <c r="J131" t="s">
        <v>55</v>
      </c>
      <c r="K131" s="42">
        <f>K102*454/60/0.0283/K$118*(21-7)/(21-K$119)*667.8</f>
        <v>0.6233224967648574</v>
      </c>
      <c r="L131"/>
      <c r="M131" s="42"/>
      <c r="N131">
        <v>100</v>
      </c>
      <c r="O131" s="2">
        <f>AVERAGE(M131,K131,I131,G131)</f>
        <v>0.5774721751521631</v>
      </c>
    </row>
    <row r="132" spans="2:15" ht="12.75">
      <c r="B132" s="4" t="s">
        <v>24</v>
      </c>
      <c r="C132" t="s">
        <v>141</v>
      </c>
      <c r="D132" s="4" t="s">
        <v>16</v>
      </c>
      <c r="E132" s="4" t="s">
        <v>15</v>
      </c>
      <c r="F132" t="s">
        <v>55</v>
      </c>
      <c r="G132" s="42">
        <f>G103*454/60/0.0283/G$118*(21-7)/(21-G$119)*343.4</f>
        <v>0.19234322300770149</v>
      </c>
      <c r="H132" t="s">
        <v>55</v>
      </c>
      <c r="I132" s="42">
        <f>I103*454/60/0.0283/I$118*(21-7)/(21-I$119)*343.4</f>
        <v>0.20688412442700127</v>
      </c>
      <c r="J132" t="s">
        <v>55</v>
      </c>
      <c r="K132" s="42">
        <f>K103*454/60/0.0283/K$118*(21-7)/(21-K$119)*343.4</f>
        <v>0.17483373796377694</v>
      </c>
      <c r="M132" s="42"/>
      <c r="N132">
        <v>100</v>
      </c>
      <c r="O132" s="2">
        <f>AVERAGE(M132,K132,I132,G132)</f>
        <v>0.19135369513282655</v>
      </c>
    </row>
    <row r="133" spans="2:15" ht="12.75">
      <c r="B133" s="4" t="s">
        <v>57</v>
      </c>
      <c r="C133" s="4" t="s">
        <v>141</v>
      </c>
      <c r="D133" s="4" t="s">
        <v>16</v>
      </c>
      <c r="E133" s="4" t="s">
        <v>15</v>
      </c>
      <c r="F133">
        <v>100</v>
      </c>
      <c r="G133" s="42">
        <f>(G132*2+G131)</f>
        <v>0.9190354115056394</v>
      </c>
      <c r="H133">
        <v>100</v>
      </c>
      <c r="I133" s="42">
        <f>(I132*2+I131)</f>
        <v>0.9885133120553979</v>
      </c>
      <c r="J133">
        <v>100</v>
      </c>
      <c r="K133" s="42">
        <f>(K132*2+K131)</f>
        <v>0.9729899726924113</v>
      </c>
      <c r="M133" s="42"/>
      <c r="N133">
        <v>100</v>
      </c>
      <c r="O133" s="2">
        <f>AVERAGE(M133,K133,I133,G133)</f>
        <v>0.9601795654178162</v>
      </c>
    </row>
    <row r="134" spans="2:15" ht="12.75">
      <c r="B134" s="4"/>
      <c r="C134" s="4"/>
      <c r="F134"/>
      <c r="G134"/>
      <c r="H134"/>
      <c r="I134"/>
      <c r="J134"/>
      <c r="K134"/>
      <c r="L134"/>
      <c r="M134" s="13"/>
      <c r="O134" s="2"/>
    </row>
    <row r="135" spans="2:15" ht="12.75">
      <c r="B135" s="4" t="s">
        <v>44</v>
      </c>
      <c r="C135" s="4" t="s">
        <v>142</v>
      </c>
      <c r="D135" s="4" t="s">
        <v>27</v>
      </c>
      <c r="E135" s="4" t="s">
        <v>15</v>
      </c>
      <c r="F135" s="4" t="s">
        <v>55</v>
      </c>
      <c r="G135" s="2">
        <f>G105/60/0.0283/G124*(21-7)/(21-G125)*1000000</f>
        <v>13.430427992617926</v>
      </c>
      <c r="H135"/>
      <c r="I135" s="2">
        <f>I105/60/0.0283/I124*(21-7)/(21-I125)*1000000</f>
        <v>26.955613400276828</v>
      </c>
      <c r="J135"/>
      <c r="K135" s="2">
        <f>K105/60/0.0283/K124*(21-7)/(21-K125)*1000000</f>
        <v>17.44143979691437</v>
      </c>
      <c r="L135"/>
      <c r="M135" s="13"/>
      <c r="N135" s="13">
        <f>G135/(O135*3)*100</f>
        <v>23.22499219451522</v>
      </c>
      <c r="O135" s="2">
        <f>AVERAGE(M135,K135,I135,G135)</f>
        <v>19.275827063269706</v>
      </c>
    </row>
    <row r="136" spans="2:15" ht="12.75">
      <c r="B136" s="4" t="s">
        <v>28</v>
      </c>
      <c r="C136" s="4" t="s">
        <v>142</v>
      </c>
      <c r="D136" s="4" t="s">
        <v>27</v>
      </c>
      <c r="E136" s="4" t="s">
        <v>15</v>
      </c>
      <c r="F136">
        <v>100</v>
      </c>
      <c r="G136" s="2">
        <f>G135</f>
        <v>13.430427992617926</v>
      </c>
      <c r="H136"/>
      <c r="I136" s="2">
        <f>I135</f>
        <v>26.955613400276828</v>
      </c>
      <c r="J136"/>
      <c r="K136" s="2">
        <f>K135</f>
        <v>17.44143979691437</v>
      </c>
      <c r="L136"/>
      <c r="M136" s="13"/>
      <c r="N136" s="13">
        <f>G136/(O136*3)*100</f>
        <v>23.22499219451522</v>
      </c>
      <c r="O136" s="2">
        <f>O135</f>
        <v>19.275827063269706</v>
      </c>
    </row>
    <row r="137" spans="2:15" ht="12.75">
      <c r="B137" s="4"/>
      <c r="C137" s="4"/>
      <c r="F137"/>
      <c r="G137"/>
      <c r="H137"/>
      <c r="I137"/>
      <c r="J137"/>
      <c r="K137"/>
      <c r="L137"/>
      <c r="M137" s="13"/>
      <c r="O137" s="2"/>
    </row>
    <row r="138" spans="2:15" ht="12.75">
      <c r="B138" s="4"/>
      <c r="C138" s="4"/>
      <c r="F138"/>
      <c r="G138"/>
      <c r="H138"/>
      <c r="I138"/>
      <c r="J138"/>
      <c r="K138"/>
      <c r="L138"/>
      <c r="M138" s="13"/>
      <c r="O138" s="2"/>
    </row>
    <row r="139" spans="2:15" ht="12.75">
      <c r="B139" s="4"/>
      <c r="C139" s="4"/>
      <c r="F139"/>
      <c r="G139"/>
      <c r="H139"/>
      <c r="I139"/>
      <c r="J139"/>
      <c r="K139"/>
      <c r="L139"/>
      <c r="M139" s="13"/>
      <c r="O139" s="2"/>
    </row>
    <row r="140" spans="2:15" ht="12.75">
      <c r="B140" s="4"/>
      <c r="C140" s="4"/>
      <c r="F140"/>
      <c r="G140"/>
      <c r="H140"/>
      <c r="I140"/>
      <c r="J140"/>
      <c r="K140"/>
      <c r="L140"/>
      <c r="M140" s="13"/>
      <c r="O140" s="2"/>
    </row>
    <row r="141" spans="2:15" ht="12.75">
      <c r="B141" s="4"/>
      <c r="C141" s="4"/>
      <c r="F141"/>
      <c r="G141"/>
      <c r="H141"/>
      <c r="I141"/>
      <c r="J141"/>
      <c r="K141"/>
      <c r="L141"/>
      <c r="M141" s="13"/>
      <c r="O141"/>
    </row>
    <row r="142" spans="2:15" ht="12.75">
      <c r="B142" s="4"/>
      <c r="C142" s="4"/>
      <c r="F142"/>
      <c r="G142"/>
      <c r="H142"/>
      <c r="I142"/>
      <c r="J142"/>
      <c r="K142"/>
      <c r="L142"/>
      <c r="M142" s="13"/>
      <c r="O142"/>
    </row>
    <row r="143" spans="2:15" ht="12.75">
      <c r="B143" s="4"/>
      <c r="C143" s="4"/>
      <c r="F143"/>
      <c r="G143"/>
      <c r="H143"/>
      <c r="I143"/>
      <c r="J143"/>
      <c r="K143"/>
      <c r="L143"/>
      <c r="M143" s="13"/>
      <c r="O143" s="2"/>
    </row>
    <row r="144" spans="2:15" ht="12.75">
      <c r="B144" s="4"/>
      <c r="C144" s="4"/>
      <c r="F144"/>
      <c r="G144"/>
      <c r="H144"/>
      <c r="I144"/>
      <c r="J144"/>
      <c r="K144"/>
      <c r="L144"/>
      <c r="M144" s="13"/>
      <c r="O144" s="2"/>
    </row>
    <row r="145" spans="2:15" ht="12.75">
      <c r="B145" s="4"/>
      <c r="C145" s="4"/>
      <c r="F145"/>
      <c r="G145"/>
      <c r="H145"/>
      <c r="I145"/>
      <c r="J145"/>
      <c r="K145"/>
      <c r="L145"/>
      <c r="M145" s="13"/>
      <c r="O145" s="2"/>
    </row>
    <row r="146" spans="2:15" ht="12.75">
      <c r="B146" s="4"/>
      <c r="C146" s="4"/>
      <c r="F146"/>
      <c r="G146"/>
      <c r="H146"/>
      <c r="I146"/>
      <c r="J146"/>
      <c r="K146"/>
      <c r="L146"/>
      <c r="M146" s="13"/>
      <c r="O146" s="2"/>
    </row>
    <row r="147" spans="2:15" ht="12.75">
      <c r="B147" s="4"/>
      <c r="C147" s="4"/>
      <c r="F147"/>
      <c r="G147"/>
      <c r="H147"/>
      <c r="I147"/>
      <c r="J147"/>
      <c r="K147"/>
      <c r="L147"/>
      <c r="M147" s="13"/>
      <c r="O147"/>
    </row>
    <row r="148" spans="2:15" ht="12.75">
      <c r="B148" s="4"/>
      <c r="C148" s="4"/>
      <c r="F148"/>
      <c r="G148"/>
      <c r="H148"/>
      <c r="I148"/>
      <c r="J148"/>
      <c r="K148"/>
      <c r="L148"/>
      <c r="M148" s="13"/>
      <c r="O148"/>
    </row>
    <row r="149" spans="2:15" ht="12.75">
      <c r="B149" s="4"/>
      <c r="C149" s="4"/>
      <c r="F149"/>
      <c r="G149"/>
      <c r="H149"/>
      <c r="I149"/>
      <c r="J149"/>
      <c r="K149"/>
      <c r="L149"/>
      <c r="M149" s="13"/>
      <c r="O149" s="2"/>
    </row>
    <row r="150" spans="2:15" ht="12.75">
      <c r="B150" s="4"/>
      <c r="C150" s="4"/>
      <c r="F150"/>
      <c r="G150"/>
      <c r="H150"/>
      <c r="I150"/>
      <c r="J150"/>
      <c r="K150"/>
      <c r="L150"/>
      <c r="M150" s="13"/>
      <c r="O150" s="2"/>
    </row>
    <row r="151" spans="2:15" ht="12.75">
      <c r="B151" s="4"/>
      <c r="C151" s="4"/>
      <c r="F151"/>
      <c r="G151"/>
      <c r="H151"/>
      <c r="I151"/>
      <c r="J151"/>
      <c r="K151"/>
      <c r="L151"/>
      <c r="M151" s="13"/>
      <c r="O151" s="2"/>
    </row>
    <row r="152" spans="2:15" ht="12.75">
      <c r="B152" s="4"/>
      <c r="C152" s="4"/>
      <c r="F152"/>
      <c r="G152"/>
      <c r="H152"/>
      <c r="I152"/>
      <c r="J152"/>
      <c r="K152"/>
      <c r="L152"/>
      <c r="M152" s="13"/>
      <c r="O152" s="2"/>
    </row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spans="2:13" ht="12.75">
      <c r="B198" s="4"/>
      <c r="C198" s="4"/>
      <c r="G198" s="19"/>
      <c r="H198" s="19"/>
      <c r="I198" s="20"/>
      <c r="J198" s="19"/>
      <c r="K198" s="19"/>
      <c r="L198" s="19"/>
      <c r="M198" s="13"/>
    </row>
    <row r="199" spans="2:13" ht="12.75">
      <c r="B199" s="4"/>
      <c r="C199" s="4"/>
      <c r="G199" s="19"/>
      <c r="H199" s="19"/>
      <c r="I199" s="20"/>
      <c r="J199" s="19"/>
      <c r="K199" s="19"/>
      <c r="L199" s="19"/>
      <c r="M199" s="13"/>
    </row>
    <row r="200" spans="2:13" ht="12.75">
      <c r="B200" s="4"/>
      <c r="C200" s="4"/>
      <c r="M200" s="13"/>
    </row>
    <row r="201" spans="2:13" ht="12.75">
      <c r="B201" s="17"/>
      <c r="C201" s="17"/>
      <c r="G201" s="15"/>
      <c r="H201" s="15"/>
      <c r="I201" s="16"/>
      <c r="J201" s="15"/>
      <c r="K201" s="15"/>
      <c r="L201" s="15"/>
      <c r="M201" s="13"/>
    </row>
    <row r="202" spans="2:13" ht="12.75">
      <c r="B202" s="4"/>
      <c r="C202" s="4"/>
      <c r="D202" s="8"/>
      <c r="E202" s="8"/>
      <c r="F202" s="8"/>
      <c r="G202" s="8"/>
      <c r="H202" s="8"/>
      <c r="I202" s="18"/>
      <c r="J202" s="8"/>
      <c r="K202" s="8"/>
      <c r="L202" s="8"/>
      <c r="M202" s="13"/>
    </row>
    <row r="203" spans="2:13" ht="12.75">
      <c r="B203" s="4"/>
      <c r="C203" s="4"/>
      <c r="G203" s="19"/>
      <c r="H203" s="19"/>
      <c r="I203" s="20"/>
      <c r="J203" s="19"/>
      <c r="K203" s="19"/>
      <c r="L203" s="19"/>
      <c r="M203" s="13"/>
    </row>
    <row r="204" spans="2:13" ht="12.75">
      <c r="B204" s="4"/>
      <c r="C204" s="4"/>
      <c r="G204" s="19"/>
      <c r="H204" s="19"/>
      <c r="I204" s="20"/>
      <c r="J204" s="19"/>
      <c r="K204" s="19"/>
      <c r="L204" s="19"/>
      <c r="M204" s="13"/>
    </row>
    <row r="205" spans="2:13" ht="12.75">
      <c r="B205" s="4"/>
      <c r="C205" s="4"/>
      <c r="G205" s="19"/>
      <c r="H205" s="19"/>
      <c r="I205" s="20"/>
      <c r="J205" s="19"/>
      <c r="K205" s="19"/>
      <c r="L205" s="19"/>
      <c r="M205" s="13"/>
    </row>
    <row r="206" spans="2:13" ht="12.75">
      <c r="B206" s="4"/>
      <c r="C206" s="4"/>
      <c r="G206" s="19"/>
      <c r="H206" s="19"/>
      <c r="I206" s="20"/>
      <c r="J206" s="19"/>
      <c r="K206" s="19"/>
      <c r="L206" s="19"/>
      <c r="M206" s="13"/>
    </row>
    <row r="207" spans="2:13" ht="12.75">
      <c r="B207" s="4"/>
      <c r="C207" s="4"/>
      <c r="G207" s="19"/>
      <c r="H207" s="19"/>
      <c r="I207" s="20"/>
      <c r="J207" s="19"/>
      <c r="K207" s="19"/>
      <c r="L207" s="19"/>
      <c r="M207" s="13"/>
    </row>
    <row r="208" spans="2:13" ht="12.75">
      <c r="B208" s="4"/>
      <c r="C208" s="4"/>
      <c r="G208" s="19"/>
      <c r="H208" s="19"/>
      <c r="I208" s="20"/>
      <c r="J208" s="19"/>
      <c r="K208" s="19"/>
      <c r="L208" s="19"/>
      <c r="M208" s="13"/>
    </row>
    <row r="209" spans="2:13" ht="12.75">
      <c r="B209" s="4"/>
      <c r="C209" s="4"/>
      <c r="G209" s="19"/>
      <c r="H209" s="19"/>
      <c r="I209" s="20"/>
      <c r="J209" s="19"/>
      <c r="K209" s="19"/>
      <c r="L209" s="19"/>
      <c r="M209" s="13"/>
    </row>
    <row r="210" spans="2:13" ht="12.75">
      <c r="B210" s="4"/>
      <c r="C210" s="4"/>
      <c r="G210" s="19"/>
      <c r="H210" s="19"/>
      <c r="I210" s="20"/>
      <c r="J210" s="19"/>
      <c r="K210" s="19"/>
      <c r="L210" s="19"/>
      <c r="M210" s="13"/>
    </row>
    <row r="211" spans="2:13" ht="12.75">
      <c r="B211" s="4"/>
      <c r="C211" s="4"/>
      <c r="G211" s="19"/>
      <c r="H211" s="19"/>
      <c r="I211" s="20"/>
      <c r="J211" s="5"/>
      <c r="K211" s="19"/>
      <c r="L211" s="19"/>
      <c r="M211" s="13"/>
    </row>
    <row r="212" spans="2:13" ht="12.75">
      <c r="B212" s="4"/>
      <c r="C212" s="4"/>
      <c r="G212" s="19"/>
      <c r="H212" s="19"/>
      <c r="I212" s="20"/>
      <c r="J212" s="19"/>
      <c r="K212" s="19"/>
      <c r="L212" s="19"/>
      <c r="M212" s="13"/>
    </row>
    <row r="213" spans="2:13" ht="12.75">
      <c r="B213" s="4"/>
      <c r="C213" s="4"/>
      <c r="G213" s="19"/>
      <c r="H213" s="19"/>
      <c r="I213" s="20"/>
      <c r="J213" s="19"/>
      <c r="K213" s="19"/>
      <c r="L213" s="19"/>
      <c r="M213" s="13"/>
    </row>
    <row r="214" spans="2:13" ht="12.75">
      <c r="B214" s="4"/>
      <c r="C214" s="4"/>
      <c r="G214" s="19"/>
      <c r="H214" s="19"/>
      <c r="I214" s="20"/>
      <c r="J214" s="19"/>
      <c r="K214" s="19"/>
      <c r="L214" s="19"/>
      <c r="M214" s="13"/>
    </row>
    <row r="215" spans="2:13" ht="12.75">
      <c r="B215" s="4"/>
      <c r="C215" s="4"/>
      <c r="M215" s="13"/>
    </row>
    <row r="216" spans="2:13" ht="12.75">
      <c r="B216" s="4"/>
      <c r="C216" s="4"/>
      <c r="G216" s="19"/>
      <c r="H216" s="19"/>
      <c r="I216" s="20"/>
      <c r="J216" s="19"/>
      <c r="K216" s="19"/>
      <c r="L216" s="19"/>
      <c r="M216" s="13"/>
    </row>
    <row r="217" spans="2:13" ht="12.75">
      <c r="B217" s="4"/>
      <c r="C217" s="4"/>
      <c r="G217" s="19"/>
      <c r="H217" s="19"/>
      <c r="I217" s="20"/>
      <c r="J217" s="5"/>
      <c r="K217" s="19"/>
      <c r="L217" s="19"/>
      <c r="M217" s="13"/>
    </row>
    <row r="218" spans="2:13" ht="12.75">
      <c r="B218" s="4"/>
      <c r="C218" s="4"/>
      <c r="G218" s="19"/>
      <c r="H218" s="19"/>
      <c r="I218" s="20"/>
      <c r="J218" s="19"/>
      <c r="K218" s="19"/>
      <c r="L218" s="19"/>
      <c r="M218" s="13"/>
    </row>
    <row r="219" spans="2:13" ht="12.75">
      <c r="B219" s="4"/>
      <c r="C219" s="4"/>
      <c r="G219" s="19"/>
      <c r="H219" s="19"/>
      <c r="I219" s="20"/>
      <c r="J219" s="19"/>
      <c r="K219" s="19"/>
      <c r="L219" s="19"/>
      <c r="M219" s="13"/>
    </row>
    <row r="220" spans="2:13" ht="12.75">
      <c r="B220" s="4"/>
      <c r="C220" s="4"/>
      <c r="G220" s="19"/>
      <c r="H220" s="19"/>
      <c r="I220" s="20"/>
      <c r="J220" s="19"/>
      <c r="K220" s="19"/>
      <c r="L220" s="19"/>
      <c r="M220" s="13"/>
    </row>
    <row r="221" spans="7:13" ht="12.75">
      <c r="G221" s="21"/>
      <c r="K221" s="21"/>
      <c r="L221" s="21"/>
      <c r="M221" s="13"/>
    </row>
    <row r="223" spans="2:13" ht="12.75">
      <c r="B223" s="12"/>
      <c r="C223" s="12"/>
      <c r="M223" s="13"/>
    </row>
    <row r="224" spans="2:13" ht="12.75">
      <c r="B224" s="4"/>
      <c r="C224" s="4"/>
      <c r="M224" s="13"/>
    </row>
    <row r="225" spans="2:13" ht="12.75">
      <c r="B225" s="17"/>
      <c r="C225" s="17"/>
      <c r="M225" s="13"/>
    </row>
    <row r="226" spans="2:13" ht="12.75">
      <c r="B226" s="4"/>
      <c r="C226" s="4"/>
      <c r="M226" s="13"/>
    </row>
    <row r="227" spans="2:13" ht="12.75">
      <c r="B227" s="4"/>
      <c r="C227" s="4"/>
      <c r="G227" s="19"/>
      <c r="I227" s="20"/>
      <c r="M227" s="13"/>
    </row>
    <row r="228" spans="2:13" ht="12.75">
      <c r="B228" s="4"/>
      <c r="C228" s="4"/>
      <c r="G228" s="19"/>
      <c r="I228" s="20"/>
      <c r="M228" s="13"/>
    </row>
    <row r="229" spans="7:13" ht="12.75">
      <c r="G229" s="19"/>
      <c r="I229" s="20"/>
      <c r="M229" s="13"/>
    </row>
    <row r="230" spans="2:13" ht="12.75">
      <c r="B230" s="4"/>
      <c r="C230" s="4"/>
      <c r="G230" s="19"/>
      <c r="H230" s="15"/>
      <c r="I230" s="20"/>
      <c r="J230" s="15"/>
      <c r="K230" s="19"/>
      <c r="L230" s="19"/>
      <c r="M230" s="13"/>
    </row>
    <row r="231" spans="7:13" ht="12.75">
      <c r="G231" s="19"/>
      <c r="I231" s="20"/>
      <c r="M231" s="13"/>
    </row>
    <row r="232" spans="2:13" ht="12.75">
      <c r="B232" s="4"/>
      <c r="C232" s="4"/>
      <c r="G232" s="19"/>
      <c r="I232" s="20"/>
      <c r="M232" s="13"/>
    </row>
    <row r="233" spans="2:13" ht="12.75">
      <c r="B233" s="4"/>
      <c r="C233" s="4"/>
      <c r="G233" s="19"/>
      <c r="I233" s="20"/>
      <c r="M233" s="13"/>
    </row>
    <row r="234" spans="2:13" ht="12.75">
      <c r="B234" s="4"/>
      <c r="C234" s="4"/>
      <c r="G234" s="19"/>
      <c r="I234" s="20"/>
      <c r="M234" s="13"/>
    </row>
    <row r="235" spans="2:13" ht="12.75">
      <c r="B235" s="4"/>
      <c r="C235" s="4"/>
      <c r="G235" s="19"/>
      <c r="I235" s="20"/>
      <c r="M235" s="13"/>
    </row>
    <row r="236" spans="7:13" ht="12.75">
      <c r="G236" s="19"/>
      <c r="I236" s="20"/>
      <c r="M236" s="13"/>
    </row>
    <row r="237" spans="2:13" ht="12.75">
      <c r="B237" s="12"/>
      <c r="C237" s="12"/>
      <c r="G237" s="15"/>
      <c r="H237" s="15"/>
      <c r="I237" s="16"/>
      <c r="J237" s="15"/>
      <c r="K237" s="15"/>
      <c r="L237" s="15"/>
      <c r="M237" s="13"/>
    </row>
    <row r="240" spans="7:13" ht="12.75">
      <c r="G240" s="21"/>
      <c r="K240" s="21"/>
      <c r="L240" s="21"/>
      <c r="M240" s="13"/>
    </row>
    <row r="241" spans="7:13" ht="12.75">
      <c r="G241" s="21"/>
      <c r="K241" s="21"/>
      <c r="L241" s="21"/>
      <c r="M241" s="13"/>
    </row>
    <row r="242" spans="7:13" ht="12.75">
      <c r="G242" s="21"/>
      <c r="K242" s="21"/>
      <c r="L242" s="21"/>
      <c r="M242" s="13"/>
    </row>
    <row r="243" spans="7:13" ht="12.75">
      <c r="G243" s="21"/>
      <c r="K243" s="21"/>
      <c r="L243" s="21"/>
      <c r="M243" s="13"/>
    </row>
    <row r="244" spans="7:13" ht="12.75">
      <c r="G244" s="21"/>
      <c r="K244" s="21"/>
      <c r="L244" s="21"/>
      <c r="M244" s="13"/>
    </row>
    <row r="245" spans="7:13" ht="12.75">
      <c r="G245" s="21"/>
      <c r="K245" s="21"/>
      <c r="L245" s="21"/>
      <c r="M245" s="13"/>
    </row>
    <row r="246" spans="7:13" ht="12.75">
      <c r="G246" s="21"/>
      <c r="K246" s="21"/>
      <c r="L246" s="21"/>
      <c r="M246" s="13"/>
    </row>
    <row r="247" spans="7:13" ht="12.75">
      <c r="G247" s="21"/>
      <c r="K247" s="21"/>
      <c r="L247" s="21"/>
      <c r="M247" s="13"/>
    </row>
    <row r="248" spans="7:13" ht="12.75">
      <c r="G248" s="21"/>
      <c r="K248" s="21"/>
      <c r="L248" s="21"/>
      <c r="M248" s="13"/>
    </row>
    <row r="249" spans="7:13" ht="12.75">
      <c r="G249" s="21"/>
      <c r="K249" s="21"/>
      <c r="L249" s="21"/>
      <c r="M249" s="13"/>
    </row>
    <row r="250" spans="7:13" ht="12.75">
      <c r="G250" s="21"/>
      <c r="K250" s="21"/>
      <c r="L250" s="21"/>
      <c r="M250" s="13"/>
    </row>
    <row r="251" spans="7:13" ht="12.75">
      <c r="G251" s="21"/>
      <c r="K251" s="21"/>
      <c r="L251" s="21"/>
      <c r="M251" s="13"/>
    </row>
    <row r="253" spans="7:13" ht="12.75">
      <c r="G253" s="21"/>
      <c r="K253" s="21"/>
      <c r="L253" s="21"/>
      <c r="M253" s="1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09"/>
  <sheetViews>
    <sheetView workbookViewId="0" topLeftCell="B64">
      <selection activeCell="C11" sqref="C11"/>
    </sheetView>
  </sheetViews>
  <sheetFormatPr defaultColWidth="9.140625" defaultRowHeight="12.75"/>
  <cols>
    <col min="1" max="1" width="2.28125" style="23" hidden="1" customWidth="1"/>
    <col min="2" max="2" width="20.00390625" style="6" customWidth="1"/>
    <col min="3" max="3" width="2.8515625" style="6" customWidth="1"/>
    <col min="4" max="4" width="9.28125" style="6" customWidth="1"/>
    <col min="5" max="5" width="2.8515625" style="23" customWidth="1"/>
    <col min="6" max="6" width="10.7109375" style="24" customWidth="1"/>
    <col min="7" max="7" width="2.7109375" style="24" customWidth="1"/>
    <col min="8" max="8" width="10.7109375" style="23" customWidth="1"/>
    <col min="9" max="9" width="2.00390625" style="23" customWidth="1"/>
    <col min="10" max="10" width="9.421875" style="23" customWidth="1"/>
    <col min="11" max="11" width="2.00390625" style="23" customWidth="1"/>
    <col min="12" max="12" width="12.57421875" style="23" customWidth="1"/>
    <col min="13" max="13" width="1.7109375" style="23" customWidth="1"/>
    <col min="14" max="14" width="12.28125" style="23" customWidth="1"/>
    <col min="15" max="15" width="2.140625" style="23" customWidth="1"/>
    <col min="16" max="16" width="15.00390625" style="23" customWidth="1"/>
    <col min="17" max="17" width="1.8515625" style="23" customWidth="1"/>
    <col min="18" max="18" width="13.28125" style="23" customWidth="1"/>
    <col min="19" max="19" width="2.28125" style="23" customWidth="1"/>
    <col min="20" max="20" width="12.8515625" style="23" customWidth="1"/>
    <col min="21" max="21" width="1.8515625" style="23" customWidth="1"/>
    <col min="22" max="22" width="14.28125" style="23" customWidth="1"/>
    <col min="23" max="23" width="2.421875" style="23" customWidth="1"/>
    <col min="24" max="24" width="13.57421875" style="23" bestFit="1" customWidth="1"/>
    <col min="25" max="25" width="2.140625" style="23" customWidth="1"/>
    <col min="26" max="26" width="16.140625" style="23" customWidth="1"/>
    <col min="27" max="27" width="1.421875" style="23" customWidth="1"/>
    <col min="28" max="28" width="16.140625" style="23" customWidth="1"/>
    <col min="29" max="29" width="1.8515625" style="23" customWidth="1"/>
    <col min="30" max="30" width="16.140625" style="23" customWidth="1"/>
    <col min="31" max="31" width="2.421875" style="23" customWidth="1"/>
    <col min="32" max="32" width="12.7109375" style="23" bestFit="1" customWidth="1"/>
    <col min="33" max="33" width="1.57421875" style="23" customWidth="1"/>
    <col min="34" max="34" width="12.7109375" style="23" customWidth="1"/>
    <col min="35" max="35" width="2.00390625" style="23" customWidth="1"/>
    <col min="36" max="36" width="12.7109375" style="23" bestFit="1" customWidth="1"/>
    <col min="37" max="37" width="1.8515625" style="23" customWidth="1"/>
    <col min="38" max="38" width="12.7109375" style="23" bestFit="1" customWidth="1"/>
    <col min="39" max="39" width="2.57421875" style="23" customWidth="1"/>
    <col min="40" max="40" width="12.7109375" style="23" customWidth="1"/>
    <col min="41" max="41" width="2.421875" style="23" customWidth="1"/>
    <col min="42" max="42" width="12.7109375" style="23" customWidth="1"/>
    <col min="43" max="43" width="2.57421875" style="23" customWidth="1"/>
    <col min="44" max="44" width="9.421875" style="23" bestFit="1" customWidth="1"/>
    <col min="45" max="16384" width="8.8515625" style="23" customWidth="1"/>
  </cols>
  <sheetData>
    <row r="1" spans="2:3" ht="12.75">
      <c r="B1" s="22" t="s">
        <v>140</v>
      </c>
      <c r="C1" s="22"/>
    </row>
    <row r="4" spans="1:44" ht="12.75">
      <c r="A4" s="23" t="s">
        <v>52</v>
      </c>
      <c r="B4" s="22" t="s">
        <v>95</v>
      </c>
      <c r="C4" s="22" t="s">
        <v>51</v>
      </c>
      <c r="F4" s="25" t="s">
        <v>76</v>
      </c>
      <c r="G4" s="25"/>
      <c r="H4" s="25" t="s">
        <v>77</v>
      </c>
      <c r="I4" s="25"/>
      <c r="J4" s="25" t="s">
        <v>78</v>
      </c>
      <c r="K4" s="25"/>
      <c r="L4" s="15" t="s">
        <v>123</v>
      </c>
      <c r="M4" s="15"/>
      <c r="N4" s="25" t="s">
        <v>138</v>
      </c>
      <c r="O4" s="25"/>
      <c r="P4" s="25" t="s">
        <v>76</v>
      </c>
      <c r="Q4" s="25"/>
      <c r="R4" s="25" t="s">
        <v>77</v>
      </c>
      <c r="S4" s="25"/>
      <c r="T4" s="25" t="s">
        <v>78</v>
      </c>
      <c r="U4" s="25"/>
      <c r="V4" s="15" t="s">
        <v>123</v>
      </c>
      <c r="W4" s="15"/>
      <c r="X4" s="25" t="s">
        <v>138</v>
      </c>
      <c r="Y4" s="25"/>
      <c r="Z4" s="25" t="s">
        <v>76</v>
      </c>
      <c r="AA4" s="25"/>
      <c r="AB4" s="25" t="s">
        <v>77</v>
      </c>
      <c r="AC4" s="25"/>
      <c r="AD4" s="25" t="s">
        <v>78</v>
      </c>
      <c r="AE4" s="25"/>
      <c r="AF4" s="15" t="s">
        <v>123</v>
      </c>
      <c r="AG4" s="15"/>
      <c r="AH4" s="25" t="s">
        <v>138</v>
      </c>
      <c r="AI4" s="25"/>
      <c r="AJ4" s="25" t="s">
        <v>76</v>
      </c>
      <c r="AK4" s="25"/>
      <c r="AL4" s="25" t="s">
        <v>77</v>
      </c>
      <c r="AM4" s="25"/>
      <c r="AN4" s="25" t="s">
        <v>78</v>
      </c>
      <c r="AO4" s="25"/>
      <c r="AP4" s="15" t="s">
        <v>123</v>
      </c>
      <c r="AQ4" s="15"/>
      <c r="AR4" s="25" t="s">
        <v>138</v>
      </c>
    </row>
    <row r="5" spans="2:44" ht="12.75">
      <c r="B5" s="22"/>
      <c r="C5" s="22"/>
      <c r="F5" s="25"/>
      <c r="G5" s="25"/>
      <c r="H5" s="25"/>
      <c r="I5" s="25"/>
      <c r="J5" s="25"/>
      <c r="K5" s="25"/>
      <c r="L5" s="15"/>
      <c r="M5" s="15"/>
      <c r="N5" s="25"/>
      <c r="O5" s="25"/>
      <c r="P5" s="25"/>
      <c r="Q5" s="25"/>
      <c r="R5" s="25"/>
      <c r="S5" s="25"/>
      <c r="T5" s="25"/>
      <c r="U5" s="25"/>
      <c r="V5" s="15"/>
      <c r="W5" s="15"/>
      <c r="X5" s="25"/>
      <c r="Y5" s="25"/>
      <c r="Z5" s="25"/>
      <c r="AA5" s="25"/>
      <c r="AB5" s="25"/>
      <c r="AC5" s="25"/>
      <c r="AD5" s="25"/>
      <c r="AE5" s="25"/>
      <c r="AF5" s="15"/>
      <c r="AG5" s="15"/>
      <c r="AH5" s="25"/>
      <c r="AI5" s="25"/>
      <c r="AJ5" s="25"/>
      <c r="AK5" s="25"/>
      <c r="AL5" s="25"/>
      <c r="AM5" s="25"/>
      <c r="AN5" s="25"/>
      <c r="AO5" s="25"/>
      <c r="AP5" s="15"/>
      <c r="AQ5" s="15"/>
      <c r="AR5" s="25"/>
    </row>
    <row r="6" spans="2:44" ht="12.75">
      <c r="B6" s="6" t="s">
        <v>158</v>
      </c>
      <c r="C6" s="22"/>
      <c r="F6" s="25" t="s">
        <v>161</v>
      </c>
      <c r="G6" s="25"/>
      <c r="H6" s="25" t="s">
        <v>161</v>
      </c>
      <c r="I6" s="25"/>
      <c r="J6" s="25" t="s">
        <v>161</v>
      </c>
      <c r="K6" s="25"/>
      <c r="L6" s="25" t="s">
        <v>161</v>
      </c>
      <c r="M6" s="25"/>
      <c r="N6" s="25" t="s">
        <v>161</v>
      </c>
      <c r="O6" s="25"/>
      <c r="P6" s="25" t="s">
        <v>162</v>
      </c>
      <c r="Q6" s="25"/>
      <c r="R6" s="25" t="s">
        <v>162</v>
      </c>
      <c r="S6" s="25"/>
      <c r="T6" s="25" t="s">
        <v>162</v>
      </c>
      <c r="U6" s="25"/>
      <c r="V6" s="25" t="s">
        <v>162</v>
      </c>
      <c r="W6" s="25"/>
      <c r="X6" s="25" t="s">
        <v>162</v>
      </c>
      <c r="Y6" s="25"/>
      <c r="Z6" s="25" t="s">
        <v>163</v>
      </c>
      <c r="AA6" s="25"/>
      <c r="AB6" s="25" t="s">
        <v>163</v>
      </c>
      <c r="AC6" s="25"/>
      <c r="AD6" s="25" t="s">
        <v>163</v>
      </c>
      <c r="AE6" s="25"/>
      <c r="AF6" s="15" t="s">
        <v>163</v>
      </c>
      <c r="AG6" s="15"/>
      <c r="AH6" s="25" t="s">
        <v>163</v>
      </c>
      <c r="AI6" s="25"/>
      <c r="AJ6" s="25" t="s">
        <v>164</v>
      </c>
      <c r="AK6" s="25"/>
      <c r="AL6" s="25" t="s">
        <v>164</v>
      </c>
      <c r="AM6" s="25"/>
      <c r="AN6" s="25" t="s">
        <v>164</v>
      </c>
      <c r="AO6" s="25"/>
      <c r="AP6" s="15" t="s">
        <v>164</v>
      </c>
      <c r="AQ6" s="15"/>
      <c r="AR6" s="25" t="s">
        <v>164</v>
      </c>
    </row>
    <row r="7" spans="2:44" ht="12.75">
      <c r="B7" s="6" t="s">
        <v>159</v>
      </c>
      <c r="F7" s="25" t="s">
        <v>160</v>
      </c>
      <c r="G7" s="25"/>
      <c r="H7" s="25" t="s">
        <v>160</v>
      </c>
      <c r="I7" s="25"/>
      <c r="J7" s="25" t="s">
        <v>160</v>
      </c>
      <c r="K7" s="25"/>
      <c r="L7" s="25" t="s">
        <v>160</v>
      </c>
      <c r="M7" s="25"/>
      <c r="N7" s="25" t="s">
        <v>160</v>
      </c>
      <c r="O7" s="25"/>
      <c r="P7" s="25" t="s">
        <v>160</v>
      </c>
      <c r="Q7" s="25"/>
      <c r="R7" s="25" t="s">
        <v>160</v>
      </c>
      <c r="S7" s="25"/>
      <c r="T7" s="25" t="s">
        <v>160</v>
      </c>
      <c r="U7" s="25"/>
      <c r="V7" s="25" t="s">
        <v>160</v>
      </c>
      <c r="W7" s="25"/>
      <c r="X7" s="25" t="s">
        <v>160</v>
      </c>
      <c r="Y7" s="25"/>
      <c r="Z7" s="25" t="s">
        <v>160</v>
      </c>
      <c r="AA7" s="25"/>
      <c r="AB7" s="25" t="s">
        <v>160</v>
      </c>
      <c r="AC7" s="25"/>
      <c r="AD7" s="25" t="s">
        <v>160</v>
      </c>
      <c r="AE7" s="25"/>
      <c r="AF7" s="25" t="s">
        <v>160</v>
      </c>
      <c r="AG7" s="25"/>
      <c r="AH7" s="25" t="s">
        <v>160</v>
      </c>
      <c r="AJ7" s="23" t="s">
        <v>20</v>
      </c>
      <c r="AL7" s="23" t="s">
        <v>20</v>
      </c>
      <c r="AN7" s="23" t="s">
        <v>20</v>
      </c>
      <c r="AP7" s="23" t="s">
        <v>20</v>
      </c>
      <c r="AR7" s="23" t="s">
        <v>20</v>
      </c>
    </row>
    <row r="8" spans="2:44" ht="12.75">
      <c r="B8" s="6" t="s">
        <v>166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J8" s="23" t="s">
        <v>20</v>
      </c>
      <c r="AL8" s="23" t="s">
        <v>20</v>
      </c>
      <c r="AN8" s="23" t="s">
        <v>20</v>
      </c>
      <c r="AP8" s="23" t="s">
        <v>20</v>
      </c>
      <c r="AR8" s="23" t="s">
        <v>20</v>
      </c>
    </row>
    <row r="9" spans="2:44" s="46" customFormat="1" ht="12.75">
      <c r="B9" s="46" t="s">
        <v>21</v>
      </c>
      <c r="E9" s="47"/>
      <c r="F9" s="9" t="s">
        <v>107</v>
      </c>
      <c r="G9" s="9"/>
      <c r="H9" s="9" t="s">
        <v>107</v>
      </c>
      <c r="I9" s="9"/>
      <c r="J9" s="9" t="s">
        <v>107</v>
      </c>
      <c r="K9" s="9"/>
      <c r="L9" s="9" t="s">
        <v>107</v>
      </c>
      <c r="M9" s="9"/>
      <c r="N9" s="9" t="s">
        <v>107</v>
      </c>
      <c r="O9" s="9"/>
      <c r="P9" s="46" t="s">
        <v>108</v>
      </c>
      <c r="R9" s="46" t="s">
        <v>108</v>
      </c>
      <c r="T9" s="46" t="s">
        <v>108</v>
      </c>
      <c r="V9" s="46" t="s">
        <v>108</v>
      </c>
      <c r="X9" s="46" t="s">
        <v>108</v>
      </c>
      <c r="Z9" s="48" t="s">
        <v>109</v>
      </c>
      <c r="AA9" s="48"/>
      <c r="AB9" s="48" t="s">
        <v>109</v>
      </c>
      <c r="AC9" s="48"/>
      <c r="AD9" s="48" t="s">
        <v>109</v>
      </c>
      <c r="AE9" s="48"/>
      <c r="AF9" s="48" t="s">
        <v>109</v>
      </c>
      <c r="AG9" s="48"/>
      <c r="AH9" s="48" t="s">
        <v>109</v>
      </c>
      <c r="AI9" s="48"/>
      <c r="AJ9" s="23" t="s">
        <v>20</v>
      </c>
      <c r="AK9" s="23"/>
      <c r="AL9" s="23" t="s">
        <v>20</v>
      </c>
      <c r="AM9" s="23"/>
      <c r="AN9" s="23" t="s">
        <v>20</v>
      </c>
      <c r="AO9" s="23"/>
      <c r="AP9" s="23" t="s">
        <v>20</v>
      </c>
      <c r="AQ9" s="23"/>
      <c r="AR9" s="23" t="s">
        <v>20</v>
      </c>
    </row>
    <row r="10" spans="2:44" ht="12.75">
      <c r="B10" s="6" t="s">
        <v>53</v>
      </c>
      <c r="D10" s="6" t="s">
        <v>26</v>
      </c>
      <c r="E10" s="8"/>
      <c r="F10" s="8">
        <v>505.3</v>
      </c>
      <c r="G10" s="8"/>
      <c r="H10" s="8">
        <v>505.3</v>
      </c>
      <c r="I10" s="8"/>
      <c r="J10" s="28">
        <v>506.4</v>
      </c>
      <c r="K10" s="28"/>
      <c r="L10" s="29">
        <v>506</v>
      </c>
      <c r="M10" s="29"/>
      <c r="N10" s="29">
        <f>AVERAGE(L10,J10,H10,F10)</f>
        <v>505.75</v>
      </c>
      <c r="O10" s="29"/>
      <c r="P10" s="28">
        <v>59.67</v>
      </c>
      <c r="Q10" s="28"/>
      <c r="R10" s="23">
        <v>60</v>
      </c>
      <c r="T10" s="23">
        <v>60.2</v>
      </c>
      <c r="V10" s="23">
        <v>60</v>
      </c>
      <c r="X10" s="29">
        <f>AVERAGE(V10,T10,R10,P10)</f>
        <v>59.9675</v>
      </c>
      <c r="Y10" s="29"/>
      <c r="Z10" s="23">
        <v>19.43</v>
      </c>
      <c r="AB10" s="23">
        <v>18.2</v>
      </c>
      <c r="AD10" s="23">
        <v>18.1</v>
      </c>
      <c r="AF10" s="23">
        <v>15.7</v>
      </c>
      <c r="AH10" s="29">
        <f>AVERAGE(AF10,AD10,AB10,Z10)</f>
        <v>17.8575</v>
      </c>
      <c r="AI10" s="29"/>
      <c r="AJ10" s="29">
        <f>SUM(AB10,H10,R10)</f>
        <v>583.5</v>
      </c>
      <c r="AK10" s="29"/>
      <c r="AL10" s="29">
        <f>SUM(AD10,J10,T10)</f>
        <v>584.7</v>
      </c>
      <c r="AM10" s="29"/>
      <c r="AN10" s="29">
        <f>SUM(AF10,L10,V10)</f>
        <v>581.7</v>
      </c>
      <c r="AO10" s="29"/>
      <c r="AP10" s="29">
        <f>SUM(AF10,L10,V10)</f>
        <v>581.7</v>
      </c>
      <c r="AQ10" s="29"/>
      <c r="AR10" s="29">
        <f>SUM(AH10,N10,X10)</f>
        <v>583.5749999999999</v>
      </c>
    </row>
    <row r="11" spans="2:17" ht="12.75">
      <c r="B11" s="6" t="s">
        <v>69</v>
      </c>
      <c r="D11" s="6" t="s">
        <v>70</v>
      </c>
      <c r="E11" s="8"/>
      <c r="F11" s="8"/>
      <c r="G11" s="8"/>
      <c r="H11" s="8"/>
      <c r="I11" s="8"/>
      <c r="J11" s="28"/>
      <c r="K11" s="28"/>
      <c r="L11" s="29"/>
      <c r="M11" s="29"/>
      <c r="N11" s="29"/>
      <c r="O11" s="29"/>
      <c r="P11" s="28"/>
      <c r="Q11" s="28"/>
    </row>
    <row r="12" spans="2:44" ht="12.75">
      <c r="B12" s="6" t="s">
        <v>68</v>
      </c>
      <c r="D12" s="6" t="s">
        <v>26</v>
      </c>
      <c r="E12" s="8"/>
      <c r="F12" s="51"/>
      <c r="G12" s="51"/>
      <c r="H12" s="51"/>
      <c r="I12" s="51"/>
      <c r="J12" s="28"/>
      <c r="K12" s="28"/>
      <c r="L12" s="26"/>
      <c r="M12" s="26"/>
      <c r="N12" s="26"/>
      <c r="O12" s="26"/>
      <c r="P12" s="28"/>
      <c r="Q12" s="28"/>
      <c r="AJ12" s="23">
        <v>2.84</v>
      </c>
      <c r="AL12" s="23">
        <v>2.84</v>
      </c>
      <c r="AN12" s="23">
        <v>2.84</v>
      </c>
      <c r="AP12" s="23">
        <v>2.84</v>
      </c>
      <c r="AR12" s="23">
        <v>2.84</v>
      </c>
    </row>
    <row r="13" spans="2:17" ht="12.75">
      <c r="B13" s="6" t="s">
        <v>22</v>
      </c>
      <c r="D13" s="6" t="s">
        <v>26</v>
      </c>
      <c r="E13" s="8"/>
      <c r="F13" s="51"/>
      <c r="G13" s="51"/>
      <c r="H13" s="51"/>
      <c r="I13" s="51"/>
      <c r="J13" s="28"/>
      <c r="K13" s="28"/>
      <c r="L13" s="29"/>
      <c r="M13" s="29"/>
      <c r="N13" s="29"/>
      <c r="O13" s="29"/>
      <c r="P13" s="28"/>
      <c r="Q13" s="28"/>
    </row>
    <row r="14" spans="6:7" ht="12.75">
      <c r="F14" s="7"/>
      <c r="G14" s="7"/>
    </row>
    <row r="15" spans="2:44" ht="12.75">
      <c r="B15" s="6" t="s">
        <v>64</v>
      </c>
      <c r="D15" s="6" t="s">
        <v>17</v>
      </c>
      <c r="E15" s="25"/>
      <c r="F15" s="7"/>
      <c r="G15" s="7"/>
      <c r="J15" s="27"/>
      <c r="K15" s="27"/>
      <c r="P15" s="27"/>
      <c r="Q15" s="27"/>
      <c r="R15" s="27"/>
      <c r="S15" s="27"/>
      <c r="AJ15" s="23">
        <f>emiss!G22</f>
        <v>5348</v>
      </c>
      <c r="AL15" s="23">
        <f>emiss!I22</f>
        <v>5359</v>
      </c>
      <c r="AN15" s="23">
        <f>emiss!K22</f>
        <v>5366</v>
      </c>
      <c r="AP15" s="23">
        <f>emiss!M22</f>
        <v>5611</v>
      </c>
      <c r="AR15" s="23">
        <f>emiss!O22</f>
        <v>5421</v>
      </c>
    </row>
    <row r="16" spans="2:44" ht="12.75">
      <c r="B16" s="6" t="s">
        <v>65</v>
      </c>
      <c r="D16" s="6" t="s">
        <v>18</v>
      </c>
      <c r="E16" s="25"/>
      <c r="F16" s="7"/>
      <c r="G16" s="7"/>
      <c r="AJ16" s="23">
        <f>emiss!G23</f>
        <v>12.6</v>
      </c>
      <c r="AL16" s="23">
        <f>emiss!I23</f>
        <v>12.4</v>
      </c>
      <c r="AN16" s="23">
        <f>emiss!K23</f>
        <v>12.2</v>
      </c>
      <c r="AP16" s="23">
        <f>emiss!M23</f>
        <v>12.2</v>
      </c>
      <c r="AR16" s="23">
        <f>emiss!O23</f>
        <v>12.35</v>
      </c>
    </row>
    <row r="17" spans="5:7" ht="12.75">
      <c r="E17" s="25"/>
      <c r="F17" s="7"/>
      <c r="G17" s="7"/>
    </row>
    <row r="18" spans="2:17" ht="12.75">
      <c r="B18" s="6" t="s">
        <v>71</v>
      </c>
      <c r="D18" s="6" t="s">
        <v>72</v>
      </c>
      <c r="E18" s="25"/>
      <c r="F18" s="7"/>
      <c r="G18" s="7"/>
      <c r="J18" s="26"/>
      <c r="K18" s="26"/>
      <c r="P18" s="26"/>
      <c r="Q18" s="26"/>
    </row>
    <row r="19" spans="2:7" ht="12.75">
      <c r="B19" s="6" t="s">
        <v>73</v>
      </c>
      <c r="D19" s="6" t="s">
        <v>72</v>
      </c>
      <c r="E19" s="25"/>
      <c r="F19" s="7"/>
      <c r="G19" s="7"/>
    </row>
    <row r="20" spans="5:7" ht="12.75">
      <c r="E20" s="25"/>
      <c r="F20" s="7"/>
      <c r="G20" s="7"/>
    </row>
    <row r="21" spans="2:37" ht="12.75">
      <c r="B21" s="33" t="s">
        <v>66</v>
      </c>
      <c r="F21" s="7"/>
      <c r="G21" s="7"/>
      <c r="AJ21" s="26"/>
      <c r="AK21" s="26"/>
    </row>
    <row r="22" spans="2:44" ht="12.75">
      <c r="B22" s="6" t="s">
        <v>68</v>
      </c>
      <c r="D22" s="6" t="s">
        <v>27</v>
      </c>
      <c r="E22" s="23" t="s">
        <v>15</v>
      </c>
      <c r="F22" s="7"/>
      <c r="G22" s="7"/>
      <c r="J22" s="26"/>
      <c r="K22" s="26"/>
      <c r="P22" s="26"/>
      <c r="Q22" s="26"/>
      <c r="R22" s="26"/>
      <c r="S22" s="26"/>
      <c r="AJ22" s="26">
        <f>AJ12*454/60/0.0283/AJ15*(21-7)/(21-AJ16)*1000000</f>
        <v>236643.10660407084</v>
      </c>
      <c r="AK22" s="26"/>
      <c r="AL22" s="26">
        <f>AL12*454/60/0.0283/AL15*(21-7)/(21-AL16)*1000000</f>
        <v>230665.33600498177</v>
      </c>
      <c r="AM22" s="26"/>
      <c r="AN22" s="26">
        <f>AN12*454/60/0.0283/AN15*(21-7)/(21-AN16)*1000000</f>
        <v>225128.87555051997</v>
      </c>
      <c r="AO22" s="26"/>
      <c r="AP22" s="26">
        <f>AP12*454/60/0.0283/AP15*(21-7)/(21-AP16)*1000000</f>
        <v>215298.79632936913</v>
      </c>
      <c r="AQ22" s="26"/>
      <c r="AR22" s="26">
        <f>AVERAGE(AP22,AN22,AL22,AJ22)</f>
        <v>226934.02862223543</v>
      </c>
    </row>
    <row r="27" spans="1:37" ht="12.75">
      <c r="A27" s="23" t="s">
        <v>52</v>
      </c>
      <c r="B27" s="22" t="s">
        <v>98</v>
      </c>
      <c r="C27" s="22" t="s">
        <v>51</v>
      </c>
      <c r="F27" s="25" t="s">
        <v>76</v>
      </c>
      <c r="G27" s="25"/>
      <c r="H27" s="25" t="s">
        <v>77</v>
      </c>
      <c r="I27" s="25"/>
      <c r="J27" s="25" t="s">
        <v>78</v>
      </c>
      <c r="K27" s="25"/>
      <c r="L27" s="25" t="s">
        <v>123</v>
      </c>
      <c r="M27" s="25"/>
      <c r="N27" s="25" t="s">
        <v>138</v>
      </c>
      <c r="O27" s="25"/>
      <c r="P27" s="25" t="s">
        <v>76</v>
      </c>
      <c r="Q27" s="25"/>
      <c r="R27" s="25" t="s">
        <v>77</v>
      </c>
      <c r="S27" s="25"/>
      <c r="T27" s="25" t="s">
        <v>78</v>
      </c>
      <c r="U27" s="25"/>
      <c r="V27" s="25" t="s">
        <v>123</v>
      </c>
      <c r="W27" s="25"/>
      <c r="X27" s="25" t="s">
        <v>138</v>
      </c>
      <c r="Y27" s="25"/>
      <c r="Z27" s="25"/>
      <c r="AA27" s="25"/>
      <c r="AB27" s="25" t="s">
        <v>76</v>
      </c>
      <c r="AC27" s="25"/>
      <c r="AD27" s="25" t="s">
        <v>77</v>
      </c>
      <c r="AE27" s="25"/>
      <c r="AF27" s="25" t="s">
        <v>78</v>
      </c>
      <c r="AG27" s="25"/>
      <c r="AH27" s="25" t="s">
        <v>123</v>
      </c>
      <c r="AI27" s="25"/>
      <c r="AJ27" s="25" t="s">
        <v>138</v>
      </c>
      <c r="AK27" s="25"/>
    </row>
    <row r="28" spans="2:37" ht="12.75">
      <c r="B28" s="22"/>
      <c r="C28" s="22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2:37" ht="12.75">
      <c r="B29" s="6" t="s">
        <v>158</v>
      </c>
      <c r="C29" s="22"/>
      <c r="F29" s="25" t="s">
        <v>161</v>
      </c>
      <c r="G29" s="25"/>
      <c r="H29" s="25" t="s">
        <v>161</v>
      </c>
      <c r="I29" s="25"/>
      <c r="J29" s="25" t="s">
        <v>161</v>
      </c>
      <c r="K29" s="25"/>
      <c r="L29" s="25" t="s">
        <v>161</v>
      </c>
      <c r="M29" s="25"/>
      <c r="N29" s="25" t="s">
        <v>161</v>
      </c>
      <c r="O29" s="25"/>
      <c r="P29" s="25" t="s">
        <v>162</v>
      </c>
      <c r="Q29" s="25"/>
      <c r="R29" s="25" t="s">
        <v>162</v>
      </c>
      <c r="S29" s="25"/>
      <c r="T29" s="25" t="s">
        <v>162</v>
      </c>
      <c r="U29" s="25"/>
      <c r="V29" s="25" t="s">
        <v>162</v>
      </c>
      <c r="W29" s="25"/>
      <c r="X29" s="25" t="s">
        <v>162</v>
      </c>
      <c r="Y29" s="25"/>
      <c r="Z29" s="25"/>
      <c r="AA29" s="25"/>
      <c r="AB29" s="25" t="s">
        <v>163</v>
      </c>
      <c r="AC29" s="25"/>
      <c r="AD29" s="25" t="s">
        <v>163</v>
      </c>
      <c r="AE29" s="25"/>
      <c r="AF29" s="25" t="s">
        <v>163</v>
      </c>
      <c r="AG29" s="25"/>
      <c r="AH29" s="25" t="s">
        <v>163</v>
      </c>
      <c r="AI29" s="25"/>
      <c r="AJ29" s="25" t="s">
        <v>163</v>
      </c>
      <c r="AK29" s="25"/>
    </row>
    <row r="30" spans="2:36" ht="12.75">
      <c r="B30" s="6" t="s">
        <v>159</v>
      </c>
      <c r="F30" s="25" t="s">
        <v>165</v>
      </c>
      <c r="G30" s="25"/>
      <c r="H30" s="25" t="s">
        <v>165</v>
      </c>
      <c r="I30" s="25"/>
      <c r="J30" s="25" t="s">
        <v>165</v>
      </c>
      <c r="K30" s="25"/>
      <c r="L30" s="25" t="s">
        <v>165</v>
      </c>
      <c r="N30" s="25" t="s">
        <v>165</v>
      </c>
      <c r="P30" s="23" t="s">
        <v>160</v>
      </c>
      <c r="R30" s="23" t="s">
        <v>160</v>
      </c>
      <c r="T30" s="23" t="s">
        <v>160</v>
      </c>
      <c r="V30" s="23" t="s">
        <v>160</v>
      </c>
      <c r="X30" s="23" t="s">
        <v>160</v>
      </c>
      <c r="AB30" s="46" t="s">
        <v>20</v>
      </c>
      <c r="AC30" s="46"/>
      <c r="AD30" s="46" t="s">
        <v>20</v>
      </c>
      <c r="AE30" s="46"/>
      <c r="AF30" s="46" t="s">
        <v>20</v>
      </c>
      <c r="AG30" s="46"/>
      <c r="AH30" s="46" t="s">
        <v>20</v>
      </c>
      <c r="AI30" s="46"/>
      <c r="AJ30" s="46" t="s">
        <v>20</v>
      </c>
    </row>
    <row r="31" spans="2:36" ht="12.75">
      <c r="B31" s="6" t="s">
        <v>166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3" t="s">
        <v>20</v>
      </c>
      <c r="AD31" s="23" t="s">
        <v>20</v>
      </c>
      <c r="AF31" s="23" t="s">
        <v>20</v>
      </c>
      <c r="AH31" s="23" t="s">
        <v>20</v>
      </c>
      <c r="AJ31" s="23" t="s">
        <v>20</v>
      </c>
    </row>
    <row r="32" spans="2:36" s="46" customFormat="1" ht="12.75">
      <c r="B32" s="46" t="s">
        <v>21</v>
      </c>
      <c r="E32" s="47"/>
      <c r="F32" s="24" t="s">
        <v>110</v>
      </c>
      <c r="G32" s="24"/>
      <c r="H32" s="24" t="s">
        <v>110</v>
      </c>
      <c r="I32" s="24"/>
      <c r="J32" s="24" t="s">
        <v>110</v>
      </c>
      <c r="K32" s="24"/>
      <c r="L32" s="24" t="s">
        <v>110</v>
      </c>
      <c r="M32" s="24"/>
      <c r="N32" s="24" t="s">
        <v>110</v>
      </c>
      <c r="O32" s="24"/>
      <c r="P32" s="48" t="s">
        <v>109</v>
      </c>
      <c r="Q32" s="48"/>
      <c r="R32" s="48" t="s">
        <v>109</v>
      </c>
      <c r="S32" s="48"/>
      <c r="T32" s="48" t="s">
        <v>109</v>
      </c>
      <c r="U32" s="48"/>
      <c r="V32" s="48" t="s">
        <v>109</v>
      </c>
      <c r="W32" s="48"/>
      <c r="X32" s="48" t="s">
        <v>109</v>
      </c>
      <c r="Y32" s="48"/>
      <c r="AB32" s="46" t="s">
        <v>20</v>
      </c>
      <c r="AD32" s="46" t="s">
        <v>20</v>
      </c>
      <c r="AF32" s="46" t="s">
        <v>20</v>
      </c>
      <c r="AH32" s="46" t="s">
        <v>20</v>
      </c>
      <c r="AJ32" s="46" t="s">
        <v>20</v>
      </c>
    </row>
    <row r="33" spans="2:37" ht="12.75">
      <c r="B33" s="6" t="s">
        <v>53</v>
      </c>
      <c r="D33" s="6" t="s">
        <v>26</v>
      </c>
      <c r="E33" s="8"/>
      <c r="F33" s="8">
        <v>588.5</v>
      </c>
      <c r="G33" s="8"/>
      <c r="H33" s="8">
        <v>596</v>
      </c>
      <c r="I33" s="8"/>
      <c r="J33" s="28">
        <v>593</v>
      </c>
      <c r="K33" s="28"/>
      <c r="L33" s="29">
        <v>602.3</v>
      </c>
      <c r="M33" s="29"/>
      <c r="N33" s="29">
        <f>AVERAGE(L33,J33,H33,F33)</f>
        <v>594.95</v>
      </c>
      <c r="O33" s="29"/>
      <c r="P33" s="28">
        <v>1329.4</v>
      </c>
      <c r="Q33" s="28"/>
      <c r="R33" s="23">
        <v>1347.2</v>
      </c>
      <c r="T33" s="23">
        <v>1329.5</v>
      </c>
      <c r="V33" s="23">
        <v>1341.8</v>
      </c>
      <c r="X33" s="29">
        <f>AVERAGE(V33,T33,R33,P33)</f>
        <v>1336.975</v>
      </c>
      <c r="Y33" s="29"/>
      <c r="Z33" s="29"/>
      <c r="AA33" s="29"/>
      <c r="AB33" s="29">
        <f>SUM(R33,H33)</f>
        <v>1943.2</v>
      </c>
      <c r="AC33" s="29"/>
      <c r="AD33" s="29">
        <f>SUM(T33,J33)</f>
        <v>1922.5</v>
      </c>
      <c r="AE33" s="29"/>
      <c r="AF33" s="29">
        <f>SUM(V33,L33)</f>
        <v>1944.1</v>
      </c>
      <c r="AG33" s="29"/>
      <c r="AH33" s="29">
        <f>SUM(X33,N33)</f>
        <v>1931.925</v>
      </c>
      <c r="AI33" s="29"/>
      <c r="AJ33" s="29">
        <f>AVERAGE(AH33,AF33,AB33,AD33)</f>
        <v>1935.4312499999999</v>
      </c>
      <c r="AK33" s="29"/>
    </row>
    <row r="34" spans="2:37" ht="12.75">
      <c r="B34" s="6" t="s">
        <v>69</v>
      </c>
      <c r="D34" s="6" t="s">
        <v>70</v>
      </c>
      <c r="E34" s="8"/>
      <c r="F34" s="8"/>
      <c r="G34" s="8"/>
      <c r="H34" s="8"/>
      <c r="I34" s="8"/>
      <c r="J34" s="28"/>
      <c r="K34" s="28"/>
      <c r="L34" s="29"/>
      <c r="M34" s="29"/>
      <c r="N34" s="29"/>
      <c r="O34" s="29"/>
      <c r="P34" s="28"/>
      <c r="Q34" s="28"/>
      <c r="AJ34" s="29"/>
      <c r="AK34" s="29"/>
    </row>
    <row r="35" spans="2:37" ht="12.75">
      <c r="B35" s="6" t="s">
        <v>68</v>
      </c>
      <c r="D35" s="6" t="s">
        <v>26</v>
      </c>
      <c r="E35" s="8"/>
      <c r="F35" s="51"/>
      <c r="G35" s="51"/>
      <c r="H35" s="51"/>
      <c r="I35" s="51"/>
      <c r="J35" s="28"/>
      <c r="K35" s="28"/>
      <c r="L35" s="26"/>
      <c r="M35" s="26"/>
      <c r="N35" s="26"/>
      <c r="O35" s="26"/>
      <c r="P35" s="28"/>
      <c r="Q35" s="28"/>
      <c r="AB35" s="23">
        <v>102.82</v>
      </c>
      <c r="AD35" s="23">
        <v>103.45</v>
      </c>
      <c r="AF35" s="23">
        <v>103.17</v>
      </c>
      <c r="AH35" s="23">
        <v>103.62</v>
      </c>
      <c r="AJ35" s="26">
        <f aca="true" t="shared" si="0" ref="AJ35:AJ41">AVERAGE(AH35,AF35,AB35,AD35)</f>
        <v>103.265</v>
      </c>
      <c r="AK35" s="26"/>
    </row>
    <row r="36" spans="2:37" ht="12.75">
      <c r="B36" s="6" t="s">
        <v>59</v>
      </c>
      <c r="D36" s="6" t="s">
        <v>26</v>
      </c>
      <c r="E36" s="8"/>
      <c r="F36" s="51"/>
      <c r="G36" s="51"/>
      <c r="H36" s="51"/>
      <c r="I36" s="51"/>
      <c r="J36" s="28"/>
      <c r="K36" s="28"/>
      <c r="L36" s="26"/>
      <c r="M36" s="26"/>
      <c r="N36" s="26"/>
      <c r="O36" s="26"/>
      <c r="P36" s="28"/>
      <c r="Q36" s="28"/>
      <c r="AB36" s="23">
        <v>0.217</v>
      </c>
      <c r="AD36" s="23">
        <v>0.217</v>
      </c>
      <c r="AF36" s="23">
        <v>0.217</v>
      </c>
      <c r="AH36" s="23">
        <v>0.217</v>
      </c>
      <c r="AJ36" s="26">
        <f t="shared" si="0"/>
        <v>0.217</v>
      </c>
      <c r="AK36" s="26"/>
    </row>
    <row r="37" spans="2:37" ht="12.75">
      <c r="B37" s="6" t="s">
        <v>45</v>
      </c>
      <c r="D37" s="6" t="s">
        <v>26</v>
      </c>
      <c r="E37" s="8"/>
      <c r="F37" s="51"/>
      <c r="G37" s="51"/>
      <c r="H37" s="51"/>
      <c r="I37" s="51"/>
      <c r="J37" s="28"/>
      <c r="K37" s="28"/>
      <c r="L37" s="26"/>
      <c r="M37" s="26"/>
      <c r="N37" s="26"/>
      <c r="O37" s="26"/>
      <c r="P37" s="28"/>
      <c r="Q37" s="28"/>
      <c r="AB37" s="23">
        <v>9.98</v>
      </c>
      <c r="AD37" s="23">
        <v>9.98</v>
      </c>
      <c r="AF37" s="23">
        <v>9.98</v>
      </c>
      <c r="AH37" s="23">
        <v>9.98</v>
      </c>
      <c r="AJ37" s="26">
        <f t="shared" si="0"/>
        <v>9.98</v>
      </c>
      <c r="AK37" s="26"/>
    </row>
    <row r="38" spans="2:37" ht="12.75">
      <c r="B38" s="6" t="s">
        <v>60</v>
      </c>
      <c r="D38" s="6" t="s">
        <v>26</v>
      </c>
      <c r="E38" s="8"/>
      <c r="F38" s="51"/>
      <c r="G38" s="51"/>
      <c r="H38" s="51"/>
      <c r="I38" s="51"/>
      <c r="J38" s="28"/>
      <c r="K38" s="28"/>
      <c r="L38" s="26"/>
      <c r="M38" s="26"/>
      <c r="N38" s="26"/>
      <c r="O38" s="26"/>
      <c r="P38" s="28"/>
      <c r="Q38" s="28"/>
      <c r="AB38" s="23">
        <v>1.15</v>
      </c>
      <c r="AD38" s="23">
        <v>1.16</v>
      </c>
      <c r="AF38" s="23">
        <v>1.16</v>
      </c>
      <c r="AH38" s="23">
        <v>1.16</v>
      </c>
      <c r="AJ38" s="26">
        <f t="shared" si="0"/>
        <v>1.1575</v>
      </c>
      <c r="AK38" s="26"/>
    </row>
    <row r="39" spans="2:37" ht="12.75">
      <c r="B39" s="6" t="s">
        <v>49</v>
      </c>
      <c r="D39" s="6" t="s">
        <v>26</v>
      </c>
      <c r="E39" s="8"/>
      <c r="F39" s="51"/>
      <c r="G39" s="51"/>
      <c r="H39" s="51"/>
      <c r="I39" s="51"/>
      <c r="J39" s="28"/>
      <c r="K39" s="28"/>
      <c r="L39" s="26"/>
      <c r="M39" s="26"/>
      <c r="N39" s="26"/>
      <c r="O39" s="26"/>
      <c r="P39" s="28"/>
      <c r="Q39" s="28"/>
      <c r="AB39" s="23">
        <v>8.47</v>
      </c>
      <c r="AD39" s="23">
        <v>8.4</v>
      </c>
      <c r="AF39" s="23">
        <v>8.38</v>
      </c>
      <c r="AH39" s="23">
        <v>8.42</v>
      </c>
      <c r="AJ39" s="26">
        <f t="shared" si="0"/>
        <v>8.4175</v>
      </c>
      <c r="AK39" s="26"/>
    </row>
    <row r="40" spans="2:37" ht="12.75">
      <c r="B40" s="6" t="s">
        <v>44</v>
      </c>
      <c r="D40" s="6" t="s">
        <v>26</v>
      </c>
      <c r="E40" s="8"/>
      <c r="F40" s="51"/>
      <c r="G40" s="51"/>
      <c r="H40" s="51"/>
      <c r="I40" s="51"/>
      <c r="J40" s="28"/>
      <c r="K40" s="28"/>
      <c r="L40" s="26"/>
      <c r="M40" s="26"/>
      <c r="N40" s="26"/>
      <c r="O40" s="26"/>
      <c r="P40" s="28"/>
      <c r="Q40" s="28"/>
      <c r="AB40" s="23">
        <v>18.92</v>
      </c>
      <c r="AD40" s="23">
        <v>19.01</v>
      </c>
      <c r="AF40" s="23">
        <v>18.97</v>
      </c>
      <c r="AH40" s="23">
        <v>19</v>
      </c>
      <c r="AJ40" s="26">
        <f t="shared" si="0"/>
        <v>18.975</v>
      </c>
      <c r="AK40" s="26"/>
    </row>
    <row r="41" spans="2:37" ht="12.75">
      <c r="B41" s="6" t="s">
        <v>61</v>
      </c>
      <c r="D41" s="6" t="s">
        <v>26</v>
      </c>
      <c r="E41" s="8"/>
      <c r="F41" s="51"/>
      <c r="G41" s="51"/>
      <c r="H41" s="51"/>
      <c r="I41" s="51"/>
      <c r="J41" s="28"/>
      <c r="K41" s="28"/>
      <c r="L41" s="26"/>
      <c r="M41" s="26"/>
      <c r="N41" s="26"/>
      <c r="O41" s="26"/>
      <c r="P41" s="28"/>
      <c r="Q41" s="28"/>
      <c r="AB41" s="23">
        <v>20.01</v>
      </c>
      <c r="AD41" s="23">
        <v>20.1</v>
      </c>
      <c r="AF41" s="23">
        <v>20.05</v>
      </c>
      <c r="AH41" s="23">
        <v>20.1</v>
      </c>
      <c r="AJ41" s="26">
        <f t="shared" si="0"/>
        <v>20.065000000000005</v>
      </c>
      <c r="AK41" s="26"/>
    </row>
    <row r="42" spans="5:17" ht="12.75">
      <c r="E42" s="8"/>
      <c r="F42" s="51"/>
      <c r="G42" s="51"/>
      <c r="H42" s="51"/>
      <c r="I42" s="51"/>
      <c r="J42" s="28"/>
      <c r="K42" s="28"/>
      <c r="L42" s="26"/>
      <c r="M42" s="26"/>
      <c r="N42" s="26"/>
      <c r="O42" s="26"/>
      <c r="P42" s="28"/>
      <c r="Q42" s="28"/>
    </row>
    <row r="43" spans="6:7" ht="12.75">
      <c r="F43" s="7"/>
      <c r="G43" s="7"/>
    </row>
    <row r="44" spans="2:36" ht="12.75">
      <c r="B44" s="6" t="s">
        <v>64</v>
      </c>
      <c r="D44" s="6" t="s">
        <v>17</v>
      </c>
      <c r="E44" s="25"/>
      <c r="F44" s="7">
        <v>5279.3125</v>
      </c>
      <c r="G44" s="7"/>
      <c r="J44" s="27"/>
      <c r="K44" s="27"/>
      <c r="P44" s="27"/>
      <c r="Q44" s="27"/>
      <c r="R44" s="27"/>
      <c r="S44" s="27"/>
      <c r="AB44" s="23">
        <f>emiss!G67</f>
        <v>5329</v>
      </c>
      <c r="AD44" s="23">
        <f>emiss!I67</f>
        <v>5245</v>
      </c>
      <c r="AF44" s="23">
        <f>emiss!K67</f>
        <v>5057</v>
      </c>
      <c r="AH44" s="23">
        <f>emiss!M67</f>
        <v>5487</v>
      </c>
      <c r="AJ44" s="23">
        <f>emiss!O67</f>
        <v>5279.5</v>
      </c>
    </row>
    <row r="45" spans="2:36" ht="12.75">
      <c r="B45" s="6" t="s">
        <v>65</v>
      </c>
      <c r="D45" s="6" t="s">
        <v>18</v>
      </c>
      <c r="E45" s="25"/>
      <c r="F45" s="7">
        <v>12.8</v>
      </c>
      <c r="G45" s="7"/>
      <c r="AB45" s="23">
        <f>emiss!G68</f>
        <v>12.1</v>
      </c>
      <c r="AD45" s="23">
        <f>emiss!I68</f>
        <v>12.1</v>
      </c>
      <c r="AF45" s="23">
        <f>emiss!K68</f>
        <v>12.2</v>
      </c>
      <c r="AH45" s="23">
        <f>emiss!M68</f>
        <v>12.3</v>
      </c>
      <c r="AJ45" s="23">
        <f>emiss!O68</f>
        <v>12.175</v>
      </c>
    </row>
    <row r="46" spans="5:7" ht="12.75">
      <c r="E46" s="25"/>
      <c r="F46" s="7"/>
      <c r="G46" s="7"/>
    </row>
    <row r="47" spans="2:7" ht="12.75">
      <c r="B47" s="6" t="s">
        <v>71</v>
      </c>
      <c r="D47" s="6" t="s">
        <v>72</v>
      </c>
      <c r="E47" s="25"/>
      <c r="F47" s="7"/>
      <c r="G47" s="7"/>
    </row>
    <row r="48" spans="2:7" ht="12.75">
      <c r="B48" s="6" t="s">
        <v>73</v>
      </c>
      <c r="D48" s="6" t="s">
        <v>72</v>
      </c>
      <c r="E48" s="25"/>
      <c r="F48" s="7"/>
      <c r="G48" s="7"/>
    </row>
    <row r="49" spans="5:7" ht="12.75">
      <c r="E49" s="25"/>
      <c r="F49" s="7"/>
      <c r="G49" s="7"/>
    </row>
    <row r="50" spans="2:7" ht="12.75">
      <c r="B50" s="33" t="s">
        <v>66</v>
      </c>
      <c r="F50" s="7"/>
      <c r="G50" s="7"/>
    </row>
    <row r="51" spans="2:44" ht="12.75">
      <c r="B51" s="6" t="s">
        <v>68</v>
      </c>
      <c r="D51" s="6" t="s">
        <v>27</v>
      </c>
      <c r="F51" s="7"/>
      <c r="G51" s="7"/>
      <c r="Z51" s="26"/>
      <c r="AA51" s="26"/>
      <c r="AB51" s="26">
        <f aca="true" t="shared" si="1" ref="AB51:AH57">AB35*454/60/0.0283/AB$44*(21-7)/(21-AB$45)*1000000</f>
        <v>8114991.612286602</v>
      </c>
      <c r="AC51" s="26"/>
      <c r="AD51" s="26">
        <f t="shared" si="1"/>
        <v>8295473.846729104</v>
      </c>
      <c r="AE51" s="26"/>
      <c r="AF51" s="26">
        <f t="shared" si="1"/>
        <v>8678087.153066033</v>
      </c>
      <c r="AG51" s="26"/>
      <c r="AH51" s="26">
        <f t="shared" si="1"/>
        <v>8125228.398737732</v>
      </c>
      <c r="AI51" s="26"/>
      <c r="AJ51" s="26">
        <f>AVERAGE(AH51,AF51,AB51,AD51)</f>
        <v>8303445.252704868</v>
      </c>
      <c r="AK51" s="26"/>
      <c r="AL51" s="29"/>
      <c r="AM51" s="29"/>
      <c r="AN51" s="29"/>
      <c r="AO51" s="29"/>
      <c r="AP51" s="29"/>
      <c r="AQ51" s="29"/>
      <c r="AR51" s="29"/>
    </row>
    <row r="52" spans="2:36" ht="12.75">
      <c r="B52" s="6" t="s">
        <v>59</v>
      </c>
      <c r="D52" s="6" t="s">
        <v>27</v>
      </c>
      <c r="F52" s="7"/>
      <c r="G52" s="7"/>
      <c r="Z52" s="26"/>
      <c r="AA52" s="26"/>
      <c r="AB52" s="26">
        <f t="shared" si="1"/>
        <v>17126.562729684814</v>
      </c>
      <c r="AC52" s="26"/>
      <c r="AD52" s="26">
        <f t="shared" si="1"/>
        <v>17400.848958339448</v>
      </c>
      <c r="AE52" s="26"/>
      <c r="AF52" s="26">
        <f t="shared" si="1"/>
        <v>18252.834275616253</v>
      </c>
      <c r="AG52" s="26"/>
      <c r="AH52" s="26">
        <f t="shared" si="1"/>
        <v>17015.774585273957</v>
      </c>
      <c r="AI52" s="26"/>
      <c r="AJ52" s="26">
        <f aca="true" t="shared" si="2" ref="AJ52:AJ57">AVERAGE(AH52,AF52,AB52,AD52)</f>
        <v>17449.005137228618</v>
      </c>
    </row>
    <row r="53" spans="2:36" ht="12.75">
      <c r="B53" s="6" t="s">
        <v>45</v>
      </c>
      <c r="D53" s="6" t="s">
        <v>27</v>
      </c>
      <c r="F53" s="7"/>
      <c r="G53" s="7"/>
      <c r="Z53" s="26"/>
      <c r="AA53" s="26"/>
      <c r="AB53" s="26">
        <f t="shared" si="1"/>
        <v>787664.0370610803</v>
      </c>
      <c r="AC53" s="26"/>
      <c r="AD53" s="26">
        <f t="shared" si="1"/>
        <v>800278.6755955191</v>
      </c>
      <c r="AE53" s="26"/>
      <c r="AF53" s="26">
        <f t="shared" si="1"/>
        <v>839462.1477910149</v>
      </c>
      <c r="AG53" s="26"/>
      <c r="AH53" s="26">
        <f t="shared" si="1"/>
        <v>782568.8035070696</v>
      </c>
      <c r="AI53" s="26"/>
      <c r="AJ53" s="26">
        <f t="shared" si="2"/>
        <v>802493.415988671</v>
      </c>
    </row>
    <row r="54" spans="2:36" ht="12.75">
      <c r="B54" s="6" t="s">
        <v>60</v>
      </c>
      <c r="D54" s="6" t="s">
        <v>27</v>
      </c>
      <c r="F54" s="7"/>
      <c r="G54" s="7"/>
      <c r="Z54" s="26"/>
      <c r="AA54" s="26"/>
      <c r="AB54" s="26">
        <f t="shared" si="1"/>
        <v>90762.89004210845</v>
      </c>
      <c r="AC54" s="26"/>
      <c r="AD54" s="26">
        <f t="shared" si="1"/>
        <v>93018.36309527076</v>
      </c>
      <c r="AE54" s="26"/>
      <c r="AF54" s="26">
        <f t="shared" si="1"/>
        <v>97572.75465306385</v>
      </c>
      <c r="AG54" s="26"/>
      <c r="AH54" s="26">
        <f t="shared" si="1"/>
        <v>90959.90100883774</v>
      </c>
      <c r="AI54" s="26"/>
      <c r="AJ54" s="26">
        <f t="shared" si="2"/>
        <v>93078.4771998202</v>
      </c>
    </row>
    <row r="55" spans="2:36" ht="12.75">
      <c r="B55" s="6" t="s">
        <v>49</v>
      </c>
      <c r="D55" s="6" t="s">
        <v>27</v>
      </c>
      <c r="F55" s="7"/>
      <c r="G55" s="7"/>
      <c r="Z55" s="26"/>
      <c r="AA55" s="26"/>
      <c r="AB55" s="26">
        <f t="shared" si="1"/>
        <v>668488.4162231816</v>
      </c>
      <c r="AC55" s="26"/>
      <c r="AD55" s="26">
        <f t="shared" si="1"/>
        <v>673581.2500002367</v>
      </c>
      <c r="AE55" s="26"/>
      <c r="AF55" s="26">
        <f t="shared" si="1"/>
        <v>704879.0379247201</v>
      </c>
      <c r="AG55" s="26"/>
      <c r="AH55" s="26">
        <f t="shared" si="1"/>
        <v>660243.419391736</v>
      </c>
      <c r="AI55" s="26"/>
      <c r="AJ55" s="26">
        <f t="shared" si="2"/>
        <v>676798.0308849686</v>
      </c>
    </row>
    <row r="56" spans="2:36" ht="12.75">
      <c r="B56" s="6" t="s">
        <v>44</v>
      </c>
      <c r="D56" s="6" t="s">
        <v>27</v>
      </c>
      <c r="F56" s="7"/>
      <c r="G56" s="7"/>
      <c r="Z56" s="26"/>
      <c r="AA56" s="26"/>
      <c r="AB56" s="26">
        <f t="shared" si="1"/>
        <v>1493246.851823211</v>
      </c>
      <c r="AC56" s="26"/>
      <c r="AD56" s="26">
        <f t="shared" si="1"/>
        <v>1524378.5193457736</v>
      </c>
      <c r="AE56" s="26"/>
      <c r="AF56" s="26">
        <f t="shared" si="1"/>
        <v>1595650.9963522595</v>
      </c>
      <c r="AG56" s="26"/>
      <c r="AH56" s="26">
        <f t="shared" si="1"/>
        <v>1489860.4475585495</v>
      </c>
      <c r="AI56" s="26"/>
      <c r="AJ56" s="26">
        <f t="shared" si="2"/>
        <v>1525784.2037699483</v>
      </c>
    </row>
    <row r="57" spans="2:36" ht="12.75">
      <c r="B57" s="6" t="s">
        <v>61</v>
      </c>
      <c r="D57" s="6" t="s">
        <v>27</v>
      </c>
      <c r="F57" s="7"/>
      <c r="G57" s="7"/>
      <c r="Z57" s="26"/>
      <c r="AA57" s="26"/>
      <c r="AB57" s="26">
        <f t="shared" si="1"/>
        <v>1579274.2867326878</v>
      </c>
      <c r="AC57" s="26"/>
      <c r="AD57" s="26">
        <f t="shared" si="1"/>
        <v>1611783.7053577094</v>
      </c>
      <c r="AE57" s="26"/>
      <c r="AF57" s="26">
        <f t="shared" si="1"/>
        <v>1686494.5955120088</v>
      </c>
      <c r="AG57" s="26"/>
      <c r="AH57" s="26">
        <f t="shared" si="1"/>
        <v>1576115.5261014132</v>
      </c>
      <c r="AI57" s="26"/>
      <c r="AJ57" s="26">
        <f t="shared" si="2"/>
        <v>1613417.0284259547</v>
      </c>
    </row>
    <row r="58" spans="2:7" ht="12.75">
      <c r="B58" s="33"/>
      <c r="F58" s="7"/>
      <c r="G58" s="7"/>
    </row>
    <row r="59" spans="2:44" ht="12.75">
      <c r="B59" s="6" t="s">
        <v>28</v>
      </c>
      <c r="D59" s="6" t="s">
        <v>27</v>
      </c>
      <c r="F59" s="7"/>
      <c r="G59" s="7"/>
      <c r="AB59" s="26">
        <f>AB56+AB54</f>
        <v>1584009.7418653194</v>
      </c>
      <c r="AC59" s="26"/>
      <c r="AD59" s="26">
        <f>AD56+AD54</f>
        <v>1617396.8824410443</v>
      </c>
      <c r="AE59" s="26"/>
      <c r="AF59" s="26">
        <f>AF56+AF54</f>
        <v>1693223.7510053234</v>
      </c>
      <c r="AG59" s="26"/>
      <c r="AH59" s="26">
        <f>AH56+AH54</f>
        <v>1580820.348567387</v>
      </c>
      <c r="AI59" s="26"/>
      <c r="AJ59" s="26">
        <f>AVERAGE(AH59,AF59,AB59,AD59)</f>
        <v>1618862.6809697687</v>
      </c>
      <c r="AK59" s="26"/>
      <c r="AL59" s="29"/>
      <c r="AM59" s="29"/>
      <c r="AN59" s="29"/>
      <c r="AO59" s="29"/>
      <c r="AP59" s="29"/>
      <c r="AQ59" s="29"/>
      <c r="AR59" s="29"/>
    </row>
    <row r="60" spans="2:44" ht="12.75">
      <c r="B60" s="6" t="s">
        <v>29</v>
      </c>
      <c r="D60" s="6" t="s">
        <v>27</v>
      </c>
      <c r="F60" s="7"/>
      <c r="G60" s="7"/>
      <c r="AB60" s="26">
        <f>AB52+AB53+AB55</f>
        <v>1473279.0160139468</v>
      </c>
      <c r="AC60" s="26"/>
      <c r="AD60" s="26">
        <f>AD52+AD53+AD55</f>
        <v>1491260.7745540952</v>
      </c>
      <c r="AE60" s="26"/>
      <c r="AF60" s="26">
        <f>AF52+AF53+AF55</f>
        <v>1562594.0199913513</v>
      </c>
      <c r="AG60" s="26"/>
      <c r="AH60" s="26">
        <f>AH52+AH53+AH55</f>
        <v>1459827.9974840796</v>
      </c>
      <c r="AI60" s="26"/>
      <c r="AJ60" s="26">
        <f>AVERAGE(AH60,AF60,AB60,AD60)</f>
        <v>1496740.4520108684</v>
      </c>
      <c r="AK60" s="26"/>
      <c r="AL60" s="29"/>
      <c r="AM60" s="29"/>
      <c r="AN60" s="29"/>
      <c r="AO60" s="29"/>
      <c r="AP60" s="29"/>
      <c r="AQ60" s="29"/>
      <c r="AR60" s="29"/>
    </row>
    <row r="61" spans="2:7" ht="12.75">
      <c r="B61" s="33"/>
      <c r="F61" s="7"/>
      <c r="G61" s="7"/>
    </row>
    <row r="62" spans="1:28" ht="12.75">
      <c r="A62" s="23" t="s">
        <v>52</v>
      </c>
      <c r="B62" s="22" t="s">
        <v>106</v>
      </c>
      <c r="C62" s="22" t="s">
        <v>51</v>
      </c>
      <c r="F62" s="25" t="s">
        <v>76</v>
      </c>
      <c r="G62" s="25"/>
      <c r="H62" s="25" t="s">
        <v>77</v>
      </c>
      <c r="I62" s="25"/>
      <c r="J62" s="25" t="s">
        <v>78</v>
      </c>
      <c r="K62" s="25"/>
      <c r="L62" s="23" t="s">
        <v>138</v>
      </c>
      <c r="N62" s="25" t="s">
        <v>76</v>
      </c>
      <c r="O62" s="25"/>
      <c r="P62" s="25" t="s">
        <v>77</v>
      </c>
      <c r="Q62" s="25"/>
      <c r="R62" s="25" t="s">
        <v>78</v>
      </c>
      <c r="S62" s="25"/>
      <c r="T62" s="23" t="s">
        <v>138</v>
      </c>
      <c r="V62" s="25" t="s">
        <v>76</v>
      </c>
      <c r="W62" s="25"/>
      <c r="X62" s="25" t="s">
        <v>77</v>
      </c>
      <c r="Y62" s="25"/>
      <c r="Z62" s="25" t="s">
        <v>78</v>
      </c>
      <c r="AA62" s="25"/>
      <c r="AB62" s="23" t="s">
        <v>138</v>
      </c>
    </row>
    <row r="63" spans="2:27" ht="12.75">
      <c r="B63" s="22"/>
      <c r="C63" s="22"/>
      <c r="F63" s="25"/>
      <c r="G63" s="25"/>
      <c r="H63" s="25"/>
      <c r="I63" s="25"/>
      <c r="J63" s="25"/>
      <c r="K63" s="25"/>
      <c r="N63" s="25"/>
      <c r="O63" s="25"/>
      <c r="P63" s="25"/>
      <c r="Q63" s="25"/>
      <c r="R63" s="25"/>
      <c r="S63" s="25"/>
      <c r="V63" s="25"/>
      <c r="W63" s="25"/>
      <c r="X63" s="25"/>
      <c r="Y63" s="25"/>
      <c r="Z63" s="25"/>
      <c r="AA63" s="25"/>
    </row>
    <row r="64" spans="2:37" ht="12.75">
      <c r="B64" s="6" t="s">
        <v>158</v>
      </c>
      <c r="C64" s="22"/>
      <c r="F64" s="25" t="s">
        <v>161</v>
      </c>
      <c r="G64" s="25"/>
      <c r="H64" s="25" t="s">
        <v>161</v>
      </c>
      <c r="I64" s="25"/>
      <c r="J64" s="25" t="s">
        <v>161</v>
      </c>
      <c r="K64" s="25"/>
      <c r="L64" s="25" t="s">
        <v>161</v>
      </c>
      <c r="M64" s="25"/>
      <c r="N64" s="25" t="s">
        <v>161</v>
      </c>
      <c r="O64" s="25"/>
      <c r="P64" s="25" t="s">
        <v>162</v>
      </c>
      <c r="Q64" s="25"/>
      <c r="R64" s="25" t="s">
        <v>162</v>
      </c>
      <c r="S64" s="25"/>
      <c r="T64" s="25" t="s">
        <v>162</v>
      </c>
      <c r="U64" s="25"/>
      <c r="V64" s="25" t="s">
        <v>163</v>
      </c>
      <c r="W64" s="25"/>
      <c r="X64" s="25" t="s">
        <v>163</v>
      </c>
      <c r="Y64" s="25"/>
      <c r="Z64" s="25" t="s">
        <v>163</v>
      </c>
      <c r="AA64" s="25"/>
      <c r="AB64" s="25" t="s">
        <v>163</v>
      </c>
      <c r="AC64" s="25"/>
      <c r="AD64" s="25"/>
      <c r="AK64" s="25"/>
    </row>
    <row r="65" spans="2:30" ht="12.75">
      <c r="B65" s="6" t="s">
        <v>159</v>
      </c>
      <c r="F65" s="25" t="s">
        <v>165</v>
      </c>
      <c r="G65" s="25"/>
      <c r="H65" s="25" t="s">
        <v>165</v>
      </c>
      <c r="I65" s="25"/>
      <c r="J65" s="25" t="s">
        <v>165</v>
      </c>
      <c r="K65" s="25"/>
      <c r="L65" s="25" t="s">
        <v>165</v>
      </c>
      <c r="N65" s="25" t="s">
        <v>165</v>
      </c>
      <c r="P65" s="23" t="s">
        <v>160</v>
      </c>
      <c r="R65" s="23" t="s">
        <v>160</v>
      </c>
      <c r="T65" s="23" t="s">
        <v>160</v>
      </c>
      <c r="V65" s="46" t="s">
        <v>20</v>
      </c>
      <c r="W65" s="46"/>
      <c r="X65" s="46" t="s">
        <v>20</v>
      </c>
      <c r="Y65" s="46"/>
      <c r="Z65" s="46" t="s">
        <v>20</v>
      </c>
      <c r="AA65" s="46"/>
      <c r="AB65" s="46" t="s">
        <v>20</v>
      </c>
      <c r="AC65" s="46"/>
      <c r="AD65" s="46"/>
    </row>
    <row r="66" spans="2:36" ht="12.75">
      <c r="B66" s="6" t="s">
        <v>166</v>
      </c>
      <c r="F66" s="25"/>
      <c r="G66" s="25"/>
      <c r="H66" s="25"/>
      <c r="I66" s="25"/>
      <c r="J66" s="25"/>
      <c r="K66" s="25"/>
      <c r="L66" s="25"/>
      <c r="N66" s="25"/>
      <c r="V66" s="46" t="s">
        <v>20</v>
      </c>
      <c r="W66" s="46"/>
      <c r="X66" s="46" t="s">
        <v>20</v>
      </c>
      <c r="Y66" s="46"/>
      <c r="Z66" s="46" t="s">
        <v>20</v>
      </c>
      <c r="AA66" s="46"/>
      <c r="AB66" s="46" t="s">
        <v>20</v>
      </c>
      <c r="AC66" s="46"/>
      <c r="AD66" s="46"/>
      <c r="AE66" s="46"/>
      <c r="AF66" s="46"/>
      <c r="AG66" s="46"/>
      <c r="AH66" s="46"/>
      <c r="AI66" s="46"/>
      <c r="AJ66" s="46"/>
    </row>
    <row r="67" spans="2:28" s="46" customFormat="1" ht="12.75">
      <c r="B67" s="46" t="s">
        <v>21</v>
      </c>
      <c r="E67" s="47"/>
      <c r="F67" s="24" t="s">
        <v>110</v>
      </c>
      <c r="G67" s="24"/>
      <c r="H67" s="24" t="s">
        <v>110</v>
      </c>
      <c r="I67" s="24"/>
      <c r="J67" s="24" t="s">
        <v>110</v>
      </c>
      <c r="K67" s="24"/>
      <c r="L67" s="24" t="s">
        <v>110</v>
      </c>
      <c r="M67" s="24"/>
      <c r="N67" s="48" t="s">
        <v>109</v>
      </c>
      <c r="O67" s="48"/>
      <c r="P67" s="48" t="s">
        <v>109</v>
      </c>
      <c r="Q67" s="48"/>
      <c r="R67" s="48" t="s">
        <v>109</v>
      </c>
      <c r="S67" s="48"/>
      <c r="T67" s="48" t="s">
        <v>109</v>
      </c>
      <c r="U67" s="48"/>
      <c r="V67" s="46" t="s">
        <v>20</v>
      </c>
      <c r="X67" s="46" t="s">
        <v>20</v>
      </c>
      <c r="Z67" s="46" t="s">
        <v>20</v>
      </c>
      <c r="AB67" s="46" t="s">
        <v>20</v>
      </c>
    </row>
    <row r="68" spans="2:33" ht="12.75">
      <c r="B68" s="6" t="s">
        <v>53</v>
      </c>
      <c r="D68" s="6" t="s">
        <v>26</v>
      </c>
      <c r="E68" s="8"/>
      <c r="F68" s="8">
        <v>541.3</v>
      </c>
      <c r="G68" s="8"/>
      <c r="H68" s="8">
        <v>593.3</v>
      </c>
      <c r="I68" s="8"/>
      <c r="J68" s="28">
        <v>592</v>
      </c>
      <c r="K68" s="28"/>
      <c r="L68" s="29">
        <f>AVERAGE(J68,H68,F68)</f>
        <v>575.5333333333333</v>
      </c>
      <c r="M68" s="29"/>
      <c r="N68" s="29">
        <v>1288.73</v>
      </c>
      <c r="O68" s="29"/>
      <c r="P68" s="28">
        <v>1376.6</v>
      </c>
      <c r="Q68" s="28"/>
      <c r="R68" s="23">
        <v>1378.4</v>
      </c>
      <c r="T68" s="29">
        <f>AVERAGE(R68,P68,N68)</f>
        <v>1347.91</v>
      </c>
      <c r="U68" s="29"/>
      <c r="V68" s="23">
        <v>1965.5</v>
      </c>
      <c r="X68" s="29">
        <v>2113.3</v>
      </c>
      <c r="Y68" s="29"/>
      <c r="Z68" s="29">
        <v>2113.8</v>
      </c>
      <c r="AA68" s="29"/>
      <c r="AB68" s="29">
        <f>AVERAGE(V68,X68,Z68)</f>
        <v>2064.2000000000003</v>
      </c>
      <c r="AC68" s="29"/>
      <c r="AD68" s="29"/>
      <c r="AE68" s="29"/>
      <c r="AF68" s="29"/>
      <c r="AG68" s="29"/>
    </row>
    <row r="69" spans="2:17" ht="12.75">
      <c r="B69" s="6" t="s">
        <v>69</v>
      </c>
      <c r="D69" s="6" t="s">
        <v>70</v>
      </c>
      <c r="E69" s="8"/>
      <c r="F69" s="8"/>
      <c r="G69" s="8"/>
      <c r="H69" s="8"/>
      <c r="I69" s="8"/>
      <c r="J69" s="28"/>
      <c r="K69" s="28"/>
      <c r="L69" s="29"/>
      <c r="M69" s="29"/>
      <c r="N69" s="29"/>
      <c r="O69" s="29"/>
      <c r="P69" s="28"/>
      <c r="Q69" s="28"/>
    </row>
    <row r="70" spans="2:29" ht="12.75">
      <c r="B70" s="6" t="s">
        <v>68</v>
      </c>
      <c r="D70" s="6" t="s">
        <v>26</v>
      </c>
      <c r="E70" s="8"/>
      <c r="F70" s="51"/>
      <c r="G70" s="51"/>
      <c r="H70" s="51"/>
      <c r="I70" s="51"/>
      <c r="J70" s="28"/>
      <c r="K70" s="28"/>
      <c r="L70" s="26"/>
      <c r="M70" s="26"/>
      <c r="N70" s="26"/>
      <c r="O70" s="26"/>
      <c r="P70" s="28"/>
      <c r="Q70" s="28"/>
      <c r="V70" s="26">
        <f>(93.43+102.39+102.19)/3</f>
        <v>99.33666666666666</v>
      </c>
      <c r="W70" s="26"/>
      <c r="X70" s="23">
        <v>102.39</v>
      </c>
      <c r="Z70" s="23">
        <v>102.19</v>
      </c>
      <c r="AB70" s="26">
        <f>(93.43+102.39+102.19)/3</f>
        <v>99.33666666666666</v>
      </c>
      <c r="AC70" s="26"/>
    </row>
    <row r="71" spans="2:29" ht="12.75">
      <c r="B71" s="6" t="s">
        <v>44</v>
      </c>
      <c r="D71" s="6" t="s">
        <v>26</v>
      </c>
      <c r="E71" s="8"/>
      <c r="F71" s="51"/>
      <c r="G71" s="51"/>
      <c r="H71" s="51"/>
      <c r="I71" s="51"/>
      <c r="J71" s="28"/>
      <c r="K71" s="28"/>
      <c r="L71" s="26"/>
      <c r="M71" s="26"/>
      <c r="N71" s="26"/>
      <c r="O71" s="26"/>
      <c r="P71" s="28"/>
      <c r="Q71" s="28"/>
      <c r="V71" s="26">
        <v>21.48</v>
      </c>
      <c r="W71" s="26"/>
      <c r="X71" s="23">
        <v>18.44</v>
      </c>
      <c r="Z71" s="23">
        <v>18.74</v>
      </c>
      <c r="AB71" s="26">
        <f>(21.48+18.44+18.74)/3</f>
        <v>19.55333333333333</v>
      </c>
      <c r="AC71" s="26"/>
    </row>
    <row r="72" spans="5:21" ht="12.75">
      <c r="E72" s="8"/>
      <c r="F72" s="51"/>
      <c r="G72" s="51"/>
      <c r="H72" s="51"/>
      <c r="I72" s="51"/>
      <c r="J72" s="51"/>
      <c r="K72" s="51"/>
      <c r="L72" s="28"/>
      <c r="M72" s="28"/>
      <c r="N72" s="28"/>
      <c r="O72" s="28"/>
      <c r="P72" s="28"/>
      <c r="Q72" s="28"/>
      <c r="R72" s="27"/>
      <c r="S72" s="27"/>
      <c r="T72" s="28"/>
      <c r="U72" s="28"/>
    </row>
    <row r="73" spans="2:28" ht="12.75">
      <c r="B73" s="6" t="s">
        <v>64</v>
      </c>
      <c r="D73" s="6" t="s">
        <v>17</v>
      </c>
      <c r="E73" s="25"/>
      <c r="F73" s="7">
        <v>5118.777777777777</v>
      </c>
      <c r="G73" s="7"/>
      <c r="J73" s="27"/>
      <c r="K73" s="27"/>
      <c r="P73" s="27"/>
      <c r="Q73" s="27"/>
      <c r="R73" s="27"/>
      <c r="S73" s="27"/>
      <c r="V73" s="23">
        <f>emiss!G118</f>
        <v>5316</v>
      </c>
      <c r="X73" s="23">
        <f>emiss!I118</f>
        <v>5576</v>
      </c>
      <c r="Z73" s="23">
        <f>emiss!K118</f>
        <v>5584</v>
      </c>
      <c r="AB73" s="23">
        <f>emiss!O118</f>
        <v>5580</v>
      </c>
    </row>
    <row r="74" spans="2:28" ht="12.75">
      <c r="B74" s="6" t="s">
        <v>65</v>
      </c>
      <c r="D74" s="6" t="s">
        <v>18</v>
      </c>
      <c r="E74" s="25"/>
      <c r="F74" s="7">
        <v>13.133333333333333</v>
      </c>
      <c r="G74" s="7"/>
      <c r="V74" s="23">
        <f>emiss!G119</f>
        <v>12.2</v>
      </c>
      <c r="X74" s="23">
        <f>emiss!I119</f>
        <v>13.2</v>
      </c>
      <c r="Z74" s="23">
        <f>emiss!K119</f>
        <v>13.1</v>
      </c>
      <c r="AB74" s="23">
        <f>emiss!O119</f>
        <v>13.149999999999999</v>
      </c>
    </row>
    <row r="75" spans="5:7" ht="12.75">
      <c r="E75" s="25"/>
      <c r="F75" s="7"/>
      <c r="G75" s="7"/>
    </row>
    <row r="76" spans="2:7" ht="12.75">
      <c r="B76" s="6" t="s">
        <v>71</v>
      </c>
      <c r="D76" s="6" t="s">
        <v>72</v>
      </c>
      <c r="E76" s="25"/>
      <c r="F76" s="23"/>
      <c r="G76" s="23"/>
    </row>
    <row r="77" spans="2:7" ht="12.75">
      <c r="B77" s="6" t="s">
        <v>73</v>
      </c>
      <c r="D77" s="6" t="s">
        <v>72</v>
      </c>
      <c r="E77" s="25"/>
      <c r="F77" s="23"/>
      <c r="G77" s="23"/>
    </row>
    <row r="78" spans="6:21" ht="12.75">
      <c r="F78" s="8"/>
      <c r="G78" s="8"/>
      <c r="H78" s="8"/>
      <c r="I78" s="8"/>
      <c r="J78" s="8"/>
      <c r="K78" s="8"/>
      <c r="L78" s="28"/>
      <c r="M78" s="28"/>
      <c r="N78" s="8"/>
      <c r="O78" s="8"/>
      <c r="P78" s="8"/>
      <c r="Q78" s="8"/>
      <c r="R78" s="14"/>
      <c r="S78" s="14"/>
      <c r="T78" s="28"/>
      <c r="U78" s="28"/>
    </row>
    <row r="79" spans="2:7" ht="12.75">
      <c r="B79" s="33" t="s">
        <v>66</v>
      </c>
      <c r="F79" s="7"/>
      <c r="G79" s="7"/>
    </row>
    <row r="80" spans="2:33" ht="12.75">
      <c r="B80" s="6" t="s">
        <v>68</v>
      </c>
      <c r="D80" s="6" t="s">
        <v>27</v>
      </c>
      <c r="F80" s="7"/>
      <c r="G80" s="7"/>
      <c r="V80" s="26">
        <f aca="true" t="shared" si="3" ref="V80:Z81">V70*454/0.0283/60/V$73*(21-7)/(21-V$74)*1000000</f>
        <v>7948554.21811647</v>
      </c>
      <c r="W80" s="26"/>
      <c r="X80" s="26">
        <f t="shared" si="3"/>
        <v>8812241.24306542</v>
      </c>
      <c r="Y80" s="26"/>
      <c r="Z80" s="26">
        <f t="shared" si="3"/>
        <v>8671257.854066378</v>
      </c>
      <c r="AA80" s="26"/>
      <c r="AB80" s="29">
        <f>AVERAGE(V80,X80,Z80)</f>
        <v>8477351.105082756</v>
      </c>
      <c r="AC80" s="29"/>
      <c r="AF80" s="26"/>
      <c r="AG80" s="26"/>
    </row>
    <row r="81" spans="2:29" ht="12.75">
      <c r="B81" s="6" t="s">
        <v>44</v>
      </c>
      <c r="D81" s="6" t="s">
        <v>27</v>
      </c>
      <c r="F81" s="8"/>
      <c r="G81" s="8"/>
      <c r="H81" s="8"/>
      <c r="I81" s="8"/>
      <c r="J81" s="8"/>
      <c r="K81" s="8"/>
      <c r="L81" s="28"/>
      <c r="M81" s="28"/>
      <c r="N81" s="8"/>
      <c r="O81" s="8"/>
      <c r="P81" s="8"/>
      <c r="Q81" s="8"/>
      <c r="R81" s="14"/>
      <c r="S81" s="14"/>
      <c r="T81" s="28"/>
      <c r="U81" s="28"/>
      <c r="V81" s="26">
        <f t="shared" si="3"/>
        <v>1718750.4909748845</v>
      </c>
      <c r="W81" s="26"/>
      <c r="X81" s="26">
        <f t="shared" si="3"/>
        <v>1587046.8651443145</v>
      </c>
      <c r="Y81" s="26"/>
      <c r="Z81" s="26">
        <f t="shared" si="3"/>
        <v>1590169.020307309</v>
      </c>
      <c r="AA81" s="26"/>
      <c r="AB81" s="29">
        <f>AVERAGE(V81,X81,Z81)</f>
        <v>1631988.7921421693</v>
      </c>
      <c r="AC81" s="29"/>
    </row>
    <row r="82" spans="2:28" ht="12.75">
      <c r="B82" s="6" t="s">
        <v>28</v>
      </c>
      <c r="D82" s="6" t="s">
        <v>27</v>
      </c>
      <c r="F82" s="8"/>
      <c r="G82" s="8"/>
      <c r="H82" s="8"/>
      <c r="I82" s="8"/>
      <c r="J82" s="8"/>
      <c r="K82" s="8"/>
      <c r="L82" s="28"/>
      <c r="M82" s="28"/>
      <c r="N82" s="8"/>
      <c r="O82" s="8"/>
      <c r="P82" s="8"/>
      <c r="Q82" s="8"/>
      <c r="R82" s="14"/>
      <c r="S82" s="14"/>
      <c r="T82" s="28"/>
      <c r="U82" s="28"/>
      <c r="V82" s="26">
        <f>V81</f>
        <v>1718750.4909748845</v>
      </c>
      <c r="X82" s="26">
        <f>X81</f>
        <v>1587046.8651443145</v>
      </c>
      <c r="Z82" s="26">
        <f>Z81</f>
        <v>1590169.020307309</v>
      </c>
      <c r="AB82" s="26">
        <f>AB81</f>
        <v>1631988.7921421693</v>
      </c>
    </row>
    <row r="83" spans="6:21" ht="12.75">
      <c r="F83" s="8"/>
      <c r="G83" s="8"/>
      <c r="H83" s="8"/>
      <c r="I83" s="8"/>
      <c r="J83" s="8"/>
      <c r="K83" s="8"/>
      <c r="L83" s="28"/>
      <c r="M83" s="28"/>
      <c r="N83" s="8"/>
      <c r="O83" s="8"/>
      <c r="P83" s="8"/>
      <c r="Q83" s="8"/>
      <c r="R83" s="14"/>
      <c r="S83" s="14"/>
      <c r="T83" s="28"/>
      <c r="U83" s="28"/>
    </row>
    <row r="84" spans="6:21" ht="12.75">
      <c r="F84" s="8"/>
      <c r="G84" s="8"/>
      <c r="H84" s="8"/>
      <c r="I84" s="8"/>
      <c r="J84" s="8"/>
      <c r="K84" s="8"/>
      <c r="L84" s="28"/>
      <c r="M84" s="28"/>
      <c r="N84" s="8"/>
      <c r="O84" s="8"/>
      <c r="P84" s="8"/>
      <c r="Q84" s="8"/>
      <c r="R84" s="14"/>
      <c r="S84" s="14"/>
      <c r="T84" s="28"/>
      <c r="U84" s="28"/>
    </row>
    <row r="85" spans="6:7" ht="12.75">
      <c r="F85" s="7"/>
      <c r="G85" s="7"/>
    </row>
    <row r="86" spans="5:23" ht="12.75">
      <c r="E86" s="25"/>
      <c r="F86" s="7"/>
      <c r="G86" s="7"/>
      <c r="L86" s="27"/>
      <c r="M86" s="27"/>
      <c r="T86" s="27"/>
      <c r="U86" s="27"/>
      <c r="V86" s="27"/>
      <c r="W86" s="27"/>
    </row>
    <row r="87" spans="5:7" ht="12.75">
      <c r="E87" s="25"/>
      <c r="F87" s="7"/>
      <c r="G87" s="7"/>
    </row>
    <row r="88" spans="5:7" ht="12.75">
      <c r="E88" s="25"/>
      <c r="F88" s="7"/>
      <c r="G88" s="7"/>
    </row>
    <row r="89" spans="5:21" ht="12.75">
      <c r="E89" s="25"/>
      <c r="F89" s="7"/>
      <c r="G89" s="7"/>
      <c r="L89" s="27"/>
      <c r="M89" s="27"/>
      <c r="T89" s="27"/>
      <c r="U89" s="27"/>
    </row>
    <row r="90" spans="5:7" ht="12.75">
      <c r="E90" s="25"/>
      <c r="F90" s="7"/>
      <c r="G90" s="7"/>
    </row>
    <row r="91" spans="5:7" ht="12.75">
      <c r="E91" s="25"/>
      <c r="F91" s="7"/>
      <c r="G91" s="7"/>
    </row>
    <row r="92" spans="2:7" ht="12.75">
      <c r="B92" s="33"/>
      <c r="F92" s="7"/>
      <c r="G92" s="7"/>
    </row>
    <row r="93" spans="6:23" ht="12.75">
      <c r="F93" s="7"/>
      <c r="G93" s="7"/>
      <c r="L93" s="26"/>
      <c r="M93" s="26"/>
      <c r="T93" s="26"/>
      <c r="U93" s="26"/>
      <c r="V93" s="26"/>
      <c r="W93" s="26"/>
    </row>
    <row r="94" spans="6:23" ht="12.75">
      <c r="F94" s="7"/>
      <c r="G94" s="7"/>
      <c r="L94" s="26"/>
      <c r="M94" s="26"/>
      <c r="T94" s="26"/>
      <c r="U94" s="26"/>
      <c r="V94" s="26"/>
      <c r="W94" s="26"/>
    </row>
    <row r="95" spans="6:23" ht="12.75">
      <c r="F95" s="7"/>
      <c r="G95" s="7"/>
      <c r="L95" s="26"/>
      <c r="M95" s="26"/>
      <c r="T95" s="26"/>
      <c r="U95" s="26"/>
      <c r="V95" s="26"/>
      <c r="W95" s="26"/>
    </row>
    <row r="96" spans="6:23" ht="12.75">
      <c r="F96" s="7"/>
      <c r="G96" s="7"/>
      <c r="L96" s="26"/>
      <c r="M96" s="26"/>
      <c r="T96" s="26"/>
      <c r="U96" s="26"/>
      <c r="V96" s="26"/>
      <c r="W96" s="26"/>
    </row>
    <row r="97" spans="6:23" ht="12.75">
      <c r="F97" s="7"/>
      <c r="G97" s="7"/>
      <c r="L97" s="26"/>
      <c r="M97" s="26"/>
      <c r="T97" s="26"/>
      <c r="U97" s="26"/>
      <c r="V97" s="26"/>
      <c r="W97" s="26"/>
    </row>
    <row r="98" spans="6:23" ht="12.75">
      <c r="F98" s="7"/>
      <c r="G98" s="7"/>
      <c r="L98" s="26"/>
      <c r="M98" s="26"/>
      <c r="T98" s="26"/>
      <c r="U98" s="26"/>
      <c r="V98" s="26"/>
      <c r="W98" s="26"/>
    </row>
    <row r="99" spans="6:23" ht="12.75">
      <c r="F99" s="7"/>
      <c r="G99" s="7"/>
      <c r="L99" s="26"/>
      <c r="M99" s="26"/>
      <c r="T99" s="26"/>
      <c r="U99" s="26"/>
      <c r="V99" s="26"/>
      <c r="W99" s="26"/>
    </row>
    <row r="100" spans="6:23" ht="12.75">
      <c r="F100" s="7"/>
      <c r="G100" s="7"/>
      <c r="L100" s="26"/>
      <c r="M100" s="26"/>
      <c r="T100" s="26"/>
      <c r="U100" s="26"/>
      <c r="V100" s="26"/>
      <c r="W100" s="26"/>
    </row>
    <row r="101" spans="6:23" ht="12.75">
      <c r="F101" s="7"/>
      <c r="G101" s="7"/>
      <c r="L101" s="26"/>
      <c r="M101" s="26"/>
      <c r="T101" s="26"/>
      <c r="U101" s="26"/>
      <c r="V101" s="26"/>
      <c r="W101" s="26"/>
    </row>
    <row r="102" spans="12:23" ht="12.75">
      <c r="L102" s="26"/>
      <c r="M102" s="26"/>
      <c r="T102" s="26"/>
      <c r="U102" s="26"/>
      <c r="V102" s="26"/>
      <c r="W102" s="26"/>
    </row>
    <row r="103" spans="3:23" ht="12.75">
      <c r="C103" s="22"/>
      <c r="L103" s="26"/>
      <c r="M103" s="26"/>
      <c r="T103" s="26"/>
      <c r="U103" s="26"/>
      <c r="V103" s="26"/>
      <c r="W103" s="26"/>
    </row>
    <row r="104" spans="12:23" ht="12.75">
      <c r="L104" s="26"/>
      <c r="M104" s="26"/>
      <c r="T104" s="26"/>
      <c r="U104" s="26"/>
      <c r="V104" s="26"/>
      <c r="W104" s="26"/>
    </row>
    <row r="105" spans="12:23" ht="12.75">
      <c r="L105" s="26"/>
      <c r="M105" s="26"/>
      <c r="T105" s="26"/>
      <c r="U105" s="26"/>
      <c r="V105" s="26"/>
      <c r="W105" s="26"/>
    </row>
    <row r="106" spans="12:23" ht="12.75">
      <c r="L106" s="26"/>
      <c r="M106" s="26"/>
      <c r="T106" s="26"/>
      <c r="U106" s="26"/>
      <c r="V106" s="26"/>
      <c r="W106" s="26"/>
    </row>
    <row r="108" spans="22:23" ht="12.75">
      <c r="V108" s="26"/>
      <c r="W108" s="26"/>
    </row>
    <row r="109" spans="22:23" ht="12.75">
      <c r="V109" s="26"/>
      <c r="W109" s="2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B1">
      <selection activeCell="C11" sqref="C11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8.7109375" style="0" customWidth="1"/>
    <col min="6" max="6" width="8.140625" style="0" customWidth="1"/>
    <col min="7" max="7" width="8.28125" style="0" customWidth="1"/>
  </cols>
  <sheetData>
    <row r="1" spans="2:6" ht="12.75">
      <c r="B1" s="3" t="s">
        <v>33</v>
      </c>
      <c r="C1" s="8"/>
      <c r="D1" s="8"/>
      <c r="E1" s="8"/>
      <c r="F1" s="8"/>
    </row>
    <row r="2" spans="2:8" ht="12.75">
      <c r="B2" s="8"/>
      <c r="C2" s="8"/>
      <c r="D2" s="8"/>
      <c r="E2" s="34" t="s">
        <v>76</v>
      </c>
      <c r="F2" s="34" t="s">
        <v>77</v>
      </c>
      <c r="G2" s="38" t="s">
        <v>78</v>
      </c>
      <c r="H2" s="38" t="s">
        <v>123</v>
      </c>
    </row>
    <row r="3" spans="1:6" ht="12.75">
      <c r="A3" t="s">
        <v>52</v>
      </c>
      <c r="B3" s="3" t="s">
        <v>95</v>
      </c>
      <c r="C3" s="8"/>
      <c r="D3" s="8"/>
      <c r="E3" s="8"/>
      <c r="F3" s="8"/>
    </row>
    <row r="4" spans="2:6" ht="12.75">
      <c r="B4" s="8"/>
      <c r="C4" s="8"/>
      <c r="D4" s="8"/>
      <c r="F4" s="8"/>
    </row>
    <row r="5" spans="2:8" ht="12.75">
      <c r="B5" t="s">
        <v>111</v>
      </c>
      <c r="C5" t="s">
        <v>74</v>
      </c>
      <c r="E5">
        <v>646</v>
      </c>
      <c r="F5">
        <v>650</v>
      </c>
      <c r="G5">
        <v>646</v>
      </c>
      <c r="H5">
        <v>656</v>
      </c>
    </row>
    <row r="6" spans="2:8" ht="12.75">
      <c r="B6" t="s">
        <v>112</v>
      </c>
      <c r="C6" t="s">
        <v>74</v>
      </c>
      <c r="E6">
        <v>1162</v>
      </c>
      <c r="F6">
        <v>1155</v>
      </c>
      <c r="G6">
        <v>1142</v>
      </c>
      <c r="H6">
        <v>1167</v>
      </c>
    </row>
    <row r="7" spans="2:8" ht="12.75">
      <c r="B7" t="s">
        <v>113</v>
      </c>
      <c r="C7" t="s">
        <v>122</v>
      </c>
      <c r="E7">
        <v>-0.8</v>
      </c>
      <c r="F7">
        <v>-0.9</v>
      </c>
      <c r="G7">
        <v>-0.9</v>
      </c>
      <c r="H7">
        <v>-0.9</v>
      </c>
    </row>
    <row r="8" spans="2:8" ht="12.75">
      <c r="B8" t="s">
        <v>114</v>
      </c>
      <c r="C8" t="s">
        <v>74</v>
      </c>
      <c r="E8">
        <v>2003</v>
      </c>
      <c r="F8">
        <v>1997</v>
      </c>
      <c r="G8">
        <v>2000</v>
      </c>
      <c r="H8">
        <v>2050</v>
      </c>
    </row>
    <row r="9" spans="2:8" ht="12.75">
      <c r="B9" t="s">
        <v>115</v>
      </c>
      <c r="C9" t="s">
        <v>122</v>
      </c>
      <c r="E9">
        <v>-1</v>
      </c>
      <c r="F9">
        <v>-1.1</v>
      </c>
      <c r="G9">
        <v>-1.1</v>
      </c>
      <c r="H9">
        <v>-1.1</v>
      </c>
    </row>
    <row r="10" spans="2:8" ht="12.75">
      <c r="B10" t="s">
        <v>116</v>
      </c>
      <c r="C10" t="s">
        <v>75</v>
      </c>
      <c r="E10">
        <v>13.4</v>
      </c>
      <c r="F10">
        <v>13.6</v>
      </c>
      <c r="G10">
        <v>14.1</v>
      </c>
      <c r="H10">
        <v>14.8</v>
      </c>
    </row>
    <row r="11" spans="2:8" ht="12.75">
      <c r="B11" t="s">
        <v>117</v>
      </c>
      <c r="C11" t="s">
        <v>74</v>
      </c>
      <c r="E11">
        <v>378</v>
      </c>
      <c r="F11">
        <v>380</v>
      </c>
      <c r="G11">
        <v>380</v>
      </c>
      <c r="H11">
        <v>384</v>
      </c>
    </row>
    <row r="12" spans="2:8" ht="12.75">
      <c r="B12" t="s">
        <v>118</v>
      </c>
      <c r="C12" t="s">
        <v>122</v>
      </c>
      <c r="E12">
        <v>-5.5</v>
      </c>
      <c r="F12">
        <v>-5.6</v>
      </c>
      <c r="G12">
        <v>-5.9</v>
      </c>
      <c r="H12">
        <v>-6.1</v>
      </c>
    </row>
    <row r="13" spans="2:8" ht="12.75">
      <c r="B13" t="s">
        <v>119</v>
      </c>
      <c r="C13" t="s">
        <v>122</v>
      </c>
      <c r="E13">
        <v>5.4</v>
      </c>
      <c r="F13">
        <v>5.5</v>
      </c>
      <c r="G13">
        <v>5.6</v>
      </c>
      <c r="H13">
        <v>5.8</v>
      </c>
    </row>
    <row r="14" spans="2:8" ht="12.75">
      <c r="B14" t="s">
        <v>120</v>
      </c>
      <c r="C14" t="s">
        <v>74</v>
      </c>
      <c r="E14">
        <v>347</v>
      </c>
      <c r="F14">
        <v>347</v>
      </c>
      <c r="G14">
        <v>346</v>
      </c>
      <c r="H14">
        <v>352</v>
      </c>
    </row>
    <row r="15" spans="2:8" ht="12.75">
      <c r="B15" t="s">
        <v>121</v>
      </c>
      <c r="C15" t="s">
        <v>75</v>
      </c>
      <c r="E15">
        <v>0.32</v>
      </c>
      <c r="F15">
        <v>0.31</v>
      </c>
      <c r="G15">
        <v>0.31</v>
      </c>
      <c r="H15">
        <v>0.3</v>
      </c>
    </row>
    <row r="17" spans="2:3" ht="12.75">
      <c r="B17" s="3" t="s">
        <v>98</v>
      </c>
      <c r="C17" s="8"/>
    </row>
    <row r="18" spans="2:3" ht="12.75">
      <c r="B18" s="8"/>
      <c r="C18" s="8"/>
    </row>
    <row r="19" spans="2:8" ht="12.75">
      <c r="B19" t="s">
        <v>111</v>
      </c>
      <c r="C19" t="s">
        <v>74</v>
      </c>
      <c r="E19">
        <v>667</v>
      </c>
      <c r="F19">
        <v>634</v>
      </c>
      <c r="G19">
        <v>624</v>
      </c>
      <c r="H19">
        <v>629</v>
      </c>
    </row>
    <row r="20" spans="2:8" ht="12.75">
      <c r="B20" t="s">
        <v>112</v>
      </c>
      <c r="C20" t="s">
        <v>74</v>
      </c>
      <c r="E20">
        <v>1417</v>
      </c>
      <c r="F20">
        <v>1252</v>
      </c>
      <c r="G20">
        <v>1262</v>
      </c>
      <c r="H20">
        <v>1263</v>
      </c>
    </row>
    <row r="21" spans="2:8" ht="12.75">
      <c r="B21" t="s">
        <v>113</v>
      </c>
      <c r="C21" t="s">
        <v>122</v>
      </c>
      <c r="E21">
        <v>-0.9</v>
      </c>
      <c r="F21">
        <v>-0.8</v>
      </c>
      <c r="G21">
        <v>-0.7</v>
      </c>
      <c r="H21">
        <v>-0.9</v>
      </c>
    </row>
    <row r="22" spans="2:8" ht="12.75">
      <c r="B22" t="s">
        <v>114</v>
      </c>
      <c r="C22" t="s">
        <v>74</v>
      </c>
      <c r="E22">
        <v>2024</v>
      </c>
      <c r="F22">
        <v>2026</v>
      </c>
      <c r="G22">
        <v>2024</v>
      </c>
      <c r="H22">
        <v>2024</v>
      </c>
    </row>
    <row r="23" spans="2:8" ht="12.75">
      <c r="B23" t="s">
        <v>115</v>
      </c>
      <c r="C23" t="s">
        <v>122</v>
      </c>
      <c r="E23">
        <v>-1</v>
      </c>
      <c r="F23">
        <v>-0.8</v>
      </c>
      <c r="G23">
        <v>-0.8</v>
      </c>
      <c r="H23">
        <v>-1.1</v>
      </c>
    </row>
    <row r="24" spans="2:8" ht="12.75">
      <c r="B24" t="s">
        <v>116</v>
      </c>
      <c r="C24" t="s">
        <v>75</v>
      </c>
      <c r="E24">
        <v>4.4</v>
      </c>
      <c r="F24">
        <v>4.7</v>
      </c>
      <c r="G24">
        <v>3.6</v>
      </c>
      <c r="H24">
        <v>4.7</v>
      </c>
    </row>
    <row r="25" spans="2:8" ht="12.75">
      <c r="B25" t="s">
        <v>117</v>
      </c>
      <c r="C25" t="s">
        <v>74</v>
      </c>
      <c r="E25">
        <v>379</v>
      </c>
      <c r="F25">
        <v>380</v>
      </c>
      <c r="G25">
        <v>384</v>
      </c>
      <c r="H25">
        <v>383</v>
      </c>
    </row>
    <row r="26" spans="2:8" ht="12.75">
      <c r="B26" t="s">
        <v>118</v>
      </c>
      <c r="C26" t="s">
        <v>122</v>
      </c>
      <c r="E26">
        <v>-5.9</v>
      </c>
      <c r="F26">
        <v>-5.4</v>
      </c>
      <c r="G26">
        <v>-5.1</v>
      </c>
      <c r="H26">
        <v>-6.4</v>
      </c>
    </row>
    <row r="27" spans="2:8" ht="12.75">
      <c r="B27" t="s">
        <v>119</v>
      </c>
      <c r="C27" t="s">
        <v>122</v>
      </c>
      <c r="E27">
        <v>5.7</v>
      </c>
      <c r="F27">
        <v>5.9</v>
      </c>
      <c r="G27">
        <v>5.9</v>
      </c>
      <c r="H27">
        <v>6.1</v>
      </c>
    </row>
    <row r="28" spans="2:8" ht="12.75">
      <c r="B28" t="s">
        <v>120</v>
      </c>
      <c r="C28" t="s">
        <v>74</v>
      </c>
      <c r="E28">
        <v>350</v>
      </c>
      <c r="F28">
        <v>350</v>
      </c>
      <c r="G28">
        <v>350</v>
      </c>
      <c r="H28">
        <v>355</v>
      </c>
    </row>
    <row r="29" spans="2:8" ht="12.75">
      <c r="B29" t="s">
        <v>121</v>
      </c>
      <c r="C29" t="s">
        <v>75</v>
      </c>
      <c r="E29">
        <v>10.6</v>
      </c>
      <c r="F29">
        <v>10.1</v>
      </c>
      <c r="G29">
        <v>10.2</v>
      </c>
      <c r="H29">
        <v>10.3</v>
      </c>
    </row>
    <row r="31" spans="2:3" ht="12.75">
      <c r="B31" s="3" t="s">
        <v>106</v>
      </c>
      <c r="C31" s="8"/>
    </row>
    <row r="32" spans="2:3" ht="12.75">
      <c r="B32" s="8"/>
      <c r="C32" s="8"/>
    </row>
    <row r="33" spans="2:7" ht="12.75">
      <c r="B33" t="s">
        <v>111</v>
      </c>
      <c r="C33" t="s">
        <v>74</v>
      </c>
      <c r="E33">
        <v>676</v>
      </c>
      <c r="F33">
        <v>650</v>
      </c>
      <c r="G33">
        <v>651</v>
      </c>
    </row>
    <row r="34" spans="2:7" ht="12.75">
      <c r="B34" t="s">
        <v>112</v>
      </c>
      <c r="C34" t="s">
        <v>74</v>
      </c>
      <c r="E34">
        <v>845</v>
      </c>
      <c r="F34">
        <v>600</v>
      </c>
      <c r="G34">
        <v>725</v>
      </c>
    </row>
    <row r="35" spans="2:7" ht="12.75">
      <c r="B35" t="s">
        <v>113</v>
      </c>
      <c r="C35" t="s">
        <v>122</v>
      </c>
      <c r="E35">
        <v>-0.8</v>
      </c>
      <c r="F35">
        <v>-1</v>
      </c>
      <c r="G35">
        <v>-1</v>
      </c>
    </row>
    <row r="36" spans="2:7" ht="12.75">
      <c r="B36" t="s">
        <v>114</v>
      </c>
      <c r="C36" t="s">
        <v>74</v>
      </c>
      <c r="E36">
        <v>2026</v>
      </c>
      <c r="F36">
        <v>2029</v>
      </c>
      <c r="G36">
        <v>2024</v>
      </c>
    </row>
    <row r="37" spans="2:7" ht="12.75">
      <c r="B37" t="s">
        <v>115</v>
      </c>
      <c r="C37" t="s">
        <v>122</v>
      </c>
      <c r="E37">
        <v>-1</v>
      </c>
      <c r="F37">
        <v>-1.3</v>
      </c>
      <c r="G37">
        <v>-1.2</v>
      </c>
    </row>
    <row r="38" spans="2:7" ht="12.75">
      <c r="B38" t="s">
        <v>116</v>
      </c>
      <c r="C38" t="s">
        <v>75</v>
      </c>
      <c r="E38">
        <v>3.33</v>
      </c>
      <c r="F38">
        <v>4.4</v>
      </c>
      <c r="G38">
        <v>4.5</v>
      </c>
    </row>
    <row r="39" spans="2:7" ht="12.75">
      <c r="B39" t="s">
        <v>117</v>
      </c>
      <c r="C39" t="s">
        <v>74</v>
      </c>
      <c r="E39">
        <v>382</v>
      </c>
      <c r="F39">
        <v>383</v>
      </c>
      <c r="G39">
        <v>384</v>
      </c>
    </row>
    <row r="40" spans="2:7" ht="12.75">
      <c r="B40" t="s">
        <v>118</v>
      </c>
      <c r="C40" t="s">
        <v>122</v>
      </c>
      <c r="E40">
        <v>-5.4</v>
      </c>
      <c r="F40">
        <v>-6.4</v>
      </c>
      <c r="G40">
        <v>-6.5</v>
      </c>
    </row>
    <row r="41" spans="2:7" ht="12.75">
      <c r="B41" t="s">
        <v>119</v>
      </c>
      <c r="C41" t="s">
        <v>122</v>
      </c>
      <c r="E41">
        <v>5.6</v>
      </c>
      <c r="F41">
        <v>5.6</v>
      </c>
      <c r="G41">
        <v>5.9</v>
      </c>
    </row>
    <row r="42" spans="2:7" ht="12.75">
      <c r="B42" t="s">
        <v>120</v>
      </c>
      <c r="C42" t="s">
        <v>74</v>
      </c>
      <c r="E42">
        <v>352</v>
      </c>
      <c r="F42">
        <v>353</v>
      </c>
      <c r="G42">
        <v>353</v>
      </c>
    </row>
    <row r="43" spans="2:7" ht="12.75">
      <c r="B43" t="s">
        <v>121</v>
      </c>
      <c r="C43" t="s">
        <v>75</v>
      </c>
      <c r="E43">
        <v>10.4</v>
      </c>
      <c r="F43">
        <v>10.4</v>
      </c>
      <c r="G43">
        <v>10.3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2004-02-24T21:34:20Z</cp:lastPrinted>
  <dcterms:created xsi:type="dcterms:W3CDTF">2000-01-10T00:44:42Z</dcterms:created>
  <dcterms:modified xsi:type="dcterms:W3CDTF">2004-02-24T21:34:44Z</dcterms:modified>
  <cp:category/>
  <cp:version/>
  <cp:contentType/>
  <cp:contentStatus/>
</cp:coreProperties>
</file>