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0" windowWidth="12030" windowHeight="6570" tabRatio="742" activeTab="3"/>
  </bookViews>
  <sheets>
    <sheet name="list" sheetId="1" r:id="rId1"/>
    <sheet name="source" sheetId="2" r:id="rId2"/>
    <sheet name="cond" sheetId="3" r:id="rId3"/>
    <sheet name="emiss" sheetId="4" r:id="rId4"/>
    <sheet name="feed" sheetId="5" r:id="rId5"/>
    <sheet name="process" sheetId="6" r:id="rId6"/>
    <sheet name="df c10" sheetId="7" r:id="rId7"/>
    <sheet name="df c12" sheetId="8" r:id="rId8"/>
    <sheet name="df c13" sheetId="9" r:id="rId9"/>
    <sheet name="df c14" sheetId="10" r:id="rId10"/>
    <sheet name="df c15" sheetId="11" r:id="rId11"/>
    <sheet name="df c16" sheetId="12" r:id="rId12"/>
    <sheet name="df c17" sheetId="13" r:id="rId13"/>
    <sheet name="df c18" sheetId="14" r:id="rId14"/>
  </sheets>
  <definedNames/>
  <calcPr fullCalcOnLoad="1"/>
</workbook>
</file>

<file path=xl/sharedStrings.xml><?xml version="1.0" encoding="utf-8"?>
<sst xmlns="http://schemas.openxmlformats.org/spreadsheetml/2006/main" count="2238" uniqueCount="278">
  <si>
    <t>EPA ID No.</t>
  </si>
  <si>
    <t>Facility Name</t>
  </si>
  <si>
    <t>Facility Location</t>
  </si>
  <si>
    <t xml:space="preserve">    City</t>
  </si>
  <si>
    <t xml:space="preserve">    State</t>
  </si>
  <si>
    <t>Unit ID Name/No.</t>
  </si>
  <si>
    <t>Other Sister Facilities</t>
  </si>
  <si>
    <t>APCS Characteristics</t>
  </si>
  <si>
    <t>Stack Characteristics</t>
  </si>
  <si>
    <t xml:space="preserve">    Diameter (ft)</t>
  </si>
  <si>
    <t xml:space="preserve">    Height (ft)</t>
  </si>
  <si>
    <t>Permitting Status</t>
  </si>
  <si>
    <t>Units</t>
  </si>
  <si>
    <t>PM</t>
  </si>
  <si>
    <t>gr/dscf</t>
  </si>
  <si>
    <t>y</t>
  </si>
  <si>
    <t>ppmv</t>
  </si>
  <si>
    <t>dscfm</t>
  </si>
  <si>
    <t>%</t>
  </si>
  <si>
    <t>°F</t>
  </si>
  <si>
    <t>Hg</t>
  </si>
  <si>
    <t>Facility Name and ID:</t>
  </si>
  <si>
    <t>Condition ID:</t>
  </si>
  <si>
    <t>Condition/Test Date:</t>
  </si>
  <si>
    <t>I-TEF</t>
  </si>
  <si>
    <t>Wght Fact</t>
  </si>
  <si>
    <t>Total</t>
  </si>
  <si>
    <t xml:space="preserve"> TEQ</t>
  </si>
  <si>
    <t>TEQ</t>
  </si>
  <si>
    <t>2,3,7,8-TCDD</t>
  </si>
  <si>
    <t>1,2,3,7,8-PCDD</t>
  </si>
  <si>
    <t>1,2,3,4,7,8-HxCDD</t>
  </si>
  <si>
    <t>1,2,3,6,7,8-HxCDD</t>
  </si>
  <si>
    <t>1,2,3,7,8,9-HxCDD</t>
  </si>
  <si>
    <t>1,2,3,4,6,7,8-HpCDD</t>
  </si>
  <si>
    <t>OCDD</t>
  </si>
  <si>
    <t>2,3,7,8-TCDF</t>
  </si>
  <si>
    <t>1,2,3,7,8-PCDF</t>
  </si>
  <si>
    <t>2,3,4,7,8-PCDF</t>
  </si>
  <si>
    <t>1,2,3,4,7,8-HxCDF</t>
  </si>
  <si>
    <t>1,2,3,6,7,8-HxCDF</t>
  </si>
  <si>
    <t>2,3,4,6,7,8-HxCDF</t>
  </si>
  <si>
    <t>1,2,3,7,8,9-HxCDF</t>
  </si>
  <si>
    <t>1,2,3,4,6,7,8-HpCDF</t>
  </si>
  <si>
    <t>1,2,3,4,7,8,9-HpCDF</t>
  </si>
  <si>
    <t>OCDF</t>
  </si>
  <si>
    <t>Gas sample volume (dscf)</t>
  </si>
  <si>
    <t>PCDD/PCDF (ng/dscm @ 7% O2)</t>
  </si>
  <si>
    <t>Feedstream Description</t>
  </si>
  <si>
    <t>Heating Value</t>
  </si>
  <si>
    <t>Ash</t>
  </si>
  <si>
    <t>Chlorine</t>
  </si>
  <si>
    <t>HCl</t>
  </si>
  <si>
    <t>Cl2</t>
  </si>
  <si>
    <t>DRE</t>
  </si>
  <si>
    <t>lb/hr</t>
  </si>
  <si>
    <t>Detected in sample volume (pg)</t>
  </si>
  <si>
    <t>PCDD/PCDF (pg in sample)</t>
  </si>
  <si>
    <t>Run 1</t>
  </si>
  <si>
    <t>Run 2</t>
  </si>
  <si>
    <t>Run 3</t>
  </si>
  <si>
    <t>gpm</t>
  </si>
  <si>
    <t>MMBtu/hr</t>
  </si>
  <si>
    <t>ug/dscm</t>
  </si>
  <si>
    <t>SVM</t>
  </si>
  <si>
    <t>LVM</t>
  </si>
  <si>
    <t>O2 (%)</t>
  </si>
  <si>
    <t>TEQ Cond Avg</t>
  </si>
  <si>
    <t>Total Cond Avg</t>
  </si>
  <si>
    <t>Stack Gas Flowrate</t>
  </si>
  <si>
    <t>Oxygen</t>
  </si>
  <si>
    <t>mg/dscm</t>
  </si>
  <si>
    <t>HC</t>
  </si>
  <si>
    <t>Combustor Characteristics</t>
  </si>
  <si>
    <t>7% O2</t>
  </si>
  <si>
    <t>Process Information</t>
  </si>
  <si>
    <t>1/2 ND</t>
  </si>
  <si>
    <t>PCDD/PCDF</t>
  </si>
  <si>
    <t>Hazardous Wastes</t>
  </si>
  <si>
    <t>Supplemental Fuel</t>
  </si>
  <si>
    <t>POHC DRE</t>
  </si>
  <si>
    <t>Capacity (MMBtu/hr)</t>
  </si>
  <si>
    <t>n</t>
  </si>
  <si>
    <t xml:space="preserve">    Gas Velocity (ft/sec)</t>
  </si>
  <si>
    <t xml:space="preserve">    Gas Temperature (°F)</t>
  </si>
  <si>
    <t>Feedrate MTEC Calculations</t>
  </si>
  <si>
    <t>Source Description</t>
  </si>
  <si>
    <t>Soot Blowing</t>
  </si>
  <si>
    <t>Haz Waste Description</t>
  </si>
  <si>
    <t xml:space="preserve">   Temperature</t>
  </si>
  <si>
    <t xml:space="preserve">   Stack Gas Flowrate</t>
  </si>
  <si>
    <t>Lead</t>
  </si>
  <si>
    <t>Antimony</t>
  </si>
  <si>
    <t>Arsenic</t>
  </si>
  <si>
    <t>Barium</t>
  </si>
  <si>
    <t>Beryllium</t>
  </si>
  <si>
    <t>Cadmium</t>
  </si>
  <si>
    <t>Mercury</t>
  </si>
  <si>
    <t>Nickel</t>
  </si>
  <si>
    <t>Selenium</t>
  </si>
  <si>
    <t>Silver</t>
  </si>
  <si>
    <t>Thallium</t>
  </si>
  <si>
    <t>Comments</t>
  </si>
  <si>
    <t>Cr+6</t>
  </si>
  <si>
    <t>POHC Feedrate</t>
  </si>
  <si>
    <t xml:space="preserve">   O2</t>
  </si>
  <si>
    <t xml:space="preserve">   Moisture</t>
  </si>
  <si>
    <t>Sampling Train</t>
  </si>
  <si>
    <t>*</t>
  </si>
  <si>
    <t>Thermal Feedrate</t>
  </si>
  <si>
    <t>Feed Rate</t>
  </si>
  <si>
    <t>HWC Burn Status (Date if Terminated)</t>
  </si>
  <si>
    <t>Total TCDD</t>
  </si>
  <si>
    <t>Total PCDD</t>
  </si>
  <si>
    <t>Total HxCDD</t>
  </si>
  <si>
    <t>Total HpCDD</t>
  </si>
  <si>
    <t>Total TCDF</t>
  </si>
  <si>
    <t>Total PCDF</t>
  </si>
  <si>
    <t>Total HxCDF</t>
  </si>
  <si>
    <t>Total HpCDF</t>
  </si>
  <si>
    <t>Emissions Rate</t>
  </si>
  <si>
    <t>PERC</t>
  </si>
  <si>
    <t>NOx</t>
  </si>
  <si>
    <t>DRE, NOx, THC</t>
  </si>
  <si>
    <t>PCDD/Fs</t>
  </si>
  <si>
    <t>Metals</t>
  </si>
  <si>
    <t>% wt</t>
  </si>
  <si>
    <t>CO (RA)</t>
  </si>
  <si>
    <t>DRE, NOx, HC</t>
  </si>
  <si>
    <t xml:space="preserve">CO (RA) </t>
  </si>
  <si>
    <t>HC (RA)</t>
  </si>
  <si>
    <t>Chromium</t>
  </si>
  <si>
    <t>NED981723513</t>
  </si>
  <si>
    <t>Clean Harbors Environmental Services, Inc.</t>
  </si>
  <si>
    <t>Kimball County</t>
  </si>
  <si>
    <t>Nebraska</t>
  </si>
  <si>
    <t>Entropy, Inc.</t>
  </si>
  <si>
    <t>Science Applications International Corporation</t>
  </si>
  <si>
    <t>Trial burn, high nonviscous liquid feed rate, max comb temp</t>
  </si>
  <si>
    <t>December 15-17, 1994</t>
  </si>
  <si>
    <t>PM, HCl, PCDD/F, metals, Cr+6</t>
  </si>
  <si>
    <t>PM, HCl, DRE, PCDD/F</t>
  </si>
  <si>
    <t>PM, HCl, DRE</t>
  </si>
  <si>
    <t>Carbon tetrachloride</t>
  </si>
  <si>
    <t>Napthalene</t>
  </si>
  <si>
    <t>DCB</t>
  </si>
  <si>
    <t>PM, HCl</t>
  </si>
  <si>
    <t>SO2</t>
  </si>
  <si>
    <t>None</t>
  </si>
  <si>
    <t>December 8-9, 1994</t>
  </si>
  <si>
    <t>December 13-14, 1994</t>
  </si>
  <si>
    <t>Semivolatile</t>
  </si>
  <si>
    <t>Trial burn, high waste feedrate, min temp oper</t>
  </si>
  <si>
    <t>Trial burn, high wet solids feed rate, low temp oper</t>
  </si>
  <si>
    <t>Trial burn, high viscous liquid feed rate, low temp oper</t>
  </si>
  <si>
    <t>1994 Trial Burn Report, June 1995</t>
  </si>
  <si>
    <t>November 8-9, 1995</t>
  </si>
  <si>
    <t>1,1,1-Trichloroethane</t>
  </si>
  <si>
    <t>PM, HCl/Cl2</t>
  </si>
  <si>
    <t>nd</t>
  </si>
  <si>
    <t>Tetrachloroethene</t>
  </si>
  <si>
    <t>Trichloroethane</t>
  </si>
  <si>
    <t>PCDD/Fs, Semivolatile, DRE</t>
  </si>
  <si>
    <t>September 16-17, 1997</t>
  </si>
  <si>
    <t>Bed Temperature</t>
  </si>
  <si>
    <t>F</t>
  </si>
  <si>
    <t>SRC Temperature</t>
  </si>
  <si>
    <t>SRC Velocity</t>
  </si>
  <si>
    <t>ft/sec</t>
  </si>
  <si>
    <t>Baghouse Pressure Drop</t>
  </si>
  <si>
    <t>in. H2O</t>
  </si>
  <si>
    <t>DRE, NOx</t>
  </si>
  <si>
    <t>Fluidized bed incinerator. Equiped with four wastes feeding. Including primary comb chamber, SRC and a pre-quench chamber.</t>
  </si>
  <si>
    <t>PM, HCl, HC</t>
  </si>
  <si>
    <t>Air Pollution Testing</t>
  </si>
  <si>
    <t>November 16-19, 1999</t>
  </si>
  <si>
    <t>Compliance Test Report for Clean Harbors Env. Services, IN., Kimball, Nebraska Facility, Test Dates: November 16-19, 1999</t>
  </si>
  <si>
    <t>Annual, normal performance test</t>
  </si>
  <si>
    <t>PM, HCl, PCDD/F</t>
  </si>
  <si>
    <t>1997 Annual Performance Testing</t>
  </si>
  <si>
    <t>1996 Annual Performance Test</t>
  </si>
  <si>
    <t>1995 Annual Performance Testing</t>
  </si>
  <si>
    <t>1994 Trial Burn</t>
  </si>
  <si>
    <t>1999 Annual Performance Testing</t>
  </si>
  <si>
    <t>1999 Performance Test</t>
  </si>
  <si>
    <t>3010C17</t>
  </si>
  <si>
    <t>Annual Performance Test Program on Fluidized Bed Incinerator, Prepared by TRC Environmental Corporation, Report No. EM 97-14, December 3, 1997</t>
  </si>
  <si>
    <t>TRC Environmental Corp</t>
  </si>
  <si>
    <t>3010C16</t>
  </si>
  <si>
    <t>1997 Performance Testing</t>
  </si>
  <si>
    <t>PERC (tetrachloroethylene)</t>
  </si>
  <si>
    <t>Source Emissions Testing Report for Clean Harbors Environmental Services, Kimball, NE Incinerator Facility, Comprehensive Performance Test, November 2000, Project No. CLH0387</t>
  </si>
  <si>
    <t>Annual, comprehensive performance test</t>
  </si>
  <si>
    <t>November 14-16, 2000</t>
  </si>
  <si>
    <t>PM, HCl, PCDD/F, metals</t>
  </si>
  <si>
    <t>2000 Annual Performance Testing</t>
  </si>
  <si>
    <t>ug</t>
  </si>
  <si>
    <t>Metals sample train volume</t>
  </si>
  <si>
    <t>dscf</t>
  </si>
  <si>
    <t>3010C18</t>
  </si>
  <si>
    <t>2000 Performance Test</t>
  </si>
  <si>
    <t xml:space="preserve">Heat exchanger recuperator, spray dryer absorber, activated carbon injected, fabric filter. </t>
  </si>
  <si>
    <t>3010C11</t>
  </si>
  <si>
    <t>3010C10</t>
  </si>
  <si>
    <t>3010C12</t>
  </si>
  <si>
    <t>3010C13</t>
  </si>
  <si>
    <t>3010C14</t>
  </si>
  <si>
    <t>3010C15</t>
  </si>
  <si>
    <t>DRE Technologies</t>
  </si>
  <si>
    <t>Clean Harbors Technology Corporation 1996 Annual Performance Test Report, December 3, 1996</t>
  </si>
  <si>
    <t>Thermal Oxidation Unit (TOU)</t>
  </si>
  <si>
    <t>Sept 25-26, 1996</t>
  </si>
  <si>
    <t>1,2-dichlorobenzene</t>
  </si>
  <si>
    <t>METCO</t>
  </si>
  <si>
    <t>&gt;</t>
  </si>
  <si>
    <t>1995 Performance Test</t>
  </si>
  <si>
    <t>1996 Performance Test</t>
  </si>
  <si>
    <t>Detected in sample volume (ng)</t>
  </si>
  <si>
    <t>PCDD/PCDF (ng in sample)</t>
  </si>
  <si>
    <t>Clean Harbors Technology Corp 1995 Annual Performance Test Report, January 15, 1996</t>
  </si>
  <si>
    <t>R1</t>
  </si>
  <si>
    <t>R2</t>
  </si>
  <si>
    <t>R3</t>
  </si>
  <si>
    <t>Cond Avg</t>
  </si>
  <si>
    <t>1997 Annual Performance Test</t>
  </si>
  <si>
    <t>1995 Annual Performance Test</t>
  </si>
  <si>
    <t>HE/SDA/CI/FF</t>
  </si>
  <si>
    <t>PM, HCl, DRE, PCDD/F, Hg</t>
  </si>
  <si>
    <t>PM, CO, HCl, DRE, metals, PCDD/F</t>
  </si>
  <si>
    <t>PM, HCl, PCDD/F, metals, DRE</t>
  </si>
  <si>
    <t>Total Wastes</t>
  </si>
  <si>
    <t>Combustor Type</t>
  </si>
  <si>
    <t>Fluid bed</t>
  </si>
  <si>
    <t>Combustor Class</t>
  </si>
  <si>
    <t>Condition Description</t>
  </si>
  <si>
    <t>Phase I ID No.</t>
  </si>
  <si>
    <t>Report Name/Date</t>
  </si>
  <si>
    <t>Report Prepare</t>
  </si>
  <si>
    <t>Testing Firm</t>
  </si>
  <si>
    <t>Testing Dates</t>
  </si>
  <si>
    <t>Condition Descr</t>
  </si>
  <si>
    <t>Content</t>
  </si>
  <si>
    <t>Stack Gas Emissions 1</t>
  </si>
  <si>
    <t>Feedstream 1</t>
  </si>
  <si>
    <t>Full ND</t>
  </si>
  <si>
    <t>E1</t>
  </si>
  <si>
    <t>E2</t>
  </si>
  <si>
    <t>E3</t>
  </si>
  <si>
    <t>E4</t>
  </si>
  <si>
    <t>Chromium (Hex)</t>
  </si>
  <si>
    <t>Total Chlorine</t>
  </si>
  <si>
    <t>E5</t>
  </si>
  <si>
    <t>Cond Dates</t>
  </si>
  <si>
    <t>Number of Sister Facilities</t>
  </si>
  <si>
    <t>APCS Detailed Acronym</t>
  </si>
  <si>
    <t>APCS General Class</t>
  </si>
  <si>
    <t>Solid and liq</t>
  </si>
  <si>
    <t>source</t>
  </si>
  <si>
    <t>cond</t>
  </si>
  <si>
    <t>emiss</t>
  </si>
  <si>
    <t>feed</t>
  </si>
  <si>
    <t>process</t>
  </si>
  <si>
    <t>df c10</t>
  </si>
  <si>
    <t>df c12</t>
  </si>
  <si>
    <t>df c13</t>
  </si>
  <si>
    <t>df c14</t>
  </si>
  <si>
    <t>df c15</t>
  </si>
  <si>
    <t>df c16</t>
  </si>
  <si>
    <t>df c17</t>
  </si>
  <si>
    <t>df c18</t>
  </si>
  <si>
    <t>Commercial incinerator</t>
  </si>
  <si>
    <t>HE, CI, FF, LEWS</t>
  </si>
  <si>
    <t>Feedstream Number</t>
  </si>
  <si>
    <t>Feed Class</t>
  </si>
  <si>
    <t>F1</t>
  </si>
  <si>
    <t>Feed Class 2</t>
  </si>
  <si>
    <t>Estimated Firing Rate</t>
  </si>
  <si>
    <t>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</si>
</sst>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"/>
    <numFmt numFmtId="166" formatCode="0.0000"/>
    <numFmt numFmtId="167" formatCode="0.000"/>
    <numFmt numFmtId="168" formatCode="#,##0.000"/>
    <numFmt numFmtId="169" formatCode="#,##0.0000"/>
    <numFmt numFmtId="170" formatCode="0.000000"/>
    <numFmt numFmtId="171" formatCode="0.00000"/>
    <numFmt numFmtId="172" formatCode="mmm\-yyyy"/>
    <numFmt numFmtId="173" formatCode="&quot;$&quot;#,##0.0"/>
    <numFmt numFmtId="174" formatCode="#,##0.0"/>
    <numFmt numFmtId="175" formatCode="0.00000000"/>
    <numFmt numFmtId="176" formatCode="0.0000000"/>
    <numFmt numFmtId="177" formatCode="0.0E+00"/>
    <numFmt numFmtId="178" formatCode="0.E+00"/>
    <numFmt numFmtId="179" formatCode="mm/dd/yy"/>
  </numFmts>
  <fonts count="5">
    <font>
      <sz val="10"/>
      <name val="Arial"/>
      <family val="0"/>
    </font>
    <font>
      <sz val="10"/>
      <name val="Helv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6" fontId="1" fillId="0" borderId="0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167" fontId="1" fillId="0" borderId="0" xfId="0" applyNumberFormat="1" applyFont="1" applyBorder="1" applyAlignment="1">
      <alignment/>
    </xf>
    <xf numFmtId="165" fontId="0" fillId="0" borderId="0" xfId="0" applyNumberFormat="1" applyAlignment="1">
      <alignment/>
    </xf>
    <xf numFmtId="2" fontId="1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Border="1" applyAlignment="1">
      <alignment horizontal="left"/>
    </xf>
    <xf numFmtId="165" fontId="0" fillId="0" borderId="0" xfId="0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left"/>
    </xf>
    <xf numFmtId="165" fontId="0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 horizontal="right"/>
    </xf>
    <xf numFmtId="165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165" fontId="0" fillId="0" borderId="0" xfId="0" applyNumberFormat="1" applyFont="1" applyAlignment="1">
      <alignment horizontal="left"/>
    </xf>
    <xf numFmtId="164" fontId="0" fillId="0" borderId="0" xfId="0" applyNumberFormat="1" applyFont="1" applyAlignment="1">
      <alignment horizontal="left"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0" fillId="0" borderId="0" xfId="0" applyNumberFormat="1" applyFont="1" applyAlignment="1">
      <alignment/>
    </xf>
    <xf numFmtId="166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1" fontId="0" fillId="0" borderId="0" xfId="0" applyNumberFormat="1" applyFont="1" applyFill="1" applyBorder="1" applyAlignment="1">
      <alignment horizontal="right"/>
    </xf>
    <xf numFmtId="11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165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 horizontal="right"/>
    </xf>
    <xf numFmtId="167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65" fontId="0" fillId="0" borderId="0" xfId="0" applyNumberFormat="1" applyFont="1" applyAlignment="1">
      <alignment/>
    </xf>
    <xf numFmtId="11" fontId="0" fillId="0" borderId="0" xfId="0" applyNumberFormat="1" applyFont="1" applyBorder="1" applyAlignment="1">
      <alignment/>
    </xf>
    <xf numFmtId="166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left"/>
    </xf>
    <xf numFmtId="166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Continuous"/>
    </xf>
    <xf numFmtId="1" fontId="0" fillId="0" borderId="0" xfId="0" applyNumberFormat="1" applyFont="1" applyBorder="1" applyAlignment="1">
      <alignment/>
    </xf>
    <xf numFmtId="1" fontId="0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applyFont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left" wrapText="1"/>
    </xf>
    <xf numFmtId="165" fontId="0" fillId="0" borderId="0" xfId="0" applyNumberFormat="1" applyFont="1" applyBorder="1" applyAlignment="1">
      <alignment horizontal="left"/>
    </xf>
    <xf numFmtId="165" fontId="0" fillId="0" borderId="0" xfId="0" applyNumberFormat="1" applyFont="1" applyBorder="1" applyAlignment="1">
      <alignment horizontal="centerContinuous"/>
    </xf>
    <xf numFmtId="2" fontId="0" fillId="0" borderId="0" xfId="0" applyNumberFormat="1" applyFont="1" applyFill="1" applyBorder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vertical="top"/>
    </xf>
    <xf numFmtId="11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2" fontId="0" fillId="0" borderId="0" xfId="0" applyNumberFormat="1" applyFont="1" applyBorder="1" applyAlignment="1">
      <alignment horizontal="center"/>
    </xf>
    <xf numFmtId="171" fontId="0" fillId="0" borderId="0" xfId="0" applyNumberFormat="1" applyFont="1" applyFill="1" applyBorder="1" applyAlignment="1">
      <alignment/>
    </xf>
    <xf numFmtId="11" fontId="0" fillId="0" borderId="0" xfId="0" applyNumberFormat="1" applyAlignment="1">
      <alignment/>
    </xf>
    <xf numFmtId="171" fontId="0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 vertical="top" wrapText="1" shrinkToFit="1"/>
    </xf>
    <xf numFmtId="0" fontId="1" fillId="0" borderId="0" xfId="0" applyFont="1" applyAlignment="1">
      <alignment vertical="top"/>
    </xf>
    <xf numFmtId="2" fontId="0" fillId="0" borderId="0" xfId="0" applyNumberFormat="1" applyFill="1" applyBorder="1" applyAlignment="1">
      <alignment/>
    </xf>
    <xf numFmtId="17" fontId="0" fillId="0" borderId="0" xfId="0" applyNumberFormat="1" applyFont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3"/>
  <sheetViews>
    <sheetView workbookViewId="0" topLeftCell="A1">
      <selection activeCell="C25" sqref="C25"/>
    </sheetView>
  </sheetViews>
  <sheetFormatPr defaultColWidth="9.140625" defaultRowHeight="12.75"/>
  <sheetData>
    <row r="1" ht="12.75">
      <c r="A1" t="s">
        <v>257</v>
      </c>
    </row>
    <row r="2" ht="12.75">
      <c r="A2" t="s">
        <v>258</v>
      </c>
    </row>
    <row r="3" ht="12.75">
      <c r="A3" t="s">
        <v>259</v>
      </c>
    </row>
    <row r="4" ht="12.75">
      <c r="A4" t="s">
        <v>260</v>
      </c>
    </row>
    <row r="5" ht="12.75">
      <c r="A5" t="s">
        <v>261</v>
      </c>
    </row>
    <row r="6" ht="12.75">
      <c r="A6" t="s">
        <v>262</v>
      </c>
    </row>
    <row r="7" ht="12.75">
      <c r="A7" t="s">
        <v>263</v>
      </c>
    </row>
    <row r="8" ht="12.75">
      <c r="A8" t="s">
        <v>264</v>
      </c>
    </row>
    <row r="9" ht="12.75">
      <c r="A9" t="s">
        <v>265</v>
      </c>
    </row>
    <row r="10" ht="12.75">
      <c r="A10" t="s">
        <v>266</v>
      </c>
    </row>
    <row r="11" ht="12.75">
      <c r="A11" t="s">
        <v>267</v>
      </c>
    </row>
    <row r="12" ht="12.75">
      <c r="A12" t="s">
        <v>268</v>
      </c>
    </row>
    <row r="13" ht="12.75">
      <c r="A13" t="s">
        <v>269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87"/>
  <sheetViews>
    <sheetView workbookViewId="0" topLeftCell="A1">
      <selection activeCell="B5" sqref="B5"/>
    </sheetView>
  </sheetViews>
  <sheetFormatPr defaultColWidth="9.140625" defaultRowHeight="12.75"/>
  <cols>
    <col min="1" max="1" width="1.7109375" style="0" customWidth="1"/>
    <col min="2" max="2" width="20.00390625" style="0" customWidth="1"/>
    <col min="3" max="3" width="6.140625" style="0" customWidth="1"/>
    <col min="4" max="4" width="4.421875" style="0" customWidth="1"/>
    <col min="5" max="5" width="9.421875" style="6" customWidth="1"/>
    <col min="6" max="6" width="9.8515625" style="6" customWidth="1"/>
    <col min="7" max="7" width="10.7109375" style="6" customWidth="1"/>
    <col min="8" max="8" width="9.8515625" style="6" customWidth="1"/>
    <col min="9" max="9" width="3.421875" style="0" customWidth="1"/>
    <col min="11" max="11" width="9.28125" style="0" customWidth="1"/>
    <col min="13" max="13" width="9.28125" style="0" customWidth="1"/>
    <col min="14" max="14" width="4.00390625" style="0" customWidth="1"/>
    <col min="16" max="16" width="9.00390625" style="0" customWidth="1"/>
    <col min="18" max="18" width="9.00390625" style="0" customWidth="1"/>
  </cols>
  <sheetData>
    <row r="1" spans="1:18" ht="12.75">
      <c r="A1" s="57" t="s">
        <v>77</v>
      </c>
      <c r="B1" s="41"/>
      <c r="C1" s="41"/>
      <c r="D1" s="41"/>
      <c r="E1" s="44"/>
      <c r="F1" s="44"/>
      <c r="G1" s="44"/>
      <c r="H1" s="44"/>
      <c r="I1" s="49"/>
      <c r="J1" s="49"/>
      <c r="K1" s="49"/>
      <c r="L1" s="49"/>
      <c r="M1" s="49"/>
      <c r="N1" s="49"/>
      <c r="O1" s="49"/>
      <c r="P1" s="49"/>
      <c r="Q1" s="49"/>
      <c r="R1" s="49"/>
    </row>
    <row r="2" spans="1:18" ht="12.75">
      <c r="A2" s="41" t="s">
        <v>277</v>
      </c>
      <c r="B2" s="41"/>
      <c r="C2" s="41"/>
      <c r="D2" s="41"/>
      <c r="E2" s="44"/>
      <c r="F2" s="44"/>
      <c r="G2" s="44"/>
      <c r="H2" s="44"/>
      <c r="I2" s="49"/>
      <c r="J2" s="49"/>
      <c r="K2" s="49"/>
      <c r="L2" s="49"/>
      <c r="M2" s="49"/>
      <c r="N2" s="49"/>
      <c r="O2" s="49"/>
      <c r="P2" s="49"/>
      <c r="Q2" s="49"/>
      <c r="R2" s="49"/>
    </row>
    <row r="3" spans="1:18" ht="12.75">
      <c r="A3" s="41" t="s">
        <v>21</v>
      </c>
      <c r="B3" s="41"/>
      <c r="C3" s="14" t="str">
        <f>source!C5</f>
        <v>Clean Harbors Environmental Services, Inc.</v>
      </c>
      <c r="D3" s="14"/>
      <c r="E3" s="44"/>
      <c r="F3" s="44"/>
      <c r="G3" s="44"/>
      <c r="H3" s="44"/>
      <c r="I3" s="49"/>
      <c r="J3" s="49"/>
      <c r="K3" s="49"/>
      <c r="L3" s="49"/>
      <c r="M3" s="49"/>
      <c r="N3" s="49"/>
      <c r="O3" s="49"/>
      <c r="P3" s="49"/>
      <c r="Q3" s="49"/>
      <c r="R3" s="49"/>
    </row>
    <row r="4" spans="1:18" ht="12.75">
      <c r="A4" s="41" t="s">
        <v>22</v>
      </c>
      <c r="B4" s="41"/>
      <c r="C4" s="14" t="s">
        <v>206</v>
      </c>
      <c r="D4" s="14"/>
      <c r="E4" s="64"/>
      <c r="F4" s="17"/>
      <c r="G4" s="64"/>
      <c r="H4" s="17"/>
      <c r="I4" s="51"/>
      <c r="J4" s="51"/>
      <c r="K4" s="51"/>
      <c r="L4" s="51"/>
      <c r="M4" s="51"/>
      <c r="N4" s="51"/>
      <c r="O4" s="51"/>
      <c r="P4" s="51"/>
      <c r="Q4" s="51"/>
      <c r="R4" s="51"/>
    </row>
    <row r="5" spans="1:18" ht="12.75">
      <c r="A5" s="41" t="s">
        <v>23</v>
      </c>
      <c r="B5" s="41"/>
      <c r="C5" s="19" t="str">
        <f>cond!C50</f>
        <v>Annual, normal performance test</v>
      </c>
      <c r="D5" s="19"/>
      <c r="E5" s="48"/>
      <c r="F5" s="48" t="s">
        <v>215</v>
      </c>
      <c r="G5" s="48"/>
      <c r="H5" s="48" t="s">
        <v>215</v>
      </c>
      <c r="I5" s="19"/>
      <c r="J5" s="19"/>
      <c r="K5" s="49"/>
      <c r="L5" s="19"/>
      <c r="M5" s="49"/>
      <c r="N5" s="49"/>
      <c r="O5" s="49"/>
      <c r="P5" s="49"/>
      <c r="Q5" s="49"/>
      <c r="R5" s="49"/>
    </row>
    <row r="6" spans="1:18" ht="12.75">
      <c r="A6" s="41"/>
      <c r="B6" s="41"/>
      <c r="C6" s="43"/>
      <c r="D6" s="43"/>
      <c r="E6" s="17"/>
      <c r="F6" s="44"/>
      <c r="G6" s="17"/>
      <c r="H6" s="44"/>
      <c r="I6" s="49"/>
      <c r="J6" s="53"/>
      <c r="K6" s="49"/>
      <c r="L6" s="53"/>
      <c r="M6" s="49"/>
      <c r="N6" s="49"/>
      <c r="O6" s="53"/>
      <c r="P6" s="49"/>
      <c r="Q6" s="53"/>
      <c r="R6" s="49"/>
    </row>
    <row r="7" spans="1:18" ht="12.75">
      <c r="A7" s="41"/>
      <c r="B7" s="41"/>
      <c r="C7" s="43" t="s">
        <v>24</v>
      </c>
      <c r="D7" s="43"/>
      <c r="E7" s="65" t="s">
        <v>58</v>
      </c>
      <c r="F7" s="65"/>
      <c r="G7" s="65"/>
      <c r="H7" s="65"/>
      <c r="I7" s="18"/>
      <c r="J7" s="54" t="s">
        <v>59</v>
      </c>
      <c r="K7" s="54"/>
      <c r="L7" s="54"/>
      <c r="M7" s="54"/>
      <c r="N7" s="18"/>
      <c r="O7" s="54" t="s">
        <v>60</v>
      </c>
      <c r="P7" s="54"/>
      <c r="Q7" s="54"/>
      <c r="R7" s="54"/>
    </row>
    <row r="8" spans="1:18" ht="12.75">
      <c r="A8" s="41"/>
      <c r="B8" s="41"/>
      <c r="C8" s="43" t="s">
        <v>25</v>
      </c>
      <c r="D8" s="41"/>
      <c r="E8" s="17" t="s">
        <v>26</v>
      </c>
      <c r="F8" s="17" t="s">
        <v>27</v>
      </c>
      <c r="G8" s="17" t="s">
        <v>26</v>
      </c>
      <c r="H8" s="17" t="s">
        <v>27</v>
      </c>
      <c r="I8" s="49"/>
      <c r="J8" s="53" t="s">
        <v>26</v>
      </c>
      <c r="K8" s="53" t="s">
        <v>28</v>
      </c>
      <c r="L8" s="53" t="s">
        <v>26</v>
      </c>
      <c r="M8" s="53" t="s">
        <v>28</v>
      </c>
      <c r="N8" s="49"/>
      <c r="O8" s="53" t="s">
        <v>26</v>
      </c>
      <c r="P8" s="53" t="s">
        <v>28</v>
      </c>
      <c r="Q8" s="53" t="s">
        <v>26</v>
      </c>
      <c r="R8" s="53" t="s">
        <v>28</v>
      </c>
    </row>
    <row r="9" spans="1:18" ht="12.75">
      <c r="A9" s="41"/>
      <c r="B9" s="41"/>
      <c r="C9" s="43"/>
      <c r="D9" s="41"/>
      <c r="E9" s="17" t="s">
        <v>244</v>
      </c>
      <c r="F9" s="17" t="s">
        <v>244</v>
      </c>
      <c r="G9" s="17" t="s">
        <v>76</v>
      </c>
      <c r="H9" s="17" t="s">
        <v>76</v>
      </c>
      <c r="I9" s="49"/>
      <c r="J9" s="17" t="s">
        <v>244</v>
      </c>
      <c r="K9" s="17" t="s">
        <v>244</v>
      </c>
      <c r="L9" s="53" t="s">
        <v>76</v>
      </c>
      <c r="M9" s="52" t="s">
        <v>76</v>
      </c>
      <c r="N9" s="49"/>
      <c r="O9" s="17" t="s">
        <v>244</v>
      </c>
      <c r="P9" s="17" t="s">
        <v>244</v>
      </c>
      <c r="Q9" s="53" t="s">
        <v>76</v>
      </c>
      <c r="R9" s="52" t="s">
        <v>76</v>
      </c>
    </row>
    <row r="10" spans="1:18" ht="12.75">
      <c r="A10" s="41" t="s">
        <v>56</v>
      </c>
      <c r="B10" s="41"/>
      <c r="C10" s="41"/>
      <c r="D10" s="41"/>
      <c r="E10" s="44"/>
      <c r="F10" s="44"/>
      <c r="G10" s="44"/>
      <c r="H10" s="44"/>
      <c r="I10" s="49"/>
      <c r="J10" s="49"/>
      <c r="K10" s="49"/>
      <c r="L10" s="49"/>
      <c r="M10" s="49"/>
      <c r="N10" s="49"/>
      <c r="O10" s="44"/>
      <c r="P10" s="49"/>
      <c r="Q10" s="49"/>
      <c r="R10" s="49"/>
    </row>
    <row r="11" spans="1:18" ht="12.75">
      <c r="A11" s="41"/>
      <c r="B11" s="41" t="s">
        <v>29</v>
      </c>
      <c r="C11" s="43">
        <v>1</v>
      </c>
      <c r="D11" s="43" t="s">
        <v>159</v>
      </c>
      <c r="E11" s="44">
        <v>7.2</v>
      </c>
      <c r="F11" s="44">
        <f aca="true" t="shared" si="0" ref="F11:H35">IF(E11="","",E11*$C11)</f>
        <v>7.2</v>
      </c>
      <c r="G11" s="55">
        <f aca="true" t="shared" si="1" ref="G11:G30">IF(E11=0,"",IF(D11="nd",E11/2,E11))</f>
        <v>3.6</v>
      </c>
      <c r="H11" s="44">
        <f t="shared" si="0"/>
        <v>3.6</v>
      </c>
      <c r="I11" s="52" t="s">
        <v>159</v>
      </c>
      <c r="J11" s="44">
        <v>4.5</v>
      </c>
      <c r="K11" s="44">
        <f aca="true" t="shared" si="2" ref="K11:M35">IF(J11="","",J11*$C11)</f>
        <v>4.5</v>
      </c>
      <c r="L11" s="44">
        <f>IF(J11=0,"",IF(I11="nd",J11/2,J11))</f>
        <v>2.25</v>
      </c>
      <c r="M11" s="44">
        <f t="shared" si="2"/>
        <v>2.25</v>
      </c>
      <c r="N11" s="52" t="s">
        <v>159</v>
      </c>
      <c r="O11" s="55">
        <v>4.5</v>
      </c>
      <c r="P11" s="44">
        <f aca="true" t="shared" si="3" ref="P11:R35">IF(O11="","",O11*$C11)</f>
        <v>4.5</v>
      </c>
      <c r="Q11" s="55">
        <f>IF(O11=0,"",IF(N11="nd",O11/2,O11))</f>
        <v>2.25</v>
      </c>
      <c r="R11" s="44">
        <f t="shared" si="3"/>
        <v>2.25</v>
      </c>
    </row>
    <row r="12" spans="1:18" ht="12.75">
      <c r="A12" s="41"/>
      <c r="B12" s="41" t="s">
        <v>112</v>
      </c>
      <c r="C12" s="43">
        <v>0</v>
      </c>
      <c r="D12" s="43"/>
      <c r="E12" s="44">
        <v>2300</v>
      </c>
      <c r="F12" s="44">
        <f t="shared" si="0"/>
        <v>0</v>
      </c>
      <c r="G12" s="55">
        <f t="shared" si="1"/>
        <v>2300</v>
      </c>
      <c r="H12" s="44">
        <f t="shared" si="0"/>
        <v>0</v>
      </c>
      <c r="I12" s="52"/>
      <c r="J12" s="55">
        <v>1900</v>
      </c>
      <c r="K12" s="55">
        <f t="shared" si="2"/>
        <v>0</v>
      </c>
      <c r="L12" s="44">
        <f aca="true" t="shared" si="4" ref="L12:L35">IF(J12=0,"",IF(I12="nd",J12/2,J12))</f>
        <v>1900</v>
      </c>
      <c r="M12" s="55">
        <f t="shared" si="2"/>
        <v>0</v>
      </c>
      <c r="N12" s="71"/>
      <c r="O12" s="55">
        <v>1400</v>
      </c>
      <c r="P12" s="44">
        <f t="shared" si="3"/>
        <v>0</v>
      </c>
      <c r="Q12" s="55">
        <f aca="true" t="shared" si="5" ref="Q12:Q35">IF(O12=0,"",IF(N12="nd",O12/2,O12))</f>
        <v>1400</v>
      </c>
      <c r="R12" s="44">
        <f t="shared" si="3"/>
        <v>0</v>
      </c>
    </row>
    <row r="13" spans="1:18" ht="12.75">
      <c r="A13" s="41"/>
      <c r="B13" s="41" t="s">
        <v>30</v>
      </c>
      <c r="C13" s="43">
        <v>0.5</v>
      </c>
      <c r="D13" s="43"/>
      <c r="E13" s="44">
        <v>65</v>
      </c>
      <c r="F13" s="47">
        <f t="shared" si="0"/>
        <v>32.5</v>
      </c>
      <c r="G13" s="55">
        <f t="shared" si="1"/>
        <v>65</v>
      </c>
      <c r="H13" s="47">
        <f t="shared" si="0"/>
        <v>32.5</v>
      </c>
      <c r="I13" s="52"/>
      <c r="J13" s="47">
        <v>25</v>
      </c>
      <c r="K13" s="47">
        <f t="shared" si="2"/>
        <v>12.5</v>
      </c>
      <c r="L13" s="44">
        <f t="shared" si="4"/>
        <v>25</v>
      </c>
      <c r="M13" s="47">
        <f t="shared" si="2"/>
        <v>12.5</v>
      </c>
      <c r="N13" s="52"/>
      <c r="O13" s="56">
        <v>29</v>
      </c>
      <c r="P13" s="44">
        <f t="shared" si="3"/>
        <v>14.5</v>
      </c>
      <c r="Q13" s="55">
        <f t="shared" si="5"/>
        <v>29</v>
      </c>
      <c r="R13" s="44">
        <f t="shared" si="3"/>
        <v>14.5</v>
      </c>
    </row>
    <row r="14" spans="1:18" ht="12.75">
      <c r="A14" s="41"/>
      <c r="B14" s="41" t="s">
        <v>113</v>
      </c>
      <c r="C14" s="43">
        <v>0</v>
      </c>
      <c r="D14" s="43"/>
      <c r="E14" s="44">
        <v>3100</v>
      </c>
      <c r="F14" s="55">
        <f t="shared" si="0"/>
        <v>0</v>
      </c>
      <c r="G14" s="55">
        <f t="shared" si="1"/>
        <v>3100</v>
      </c>
      <c r="H14" s="55">
        <f t="shared" si="0"/>
        <v>0</v>
      </c>
      <c r="I14" s="52"/>
      <c r="J14" s="55">
        <v>1900</v>
      </c>
      <c r="K14" s="55">
        <f t="shared" si="2"/>
        <v>0</v>
      </c>
      <c r="L14" s="44">
        <f t="shared" si="4"/>
        <v>1900</v>
      </c>
      <c r="M14" s="55">
        <f t="shared" si="2"/>
        <v>0</v>
      </c>
      <c r="N14" s="52"/>
      <c r="O14" s="56">
        <v>1600</v>
      </c>
      <c r="P14" s="44">
        <f t="shared" si="3"/>
        <v>0</v>
      </c>
      <c r="Q14" s="55">
        <f t="shared" si="5"/>
        <v>1600</v>
      </c>
      <c r="R14" s="44">
        <f t="shared" si="3"/>
        <v>0</v>
      </c>
    </row>
    <row r="15" spans="1:18" ht="12.75">
      <c r="A15" s="41"/>
      <c r="B15" s="41" t="s">
        <v>31</v>
      </c>
      <c r="C15" s="43">
        <v>0.1</v>
      </c>
      <c r="D15" s="43"/>
      <c r="E15" s="44">
        <v>150</v>
      </c>
      <c r="F15" s="47">
        <f t="shared" si="0"/>
        <v>15</v>
      </c>
      <c r="G15" s="55">
        <f t="shared" si="1"/>
        <v>150</v>
      </c>
      <c r="H15" s="47">
        <f t="shared" si="0"/>
        <v>15</v>
      </c>
      <c r="I15" s="52"/>
      <c r="J15" s="44">
        <v>50</v>
      </c>
      <c r="K15" s="47">
        <f t="shared" si="2"/>
        <v>5</v>
      </c>
      <c r="L15" s="44">
        <f t="shared" si="4"/>
        <v>50</v>
      </c>
      <c r="M15" s="47">
        <f t="shared" si="2"/>
        <v>5</v>
      </c>
      <c r="N15" s="52"/>
      <c r="O15" s="48">
        <v>78</v>
      </c>
      <c r="P15" s="47">
        <f t="shared" si="3"/>
        <v>7.800000000000001</v>
      </c>
      <c r="Q15" s="55">
        <f t="shared" si="5"/>
        <v>78</v>
      </c>
      <c r="R15" s="47">
        <f t="shared" si="3"/>
        <v>7.800000000000001</v>
      </c>
    </row>
    <row r="16" spans="1:18" ht="12.75">
      <c r="A16" s="41"/>
      <c r="B16" s="41" t="s">
        <v>32</v>
      </c>
      <c r="C16" s="43">
        <v>0.1</v>
      </c>
      <c r="D16" s="43"/>
      <c r="E16" s="44">
        <v>590</v>
      </c>
      <c r="F16" s="47">
        <f t="shared" si="0"/>
        <v>59</v>
      </c>
      <c r="G16" s="55">
        <f t="shared" si="1"/>
        <v>590</v>
      </c>
      <c r="H16" s="47">
        <f t="shared" si="0"/>
        <v>59</v>
      </c>
      <c r="I16" s="52"/>
      <c r="J16" s="44">
        <v>95</v>
      </c>
      <c r="K16" s="47">
        <f t="shared" si="2"/>
        <v>9.5</v>
      </c>
      <c r="L16" s="44">
        <f t="shared" si="4"/>
        <v>95</v>
      </c>
      <c r="M16" s="47">
        <f t="shared" si="2"/>
        <v>9.5</v>
      </c>
      <c r="N16" s="52"/>
      <c r="O16" s="48">
        <v>300</v>
      </c>
      <c r="P16" s="44">
        <f t="shared" si="3"/>
        <v>30</v>
      </c>
      <c r="Q16" s="55">
        <f t="shared" si="5"/>
        <v>300</v>
      </c>
      <c r="R16" s="44">
        <f t="shared" si="3"/>
        <v>30</v>
      </c>
    </row>
    <row r="17" spans="1:18" ht="12.75">
      <c r="A17" s="41"/>
      <c r="B17" s="41" t="s">
        <v>33</v>
      </c>
      <c r="C17" s="43">
        <v>0.1</v>
      </c>
      <c r="D17" s="43"/>
      <c r="E17" s="44">
        <v>350</v>
      </c>
      <c r="F17" s="47">
        <f t="shared" si="0"/>
        <v>35</v>
      </c>
      <c r="G17" s="55">
        <f t="shared" si="1"/>
        <v>350</v>
      </c>
      <c r="H17" s="47">
        <f t="shared" si="0"/>
        <v>35</v>
      </c>
      <c r="I17" s="52"/>
      <c r="J17" s="44">
        <v>49</v>
      </c>
      <c r="K17" s="47">
        <f t="shared" si="2"/>
        <v>4.9</v>
      </c>
      <c r="L17" s="44">
        <f t="shared" si="4"/>
        <v>49</v>
      </c>
      <c r="M17" s="47">
        <f t="shared" si="2"/>
        <v>4.9</v>
      </c>
      <c r="N17" s="52"/>
      <c r="O17" s="48">
        <v>160</v>
      </c>
      <c r="P17" s="44">
        <f t="shared" si="3"/>
        <v>16</v>
      </c>
      <c r="Q17" s="55">
        <f t="shared" si="5"/>
        <v>160</v>
      </c>
      <c r="R17" s="44">
        <f t="shared" si="3"/>
        <v>16</v>
      </c>
    </row>
    <row r="18" spans="1:18" ht="12.75">
      <c r="A18" s="41"/>
      <c r="B18" s="41" t="s">
        <v>114</v>
      </c>
      <c r="C18" s="43">
        <v>0</v>
      </c>
      <c r="D18" s="43"/>
      <c r="E18" s="44">
        <v>7500</v>
      </c>
      <c r="F18" s="55">
        <f t="shared" si="0"/>
        <v>0</v>
      </c>
      <c r="G18" s="55">
        <f t="shared" si="1"/>
        <v>7500</v>
      </c>
      <c r="H18" s="55">
        <f t="shared" si="0"/>
        <v>0</v>
      </c>
      <c r="I18" s="52"/>
      <c r="J18" s="55">
        <v>3100</v>
      </c>
      <c r="K18" s="55">
        <f t="shared" si="2"/>
        <v>0</v>
      </c>
      <c r="L18" s="55">
        <f t="shared" si="4"/>
        <v>3100</v>
      </c>
      <c r="M18" s="55">
        <f t="shared" si="2"/>
        <v>0</v>
      </c>
      <c r="N18" s="52"/>
      <c r="O18" s="56">
        <v>4000</v>
      </c>
      <c r="P18" s="55">
        <f t="shared" si="3"/>
        <v>0</v>
      </c>
      <c r="Q18" s="55">
        <f t="shared" si="5"/>
        <v>4000</v>
      </c>
      <c r="R18" s="55">
        <f t="shared" si="3"/>
        <v>0</v>
      </c>
    </row>
    <row r="19" spans="1:18" ht="12.75">
      <c r="A19" s="41"/>
      <c r="B19" s="41" t="s">
        <v>34</v>
      </c>
      <c r="C19" s="43">
        <v>0.01</v>
      </c>
      <c r="D19" s="43"/>
      <c r="E19" s="44">
        <v>5700</v>
      </c>
      <c r="F19" s="47">
        <f t="shared" si="0"/>
        <v>57</v>
      </c>
      <c r="G19" s="55">
        <f t="shared" si="1"/>
        <v>5700</v>
      </c>
      <c r="H19" s="47">
        <f t="shared" si="0"/>
        <v>57</v>
      </c>
      <c r="I19" s="52"/>
      <c r="J19" s="55">
        <v>520</v>
      </c>
      <c r="K19" s="47">
        <f t="shared" si="2"/>
        <v>5.2</v>
      </c>
      <c r="L19" s="55">
        <f t="shared" si="4"/>
        <v>520</v>
      </c>
      <c r="M19" s="47">
        <f t="shared" si="2"/>
        <v>5.2</v>
      </c>
      <c r="N19" s="52"/>
      <c r="O19" s="56">
        <v>3000</v>
      </c>
      <c r="P19" s="47">
        <f t="shared" si="3"/>
        <v>30</v>
      </c>
      <c r="Q19" s="55">
        <f t="shared" si="5"/>
        <v>3000</v>
      </c>
      <c r="R19" s="47">
        <f t="shared" si="3"/>
        <v>30</v>
      </c>
    </row>
    <row r="20" spans="1:18" ht="12.75">
      <c r="A20" s="41"/>
      <c r="B20" s="41" t="s">
        <v>115</v>
      </c>
      <c r="C20" s="43">
        <v>0</v>
      </c>
      <c r="D20" s="43"/>
      <c r="E20" s="44">
        <v>9800</v>
      </c>
      <c r="F20" s="55">
        <f t="shared" si="0"/>
        <v>0</v>
      </c>
      <c r="G20" s="55">
        <f t="shared" si="1"/>
        <v>9800</v>
      </c>
      <c r="H20" s="55">
        <f t="shared" si="0"/>
        <v>0</v>
      </c>
      <c r="I20" s="52"/>
      <c r="J20" s="55">
        <v>1000</v>
      </c>
      <c r="K20" s="55">
        <f t="shared" si="2"/>
        <v>0</v>
      </c>
      <c r="L20" s="55">
        <f t="shared" si="4"/>
        <v>1000</v>
      </c>
      <c r="M20" s="55">
        <f t="shared" si="2"/>
        <v>0</v>
      </c>
      <c r="N20" s="52"/>
      <c r="O20" s="56">
        <v>5100</v>
      </c>
      <c r="P20" s="55">
        <f t="shared" si="3"/>
        <v>0</v>
      </c>
      <c r="Q20" s="55">
        <f t="shared" si="5"/>
        <v>5100</v>
      </c>
      <c r="R20" s="55">
        <f t="shared" si="3"/>
        <v>0</v>
      </c>
    </row>
    <row r="21" spans="1:18" ht="12.75">
      <c r="A21" s="41"/>
      <c r="B21" s="41" t="s">
        <v>35</v>
      </c>
      <c r="C21" s="43">
        <v>0.001</v>
      </c>
      <c r="D21" s="43"/>
      <c r="E21" s="44">
        <v>11000</v>
      </c>
      <c r="F21" s="46">
        <f t="shared" si="0"/>
        <v>11</v>
      </c>
      <c r="G21" s="55">
        <f t="shared" si="1"/>
        <v>11000</v>
      </c>
      <c r="H21" s="46">
        <f t="shared" si="0"/>
        <v>11</v>
      </c>
      <c r="I21" s="52"/>
      <c r="J21" s="55">
        <v>680</v>
      </c>
      <c r="K21" s="47">
        <f t="shared" si="2"/>
        <v>0.68</v>
      </c>
      <c r="L21" s="55">
        <f t="shared" si="4"/>
        <v>680</v>
      </c>
      <c r="M21" s="47">
        <f t="shared" si="2"/>
        <v>0.68</v>
      </c>
      <c r="N21" s="52"/>
      <c r="O21" s="56">
        <v>5900</v>
      </c>
      <c r="P21" s="46">
        <f t="shared" si="3"/>
        <v>5.9</v>
      </c>
      <c r="Q21" s="55">
        <f t="shared" si="5"/>
        <v>5900</v>
      </c>
      <c r="R21" s="46">
        <f t="shared" si="3"/>
        <v>5.9</v>
      </c>
    </row>
    <row r="22" spans="1:18" ht="12.75">
      <c r="A22" s="41"/>
      <c r="B22" s="41" t="s">
        <v>36</v>
      </c>
      <c r="C22" s="43">
        <v>0.1</v>
      </c>
      <c r="D22" s="43"/>
      <c r="E22" s="44">
        <v>29</v>
      </c>
      <c r="F22" s="47">
        <f t="shared" si="0"/>
        <v>2.9000000000000004</v>
      </c>
      <c r="G22" s="55">
        <f t="shared" si="1"/>
        <v>29</v>
      </c>
      <c r="H22" s="47">
        <f t="shared" si="0"/>
        <v>2.9000000000000004</v>
      </c>
      <c r="I22" s="52"/>
      <c r="J22" s="55">
        <v>25</v>
      </c>
      <c r="K22" s="55">
        <f t="shared" si="2"/>
        <v>2.5</v>
      </c>
      <c r="L22" s="55">
        <f t="shared" si="4"/>
        <v>25</v>
      </c>
      <c r="M22" s="55">
        <f t="shared" si="2"/>
        <v>2.5</v>
      </c>
      <c r="N22" s="52"/>
      <c r="O22" s="56">
        <v>21</v>
      </c>
      <c r="P22" s="55">
        <f t="shared" si="3"/>
        <v>2.1</v>
      </c>
      <c r="Q22" s="55">
        <f t="shared" si="5"/>
        <v>21</v>
      </c>
      <c r="R22" s="55">
        <f t="shared" si="3"/>
        <v>2.1</v>
      </c>
    </row>
    <row r="23" spans="1:18" ht="12.75">
      <c r="A23" s="41"/>
      <c r="B23" s="41" t="s">
        <v>116</v>
      </c>
      <c r="C23" s="43">
        <v>0</v>
      </c>
      <c r="D23" s="43"/>
      <c r="E23" s="44">
        <v>1500</v>
      </c>
      <c r="F23" s="55">
        <f t="shared" si="0"/>
        <v>0</v>
      </c>
      <c r="G23" s="55">
        <f t="shared" si="1"/>
        <v>1500</v>
      </c>
      <c r="H23" s="55">
        <f t="shared" si="0"/>
        <v>0</v>
      </c>
      <c r="I23" s="52"/>
      <c r="J23" s="55">
        <v>1100</v>
      </c>
      <c r="K23" s="55">
        <f t="shared" si="2"/>
        <v>0</v>
      </c>
      <c r="L23" s="55">
        <f t="shared" si="4"/>
        <v>1100</v>
      </c>
      <c r="M23" s="55">
        <f t="shared" si="2"/>
        <v>0</v>
      </c>
      <c r="N23" s="52"/>
      <c r="O23" s="56">
        <v>920</v>
      </c>
      <c r="P23" s="55">
        <f t="shared" si="3"/>
        <v>0</v>
      </c>
      <c r="Q23" s="55">
        <f t="shared" si="5"/>
        <v>920</v>
      </c>
      <c r="R23" s="55">
        <f t="shared" si="3"/>
        <v>0</v>
      </c>
    </row>
    <row r="24" spans="1:18" ht="12.75">
      <c r="A24" s="41"/>
      <c r="B24" s="41" t="s">
        <v>37</v>
      </c>
      <c r="C24" s="43">
        <v>0.05</v>
      </c>
      <c r="D24" s="43"/>
      <c r="E24" s="44">
        <v>58</v>
      </c>
      <c r="F24" s="47">
        <f t="shared" si="0"/>
        <v>2.9000000000000004</v>
      </c>
      <c r="G24" s="55">
        <f t="shared" si="1"/>
        <v>58</v>
      </c>
      <c r="H24" s="47">
        <f t="shared" si="0"/>
        <v>2.9000000000000004</v>
      </c>
      <c r="I24" s="52"/>
      <c r="J24" s="55">
        <v>34</v>
      </c>
      <c r="K24" s="44">
        <f t="shared" si="2"/>
        <v>1.7000000000000002</v>
      </c>
      <c r="L24" s="55">
        <f t="shared" si="4"/>
        <v>34</v>
      </c>
      <c r="M24" s="44">
        <f t="shared" si="2"/>
        <v>1.7000000000000002</v>
      </c>
      <c r="N24" s="52"/>
      <c r="O24" s="56">
        <v>39</v>
      </c>
      <c r="P24" s="55">
        <f t="shared" si="3"/>
        <v>1.9500000000000002</v>
      </c>
      <c r="Q24" s="55">
        <f t="shared" si="5"/>
        <v>39</v>
      </c>
      <c r="R24" s="55">
        <f t="shared" si="3"/>
        <v>1.9500000000000002</v>
      </c>
    </row>
    <row r="25" spans="1:18" ht="12.75">
      <c r="A25" s="41"/>
      <c r="B25" s="41" t="s">
        <v>38</v>
      </c>
      <c r="C25" s="43">
        <v>0.5</v>
      </c>
      <c r="D25" s="43"/>
      <c r="E25" s="44">
        <v>150</v>
      </c>
      <c r="F25" s="47">
        <f t="shared" si="0"/>
        <v>75</v>
      </c>
      <c r="G25" s="55">
        <f t="shared" si="1"/>
        <v>150</v>
      </c>
      <c r="H25" s="47">
        <f t="shared" si="0"/>
        <v>75</v>
      </c>
      <c r="I25" s="52"/>
      <c r="J25" s="55">
        <v>66</v>
      </c>
      <c r="K25" s="55">
        <f t="shared" si="2"/>
        <v>33</v>
      </c>
      <c r="L25" s="55">
        <f t="shared" si="4"/>
        <v>66</v>
      </c>
      <c r="M25" s="55">
        <f t="shared" si="2"/>
        <v>33</v>
      </c>
      <c r="N25" s="52"/>
      <c r="O25" s="56">
        <v>110</v>
      </c>
      <c r="P25" s="44">
        <f t="shared" si="3"/>
        <v>55</v>
      </c>
      <c r="Q25" s="55">
        <f t="shared" si="5"/>
        <v>110</v>
      </c>
      <c r="R25" s="44">
        <f t="shared" si="3"/>
        <v>55</v>
      </c>
    </row>
    <row r="26" spans="1:18" ht="12.75">
      <c r="A26" s="41"/>
      <c r="B26" s="41" t="s">
        <v>117</v>
      </c>
      <c r="C26" s="43">
        <v>0</v>
      </c>
      <c r="D26" s="43"/>
      <c r="E26" s="44">
        <v>1800</v>
      </c>
      <c r="F26" s="44">
        <f t="shared" si="0"/>
        <v>0</v>
      </c>
      <c r="G26" s="55">
        <f t="shared" si="1"/>
        <v>1800</v>
      </c>
      <c r="H26" s="44">
        <f t="shared" si="0"/>
        <v>0</v>
      </c>
      <c r="I26" s="52"/>
      <c r="J26" s="55">
        <v>820</v>
      </c>
      <c r="K26" s="55">
        <f t="shared" si="2"/>
        <v>0</v>
      </c>
      <c r="L26" s="55">
        <f t="shared" si="4"/>
        <v>820</v>
      </c>
      <c r="M26" s="55">
        <f t="shared" si="2"/>
        <v>0</v>
      </c>
      <c r="N26" s="52"/>
      <c r="O26" s="56">
        <v>1100</v>
      </c>
      <c r="P26" s="55">
        <f t="shared" si="3"/>
        <v>0</v>
      </c>
      <c r="Q26" s="55">
        <f t="shared" si="5"/>
        <v>1100</v>
      </c>
      <c r="R26" s="55">
        <f t="shared" si="3"/>
        <v>0</v>
      </c>
    </row>
    <row r="27" spans="1:18" ht="12.75">
      <c r="A27" s="41"/>
      <c r="B27" s="41" t="s">
        <v>39</v>
      </c>
      <c r="C27" s="43">
        <v>0.1</v>
      </c>
      <c r="D27" s="43"/>
      <c r="E27" s="44">
        <v>170</v>
      </c>
      <c r="F27" s="47">
        <f t="shared" si="0"/>
        <v>17</v>
      </c>
      <c r="G27" s="55">
        <f t="shared" si="1"/>
        <v>170</v>
      </c>
      <c r="H27" s="47">
        <f t="shared" si="0"/>
        <v>17</v>
      </c>
      <c r="I27" s="52"/>
      <c r="J27" s="55">
        <v>43</v>
      </c>
      <c r="K27" s="55">
        <f t="shared" si="2"/>
        <v>4.3</v>
      </c>
      <c r="L27" s="55">
        <f t="shared" si="4"/>
        <v>43</v>
      </c>
      <c r="M27" s="55">
        <f t="shared" si="2"/>
        <v>4.3</v>
      </c>
      <c r="N27" s="52"/>
      <c r="O27" s="56">
        <v>140</v>
      </c>
      <c r="P27" s="55">
        <f t="shared" si="3"/>
        <v>14</v>
      </c>
      <c r="Q27" s="55">
        <f t="shared" si="5"/>
        <v>140</v>
      </c>
      <c r="R27" s="55">
        <f t="shared" si="3"/>
        <v>14</v>
      </c>
    </row>
    <row r="28" spans="1:18" ht="12.75">
      <c r="A28" s="41"/>
      <c r="B28" s="41" t="s">
        <v>40</v>
      </c>
      <c r="C28" s="43">
        <v>0.1</v>
      </c>
      <c r="D28" s="43"/>
      <c r="E28" s="44">
        <v>240</v>
      </c>
      <c r="F28" s="47">
        <f t="shared" si="0"/>
        <v>24</v>
      </c>
      <c r="G28" s="55">
        <f t="shared" si="1"/>
        <v>240</v>
      </c>
      <c r="H28" s="47">
        <f t="shared" si="0"/>
        <v>24</v>
      </c>
      <c r="I28" s="52"/>
      <c r="J28" s="55">
        <v>51</v>
      </c>
      <c r="K28" s="44">
        <f t="shared" si="2"/>
        <v>5.1000000000000005</v>
      </c>
      <c r="L28" s="55">
        <f t="shared" si="4"/>
        <v>51</v>
      </c>
      <c r="M28" s="44">
        <f t="shared" si="2"/>
        <v>5.1000000000000005</v>
      </c>
      <c r="N28" s="52"/>
      <c r="O28" s="56">
        <v>170</v>
      </c>
      <c r="P28" s="55">
        <f t="shared" si="3"/>
        <v>17</v>
      </c>
      <c r="Q28" s="55">
        <f t="shared" si="5"/>
        <v>170</v>
      </c>
      <c r="R28" s="55">
        <f t="shared" si="3"/>
        <v>17</v>
      </c>
    </row>
    <row r="29" spans="1:18" ht="12.75">
      <c r="A29" s="41"/>
      <c r="B29" s="41" t="s">
        <v>41</v>
      </c>
      <c r="C29" s="43">
        <v>0.1</v>
      </c>
      <c r="D29" s="43"/>
      <c r="E29" s="44">
        <v>590</v>
      </c>
      <c r="F29" s="47">
        <f t="shared" si="0"/>
        <v>59</v>
      </c>
      <c r="G29" s="55">
        <f t="shared" si="1"/>
        <v>590</v>
      </c>
      <c r="H29" s="47">
        <f t="shared" si="0"/>
        <v>59</v>
      </c>
      <c r="I29" s="52"/>
      <c r="J29" s="55">
        <v>73</v>
      </c>
      <c r="K29" s="44">
        <f t="shared" si="2"/>
        <v>7.300000000000001</v>
      </c>
      <c r="L29" s="55">
        <f t="shared" si="4"/>
        <v>73</v>
      </c>
      <c r="M29" s="44">
        <f t="shared" si="2"/>
        <v>7.300000000000001</v>
      </c>
      <c r="N29" s="52"/>
      <c r="O29" s="56">
        <v>530</v>
      </c>
      <c r="P29" s="44">
        <f t="shared" si="3"/>
        <v>53</v>
      </c>
      <c r="Q29" s="55">
        <f t="shared" si="5"/>
        <v>530</v>
      </c>
      <c r="R29" s="44">
        <f t="shared" si="3"/>
        <v>53</v>
      </c>
    </row>
    <row r="30" spans="1:18" ht="12.75">
      <c r="A30" s="41"/>
      <c r="B30" s="41" t="s">
        <v>42</v>
      </c>
      <c r="C30" s="43">
        <v>0.1</v>
      </c>
      <c r="D30" s="43"/>
      <c r="E30" s="44">
        <v>100</v>
      </c>
      <c r="F30" s="47">
        <f t="shared" si="0"/>
        <v>10</v>
      </c>
      <c r="G30" s="55">
        <f t="shared" si="1"/>
        <v>100</v>
      </c>
      <c r="H30" s="47">
        <f t="shared" si="0"/>
        <v>10</v>
      </c>
      <c r="I30" s="52"/>
      <c r="J30" s="55">
        <v>23</v>
      </c>
      <c r="K30" s="55">
        <f t="shared" si="2"/>
        <v>2.3000000000000003</v>
      </c>
      <c r="L30" s="55">
        <f t="shared" si="4"/>
        <v>23</v>
      </c>
      <c r="M30" s="55">
        <f t="shared" si="2"/>
        <v>2.3000000000000003</v>
      </c>
      <c r="N30" s="52"/>
      <c r="O30" s="56">
        <v>120</v>
      </c>
      <c r="P30" s="44">
        <f t="shared" si="3"/>
        <v>12</v>
      </c>
      <c r="Q30" s="55">
        <f t="shared" si="5"/>
        <v>120</v>
      </c>
      <c r="R30" s="44">
        <f t="shared" si="3"/>
        <v>12</v>
      </c>
    </row>
    <row r="31" spans="1:18" ht="12.75">
      <c r="A31" s="41"/>
      <c r="B31" s="41" t="s">
        <v>118</v>
      </c>
      <c r="C31" s="43">
        <v>0</v>
      </c>
      <c r="D31" s="43"/>
      <c r="E31" s="44">
        <v>2800</v>
      </c>
      <c r="F31" s="55">
        <f t="shared" si="0"/>
        <v>0</v>
      </c>
      <c r="G31" s="44">
        <f>IF(E31=0,"",IF(D31="nd",E31/2,E31))</f>
        <v>2800</v>
      </c>
      <c r="H31" s="55">
        <f t="shared" si="0"/>
        <v>0</v>
      </c>
      <c r="I31" s="52"/>
      <c r="J31" s="55">
        <v>560</v>
      </c>
      <c r="K31" s="55">
        <f t="shared" si="2"/>
        <v>0</v>
      </c>
      <c r="L31" s="55">
        <f t="shared" si="4"/>
        <v>560</v>
      </c>
      <c r="M31" s="55">
        <f t="shared" si="2"/>
        <v>0</v>
      </c>
      <c r="N31" s="52"/>
      <c r="O31" s="56">
        <v>2200</v>
      </c>
      <c r="P31" s="55">
        <f t="shared" si="3"/>
        <v>0</v>
      </c>
      <c r="Q31" s="55">
        <f t="shared" si="5"/>
        <v>2200</v>
      </c>
      <c r="R31" s="55">
        <f t="shared" si="3"/>
        <v>0</v>
      </c>
    </row>
    <row r="32" spans="1:18" ht="12.75">
      <c r="A32" s="41"/>
      <c r="B32" s="41" t="s">
        <v>43</v>
      </c>
      <c r="C32" s="43">
        <v>0.01</v>
      </c>
      <c r="D32" s="43"/>
      <c r="E32" s="44">
        <v>1800</v>
      </c>
      <c r="F32" s="44">
        <f t="shared" si="0"/>
        <v>18</v>
      </c>
      <c r="G32" s="55">
        <f>IF(E32=0,"",IF(D32="nd",E32/2,E32))</f>
        <v>1800</v>
      </c>
      <c r="H32" s="44">
        <f t="shared" si="0"/>
        <v>18</v>
      </c>
      <c r="I32" s="52"/>
      <c r="J32" s="55">
        <v>120</v>
      </c>
      <c r="K32" s="47">
        <f t="shared" si="2"/>
        <v>1.2</v>
      </c>
      <c r="L32" s="55">
        <f t="shared" si="4"/>
        <v>120</v>
      </c>
      <c r="M32" s="47">
        <f t="shared" si="2"/>
        <v>1.2</v>
      </c>
      <c r="N32" s="52"/>
      <c r="O32" s="56">
        <v>1500</v>
      </c>
      <c r="P32" s="47">
        <f t="shared" si="3"/>
        <v>15</v>
      </c>
      <c r="Q32" s="55">
        <f t="shared" si="5"/>
        <v>1500</v>
      </c>
      <c r="R32" s="47">
        <f t="shared" si="3"/>
        <v>15</v>
      </c>
    </row>
    <row r="33" spans="1:18" ht="12.75">
      <c r="A33" s="41"/>
      <c r="B33" s="41" t="s">
        <v>44</v>
      </c>
      <c r="C33" s="43">
        <v>0.01</v>
      </c>
      <c r="D33" s="43"/>
      <c r="E33" s="44">
        <v>350</v>
      </c>
      <c r="F33" s="47">
        <f t="shared" si="0"/>
        <v>3.5</v>
      </c>
      <c r="G33" s="55">
        <f>IF(E33=0,"",IF(D33="nd",E33/2,E33))</f>
        <v>350</v>
      </c>
      <c r="H33" s="47">
        <f t="shared" si="0"/>
        <v>3.5</v>
      </c>
      <c r="I33" s="52"/>
      <c r="J33" s="55">
        <v>31</v>
      </c>
      <c r="K33" s="47">
        <f t="shared" si="2"/>
        <v>0.31</v>
      </c>
      <c r="L33" s="55">
        <f t="shared" si="4"/>
        <v>31</v>
      </c>
      <c r="M33" s="47">
        <f t="shared" si="2"/>
        <v>0.31</v>
      </c>
      <c r="N33" s="52"/>
      <c r="O33" s="56">
        <v>500</v>
      </c>
      <c r="P33" s="47">
        <f t="shared" si="3"/>
        <v>5</v>
      </c>
      <c r="Q33" s="55">
        <f t="shared" si="5"/>
        <v>500</v>
      </c>
      <c r="R33" s="47">
        <f t="shared" si="3"/>
        <v>5</v>
      </c>
    </row>
    <row r="34" spans="1:18" ht="12.75">
      <c r="A34" s="41"/>
      <c r="B34" s="41" t="s">
        <v>119</v>
      </c>
      <c r="C34" s="43">
        <v>0</v>
      </c>
      <c r="D34" s="43"/>
      <c r="E34" s="44">
        <v>3500</v>
      </c>
      <c r="F34" s="55">
        <f t="shared" si="0"/>
        <v>0</v>
      </c>
      <c r="G34" s="55">
        <f>IF(E34=0,"",IF(D34="nd",E34/2,E34))</f>
        <v>3500</v>
      </c>
      <c r="H34" s="55">
        <f t="shared" si="0"/>
        <v>0</v>
      </c>
      <c r="I34" s="52"/>
      <c r="J34" s="55">
        <v>260</v>
      </c>
      <c r="K34" s="55">
        <f t="shared" si="2"/>
        <v>0</v>
      </c>
      <c r="L34" s="55">
        <f t="shared" si="4"/>
        <v>260</v>
      </c>
      <c r="M34" s="55">
        <f t="shared" si="2"/>
        <v>0</v>
      </c>
      <c r="N34" s="52"/>
      <c r="O34" s="56">
        <v>3600</v>
      </c>
      <c r="P34" s="55">
        <f t="shared" si="3"/>
        <v>0</v>
      </c>
      <c r="Q34" s="55">
        <f t="shared" si="5"/>
        <v>3600</v>
      </c>
      <c r="R34" s="55">
        <f t="shared" si="3"/>
        <v>0</v>
      </c>
    </row>
    <row r="35" spans="1:18" ht="12.75">
      <c r="A35" s="41"/>
      <c r="B35" s="41" t="s">
        <v>45</v>
      </c>
      <c r="C35" s="43">
        <v>0.001</v>
      </c>
      <c r="D35" s="43"/>
      <c r="E35" s="44">
        <v>1900</v>
      </c>
      <c r="F35" s="47">
        <f t="shared" si="0"/>
        <v>1.9000000000000001</v>
      </c>
      <c r="G35" s="55">
        <f>IF(E35=0,"",IF(D35="nd",E35/2,E35))</f>
        <v>1900</v>
      </c>
      <c r="H35" s="47">
        <f t="shared" si="0"/>
        <v>1.9000000000000001</v>
      </c>
      <c r="I35" s="52"/>
      <c r="J35" s="55">
        <v>89</v>
      </c>
      <c r="K35" s="46">
        <f t="shared" si="2"/>
        <v>0.089</v>
      </c>
      <c r="L35" s="55">
        <f t="shared" si="4"/>
        <v>89</v>
      </c>
      <c r="M35" s="46">
        <f t="shared" si="2"/>
        <v>0.089</v>
      </c>
      <c r="N35" s="52"/>
      <c r="O35" s="56">
        <v>2600</v>
      </c>
      <c r="P35" s="46">
        <f t="shared" si="3"/>
        <v>2.6</v>
      </c>
      <c r="Q35" s="55">
        <f t="shared" si="5"/>
        <v>2600</v>
      </c>
      <c r="R35" s="46">
        <f t="shared" si="3"/>
        <v>2.6</v>
      </c>
    </row>
    <row r="36" spans="1:18" ht="12.75">
      <c r="A36" s="41"/>
      <c r="B36" s="41"/>
      <c r="C36" s="41"/>
      <c r="D36" s="41"/>
      <c r="E36" s="44"/>
      <c r="F36" s="50"/>
      <c r="G36" s="47"/>
      <c r="H36" s="50"/>
      <c r="I36" s="71"/>
      <c r="J36" s="19"/>
      <c r="K36" s="44"/>
      <c r="L36" s="44"/>
      <c r="M36" s="44"/>
      <c r="N36" s="71"/>
      <c r="O36" s="19"/>
      <c r="P36" s="49"/>
      <c r="Q36" s="47"/>
      <c r="R36" s="49"/>
    </row>
    <row r="37" spans="1:18" ht="12.75">
      <c r="A37" s="41"/>
      <c r="B37" s="41" t="s">
        <v>46</v>
      </c>
      <c r="C37" s="41"/>
      <c r="D37" s="41"/>
      <c r="F37" s="47">
        <v>127.214</v>
      </c>
      <c r="G37" s="47">
        <v>127.214</v>
      </c>
      <c r="H37" s="47">
        <v>127.214</v>
      </c>
      <c r="I37" s="71"/>
      <c r="J37" s="47"/>
      <c r="K37" s="47">
        <v>126.405</v>
      </c>
      <c r="L37" s="47">
        <v>126.405</v>
      </c>
      <c r="M37" s="47">
        <v>126.405</v>
      </c>
      <c r="N37" s="71"/>
      <c r="O37" s="47"/>
      <c r="P37" s="47">
        <v>92.417</v>
      </c>
      <c r="Q37" s="47">
        <v>92.417</v>
      </c>
      <c r="R37" s="47">
        <v>92.417</v>
      </c>
    </row>
    <row r="38" spans="1:18" ht="12.75">
      <c r="A38" s="41"/>
      <c r="B38" s="41" t="s">
        <v>66</v>
      </c>
      <c r="C38" s="41"/>
      <c r="D38" s="41"/>
      <c r="F38" s="44">
        <v>14.2</v>
      </c>
      <c r="G38" s="44">
        <v>14.2</v>
      </c>
      <c r="H38" s="44">
        <v>14.2</v>
      </c>
      <c r="I38" s="71"/>
      <c r="J38" s="47"/>
      <c r="K38" s="44">
        <v>14.6</v>
      </c>
      <c r="L38" s="44">
        <v>14.6</v>
      </c>
      <c r="M38" s="44">
        <v>14.6</v>
      </c>
      <c r="N38" s="71"/>
      <c r="O38" s="47"/>
      <c r="P38" s="44">
        <v>14.1</v>
      </c>
      <c r="Q38" s="44">
        <v>14.1</v>
      </c>
      <c r="R38" s="44">
        <v>14.1</v>
      </c>
    </row>
    <row r="39" spans="1:18" ht="9" customHeight="1">
      <c r="A39" s="41"/>
      <c r="B39" s="41"/>
      <c r="C39" s="41"/>
      <c r="D39" s="41"/>
      <c r="E39" s="44"/>
      <c r="F39" s="19"/>
      <c r="G39" s="47"/>
      <c r="H39" s="19"/>
      <c r="I39" s="62"/>
      <c r="J39" s="47"/>
      <c r="K39" s="48"/>
      <c r="L39" s="44"/>
      <c r="M39" s="48"/>
      <c r="N39" s="71"/>
      <c r="O39" s="47"/>
      <c r="P39" s="47"/>
      <c r="Q39" s="47"/>
      <c r="R39" s="47"/>
    </row>
    <row r="40" spans="1:18" ht="12.75">
      <c r="A40" s="41"/>
      <c r="B40" s="41" t="s">
        <v>57</v>
      </c>
      <c r="C40" s="50"/>
      <c r="D40" s="50"/>
      <c r="E40" s="44"/>
      <c r="F40" s="47">
        <f>SUM(F11:F35)</f>
        <v>430.9</v>
      </c>
      <c r="G40" s="44">
        <f>SUM(G35,G34,G31,G26,G23,G21,G20,G18,G14,G12)</f>
        <v>45200</v>
      </c>
      <c r="H40" s="47">
        <f>SUM(H11:H35)</f>
        <v>427.29999999999995</v>
      </c>
      <c r="I40" s="52"/>
      <c r="J40" s="44"/>
      <c r="K40" s="46">
        <f>SUM(K11:K35)</f>
        <v>100.079</v>
      </c>
      <c r="L40" s="44">
        <f>SUM(L35,L34,L31,L26,L23,L21,L20,L18,L14,L12)</f>
        <v>11409</v>
      </c>
      <c r="M40" s="46">
        <f>SUM(M11:M35)</f>
        <v>97.829</v>
      </c>
      <c r="N40" s="52"/>
      <c r="O40" s="47"/>
      <c r="P40" s="47">
        <f>SUM(P11:P35)</f>
        <v>286.35</v>
      </c>
      <c r="Q40" s="44">
        <f>SUM(Q35,Q34,Q31,Q26,Q23,Q21,Q20,Q18,Q14,Q12)</f>
        <v>28420</v>
      </c>
      <c r="R40" s="47">
        <f>SUM(R11:R35)</f>
        <v>284.1</v>
      </c>
    </row>
    <row r="41" spans="1:18" ht="12.75">
      <c r="A41" s="41"/>
      <c r="B41" s="41" t="s">
        <v>47</v>
      </c>
      <c r="C41" s="50"/>
      <c r="D41" s="44">
        <f>(F41-H41)*2/F41*100</f>
        <v>1.6709213274541648</v>
      </c>
      <c r="E41" s="44"/>
      <c r="F41" s="46">
        <f>(F40/F37/0.0283*(21-7)/(21-F38))/1000</f>
        <v>0.24641904671345352</v>
      </c>
      <c r="G41" s="46">
        <f>(G40/G37/0.0283*(21-7)/(21-G38))/1000</f>
        <v>25.848551662678346</v>
      </c>
      <c r="H41" s="46">
        <f>(H40/H37/0.0283*(21-7)/(21-H38))/1000</f>
        <v>0.24436031251023135</v>
      </c>
      <c r="I41" s="44">
        <f>(K41-M41)*2/K41*100</f>
        <v>4.496447806233094</v>
      </c>
      <c r="J41" s="47"/>
      <c r="K41" s="47">
        <f>K40/K37/0.0283*(21-7)/(21-K38)/1000</f>
        <v>0.06119843698874125</v>
      </c>
      <c r="L41" s="46">
        <f>(L40/L37/0.0283*(21-7)/(21-L38))/1000</f>
        <v>6.9766181477088</v>
      </c>
      <c r="M41" s="47">
        <f>M40/M37/0.0283*(21-7)/(21-M38)/1000</f>
        <v>0.05982255910002665</v>
      </c>
      <c r="N41" s="44">
        <f>(P41-R41)*2/P41*100</f>
        <v>1.5715034049240184</v>
      </c>
      <c r="O41" s="47"/>
      <c r="P41" s="46">
        <f>P40/P37/0.0283*(21-7)/(21-P38)/1000</f>
        <v>0.22214565865251032</v>
      </c>
      <c r="Q41" s="46">
        <f>(Q40/Q37/0.0283*(21-7)/(21-Q38))/1000</f>
        <v>22.04777237263609</v>
      </c>
      <c r="R41" s="46">
        <f>R40/R37/0.0283*(21-7)/(21-R38)/1000</f>
        <v>0.22040014535770278</v>
      </c>
    </row>
    <row r="42" spans="1:18" ht="12.75">
      <c r="A42" s="41"/>
      <c r="B42" s="41"/>
      <c r="C42" s="41"/>
      <c r="D42" s="41"/>
      <c r="E42" s="44"/>
      <c r="F42" s="44"/>
      <c r="G42" s="44"/>
      <c r="H42" s="44"/>
      <c r="I42" s="46"/>
      <c r="J42" s="46"/>
      <c r="K42" s="46"/>
      <c r="L42" s="46"/>
      <c r="M42" s="46"/>
      <c r="N42" s="46"/>
      <c r="O42" s="46"/>
      <c r="P42" s="49"/>
      <c r="Q42" s="46"/>
      <c r="R42" s="49"/>
    </row>
    <row r="43" spans="1:18" ht="12.75">
      <c r="A43" s="47"/>
      <c r="B43" s="41" t="s">
        <v>67</v>
      </c>
      <c r="C43" s="46">
        <f>AVERAGE(H41,M41,R41)</f>
        <v>0.17486100565598695</v>
      </c>
      <c r="D43" s="47"/>
      <c r="E43" s="44"/>
      <c r="F43" s="44"/>
      <c r="G43" s="44"/>
      <c r="H43" s="44"/>
      <c r="I43" s="47"/>
      <c r="J43" s="47"/>
      <c r="K43" s="47"/>
      <c r="L43" s="47"/>
      <c r="M43" s="47"/>
      <c r="N43" s="47"/>
      <c r="O43" s="47"/>
      <c r="P43" s="49"/>
      <c r="Q43" s="47"/>
      <c r="R43" s="49"/>
    </row>
    <row r="44" spans="1:18" ht="12.75">
      <c r="A44" s="41"/>
      <c r="B44" s="41" t="s">
        <v>68</v>
      </c>
      <c r="C44" s="47">
        <f>AVERAGE(G41,L41,Q41)</f>
        <v>18.290980727674413</v>
      </c>
      <c r="D44" s="41"/>
      <c r="E44" s="44"/>
      <c r="F44" s="44"/>
      <c r="G44" s="44"/>
      <c r="H44" s="44"/>
      <c r="I44" s="49"/>
      <c r="J44" s="49"/>
      <c r="K44" s="49"/>
      <c r="L44" s="49"/>
      <c r="M44" s="49"/>
      <c r="N44" s="49"/>
      <c r="O44" s="49"/>
      <c r="P44" s="49"/>
      <c r="Q44" s="49"/>
      <c r="R44" s="49"/>
    </row>
    <row r="85" spans="1:18" ht="12.75">
      <c r="A85" s="2"/>
      <c r="B85" s="2"/>
      <c r="C85" s="2"/>
      <c r="D85" s="2"/>
      <c r="E85" s="4"/>
      <c r="G85" s="4"/>
      <c r="J85" s="7"/>
      <c r="K85" s="6"/>
      <c r="L85" s="4"/>
      <c r="M85" s="6"/>
      <c r="N85" s="7"/>
      <c r="O85" s="7"/>
      <c r="P85" s="7"/>
      <c r="Q85" s="7"/>
      <c r="R85" s="7"/>
    </row>
    <row r="86" spans="1:18" ht="12.75">
      <c r="A86" s="2"/>
      <c r="B86" s="2"/>
      <c r="C86" s="3"/>
      <c r="D86" s="3"/>
      <c r="E86" s="4"/>
      <c r="F86" s="4"/>
      <c r="G86" s="4"/>
      <c r="H86" s="4"/>
      <c r="I86" s="3"/>
      <c r="J86" s="4"/>
      <c r="K86" s="4"/>
      <c r="L86" s="4"/>
      <c r="M86" s="4"/>
      <c r="N86" s="3"/>
      <c r="O86" s="7"/>
      <c r="P86" s="3"/>
      <c r="Q86" s="3"/>
      <c r="R86" s="3"/>
    </row>
    <row r="87" spans="1:18" ht="12.75">
      <c r="A87" s="2"/>
      <c r="B87" s="2"/>
      <c r="C87" s="3"/>
      <c r="D87" s="3"/>
      <c r="E87" s="4"/>
      <c r="F87" s="4"/>
      <c r="G87" s="4"/>
      <c r="H87" s="4"/>
      <c r="I87" s="3"/>
      <c r="J87" s="7"/>
      <c r="K87" s="3"/>
      <c r="L87" s="4"/>
      <c r="M87" s="3"/>
      <c r="N87" s="3"/>
      <c r="O87" s="7"/>
      <c r="P87" s="5"/>
      <c r="Q87" s="5"/>
      <c r="R87" s="5"/>
    </row>
  </sheetData>
  <printOptions headings="1" horizontalCentered="1"/>
  <pageMargins left="0.25" right="0.25" top="0.5" bottom="0.5" header="0.25" footer="0.25"/>
  <pageSetup horizontalDpi="600" verticalDpi="600" orientation="landscape" pageOrder="overThenDown" scale="80" r:id="rId1"/>
  <headerFooter alignWithMargins="0">
    <oddFooter>&amp;C&amp;P, &amp;A, 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R87"/>
  <sheetViews>
    <sheetView workbookViewId="0" topLeftCell="A3">
      <selection activeCell="B5" sqref="B5"/>
    </sheetView>
  </sheetViews>
  <sheetFormatPr defaultColWidth="9.140625" defaultRowHeight="12.75"/>
  <cols>
    <col min="1" max="1" width="1.7109375" style="0" customWidth="1"/>
    <col min="2" max="2" width="20.00390625" style="0" customWidth="1"/>
    <col min="3" max="3" width="6.140625" style="0" customWidth="1"/>
    <col min="4" max="4" width="4.00390625" style="0" customWidth="1"/>
    <col min="5" max="5" width="9.421875" style="6" customWidth="1"/>
    <col min="6" max="6" width="9.8515625" style="6" customWidth="1"/>
    <col min="7" max="7" width="10.7109375" style="6" customWidth="1"/>
    <col min="8" max="8" width="9.8515625" style="6" customWidth="1"/>
    <col min="9" max="9" width="3.421875" style="0" customWidth="1"/>
    <col min="11" max="11" width="9.28125" style="0" customWidth="1"/>
    <col min="13" max="13" width="9.28125" style="0" customWidth="1"/>
    <col min="14" max="14" width="3.57421875" style="0" customWidth="1"/>
    <col min="16" max="16" width="9.00390625" style="0" customWidth="1"/>
    <col min="18" max="18" width="9.00390625" style="0" customWidth="1"/>
  </cols>
  <sheetData>
    <row r="1" spans="1:18" ht="12.75">
      <c r="A1" s="57" t="s">
        <v>77</v>
      </c>
      <c r="B1" s="41"/>
      <c r="C1" s="41"/>
      <c r="D1" s="41"/>
      <c r="E1" s="44"/>
      <c r="F1" s="44"/>
      <c r="G1" s="44"/>
      <c r="H1" s="44"/>
      <c r="I1" s="49"/>
      <c r="J1" s="49"/>
      <c r="K1" s="49"/>
      <c r="L1" s="49"/>
      <c r="M1" s="49"/>
      <c r="N1" s="49"/>
      <c r="O1" s="49"/>
      <c r="P1" s="49"/>
      <c r="Q1" s="49"/>
      <c r="R1" s="49"/>
    </row>
    <row r="2" spans="1:18" ht="12.75">
      <c r="A2" s="41" t="s">
        <v>277</v>
      </c>
      <c r="B2" s="41"/>
      <c r="C2" s="41"/>
      <c r="D2" s="41"/>
      <c r="E2" s="44"/>
      <c r="F2" s="44"/>
      <c r="G2" s="44"/>
      <c r="H2" s="44"/>
      <c r="I2" s="49"/>
      <c r="J2" s="49"/>
      <c r="K2" s="49"/>
      <c r="L2" s="49"/>
      <c r="M2" s="49"/>
      <c r="N2" s="49"/>
      <c r="O2" s="49"/>
      <c r="P2" s="49"/>
      <c r="Q2" s="49"/>
      <c r="R2" s="49"/>
    </row>
    <row r="3" spans="1:18" ht="12.75">
      <c r="A3" s="41" t="s">
        <v>21</v>
      </c>
      <c r="B3" s="41"/>
      <c r="C3" s="14" t="str">
        <f>source!C5</f>
        <v>Clean Harbors Environmental Services, Inc.</v>
      </c>
      <c r="D3" s="14"/>
      <c r="E3" s="44"/>
      <c r="F3" s="44"/>
      <c r="G3" s="44"/>
      <c r="H3" s="44"/>
      <c r="I3" s="49"/>
      <c r="J3" s="49"/>
      <c r="K3" s="49"/>
      <c r="L3" s="49"/>
      <c r="M3" s="49"/>
      <c r="N3" s="49"/>
      <c r="O3" s="49"/>
      <c r="P3" s="49"/>
      <c r="Q3" s="49"/>
      <c r="R3" s="49"/>
    </row>
    <row r="4" spans="1:18" ht="12.75">
      <c r="A4" s="41" t="s">
        <v>22</v>
      </c>
      <c r="B4" s="41"/>
      <c r="C4" s="14" t="s">
        <v>207</v>
      </c>
      <c r="D4" s="14"/>
      <c r="E4" s="64"/>
      <c r="F4" s="17"/>
      <c r="G4" s="64"/>
      <c r="H4" s="17"/>
      <c r="I4" s="51"/>
      <c r="J4" s="51"/>
      <c r="K4" s="51"/>
      <c r="L4" s="51"/>
      <c r="M4" s="51"/>
      <c r="N4" s="51"/>
      <c r="O4" s="51"/>
      <c r="P4" s="51"/>
      <c r="Q4" s="51"/>
      <c r="R4" s="51"/>
    </row>
    <row r="5" spans="1:18" ht="12.75">
      <c r="A5" s="41" t="s">
        <v>23</v>
      </c>
      <c r="B5" s="41"/>
      <c r="C5" s="19" t="str">
        <f>cond!C50</f>
        <v>Annual, normal performance test</v>
      </c>
      <c r="D5" s="19"/>
      <c r="E5" s="48"/>
      <c r="F5" s="48" t="s">
        <v>216</v>
      </c>
      <c r="G5" s="48"/>
      <c r="H5" s="48" t="s">
        <v>216</v>
      </c>
      <c r="I5" s="19"/>
      <c r="J5" s="19"/>
      <c r="K5" s="49"/>
      <c r="L5" s="19"/>
      <c r="M5" s="49"/>
      <c r="N5" s="49"/>
      <c r="O5" s="49"/>
      <c r="P5" s="49"/>
      <c r="Q5" s="49"/>
      <c r="R5" s="49"/>
    </row>
    <row r="6" spans="1:18" ht="12.75">
      <c r="A6" s="41"/>
      <c r="B6" s="41"/>
      <c r="C6" s="43"/>
      <c r="D6" s="43"/>
      <c r="E6" s="17"/>
      <c r="F6" s="44"/>
      <c r="G6" s="17"/>
      <c r="H6" s="44"/>
      <c r="I6" s="49"/>
      <c r="J6" s="53"/>
      <c r="K6" s="49"/>
      <c r="L6" s="53"/>
      <c r="M6" s="49"/>
      <c r="N6" s="49"/>
      <c r="O6" s="53"/>
      <c r="P6" s="49"/>
      <c r="Q6" s="53"/>
      <c r="R6" s="49"/>
    </row>
    <row r="7" spans="1:18" ht="12.75">
      <c r="A7" s="41"/>
      <c r="B7" s="41"/>
      <c r="C7" s="43" t="s">
        <v>24</v>
      </c>
      <c r="D7" s="43"/>
      <c r="E7" s="65" t="s">
        <v>58</v>
      </c>
      <c r="F7" s="65"/>
      <c r="G7" s="65"/>
      <c r="H7" s="65"/>
      <c r="I7" s="18"/>
      <c r="J7" s="54" t="s">
        <v>59</v>
      </c>
      <c r="K7" s="54"/>
      <c r="L7" s="54"/>
      <c r="M7" s="54"/>
      <c r="N7" s="18"/>
      <c r="O7" s="54" t="s">
        <v>60</v>
      </c>
      <c r="P7" s="54"/>
      <c r="Q7" s="54"/>
      <c r="R7" s="54"/>
    </row>
    <row r="8" spans="1:18" ht="12.75">
      <c r="A8" s="41"/>
      <c r="B8" s="41"/>
      <c r="C8" s="43" t="s">
        <v>25</v>
      </c>
      <c r="D8" s="41"/>
      <c r="E8" s="17" t="s">
        <v>26</v>
      </c>
      <c r="F8" s="17" t="s">
        <v>27</v>
      </c>
      <c r="G8" s="17" t="s">
        <v>26</v>
      </c>
      <c r="H8" s="17" t="s">
        <v>27</v>
      </c>
      <c r="I8" s="49"/>
      <c r="J8" s="53" t="s">
        <v>26</v>
      </c>
      <c r="K8" s="53" t="s">
        <v>28</v>
      </c>
      <c r="L8" s="53" t="s">
        <v>26</v>
      </c>
      <c r="M8" s="53" t="s">
        <v>28</v>
      </c>
      <c r="N8" s="49"/>
      <c r="O8" s="53" t="s">
        <v>26</v>
      </c>
      <c r="P8" s="53" t="s">
        <v>28</v>
      </c>
      <c r="Q8" s="53" t="s">
        <v>26</v>
      </c>
      <c r="R8" s="53" t="s">
        <v>28</v>
      </c>
    </row>
    <row r="9" spans="1:18" ht="12.75">
      <c r="A9" s="41"/>
      <c r="B9" s="41"/>
      <c r="C9" s="43"/>
      <c r="D9" s="41"/>
      <c r="E9" s="17" t="s">
        <v>244</v>
      </c>
      <c r="F9" s="17" t="s">
        <v>244</v>
      </c>
      <c r="G9" s="17" t="s">
        <v>76</v>
      </c>
      <c r="H9" s="17" t="s">
        <v>76</v>
      </c>
      <c r="I9" s="49"/>
      <c r="J9" s="17" t="s">
        <v>244</v>
      </c>
      <c r="K9" s="17" t="s">
        <v>244</v>
      </c>
      <c r="L9" s="53" t="s">
        <v>76</v>
      </c>
      <c r="M9" s="52" t="s">
        <v>76</v>
      </c>
      <c r="N9" s="49"/>
      <c r="O9" s="17" t="s">
        <v>244</v>
      </c>
      <c r="P9" s="17" t="s">
        <v>244</v>
      </c>
      <c r="Q9" s="53" t="s">
        <v>76</v>
      </c>
      <c r="R9" s="52" t="s">
        <v>76</v>
      </c>
    </row>
    <row r="10" spans="1:18" ht="12.75">
      <c r="A10" s="41" t="s">
        <v>217</v>
      </c>
      <c r="B10" s="41"/>
      <c r="C10" s="41"/>
      <c r="D10" s="41"/>
      <c r="E10" s="44"/>
      <c r="F10" s="44"/>
      <c r="G10" s="44"/>
      <c r="H10" s="44"/>
      <c r="I10" s="49"/>
      <c r="J10" s="49"/>
      <c r="K10" s="49"/>
      <c r="L10" s="49"/>
      <c r="M10" s="49"/>
      <c r="N10" s="49"/>
      <c r="O10" s="44"/>
      <c r="P10" s="49"/>
      <c r="Q10" s="49"/>
      <c r="R10" s="49"/>
    </row>
    <row r="11" spans="1:18" ht="12.75">
      <c r="A11" s="41"/>
      <c r="B11" s="41" t="s">
        <v>29</v>
      </c>
      <c r="C11" s="43">
        <v>1</v>
      </c>
      <c r="E11">
        <v>0</v>
      </c>
      <c r="F11" s="44">
        <f aca="true" t="shared" si="0" ref="F11:H35">IF(E11="","",E11*$C11)</f>
        <v>0</v>
      </c>
      <c r="G11" s="55">
        <f aca="true" t="shared" si="1" ref="G11:G30">IF(E11=0,"",IF(D11="nd",E11/2,E11))</f>
      </c>
      <c r="H11" s="44">
        <f t="shared" si="0"/>
      </c>
      <c r="J11">
        <v>0</v>
      </c>
      <c r="K11" s="44">
        <f aca="true" t="shared" si="2" ref="K11:M35">IF(J11="","",J11*$C11)</f>
        <v>0</v>
      </c>
      <c r="L11" s="44">
        <f>IF(J11=0,"",IF(I11="nd",J11/2,J11))</f>
      </c>
      <c r="M11" s="44">
        <f t="shared" si="2"/>
      </c>
      <c r="O11">
        <v>0</v>
      </c>
      <c r="P11" s="44">
        <f aca="true" t="shared" si="3" ref="P11:R35">IF(O11="","",O11*$C11)</f>
        <v>0</v>
      </c>
      <c r="Q11" s="55">
        <f>IF(O11=0,"",IF(N11="nd",O11/2,O11))</f>
      </c>
      <c r="R11" s="44">
        <f t="shared" si="3"/>
      </c>
    </row>
    <row r="12" spans="1:18" ht="12.75">
      <c r="A12" s="41"/>
      <c r="B12" s="41" t="s">
        <v>112</v>
      </c>
      <c r="C12" s="43">
        <v>0</v>
      </c>
      <c r="E12">
        <v>0.55</v>
      </c>
      <c r="F12" s="44">
        <f t="shared" si="0"/>
        <v>0</v>
      </c>
      <c r="G12" s="55">
        <f t="shared" si="1"/>
        <v>0.55</v>
      </c>
      <c r="H12" s="44">
        <f t="shared" si="0"/>
        <v>0</v>
      </c>
      <c r="J12">
        <v>0.37</v>
      </c>
      <c r="K12" s="55">
        <f t="shared" si="2"/>
        <v>0</v>
      </c>
      <c r="L12" s="44">
        <f aca="true" t="shared" si="4" ref="L12:L35">IF(J12=0,"",IF(I12="nd",J12/2,J12))</f>
        <v>0.37</v>
      </c>
      <c r="M12" s="55">
        <f t="shared" si="2"/>
        <v>0</v>
      </c>
      <c r="O12">
        <v>0.4</v>
      </c>
      <c r="P12" s="44">
        <f t="shared" si="3"/>
        <v>0</v>
      </c>
      <c r="Q12" s="55">
        <f aca="true" t="shared" si="5" ref="Q12:Q35">IF(O12=0,"",IF(N12="nd",O12/2,O12))</f>
        <v>0.4</v>
      </c>
      <c r="R12" s="44">
        <f t="shared" si="3"/>
        <v>0</v>
      </c>
    </row>
    <row r="13" spans="1:18" ht="12.75">
      <c r="A13" s="41"/>
      <c r="B13" s="41" t="s">
        <v>30</v>
      </c>
      <c r="C13" s="43">
        <v>0.5</v>
      </c>
      <c r="E13">
        <v>0.03</v>
      </c>
      <c r="F13" s="47">
        <f t="shared" si="0"/>
        <v>0.015</v>
      </c>
      <c r="G13" s="55">
        <f t="shared" si="1"/>
        <v>0.03</v>
      </c>
      <c r="H13" s="47">
        <f t="shared" si="0"/>
        <v>0.015</v>
      </c>
      <c r="J13">
        <v>0</v>
      </c>
      <c r="K13" s="47">
        <f t="shared" si="2"/>
        <v>0</v>
      </c>
      <c r="L13" s="44">
        <f t="shared" si="4"/>
      </c>
      <c r="M13" s="47">
        <f t="shared" si="2"/>
      </c>
      <c r="O13">
        <v>0.02</v>
      </c>
      <c r="P13" s="44">
        <f t="shared" si="3"/>
        <v>0.01</v>
      </c>
      <c r="Q13" s="55">
        <f t="shared" si="5"/>
        <v>0.02</v>
      </c>
      <c r="R13" s="44">
        <f t="shared" si="3"/>
        <v>0.01</v>
      </c>
    </row>
    <row r="14" spans="1:18" ht="12.75">
      <c r="A14" s="41"/>
      <c r="B14" s="41" t="s">
        <v>113</v>
      </c>
      <c r="C14" s="43">
        <v>0</v>
      </c>
      <c r="E14">
        <v>1.3</v>
      </c>
      <c r="F14" s="55">
        <f t="shared" si="0"/>
        <v>0</v>
      </c>
      <c r="G14" s="55">
        <f t="shared" si="1"/>
        <v>1.3</v>
      </c>
      <c r="H14" s="55">
        <f t="shared" si="0"/>
        <v>0</v>
      </c>
      <c r="J14">
        <v>0.62</v>
      </c>
      <c r="K14" s="55">
        <f t="shared" si="2"/>
        <v>0</v>
      </c>
      <c r="L14" s="44">
        <f t="shared" si="4"/>
        <v>0.62</v>
      </c>
      <c r="M14" s="55">
        <f t="shared" si="2"/>
        <v>0</v>
      </c>
      <c r="O14">
        <v>0.7</v>
      </c>
      <c r="P14" s="44">
        <f t="shared" si="3"/>
        <v>0</v>
      </c>
      <c r="Q14" s="55">
        <f t="shared" si="5"/>
        <v>0.7</v>
      </c>
      <c r="R14" s="44">
        <f t="shared" si="3"/>
        <v>0</v>
      </c>
    </row>
    <row r="15" spans="1:18" ht="12.75">
      <c r="A15" s="41"/>
      <c r="B15" s="41" t="s">
        <v>31</v>
      </c>
      <c r="C15" s="43">
        <v>0.1</v>
      </c>
      <c r="E15">
        <v>0.04</v>
      </c>
      <c r="F15" s="47">
        <f t="shared" si="0"/>
        <v>0.004</v>
      </c>
      <c r="G15" s="55">
        <f t="shared" si="1"/>
        <v>0.04</v>
      </c>
      <c r="H15" s="47">
        <f t="shared" si="0"/>
        <v>0.004</v>
      </c>
      <c r="J15">
        <v>0.01</v>
      </c>
      <c r="K15" s="47">
        <f t="shared" si="2"/>
        <v>0.001</v>
      </c>
      <c r="L15" s="44">
        <f t="shared" si="4"/>
        <v>0.01</v>
      </c>
      <c r="M15" s="47">
        <f t="shared" si="2"/>
        <v>0.001</v>
      </c>
      <c r="O15">
        <v>0.03</v>
      </c>
      <c r="P15" s="47">
        <f t="shared" si="3"/>
        <v>0.003</v>
      </c>
      <c r="Q15" s="55">
        <f t="shared" si="5"/>
        <v>0.03</v>
      </c>
      <c r="R15" s="47">
        <f t="shared" si="3"/>
        <v>0.003</v>
      </c>
    </row>
    <row r="16" spans="1:18" ht="12.75">
      <c r="A16" s="41"/>
      <c r="B16" s="41" t="s">
        <v>32</v>
      </c>
      <c r="C16" s="43">
        <v>0.1</v>
      </c>
      <c r="E16">
        <v>0.1</v>
      </c>
      <c r="F16" s="47">
        <f t="shared" si="0"/>
        <v>0.010000000000000002</v>
      </c>
      <c r="G16" s="55">
        <f t="shared" si="1"/>
        <v>0.1</v>
      </c>
      <c r="H16" s="47">
        <f t="shared" si="0"/>
        <v>0.010000000000000002</v>
      </c>
      <c r="J16">
        <v>0.05</v>
      </c>
      <c r="K16" s="47">
        <f t="shared" si="2"/>
        <v>0.005000000000000001</v>
      </c>
      <c r="L16" s="44">
        <f t="shared" si="4"/>
        <v>0.05</v>
      </c>
      <c r="M16" s="47">
        <f t="shared" si="2"/>
        <v>0.005000000000000001</v>
      </c>
      <c r="O16">
        <v>0.07</v>
      </c>
      <c r="P16" s="44">
        <f t="shared" si="3"/>
        <v>0.007000000000000001</v>
      </c>
      <c r="Q16" s="55">
        <f t="shared" si="5"/>
        <v>0.07</v>
      </c>
      <c r="R16" s="44">
        <f t="shared" si="3"/>
        <v>0.007000000000000001</v>
      </c>
    </row>
    <row r="17" spans="1:18" ht="12.75">
      <c r="A17" s="41"/>
      <c r="B17" s="41" t="s">
        <v>33</v>
      </c>
      <c r="C17" s="43">
        <v>0.1</v>
      </c>
      <c r="E17">
        <v>0.1</v>
      </c>
      <c r="F17" s="47">
        <f t="shared" si="0"/>
        <v>0.010000000000000002</v>
      </c>
      <c r="G17" s="55">
        <f t="shared" si="1"/>
        <v>0.1</v>
      </c>
      <c r="H17" s="47">
        <f t="shared" si="0"/>
        <v>0.010000000000000002</v>
      </c>
      <c r="J17">
        <v>0.04</v>
      </c>
      <c r="K17" s="47">
        <f t="shared" si="2"/>
        <v>0.004</v>
      </c>
      <c r="L17" s="44">
        <f t="shared" si="4"/>
        <v>0.04</v>
      </c>
      <c r="M17" s="47">
        <f t="shared" si="2"/>
        <v>0.004</v>
      </c>
      <c r="O17">
        <v>0.07</v>
      </c>
      <c r="P17" s="44">
        <f t="shared" si="3"/>
        <v>0.007000000000000001</v>
      </c>
      <c r="Q17" s="55">
        <f t="shared" si="5"/>
        <v>0.07</v>
      </c>
      <c r="R17" s="44">
        <f t="shared" si="3"/>
        <v>0.007000000000000001</v>
      </c>
    </row>
    <row r="18" spans="1:18" ht="12.75">
      <c r="A18" s="41"/>
      <c r="B18" s="41" t="s">
        <v>114</v>
      </c>
      <c r="C18" s="43">
        <v>0</v>
      </c>
      <c r="E18">
        <v>2.4</v>
      </c>
      <c r="F18" s="55">
        <f t="shared" si="0"/>
        <v>0</v>
      </c>
      <c r="G18" s="55">
        <f t="shared" si="1"/>
        <v>2.4</v>
      </c>
      <c r="H18" s="55">
        <f t="shared" si="0"/>
        <v>0</v>
      </c>
      <c r="J18">
        <v>1.6</v>
      </c>
      <c r="K18" s="55">
        <f t="shared" si="2"/>
        <v>0</v>
      </c>
      <c r="L18" s="55">
        <f t="shared" si="4"/>
        <v>1.6</v>
      </c>
      <c r="M18" s="55">
        <f t="shared" si="2"/>
        <v>0</v>
      </c>
      <c r="O18">
        <v>2.1</v>
      </c>
      <c r="P18" s="55">
        <f t="shared" si="3"/>
        <v>0</v>
      </c>
      <c r="Q18" s="55">
        <f t="shared" si="5"/>
        <v>2.1</v>
      </c>
      <c r="R18" s="55">
        <f t="shared" si="3"/>
        <v>0</v>
      </c>
    </row>
    <row r="19" spans="1:18" ht="12.75">
      <c r="A19" s="41"/>
      <c r="B19" s="41" t="s">
        <v>34</v>
      </c>
      <c r="C19" s="43">
        <v>0.01</v>
      </c>
      <c r="E19">
        <v>0.62</v>
      </c>
      <c r="F19" s="47">
        <f t="shared" si="0"/>
        <v>0.0062</v>
      </c>
      <c r="G19" s="55">
        <f t="shared" si="1"/>
        <v>0.62</v>
      </c>
      <c r="H19" s="47">
        <f t="shared" si="0"/>
        <v>0.0062</v>
      </c>
      <c r="J19">
        <v>0.31</v>
      </c>
      <c r="K19" s="47">
        <f t="shared" si="2"/>
        <v>0.0031</v>
      </c>
      <c r="L19" s="55">
        <f t="shared" si="4"/>
        <v>0.31</v>
      </c>
      <c r="M19" s="47">
        <f t="shared" si="2"/>
        <v>0.0031</v>
      </c>
      <c r="O19">
        <v>0.45</v>
      </c>
      <c r="P19" s="47">
        <f t="shared" si="3"/>
        <v>0.0045000000000000005</v>
      </c>
      <c r="Q19" s="55">
        <f t="shared" si="5"/>
        <v>0.45</v>
      </c>
      <c r="R19" s="47">
        <f t="shared" si="3"/>
        <v>0.0045000000000000005</v>
      </c>
    </row>
    <row r="20" spans="1:18" ht="12.75">
      <c r="A20" s="41"/>
      <c r="B20" s="41" t="s">
        <v>115</v>
      </c>
      <c r="C20" s="43">
        <v>0</v>
      </c>
      <c r="E20">
        <v>1.3</v>
      </c>
      <c r="F20" s="55">
        <f t="shared" si="0"/>
        <v>0</v>
      </c>
      <c r="G20" s="55">
        <f t="shared" si="1"/>
        <v>1.3</v>
      </c>
      <c r="H20" s="55">
        <f t="shared" si="0"/>
        <v>0</v>
      </c>
      <c r="J20">
        <v>0.65</v>
      </c>
      <c r="K20" s="55">
        <f t="shared" si="2"/>
        <v>0</v>
      </c>
      <c r="L20" s="55">
        <f t="shared" si="4"/>
        <v>0.65</v>
      </c>
      <c r="M20" s="55">
        <f t="shared" si="2"/>
        <v>0</v>
      </c>
      <c r="O20">
        <v>0.96</v>
      </c>
      <c r="P20" s="55">
        <f t="shared" si="3"/>
        <v>0</v>
      </c>
      <c r="Q20" s="55">
        <f t="shared" si="5"/>
        <v>0.96</v>
      </c>
      <c r="R20" s="55">
        <f t="shared" si="3"/>
        <v>0</v>
      </c>
    </row>
    <row r="21" spans="1:18" ht="12.75">
      <c r="A21" s="41"/>
      <c r="B21" s="41" t="s">
        <v>35</v>
      </c>
      <c r="C21" s="43">
        <v>0.001</v>
      </c>
      <c r="E21">
        <v>1</v>
      </c>
      <c r="F21" s="46">
        <f t="shared" si="0"/>
        <v>0.001</v>
      </c>
      <c r="G21" s="55">
        <f t="shared" si="1"/>
        <v>1</v>
      </c>
      <c r="H21" s="46">
        <f t="shared" si="0"/>
        <v>0.001</v>
      </c>
      <c r="J21">
        <v>0.44</v>
      </c>
      <c r="K21" s="47">
        <f t="shared" si="2"/>
        <v>0.00044</v>
      </c>
      <c r="L21" s="55">
        <f t="shared" si="4"/>
        <v>0.44</v>
      </c>
      <c r="M21" s="47">
        <f t="shared" si="2"/>
        <v>0.00044</v>
      </c>
      <c r="O21">
        <v>0.68</v>
      </c>
      <c r="P21" s="46">
        <f t="shared" si="3"/>
        <v>0.00068</v>
      </c>
      <c r="Q21" s="55">
        <f t="shared" si="5"/>
        <v>0.68</v>
      </c>
      <c r="R21" s="46">
        <f t="shared" si="3"/>
        <v>0.00068</v>
      </c>
    </row>
    <row r="22" spans="1:18" ht="12.75">
      <c r="A22" s="41"/>
      <c r="B22" s="41" t="s">
        <v>36</v>
      </c>
      <c r="C22" s="43">
        <v>0.1</v>
      </c>
      <c r="E22">
        <v>0.04</v>
      </c>
      <c r="F22" s="47">
        <f t="shared" si="0"/>
        <v>0.004</v>
      </c>
      <c r="G22" s="55">
        <f t="shared" si="1"/>
        <v>0.04</v>
      </c>
      <c r="H22" s="47">
        <f t="shared" si="0"/>
        <v>0.004</v>
      </c>
      <c r="J22">
        <v>0.01</v>
      </c>
      <c r="K22" s="55">
        <f t="shared" si="2"/>
        <v>0.001</v>
      </c>
      <c r="L22" s="55">
        <f t="shared" si="4"/>
        <v>0.01</v>
      </c>
      <c r="M22" s="55">
        <f t="shared" si="2"/>
        <v>0.001</v>
      </c>
      <c r="O22">
        <v>0.016</v>
      </c>
      <c r="P22" s="55">
        <f t="shared" si="3"/>
        <v>0.0016</v>
      </c>
      <c r="Q22" s="55">
        <f t="shared" si="5"/>
        <v>0.016</v>
      </c>
      <c r="R22" s="55">
        <f t="shared" si="3"/>
        <v>0.0016</v>
      </c>
    </row>
    <row r="23" spans="1:18" ht="12.75">
      <c r="A23" s="41"/>
      <c r="B23" s="41" t="s">
        <v>116</v>
      </c>
      <c r="C23" s="43">
        <v>0</v>
      </c>
      <c r="E23">
        <v>1.1</v>
      </c>
      <c r="F23" s="55">
        <f t="shared" si="0"/>
        <v>0</v>
      </c>
      <c r="G23" s="55">
        <f t="shared" si="1"/>
        <v>1.1</v>
      </c>
      <c r="H23" s="55">
        <f t="shared" si="0"/>
        <v>0</v>
      </c>
      <c r="J23">
        <v>0.53</v>
      </c>
      <c r="K23" s="55">
        <f t="shared" si="2"/>
        <v>0</v>
      </c>
      <c r="L23" s="55">
        <f t="shared" si="4"/>
        <v>0.53</v>
      </c>
      <c r="M23" s="55">
        <f t="shared" si="2"/>
        <v>0</v>
      </c>
      <c r="O23">
        <v>0.84</v>
      </c>
      <c r="P23" s="55">
        <f t="shared" si="3"/>
        <v>0</v>
      </c>
      <c r="Q23" s="55">
        <f t="shared" si="5"/>
        <v>0.84</v>
      </c>
      <c r="R23" s="55">
        <f t="shared" si="3"/>
        <v>0</v>
      </c>
    </row>
    <row r="24" spans="1:18" ht="12.75">
      <c r="A24" s="41"/>
      <c r="B24" s="41" t="s">
        <v>37</v>
      </c>
      <c r="C24" s="43">
        <v>0.05</v>
      </c>
      <c r="E24">
        <v>0.09</v>
      </c>
      <c r="F24" s="47">
        <f t="shared" si="0"/>
        <v>0.0045</v>
      </c>
      <c r="G24" s="55">
        <f t="shared" si="1"/>
        <v>0.09</v>
      </c>
      <c r="H24" s="47">
        <f t="shared" si="0"/>
        <v>0.0045</v>
      </c>
      <c r="J24">
        <v>0</v>
      </c>
      <c r="K24" s="44">
        <f t="shared" si="2"/>
        <v>0</v>
      </c>
      <c r="L24" s="55">
        <f t="shared" si="4"/>
      </c>
      <c r="M24" s="44">
        <f t="shared" si="2"/>
      </c>
      <c r="O24">
        <v>0.05</v>
      </c>
      <c r="P24" s="55">
        <f t="shared" si="3"/>
        <v>0.0025000000000000005</v>
      </c>
      <c r="Q24" s="55">
        <f t="shared" si="5"/>
        <v>0.05</v>
      </c>
      <c r="R24" s="55">
        <f t="shared" si="3"/>
        <v>0.0025000000000000005</v>
      </c>
    </row>
    <row r="25" spans="1:18" ht="12.75">
      <c r="A25" s="41"/>
      <c r="B25" s="41" t="s">
        <v>38</v>
      </c>
      <c r="C25" s="43">
        <v>0.5</v>
      </c>
      <c r="E25">
        <v>0.16</v>
      </c>
      <c r="F25" s="47">
        <f t="shared" si="0"/>
        <v>0.08</v>
      </c>
      <c r="G25" s="55">
        <f t="shared" si="1"/>
        <v>0.16</v>
      </c>
      <c r="H25" s="47">
        <f t="shared" si="0"/>
        <v>0.08</v>
      </c>
      <c r="J25">
        <v>0.05</v>
      </c>
      <c r="K25" s="55">
        <f t="shared" si="2"/>
        <v>0.025</v>
      </c>
      <c r="L25" s="55">
        <f t="shared" si="4"/>
        <v>0.05</v>
      </c>
      <c r="M25" s="55">
        <f t="shared" si="2"/>
        <v>0.025</v>
      </c>
      <c r="O25">
        <v>0.09</v>
      </c>
      <c r="P25" s="44">
        <f t="shared" si="3"/>
        <v>0.045</v>
      </c>
      <c r="Q25" s="55">
        <f t="shared" si="5"/>
        <v>0.09</v>
      </c>
      <c r="R25" s="44">
        <f t="shared" si="3"/>
        <v>0.045</v>
      </c>
    </row>
    <row r="26" spans="1:18" ht="12.75">
      <c r="A26" s="41"/>
      <c r="B26" s="41" t="s">
        <v>117</v>
      </c>
      <c r="C26" s="43">
        <v>0</v>
      </c>
      <c r="E26">
        <v>1.3</v>
      </c>
      <c r="F26" s="44">
        <f t="shared" si="0"/>
        <v>0</v>
      </c>
      <c r="G26" s="55">
        <f t="shared" si="1"/>
        <v>1.3</v>
      </c>
      <c r="H26" s="44">
        <f t="shared" si="0"/>
        <v>0</v>
      </c>
      <c r="J26">
        <v>0.32</v>
      </c>
      <c r="K26" s="55">
        <f t="shared" si="2"/>
        <v>0</v>
      </c>
      <c r="L26" s="55">
        <f t="shared" si="4"/>
        <v>0.32</v>
      </c>
      <c r="M26" s="55">
        <f t="shared" si="2"/>
        <v>0</v>
      </c>
      <c r="O26">
        <v>0.74</v>
      </c>
      <c r="P26" s="55">
        <f t="shared" si="3"/>
        <v>0</v>
      </c>
      <c r="Q26" s="55">
        <f t="shared" si="5"/>
        <v>0.74</v>
      </c>
      <c r="R26" s="55">
        <f t="shared" si="3"/>
        <v>0</v>
      </c>
    </row>
    <row r="27" spans="1:18" ht="12.75">
      <c r="A27" s="41"/>
      <c r="B27" s="41" t="s">
        <v>39</v>
      </c>
      <c r="C27" s="43">
        <v>0.1</v>
      </c>
      <c r="E27">
        <v>0.57</v>
      </c>
      <c r="F27" s="47">
        <f t="shared" si="0"/>
        <v>0.056999999999999995</v>
      </c>
      <c r="G27" s="55">
        <f t="shared" si="1"/>
        <v>0.57</v>
      </c>
      <c r="H27" s="47">
        <f t="shared" si="0"/>
        <v>0.056999999999999995</v>
      </c>
      <c r="J27">
        <v>0.09</v>
      </c>
      <c r="K27" s="55">
        <f t="shared" si="2"/>
        <v>0.009</v>
      </c>
      <c r="L27" s="55">
        <f t="shared" si="4"/>
        <v>0.09</v>
      </c>
      <c r="M27" s="55">
        <f t="shared" si="2"/>
        <v>0.009</v>
      </c>
      <c r="O27">
        <v>0.25</v>
      </c>
      <c r="P27" s="55">
        <f t="shared" si="3"/>
        <v>0.025</v>
      </c>
      <c r="Q27" s="55">
        <f t="shared" si="5"/>
        <v>0.25</v>
      </c>
      <c r="R27" s="55">
        <f t="shared" si="3"/>
        <v>0.025</v>
      </c>
    </row>
    <row r="28" spans="1:18" ht="12.75">
      <c r="A28" s="41"/>
      <c r="B28" s="41" t="s">
        <v>40</v>
      </c>
      <c r="C28" s="43">
        <v>0.1</v>
      </c>
      <c r="E28">
        <v>0.26</v>
      </c>
      <c r="F28" s="47">
        <f t="shared" si="0"/>
        <v>0.026000000000000002</v>
      </c>
      <c r="G28" s="55">
        <f t="shared" si="1"/>
        <v>0.26</v>
      </c>
      <c r="H28" s="47">
        <f t="shared" si="0"/>
        <v>0.026000000000000002</v>
      </c>
      <c r="J28">
        <v>0.04</v>
      </c>
      <c r="K28" s="44">
        <f t="shared" si="2"/>
        <v>0.004</v>
      </c>
      <c r="L28" s="55">
        <f t="shared" si="4"/>
        <v>0.04</v>
      </c>
      <c r="M28" s="44">
        <f t="shared" si="2"/>
        <v>0.004</v>
      </c>
      <c r="O28">
        <v>0.11</v>
      </c>
      <c r="P28" s="55">
        <f t="shared" si="3"/>
        <v>0.011000000000000001</v>
      </c>
      <c r="Q28" s="55">
        <f t="shared" si="5"/>
        <v>0.11</v>
      </c>
      <c r="R28" s="55">
        <f t="shared" si="3"/>
        <v>0.011000000000000001</v>
      </c>
    </row>
    <row r="29" spans="1:18" ht="12.75">
      <c r="A29" s="41"/>
      <c r="B29" s="41" t="s">
        <v>41</v>
      </c>
      <c r="C29" s="43">
        <v>0.1</v>
      </c>
      <c r="E29">
        <v>0.27</v>
      </c>
      <c r="F29" s="47">
        <f t="shared" si="0"/>
        <v>0.027000000000000003</v>
      </c>
      <c r="G29" s="55">
        <f t="shared" si="1"/>
        <v>0.27</v>
      </c>
      <c r="H29" s="47">
        <f t="shared" si="0"/>
        <v>0.027000000000000003</v>
      </c>
      <c r="J29">
        <v>0.06</v>
      </c>
      <c r="K29" s="44">
        <f t="shared" si="2"/>
        <v>0.006</v>
      </c>
      <c r="L29" s="55">
        <f t="shared" si="4"/>
        <v>0.06</v>
      </c>
      <c r="M29" s="44">
        <f t="shared" si="2"/>
        <v>0.006</v>
      </c>
      <c r="O29">
        <v>0.13</v>
      </c>
      <c r="P29" s="44">
        <f t="shared" si="3"/>
        <v>0.013000000000000001</v>
      </c>
      <c r="Q29" s="55">
        <f t="shared" si="5"/>
        <v>0.13</v>
      </c>
      <c r="R29" s="44">
        <f t="shared" si="3"/>
        <v>0.013000000000000001</v>
      </c>
    </row>
    <row r="30" spans="1:18" ht="12.75">
      <c r="A30" s="41"/>
      <c r="B30" s="41" t="s">
        <v>42</v>
      </c>
      <c r="C30" s="43">
        <v>0.1</v>
      </c>
      <c r="E30">
        <v>0.03</v>
      </c>
      <c r="F30" s="47">
        <f t="shared" si="0"/>
        <v>0.003</v>
      </c>
      <c r="G30" s="55">
        <f t="shared" si="1"/>
        <v>0.03</v>
      </c>
      <c r="H30" s="47">
        <f t="shared" si="0"/>
        <v>0.003</v>
      </c>
      <c r="J30">
        <v>0.01</v>
      </c>
      <c r="K30" s="55">
        <f t="shared" si="2"/>
        <v>0.001</v>
      </c>
      <c r="L30" s="55">
        <f t="shared" si="4"/>
        <v>0.01</v>
      </c>
      <c r="M30" s="55">
        <f t="shared" si="2"/>
        <v>0.001</v>
      </c>
      <c r="O30">
        <v>0.01</v>
      </c>
      <c r="P30" s="44">
        <f t="shared" si="3"/>
        <v>0.001</v>
      </c>
      <c r="Q30" s="55">
        <f t="shared" si="5"/>
        <v>0.01</v>
      </c>
      <c r="R30" s="44">
        <f t="shared" si="3"/>
        <v>0.001</v>
      </c>
    </row>
    <row r="31" spans="1:18" ht="12.75">
      <c r="A31" s="41"/>
      <c r="B31" s="41" t="s">
        <v>118</v>
      </c>
      <c r="C31" s="43">
        <v>0</v>
      </c>
      <c r="E31">
        <v>2.3</v>
      </c>
      <c r="F31" s="55">
        <f t="shared" si="0"/>
        <v>0</v>
      </c>
      <c r="G31" s="44">
        <f>IF(E31=0,"",IF(D31="nd",E31/2,E31))</f>
        <v>2.3</v>
      </c>
      <c r="H31" s="55">
        <f t="shared" si="0"/>
        <v>0</v>
      </c>
      <c r="J31">
        <v>0.23</v>
      </c>
      <c r="K31" s="55">
        <f t="shared" si="2"/>
        <v>0</v>
      </c>
      <c r="L31" s="55">
        <f t="shared" si="4"/>
        <v>0.23</v>
      </c>
      <c r="M31" s="55">
        <f t="shared" si="2"/>
        <v>0</v>
      </c>
      <c r="O31">
        <v>1</v>
      </c>
      <c r="P31" s="55">
        <f t="shared" si="3"/>
        <v>0</v>
      </c>
      <c r="Q31" s="55">
        <f t="shared" si="5"/>
        <v>1</v>
      </c>
      <c r="R31" s="55">
        <f t="shared" si="3"/>
        <v>0</v>
      </c>
    </row>
    <row r="32" spans="1:18" ht="12.75">
      <c r="A32" s="41"/>
      <c r="B32" s="41" t="s">
        <v>43</v>
      </c>
      <c r="C32" s="43">
        <v>0.01</v>
      </c>
      <c r="E32">
        <v>1.2</v>
      </c>
      <c r="F32" s="44">
        <f t="shared" si="0"/>
        <v>0.012</v>
      </c>
      <c r="G32" s="55">
        <f>IF(E32=0,"",IF(D32="nd",E32/2,E32))</f>
        <v>1.2</v>
      </c>
      <c r="H32" s="44">
        <f t="shared" si="0"/>
        <v>0.012</v>
      </c>
      <c r="J32">
        <v>0.14</v>
      </c>
      <c r="K32" s="47">
        <f t="shared" si="2"/>
        <v>0.0014000000000000002</v>
      </c>
      <c r="L32" s="55">
        <f t="shared" si="4"/>
        <v>0.14</v>
      </c>
      <c r="M32" s="47">
        <f t="shared" si="2"/>
        <v>0.0014000000000000002</v>
      </c>
      <c r="O32">
        <v>0.42</v>
      </c>
      <c r="P32" s="47">
        <f t="shared" si="3"/>
        <v>0.0042</v>
      </c>
      <c r="Q32" s="55">
        <f t="shared" si="5"/>
        <v>0.42</v>
      </c>
      <c r="R32" s="47">
        <f t="shared" si="3"/>
        <v>0.0042</v>
      </c>
    </row>
    <row r="33" spans="1:18" ht="12.75">
      <c r="A33" s="41"/>
      <c r="B33" s="41" t="s">
        <v>44</v>
      </c>
      <c r="C33" s="43">
        <v>0.01</v>
      </c>
      <c r="E33">
        <v>0.23</v>
      </c>
      <c r="F33" s="47">
        <f t="shared" si="0"/>
        <v>0.0023</v>
      </c>
      <c r="G33" s="55">
        <f>IF(E33=0,"",IF(D33="nd",E33/2,E33))</f>
        <v>0.23</v>
      </c>
      <c r="H33" s="47">
        <f t="shared" si="0"/>
        <v>0.0023</v>
      </c>
      <c r="J33">
        <v>0.04</v>
      </c>
      <c r="K33" s="47">
        <f t="shared" si="2"/>
        <v>0.0004</v>
      </c>
      <c r="L33" s="55">
        <f t="shared" si="4"/>
        <v>0.04</v>
      </c>
      <c r="M33" s="47">
        <f t="shared" si="2"/>
        <v>0.0004</v>
      </c>
      <c r="O33">
        <v>0.09</v>
      </c>
      <c r="P33" s="47">
        <f t="shared" si="3"/>
        <v>0.0009</v>
      </c>
      <c r="Q33" s="55">
        <f t="shared" si="5"/>
        <v>0.09</v>
      </c>
      <c r="R33" s="47">
        <f t="shared" si="3"/>
        <v>0.0009</v>
      </c>
    </row>
    <row r="34" spans="1:18" ht="12.75">
      <c r="A34" s="41"/>
      <c r="B34" s="41" t="s">
        <v>119</v>
      </c>
      <c r="C34" s="43">
        <v>0</v>
      </c>
      <c r="E34">
        <v>2.1</v>
      </c>
      <c r="F34" s="55">
        <f t="shared" si="0"/>
        <v>0</v>
      </c>
      <c r="G34" s="55">
        <f>IF(E34=0,"",IF(D34="nd",E34/2,E34))</f>
        <v>2.1</v>
      </c>
      <c r="H34" s="55">
        <f t="shared" si="0"/>
        <v>0</v>
      </c>
      <c r="J34">
        <v>0.28</v>
      </c>
      <c r="K34" s="55">
        <f t="shared" si="2"/>
        <v>0</v>
      </c>
      <c r="L34" s="55">
        <f t="shared" si="4"/>
        <v>0.28</v>
      </c>
      <c r="M34" s="55">
        <f t="shared" si="2"/>
        <v>0</v>
      </c>
      <c r="O34">
        <v>0.78</v>
      </c>
      <c r="P34" s="55">
        <f t="shared" si="3"/>
        <v>0</v>
      </c>
      <c r="Q34" s="55">
        <f t="shared" si="5"/>
        <v>0.78</v>
      </c>
      <c r="R34" s="55">
        <f t="shared" si="3"/>
        <v>0</v>
      </c>
    </row>
    <row r="35" spans="1:18" ht="12.75">
      <c r="A35" s="41"/>
      <c r="B35" s="41" t="s">
        <v>45</v>
      </c>
      <c r="C35" s="43">
        <v>0.001</v>
      </c>
      <c r="E35">
        <v>1.2</v>
      </c>
      <c r="F35" s="47">
        <f t="shared" si="0"/>
        <v>0.0012</v>
      </c>
      <c r="G35" s="55">
        <f>IF(E35=0,"",IF(D35="nd",E35/2,E35))</f>
        <v>1.2</v>
      </c>
      <c r="H35" s="47">
        <f t="shared" si="0"/>
        <v>0.0012</v>
      </c>
      <c r="J35">
        <v>0.48</v>
      </c>
      <c r="K35" s="46">
        <f t="shared" si="2"/>
        <v>0.00048</v>
      </c>
      <c r="L35" s="55">
        <f t="shared" si="4"/>
        <v>0.48</v>
      </c>
      <c r="M35" s="46">
        <f t="shared" si="2"/>
        <v>0.00048</v>
      </c>
      <c r="O35">
        <v>0.38</v>
      </c>
      <c r="P35" s="46">
        <f t="shared" si="3"/>
        <v>0.00038</v>
      </c>
      <c r="Q35" s="55">
        <f t="shared" si="5"/>
        <v>0.38</v>
      </c>
      <c r="R35" s="46">
        <f t="shared" si="3"/>
        <v>0.00038</v>
      </c>
    </row>
    <row r="36" spans="1:18" ht="12.75">
      <c r="A36" s="41"/>
      <c r="B36" s="41"/>
      <c r="C36" s="41"/>
      <c r="D36" s="41"/>
      <c r="E36" s="44"/>
      <c r="F36" s="50"/>
      <c r="G36" s="47"/>
      <c r="H36" s="50"/>
      <c r="I36" s="71"/>
      <c r="J36" s="19"/>
      <c r="K36" s="44"/>
      <c r="L36" s="44"/>
      <c r="M36" s="44"/>
      <c r="N36" s="71"/>
      <c r="O36" s="19"/>
      <c r="P36" s="49"/>
      <c r="Q36" s="47"/>
      <c r="R36" s="49"/>
    </row>
    <row r="37" spans="1:18" ht="12.75">
      <c r="A37" s="41"/>
      <c r="B37" s="41" t="s">
        <v>46</v>
      </c>
      <c r="C37" s="41"/>
      <c r="D37" s="41"/>
      <c r="F37" s="47">
        <v>128.12</v>
      </c>
      <c r="G37" s="47">
        <v>128.12</v>
      </c>
      <c r="H37" s="47">
        <v>128.12</v>
      </c>
      <c r="I37" s="71"/>
      <c r="J37" s="47"/>
      <c r="K37" s="47">
        <v>126.58</v>
      </c>
      <c r="L37" s="47">
        <v>126.58</v>
      </c>
      <c r="M37" s="47">
        <v>126.58</v>
      </c>
      <c r="N37" s="71"/>
      <c r="O37" s="47"/>
      <c r="P37" s="47">
        <v>134.23</v>
      </c>
      <c r="Q37" s="47">
        <v>134.23</v>
      </c>
      <c r="R37" s="47">
        <v>134.23</v>
      </c>
    </row>
    <row r="38" spans="1:18" ht="12.75">
      <c r="A38" s="41"/>
      <c r="B38" s="41" t="s">
        <v>66</v>
      </c>
      <c r="C38" s="41"/>
      <c r="D38" s="41"/>
      <c r="F38" s="44">
        <v>14</v>
      </c>
      <c r="G38" s="44">
        <v>14</v>
      </c>
      <c r="H38" s="44">
        <v>14</v>
      </c>
      <c r="I38" s="71"/>
      <c r="J38" s="47"/>
      <c r="K38" s="44">
        <v>13.9</v>
      </c>
      <c r="L38" s="44">
        <v>13.9</v>
      </c>
      <c r="M38" s="44">
        <v>13.9</v>
      </c>
      <c r="N38" s="71"/>
      <c r="O38" s="47"/>
      <c r="P38" s="44">
        <v>13.9</v>
      </c>
      <c r="Q38" s="44">
        <v>13.9</v>
      </c>
      <c r="R38" s="44">
        <v>13.9</v>
      </c>
    </row>
    <row r="39" spans="1:18" ht="12.75">
      <c r="A39" s="41"/>
      <c r="B39" s="41"/>
      <c r="C39" s="41"/>
      <c r="D39" s="41"/>
      <c r="E39" s="44"/>
      <c r="F39" s="19"/>
      <c r="G39" s="47"/>
      <c r="H39" s="19"/>
      <c r="I39" s="62"/>
      <c r="J39" s="47"/>
      <c r="K39" s="48"/>
      <c r="L39" s="44"/>
      <c r="M39" s="48"/>
      <c r="N39" s="71"/>
      <c r="O39" s="47"/>
      <c r="P39" s="47"/>
      <c r="Q39" s="47"/>
      <c r="R39" s="47"/>
    </row>
    <row r="40" spans="1:18" ht="12.75">
      <c r="A40" s="41"/>
      <c r="B40" s="41" t="s">
        <v>218</v>
      </c>
      <c r="C40" s="50"/>
      <c r="D40" s="50"/>
      <c r="E40" s="44"/>
      <c r="F40" s="47">
        <f>SUM(F11:F35)</f>
        <v>0.2632</v>
      </c>
      <c r="G40" s="44">
        <f>SUM(G35,G34,G31,G26,G23,G21,G20,G18,G14,G12)</f>
        <v>14.550000000000002</v>
      </c>
      <c r="H40" s="47">
        <f>SUM(H11:H35)</f>
        <v>0.2632</v>
      </c>
      <c r="I40" s="52"/>
      <c r="J40" s="44"/>
      <c r="K40" s="46">
        <f>SUM(K11:K35)</f>
        <v>0.06182</v>
      </c>
      <c r="L40" s="44">
        <f>SUM(L35,L34,L31,L26,L23,L21,L20,L18,L14,L12)</f>
        <v>5.5200000000000005</v>
      </c>
      <c r="M40" s="46">
        <f>SUM(M11:M35)</f>
        <v>0.06182</v>
      </c>
      <c r="N40" s="52"/>
      <c r="O40" s="47"/>
      <c r="P40" s="47">
        <f>SUM(P11:P35)</f>
        <v>0.13676</v>
      </c>
      <c r="Q40" s="44">
        <f>SUM(Q35,Q34,Q31,Q26,Q23,Q21,Q20,Q18,Q14,Q12)</f>
        <v>8.58</v>
      </c>
      <c r="R40" s="47">
        <f>SUM(R11:R35)</f>
        <v>0.13676</v>
      </c>
    </row>
    <row r="41" spans="1:18" ht="12.75">
      <c r="A41" s="41"/>
      <c r="B41" s="41" t="s">
        <v>47</v>
      </c>
      <c r="C41" s="50"/>
      <c r="D41" s="44">
        <f>(F41-H41)*2/F41*100</f>
        <v>0</v>
      </c>
      <c r="E41" s="44"/>
      <c r="F41" s="46">
        <f>(F40/F37/0.0283*(21-7)/(21-F38))</f>
        <v>0.14518191315782797</v>
      </c>
      <c r="G41" s="46">
        <f>(G40/G37/0.0283*(21-7)/(21-G38))</f>
        <v>8.02582384668084</v>
      </c>
      <c r="H41" s="46">
        <f>(H40/H37/0.0283*(21-7)/(21-H38))</f>
        <v>0.14518191315782797</v>
      </c>
      <c r="I41" s="44">
        <f>(K41-M41)*2/K41*100</f>
        <v>0</v>
      </c>
      <c r="J41" s="47"/>
      <c r="K41" s="46">
        <f>(K40/K37/0.0283*(21-7)/(21-K38))</f>
        <v>0.03402884125551846</v>
      </c>
      <c r="L41" s="46">
        <f>(L40/L37/0.0283*(21-7)/(21-L38))</f>
        <v>3.0384859872284355</v>
      </c>
      <c r="M41" s="46">
        <f>(M40/M37/0.0283*(21-7)/(21-M38))</f>
        <v>0.03402884125551846</v>
      </c>
      <c r="N41" s="44">
        <f>(P41-R41)*2/P41*100</f>
        <v>0</v>
      </c>
      <c r="O41" s="47"/>
      <c r="P41" s="46">
        <f>(P40/P37/0.0283*(21-7)/(21-P38))</f>
        <v>0.07098927705012487</v>
      </c>
      <c r="Q41" s="46">
        <f>(Q40/Q37/0.0283*(21-7)/(21-Q38))</f>
        <v>4.453699890977417</v>
      </c>
      <c r="R41" s="46">
        <f>(R40/R37/0.0283*(21-7)/(21-R38))</f>
        <v>0.07098927705012487</v>
      </c>
    </row>
    <row r="42" spans="1:18" ht="12.75">
      <c r="A42" s="41"/>
      <c r="B42" s="41"/>
      <c r="C42" s="41"/>
      <c r="D42" s="41"/>
      <c r="E42" s="44"/>
      <c r="F42" s="44"/>
      <c r="G42" s="44"/>
      <c r="H42" s="44"/>
      <c r="I42" s="46"/>
      <c r="J42" s="46"/>
      <c r="K42" s="46"/>
      <c r="L42" s="46"/>
      <c r="M42" s="46"/>
      <c r="N42" s="46"/>
      <c r="O42" s="46"/>
      <c r="P42" s="49"/>
      <c r="Q42" s="46"/>
      <c r="R42" s="49"/>
    </row>
    <row r="43" spans="1:18" ht="12.75">
      <c r="A43" s="47"/>
      <c r="B43" s="41" t="s">
        <v>67</v>
      </c>
      <c r="C43" s="46">
        <f>AVERAGE(H41,M41,R41)</f>
        <v>0.08340001048782376</v>
      </c>
      <c r="D43" s="47"/>
      <c r="E43" s="44"/>
      <c r="F43" s="44"/>
      <c r="G43" s="44"/>
      <c r="H43" s="44"/>
      <c r="I43" s="47"/>
      <c r="J43" s="47"/>
      <c r="K43" s="47"/>
      <c r="L43" s="47"/>
      <c r="M43" s="47"/>
      <c r="N43" s="47"/>
      <c r="O43" s="47"/>
      <c r="P43" s="49"/>
      <c r="Q43" s="47"/>
      <c r="R43" s="49"/>
    </row>
    <row r="44" spans="1:18" ht="12.75">
      <c r="A44" s="41"/>
      <c r="B44" s="41" t="s">
        <v>68</v>
      </c>
      <c r="C44" s="47">
        <f>AVERAGE(G41,L41,Q41)</f>
        <v>5.172669908295564</v>
      </c>
      <c r="D44" s="41"/>
      <c r="E44" s="44"/>
      <c r="F44" s="44"/>
      <c r="G44" s="44"/>
      <c r="H44" s="44"/>
      <c r="I44" s="49"/>
      <c r="J44" s="49"/>
      <c r="K44" s="49"/>
      <c r="L44" s="49"/>
      <c r="M44" s="49"/>
      <c r="N44" s="49"/>
      <c r="O44" s="49"/>
      <c r="P44" s="49"/>
      <c r="Q44" s="49"/>
      <c r="R44" s="49"/>
    </row>
    <row r="85" spans="1:18" ht="12.75">
      <c r="A85" s="2"/>
      <c r="B85" s="2"/>
      <c r="C85" s="2"/>
      <c r="D85" s="2"/>
      <c r="E85" s="4"/>
      <c r="G85" s="4"/>
      <c r="J85" s="7"/>
      <c r="K85" s="6"/>
      <c r="L85" s="4"/>
      <c r="M85" s="6"/>
      <c r="N85" s="7"/>
      <c r="O85" s="7"/>
      <c r="P85" s="7"/>
      <c r="Q85" s="7"/>
      <c r="R85" s="7"/>
    </row>
    <row r="86" spans="1:18" ht="12.75">
      <c r="A86" s="2"/>
      <c r="B86" s="2"/>
      <c r="C86" s="3"/>
      <c r="D86" s="3"/>
      <c r="E86" s="4"/>
      <c r="F86" s="4"/>
      <c r="G86" s="4"/>
      <c r="H86" s="4"/>
      <c r="I86" s="3"/>
      <c r="J86" s="4"/>
      <c r="K86" s="4"/>
      <c r="L86" s="4"/>
      <c r="M86" s="4"/>
      <c r="N86" s="3"/>
      <c r="O86" s="7"/>
      <c r="P86" s="3"/>
      <c r="Q86" s="3"/>
      <c r="R86" s="3"/>
    </row>
    <row r="87" spans="1:18" ht="12.75">
      <c r="A87" s="2"/>
      <c r="B87" s="2"/>
      <c r="C87" s="3"/>
      <c r="D87" s="3"/>
      <c r="E87" s="4"/>
      <c r="F87" s="4"/>
      <c r="G87" s="4"/>
      <c r="H87" s="4"/>
      <c r="I87" s="3"/>
      <c r="J87" s="7"/>
      <c r="K87" s="3"/>
      <c r="L87" s="4"/>
      <c r="M87" s="3"/>
      <c r="N87" s="3"/>
      <c r="O87" s="7"/>
      <c r="P87" s="5"/>
      <c r="Q87" s="5"/>
      <c r="R87" s="5"/>
    </row>
  </sheetData>
  <printOptions headings="1" horizontalCentered="1"/>
  <pageMargins left="0.25" right="0.25" top="0.5" bottom="0.5" header="0.25" footer="0.25"/>
  <pageSetup horizontalDpi="600" verticalDpi="600" orientation="landscape" pageOrder="overThenDown" scale="80" r:id="rId1"/>
  <headerFooter alignWithMargins="0">
    <oddFooter>&amp;C&amp;P, &amp;A, 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R87"/>
  <sheetViews>
    <sheetView workbookViewId="0" topLeftCell="A31">
      <selection activeCell="B5" sqref="B5"/>
    </sheetView>
  </sheetViews>
  <sheetFormatPr defaultColWidth="9.140625" defaultRowHeight="12.75"/>
  <cols>
    <col min="1" max="1" width="1.7109375" style="0" customWidth="1"/>
    <col min="2" max="2" width="20.00390625" style="0" customWidth="1"/>
    <col min="3" max="3" width="6.140625" style="0" customWidth="1"/>
    <col min="4" max="4" width="6.8515625" style="0" customWidth="1"/>
    <col min="5" max="5" width="9.421875" style="6" customWidth="1"/>
    <col min="6" max="6" width="9.8515625" style="6" customWidth="1"/>
    <col min="7" max="7" width="10.7109375" style="6" customWidth="1"/>
    <col min="8" max="8" width="9.8515625" style="6" customWidth="1"/>
    <col min="9" max="9" width="6.140625" style="0" customWidth="1"/>
    <col min="11" max="11" width="9.28125" style="0" customWidth="1"/>
    <col min="13" max="13" width="9.28125" style="0" customWidth="1"/>
    <col min="14" max="14" width="7.421875" style="0" customWidth="1"/>
    <col min="16" max="16" width="9.00390625" style="0" customWidth="1"/>
    <col min="18" max="18" width="9.00390625" style="0" customWidth="1"/>
  </cols>
  <sheetData>
    <row r="1" spans="1:18" ht="12.75">
      <c r="A1" s="57" t="s">
        <v>77</v>
      </c>
      <c r="B1" s="41"/>
      <c r="C1" s="41"/>
      <c r="D1" s="41"/>
      <c r="E1" s="44"/>
      <c r="F1" s="44"/>
      <c r="G1" s="44"/>
      <c r="H1" s="44"/>
      <c r="I1" s="49"/>
      <c r="J1" s="49"/>
      <c r="K1" s="49"/>
      <c r="L1" s="49"/>
      <c r="M1" s="49"/>
      <c r="N1" s="49"/>
      <c r="O1" s="49"/>
      <c r="P1" s="49"/>
      <c r="Q1" s="49"/>
      <c r="R1" s="49"/>
    </row>
    <row r="2" spans="1:18" ht="12.75">
      <c r="A2" s="41" t="s">
        <v>277</v>
      </c>
      <c r="B2" s="41"/>
      <c r="C2" s="41"/>
      <c r="D2" s="41"/>
      <c r="E2" s="44"/>
      <c r="F2" s="44"/>
      <c r="G2" s="44"/>
      <c r="H2" s="44"/>
      <c r="I2" s="49"/>
      <c r="J2" s="49"/>
      <c r="K2" s="49"/>
      <c r="L2" s="49"/>
      <c r="M2" s="49"/>
      <c r="N2" s="49"/>
      <c r="O2" s="49"/>
      <c r="P2" s="49"/>
      <c r="Q2" s="49"/>
      <c r="R2" s="49"/>
    </row>
    <row r="3" spans="1:18" ht="12.75">
      <c r="A3" s="41" t="s">
        <v>21</v>
      </c>
      <c r="B3" s="41"/>
      <c r="C3" s="14" t="str">
        <f>source!C5</f>
        <v>Clean Harbors Environmental Services, Inc.</v>
      </c>
      <c r="D3" s="14"/>
      <c r="E3" s="44"/>
      <c r="F3" s="44"/>
      <c r="G3" s="44"/>
      <c r="H3" s="44"/>
      <c r="I3" s="49"/>
      <c r="J3" s="49"/>
      <c r="K3" s="49"/>
      <c r="L3" s="49"/>
      <c r="M3" s="49"/>
      <c r="N3" s="49"/>
      <c r="O3" s="49"/>
      <c r="P3" s="49"/>
      <c r="Q3" s="49"/>
      <c r="R3" s="49"/>
    </row>
    <row r="4" spans="1:18" ht="12.75">
      <c r="A4" s="41" t="s">
        <v>22</v>
      </c>
      <c r="B4" s="41"/>
      <c r="C4" s="14" t="s">
        <v>188</v>
      </c>
      <c r="D4" s="14"/>
      <c r="E4" s="64"/>
      <c r="F4" s="17"/>
      <c r="G4" s="64"/>
      <c r="H4" s="17"/>
      <c r="I4" s="51"/>
      <c r="J4" s="51"/>
      <c r="K4" s="51"/>
      <c r="L4" s="51"/>
      <c r="M4" s="51"/>
      <c r="N4" s="51"/>
      <c r="O4" s="51"/>
      <c r="P4" s="51"/>
      <c r="Q4" s="51"/>
      <c r="R4" s="51"/>
    </row>
    <row r="5" spans="1:18" ht="12.75">
      <c r="A5" s="41" t="s">
        <v>23</v>
      </c>
      <c r="B5" s="41"/>
      <c r="C5" s="19" t="str">
        <f>cond!C70</f>
        <v>Annual, normal performance test</v>
      </c>
      <c r="D5" s="19"/>
      <c r="E5" s="48"/>
      <c r="F5" s="48" t="s">
        <v>189</v>
      </c>
      <c r="G5" s="48"/>
      <c r="H5" s="48" t="s">
        <v>189</v>
      </c>
      <c r="I5" s="19"/>
      <c r="J5" s="19"/>
      <c r="K5" s="49"/>
      <c r="L5" s="19"/>
      <c r="M5" s="49"/>
      <c r="N5" s="49"/>
      <c r="O5" s="49"/>
      <c r="P5" s="49"/>
      <c r="Q5" s="49"/>
      <c r="R5" s="49"/>
    </row>
    <row r="6" spans="1:18" ht="12.75">
      <c r="A6" s="41"/>
      <c r="B6" s="41"/>
      <c r="C6" s="43"/>
      <c r="D6" s="43"/>
      <c r="E6" s="17"/>
      <c r="F6" s="44"/>
      <c r="G6" s="17"/>
      <c r="H6" s="44"/>
      <c r="I6" s="49"/>
      <c r="J6" s="53"/>
      <c r="K6" s="49"/>
      <c r="L6" s="53"/>
      <c r="M6" s="49"/>
      <c r="N6" s="49"/>
      <c r="O6" s="53"/>
      <c r="P6" s="49"/>
      <c r="Q6" s="53"/>
      <c r="R6" s="49"/>
    </row>
    <row r="7" spans="1:18" ht="12.75">
      <c r="A7" s="41"/>
      <c r="B7" s="41"/>
      <c r="C7" s="43" t="s">
        <v>24</v>
      </c>
      <c r="D7" s="43"/>
      <c r="E7" s="65" t="s">
        <v>58</v>
      </c>
      <c r="F7" s="65"/>
      <c r="G7" s="65"/>
      <c r="H7" s="65"/>
      <c r="I7" s="18"/>
      <c r="J7" s="54" t="s">
        <v>59</v>
      </c>
      <c r="K7" s="54"/>
      <c r="L7" s="54"/>
      <c r="M7" s="54"/>
      <c r="N7" s="18"/>
      <c r="O7" s="54" t="s">
        <v>60</v>
      </c>
      <c r="P7" s="54"/>
      <c r="Q7" s="54"/>
      <c r="R7" s="54"/>
    </row>
    <row r="8" spans="1:18" ht="12.75">
      <c r="A8" s="41"/>
      <c r="B8" s="41"/>
      <c r="C8" s="43" t="s">
        <v>25</v>
      </c>
      <c r="D8" s="41"/>
      <c r="E8" s="17" t="s">
        <v>26</v>
      </c>
      <c r="F8" s="17" t="s">
        <v>27</v>
      </c>
      <c r="G8" s="17" t="s">
        <v>26</v>
      </c>
      <c r="H8" s="17" t="s">
        <v>27</v>
      </c>
      <c r="I8" s="49"/>
      <c r="J8" s="53" t="s">
        <v>26</v>
      </c>
      <c r="K8" s="53" t="s">
        <v>28</v>
      </c>
      <c r="L8" s="53" t="s">
        <v>26</v>
      </c>
      <c r="M8" s="53" t="s">
        <v>28</v>
      </c>
      <c r="N8" s="49"/>
      <c r="O8" s="53" t="s">
        <v>26</v>
      </c>
      <c r="P8" s="53" t="s">
        <v>28</v>
      </c>
      <c r="Q8" s="53" t="s">
        <v>26</v>
      </c>
      <c r="R8" s="53" t="s">
        <v>28</v>
      </c>
    </row>
    <row r="9" spans="1:18" ht="12.75">
      <c r="A9" s="41"/>
      <c r="B9" s="41"/>
      <c r="C9" s="43"/>
      <c r="D9" s="41"/>
      <c r="E9" s="17" t="s">
        <v>244</v>
      </c>
      <c r="F9" s="17" t="s">
        <v>244</v>
      </c>
      <c r="G9" s="17" t="s">
        <v>76</v>
      </c>
      <c r="H9" s="17" t="s">
        <v>76</v>
      </c>
      <c r="I9" s="49"/>
      <c r="J9" s="17" t="s">
        <v>244</v>
      </c>
      <c r="K9" s="17" t="s">
        <v>244</v>
      </c>
      <c r="L9" s="53" t="s">
        <v>76</v>
      </c>
      <c r="M9" s="52" t="s">
        <v>76</v>
      </c>
      <c r="N9" s="49"/>
      <c r="O9" s="17" t="s">
        <v>244</v>
      </c>
      <c r="P9" s="17" t="s">
        <v>244</v>
      </c>
      <c r="Q9" s="53" t="s">
        <v>76</v>
      </c>
      <c r="R9" s="52" t="s">
        <v>76</v>
      </c>
    </row>
    <row r="10" spans="1:18" ht="12.75">
      <c r="A10" s="41" t="s">
        <v>56</v>
      </c>
      <c r="B10" s="41"/>
      <c r="C10" s="41"/>
      <c r="D10" s="41"/>
      <c r="E10" s="44"/>
      <c r="F10" s="44"/>
      <c r="G10" s="44"/>
      <c r="H10" s="44"/>
      <c r="I10" s="49"/>
      <c r="J10" s="49"/>
      <c r="K10" s="49"/>
      <c r="L10" s="49"/>
      <c r="M10" s="49"/>
      <c r="N10" s="49"/>
      <c r="O10" s="44"/>
      <c r="P10" s="49"/>
      <c r="Q10" s="49"/>
      <c r="R10" s="49"/>
    </row>
    <row r="11" spans="1:18" ht="12.75">
      <c r="A11" s="41"/>
      <c r="B11" s="41" t="s">
        <v>29</v>
      </c>
      <c r="C11" s="43">
        <v>1</v>
      </c>
      <c r="D11" s="43" t="s">
        <v>159</v>
      </c>
      <c r="E11" s="44">
        <v>52</v>
      </c>
      <c r="F11" s="44">
        <f aca="true" t="shared" si="0" ref="F11:H35">IF(E11="","",E11*$C11)</f>
        <v>52</v>
      </c>
      <c r="G11" s="55">
        <f aca="true" t="shared" si="1" ref="G11:G30">IF(E11=0,"",IF(D11="nd",E11/2,E11))</f>
        <v>26</v>
      </c>
      <c r="H11" s="44">
        <f t="shared" si="0"/>
        <v>26</v>
      </c>
      <c r="I11" s="43" t="s">
        <v>159</v>
      </c>
      <c r="J11" s="44">
        <v>28</v>
      </c>
      <c r="K11" s="44">
        <f aca="true" t="shared" si="2" ref="K11:M35">IF(J11="","",J11*$C11)</f>
        <v>28</v>
      </c>
      <c r="L11" s="44">
        <f>IF(J11=0,"",IF(I11="nd",J11/2,J11))</f>
        <v>14</v>
      </c>
      <c r="M11" s="44">
        <f t="shared" si="2"/>
        <v>14</v>
      </c>
      <c r="N11" s="43" t="s">
        <v>159</v>
      </c>
      <c r="O11" s="55">
        <v>34</v>
      </c>
      <c r="P11" s="44">
        <f aca="true" t="shared" si="3" ref="P11:R35">IF(O11="","",O11*$C11)</f>
        <v>34</v>
      </c>
      <c r="Q11" s="55">
        <f>IF(O11=0,"",IF(N11="nd",O11/2,O11))</f>
        <v>17</v>
      </c>
      <c r="R11" s="44">
        <f t="shared" si="3"/>
        <v>17</v>
      </c>
    </row>
    <row r="12" spans="1:18" ht="12.75">
      <c r="A12" s="41"/>
      <c r="B12" s="41" t="s">
        <v>112</v>
      </c>
      <c r="C12" s="43">
        <v>0</v>
      </c>
      <c r="D12" s="43"/>
      <c r="E12" s="44">
        <v>400</v>
      </c>
      <c r="F12" s="44">
        <f t="shared" si="0"/>
        <v>0</v>
      </c>
      <c r="G12" s="55">
        <f t="shared" si="1"/>
        <v>400</v>
      </c>
      <c r="H12" s="44">
        <f t="shared" si="0"/>
        <v>0</v>
      </c>
      <c r="I12" s="43"/>
      <c r="J12" s="55">
        <v>320</v>
      </c>
      <c r="K12" s="55">
        <f t="shared" si="2"/>
        <v>0</v>
      </c>
      <c r="L12" s="44">
        <f aca="true" t="shared" si="4" ref="L12:L35">IF(J12=0,"",IF(I12="nd",J12/2,J12))</f>
        <v>320</v>
      </c>
      <c r="M12" s="55">
        <f t="shared" si="2"/>
        <v>0</v>
      </c>
      <c r="N12" s="43"/>
      <c r="O12" s="55">
        <v>360</v>
      </c>
      <c r="P12" s="44">
        <f t="shared" si="3"/>
        <v>0</v>
      </c>
      <c r="Q12" s="55">
        <f aca="true" t="shared" si="5" ref="Q12:Q35">IF(O12=0,"",IF(N12="nd",O12/2,O12))</f>
        <v>360</v>
      </c>
      <c r="R12" s="44">
        <f t="shared" si="3"/>
        <v>0</v>
      </c>
    </row>
    <row r="13" spans="1:18" ht="12.75">
      <c r="A13" s="41"/>
      <c r="B13" s="41" t="s">
        <v>30</v>
      </c>
      <c r="C13" s="43">
        <v>0.5</v>
      </c>
      <c r="D13" s="43" t="s">
        <v>159</v>
      </c>
      <c r="E13" s="44">
        <v>68</v>
      </c>
      <c r="F13" s="47">
        <f t="shared" si="0"/>
        <v>34</v>
      </c>
      <c r="G13" s="55">
        <f t="shared" si="1"/>
        <v>34</v>
      </c>
      <c r="H13" s="47">
        <f t="shared" si="0"/>
        <v>17</v>
      </c>
      <c r="I13" s="43" t="s">
        <v>159</v>
      </c>
      <c r="J13" s="47">
        <v>51</v>
      </c>
      <c r="K13" s="47">
        <f t="shared" si="2"/>
        <v>25.5</v>
      </c>
      <c r="L13" s="44">
        <f t="shared" si="4"/>
        <v>25.5</v>
      </c>
      <c r="M13" s="47">
        <f t="shared" si="2"/>
        <v>12.75</v>
      </c>
      <c r="N13" s="43" t="s">
        <v>159</v>
      </c>
      <c r="O13" s="56">
        <v>52</v>
      </c>
      <c r="P13" s="44">
        <f t="shared" si="3"/>
        <v>26</v>
      </c>
      <c r="Q13" s="55">
        <f t="shared" si="5"/>
        <v>26</v>
      </c>
      <c r="R13" s="44">
        <f t="shared" si="3"/>
        <v>13</v>
      </c>
    </row>
    <row r="14" spans="1:18" ht="12.75">
      <c r="A14" s="41"/>
      <c r="B14" s="41" t="s">
        <v>113</v>
      </c>
      <c r="C14" s="43">
        <v>0</v>
      </c>
      <c r="D14" s="43"/>
      <c r="E14" s="44">
        <v>410</v>
      </c>
      <c r="F14" s="55">
        <f t="shared" si="0"/>
        <v>0</v>
      </c>
      <c r="G14" s="55">
        <f t="shared" si="1"/>
        <v>410</v>
      </c>
      <c r="H14" s="55">
        <f t="shared" si="0"/>
        <v>0</v>
      </c>
      <c r="I14" s="43"/>
      <c r="J14" s="55">
        <v>230</v>
      </c>
      <c r="K14" s="55">
        <f t="shared" si="2"/>
        <v>0</v>
      </c>
      <c r="L14" s="44">
        <f t="shared" si="4"/>
        <v>230</v>
      </c>
      <c r="M14" s="55">
        <f t="shared" si="2"/>
        <v>0</v>
      </c>
      <c r="N14" s="43"/>
      <c r="O14" s="56">
        <v>290</v>
      </c>
      <c r="P14" s="44">
        <f t="shared" si="3"/>
        <v>0</v>
      </c>
      <c r="Q14" s="55">
        <f t="shared" si="5"/>
        <v>290</v>
      </c>
      <c r="R14" s="44">
        <f t="shared" si="3"/>
        <v>0</v>
      </c>
    </row>
    <row r="15" spans="1:18" ht="12.75">
      <c r="A15" s="41"/>
      <c r="B15" s="41" t="s">
        <v>31</v>
      </c>
      <c r="C15" s="43">
        <v>0.1</v>
      </c>
      <c r="D15" s="43" t="s">
        <v>159</v>
      </c>
      <c r="E15" s="44">
        <v>23</v>
      </c>
      <c r="F15" s="47">
        <f t="shared" si="0"/>
        <v>2.3000000000000003</v>
      </c>
      <c r="G15" s="55">
        <f t="shared" si="1"/>
        <v>11.5</v>
      </c>
      <c r="H15" s="47">
        <f t="shared" si="0"/>
        <v>1.1500000000000001</v>
      </c>
      <c r="I15" s="43" t="s">
        <v>159</v>
      </c>
      <c r="J15" s="44">
        <v>22</v>
      </c>
      <c r="K15" s="47">
        <f t="shared" si="2"/>
        <v>2.2</v>
      </c>
      <c r="L15" s="44">
        <f t="shared" si="4"/>
        <v>11</v>
      </c>
      <c r="M15" s="47">
        <f t="shared" si="2"/>
        <v>1.1</v>
      </c>
      <c r="N15" s="43" t="s">
        <v>159</v>
      </c>
      <c r="O15" s="48">
        <v>190</v>
      </c>
      <c r="P15" s="47">
        <f t="shared" si="3"/>
        <v>19</v>
      </c>
      <c r="Q15" s="55">
        <f t="shared" si="5"/>
        <v>95</v>
      </c>
      <c r="R15" s="47">
        <f t="shared" si="3"/>
        <v>9.5</v>
      </c>
    </row>
    <row r="16" spans="1:18" ht="12.75">
      <c r="A16" s="41"/>
      <c r="B16" s="41" t="s">
        <v>32</v>
      </c>
      <c r="C16" s="43">
        <v>0.1</v>
      </c>
      <c r="D16" s="43" t="s">
        <v>159</v>
      </c>
      <c r="E16" s="44">
        <v>78</v>
      </c>
      <c r="F16" s="47">
        <f t="shared" si="0"/>
        <v>7.800000000000001</v>
      </c>
      <c r="G16" s="55">
        <f t="shared" si="1"/>
        <v>39</v>
      </c>
      <c r="H16" s="47">
        <f t="shared" si="0"/>
        <v>3.9000000000000004</v>
      </c>
      <c r="I16" s="43" t="s">
        <v>159</v>
      </c>
      <c r="J16" s="44">
        <v>65</v>
      </c>
      <c r="K16" s="47">
        <f t="shared" si="2"/>
        <v>6.5</v>
      </c>
      <c r="L16" s="44">
        <f t="shared" si="4"/>
        <v>32.5</v>
      </c>
      <c r="M16" s="47">
        <f t="shared" si="2"/>
        <v>3.25</v>
      </c>
      <c r="N16" s="43" t="s">
        <v>159</v>
      </c>
      <c r="O16" s="48">
        <v>160</v>
      </c>
      <c r="P16" s="44">
        <f t="shared" si="3"/>
        <v>16</v>
      </c>
      <c r="Q16" s="55">
        <f t="shared" si="5"/>
        <v>80</v>
      </c>
      <c r="R16" s="44">
        <f t="shared" si="3"/>
        <v>8</v>
      </c>
    </row>
    <row r="17" spans="1:18" ht="12.75">
      <c r="A17" s="41"/>
      <c r="B17" s="41" t="s">
        <v>33</v>
      </c>
      <c r="C17" s="43">
        <v>0.1</v>
      </c>
      <c r="D17" s="43" t="s">
        <v>159</v>
      </c>
      <c r="E17" s="44">
        <v>62</v>
      </c>
      <c r="F17" s="47">
        <f t="shared" si="0"/>
        <v>6.2</v>
      </c>
      <c r="G17" s="55">
        <f t="shared" si="1"/>
        <v>31</v>
      </c>
      <c r="H17" s="47">
        <f t="shared" si="0"/>
        <v>3.1</v>
      </c>
      <c r="I17" s="43" t="s">
        <v>159</v>
      </c>
      <c r="J17" s="44">
        <v>82</v>
      </c>
      <c r="K17" s="47">
        <f t="shared" si="2"/>
        <v>8.200000000000001</v>
      </c>
      <c r="L17" s="44">
        <f t="shared" si="4"/>
        <v>41</v>
      </c>
      <c r="M17" s="47">
        <f t="shared" si="2"/>
        <v>4.1000000000000005</v>
      </c>
      <c r="N17" s="43" t="s">
        <v>159</v>
      </c>
      <c r="O17" s="48">
        <v>180</v>
      </c>
      <c r="P17" s="44">
        <f t="shared" si="3"/>
        <v>18</v>
      </c>
      <c r="Q17" s="55">
        <f t="shared" si="5"/>
        <v>90</v>
      </c>
      <c r="R17" s="44">
        <f t="shared" si="3"/>
        <v>9</v>
      </c>
    </row>
    <row r="18" spans="1:18" ht="12.75">
      <c r="A18" s="41"/>
      <c r="B18" s="41" t="s">
        <v>114</v>
      </c>
      <c r="C18" s="43">
        <v>0</v>
      </c>
      <c r="D18" s="43"/>
      <c r="E18" s="44">
        <v>1900</v>
      </c>
      <c r="F18" s="55">
        <f t="shared" si="0"/>
        <v>0</v>
      </c>
      <c r="G18" s="55">
        <f t="shared" si="1"/>
        <v>1900</v>
      </c>
      <c r="H18" s="55">
        <f t="shared" si="0"/>
        <v>0</v>
      </c>
      <c r="I18" s="43"/>
      <c r="J18" s="55">
        <v>1800</v>
      </c>
      <c r="K18" s="55">
        <f t="shared" si="2"/>
        <v>0</v>
      </c>
      <c r="L18" s="55">
        <f t="shared" si="4"/>
        <v>1800</v>
      </c>
      <c r="M18" s="55">
        <f t="shared" si="2"/>
        <v>0</v>
      </c>
      <c r="N18" s="43"/>
      <c r="O18" s="56">
        <v>1500</v>
      </c>
      <c r="P18" s="55">
        <f t="shared" si="3"/>
        <v>0</v>
      </c>
      <c r="Q18" s="55">
        <f t="shared" si="5"/>
        <v>1500</v>
      </c>
      <c r="R18" s="55">
        <f t="shared" si="3"/>
        <v>0</v>
      </c>
    </row>
    <row r="19" spans="1:18" ht="12.75">
      <c r="A19" s="41"/>
      <c r="B19" s="41" t="s">
        <v>34</v>
      </c>
      <c r="C19" s="43">
        <v>0.01</v>
      </c>
      <c r="D19" s="43"/>
      <c r="E19" s="44">
        <v>720</v>
      </c>
      <c r="F19" s="47">
        <f t="shared" si="0"/>
        <v>7.2</v>
      </c>
      <c r="G19" s="55">
        <f t="shared" si="1"/>
        <v>720</v>
      </c>
      <c r="H19" s="47">
        <f t="shared" si="0"/>
        <v>7.2</v>
      </c>
      <c r="I19" s="43"/>
      <c r="J19" s="55">
        <v>640</v>
      </c>
      <c r="K19" s="47">
        <f t="shared" si="2"/>
        <v>6.4</v>
      </c>
      <c r="L19" s="55">
        <f t="shared" si="4"/>
        <v>640</v>
      </c>
      <c r="M19" s="47">
        <f t="shared" si="2"/>
        <v>6.4</v>
      </c>
      <c r="N19" s="43"/>
      <c r="O19" s="56">
        <v>510</v>
      </c>
      <c r="P19" s="47">
        <f t="shared" si="3"/>
        <v>5.1000000000000005</v>
      </c>
      <c r="Q19" s="55">
        <f t="shared" si="5"/>
        <v>510</v>
      </c>
      <c r="R19" s="47">
        <f t="shared" si="3"/>
        <v>5.1000000000000005</v>
      </c>
    </row>
    <row r="20" spans="1:18" ht="12.75">
      <c r="A20" s="41"/>
      <c r="B20" s="41" t="s">
        <v>115</v>
      </c>
      <c r="C20" s="43">
        <v>0</v>
      </c>
      <c r="D20" s="43"/>
      <c r="E20" s="44">
        <v>1500</v>
      </c>
      <c r="F20" s="55">
        <f t="shared" si="0"/>
        <v>0</v>
      </c>
      <c r="G20" s="55">
        <f t="shared" si="1"/>
        <v>1500</v>
      </c>
      <c r="H20" s="55">
        <f t="shared" si="0"/>
        <v>0</v>
      </c>
      <c r="I20" s="43"/>
      <c r="J20" s="55">
        <v>1300</v>
      </c>
      <c r="K20" s="55">
        <f t="shared" si="2"/>
        <v>0</v>
      </c>
      <c r="L20" s="55">
        <f t="shared" si="4"/>
        <v>1300</v>
      </c>
      <c r="M20" s="55">
        <f t="shared" si="2"/>
        <v>0</v>
      </c>
      <c r="N20" s="43"/>
      <c r="O20" s="56">
        <v>1100</v>
      </c>
      <c r="P20" s="55">
        <f t="shared" si="3"/>
        <v>0</v>
      </c>
      <c r="Q20" s="55">
        <f t="shared" si="5"/>
        <v>1100</v>
      </c>
      <c r="R20" s="55">
        <f t="shared" si="3"/>
        <v>0</v>
      </c>
    </row>
    <row r="21" spans="1:18" ht="12.75">
      <c r="A21" s="41"/>
      <c r="B21" s="41" t="s">
        <v>35</v>
      </c>
      <c r="C21" s="43">
        <v>0.001</v>
      </c>
      <c r="D21" s="43"/>
      <c r="E21" s="44">
        <v>940</v>
      </c>
      <c r="F21" s="46">
        <f t="shared" si="0"/>
        <v>0.9400000000000001</v>
      </c>
      <c r="G21" s="55">
        <f t="shared" si="1"/>
        <v>940</v>
      </c>
      <c r="H21" s="46">
        <f t="shared" si="0"/>
        <v>0.9400000000000001</v>
      </c>
      <c r="I21" s="43"/>
      <c r="J21" s="55">
        <v>810</v>
      </c>
      <c r="K21" s="47">
        <f t="shared" si="2"/>
        <v>0.81</v>
      </c>
      <c r="L21" s="55">
        <f t="shared" si="4"/>
        <v>810</v>
      </c>
      <c r="M21" s="47">
        <f t="shared" si="2"/>
        <v>0.81</v>
      </c>
      <c r="N21" s="43" t="s">
        <v>159</v>
      </c>
      <c r="O21" s="56">
        <v>710</v>
      </c>
      <c r="P21" s="46">
        <f t="shared" si="3"/>
        <v>0.71</v>
      </c>
      <c r="Q21" s="55">
        <f t="shared" si="5"/>
        <v>355</v>
      </c>
      <c r="R21" s="46">
        <f t="shared" si="3"/>
        <v>0.355</v>
      </c>
    </row>
    <row r="22" spans="1:18" ht="12.75">
      <c r="A22" s="41"/>
      <c r="B22" s="41" t="s">
        <v>36</v>
      </c>
      <c r="C22" s="43">
        <v>0.1</v>
      </c>
      <c r="D22" s="43" t="s">
        <v>159</v>
      </c>
      <c r="E22" s="44">
        <v>25</v>
      </c>
      <c r="F22" s="47">
        <f t="shared" si="0"/>
        <v>2.5</v>
      </c>
      <c r="G22" s="55">
        <f t="shared" si="1"/>
        <v>12.5</v>
      </c>
      <c r="H22" s="47">
        <f t="shared" si="0"/>
        <v>1.25</v>
      </c>
      <c r="I22" s="43" t="s">
        <v>159</v>
      </c>
      <c r="J22" s="55">
        <v>27</v>
      </c>
      <c r="K22" s="55">
        <f t="shared" si="2"/>
        <v>2.7</v>
      </c>
      <c r="L22" s="55">
        <f t="shared" si="4"/>
        <v>13.5</v>
      </c>
      <c r="M22" s="55">
        <f t="shared" si="2"/>
        <v>1.35</v>
      </c>
      <c r="N22" s="43" t="s">
        <v>159</v>
      </c>
      <c r="O22" s="56">
        <v>25</v>
      </c>
      <c r="P22" s="55">
        <f t="shared" si="3"/>
        <v>2.5</v>
      </c>
      <c r="Q22" s="55">
        <f t="shared" si="5"/>
        <v>12.5</v>
      </c>
      <c r="R22" s="55">
        <f t="shared" si="3"/>
        <v>1.25</v>
      </c>
    </row>
    <row r="23" spans="1:18" ht="12.75">
      <c r="A23" s="41"/>
      <c r="B23" s="41" t="s">
        <v>116</v>
      </c>
      <c r="C23" s="43">
        <v>0</v>
      </c>
      <c r="D23" s="43"/>
      <c r="E23" s="44">
        <v>260</v>
      </c>
      <c r="F23" s="55">
        <f t="shared" si="0"/>
        <v>0</v>
      </c>
      <c r="G23" s="55">
        <f t="shared" si="1"/>
        <v>260</v>
      </c>
      <c r="H23" s="55">
        <f t="shared" si="0"/>
        <v>0</v>
      </c>
      <c r="I23" s="43"/>
      <c r="J23" s="55">
        <v>320</v>
      </c>
      <c r="K23" s="55">
        <f t="shared" si="2"/>
        <v>0</v>
      </c>
      <c r="L23" s="55">
        <f t="shared" si="4"/>
        <v>320</v>
      </c>
      <c r="M23" s="55">
        <f t="shared" si="2"/>
        <v>0</v>
      </c>
      <c r="N23" s="43"/>
      <c r="O23" s="56">
        <v>120</v>
      </c>
      <c r="P23" s="55">
        <f t="shared" si="3"/>
        <v>0</v>
      </c>
      <c r="Q23" s="55">
        <f t="shared" si="5"/>
        <v>120</v>
      </c>
      <c r="R23" s="55">
        <f t="shared" si="3"/>
        <v>0</v>
      </c>
    </row>
    <row r="24" spans="1:18" ht="12.75">
      <c r="A24" s="41"/>
      <c r="B24" s="41" t="s">
        <v>37</v>
      </c>
      <c r="C24" s="43">
        <v>0.05</v>
      </c>
      <c r="D24" s="43" t="s">
        <v>159</v>
      </c>
      <c r="E24" s="44">
        <v>48</v>
      </c>
      <c r="F24" s="47">
        <f t="shared" si="0"/>
        <v>2.4000000000000004</v>
      </c>
      <c r="G24" s="55">
        <f t="shared" si="1"/>
        <v>24</v>
      </c>
      <c r="H24" s="47">
        <f t="shared" si="0"/>
        <v>1.2000000000000002</v>
      </c>
      <c r="I24" s="43" t="s">
        <v>159</v>
      </c>
      <c r="J24" s="55">
        <v>18</v>
      </c>
      <c r="K24" s="44">
        <f t="shared" si="2"/>
        <v>0.9</v>
      </c>
      <c r="L24" s="55">
        <f t="shared" si="4"/>
        <v>9</v>
      </c>
      <c r="M24" s="44">
        <f t="shared" si="2"/>
        <v>0.45</v>
      </c>
      <c r="N24" s="43" t="s">
        <v>159</v>
      </c>
      <c r="O24" s="56">
        <v>30</v>
      </c>
      <c r="P24" s="55">
        <f t="shared" si="3"/>
        <v>1.5</v>
      </c>
      <c r="Q24" s="55">
        <f t="shared" si="5"/>
        <v>15</v>
      </c>
      <c r="R24" s="55">
        <f t="shared" si="3"/>
        <v>0.75</v>
      </c>
    </row>
    <row r="25" spans="1:18" ht="12.75">
      <c r="A25" s="41"/>
      <c r="B25" s="41" t="s">
        <v>38</v>
      </c>
      <c r="C25" s="43">
        <v>0.5</v>
      </c>
      <c r="D25" s="43" t="s">
        <v>159</v>
      </c>
      <c r="E25" s="44">
        <v>58</v>
      </c>
      <c r="F25" s="47">
        <f t="shared" si="0"/>
        <v>29</v>
      </c>
      <c r="G25" s="55">
        <f t="shared" si="1"/>
        <v>29</v>
      </c>
      <c r="H25" s="47">
        <f t="shared" si="0"/>
        <v>14.5</v>
      </c>
      <c r="I25" s="43" t="s">
        <v>159</v>
      </c>
      <c r="J25" s="55">
        <v>57</v>
      </c>
      <c r="K25" s="55">
        <f t="shared" si="2"/>
        <v>28.5</v>
      </c>
      <c r="L25" s="55">
        <f t="shared" si="4"/>
        <v>28.5</v>
      </c>
      <c r="M25" s="55">
        <f t="shared" si="2"/>
        <v>14.25</v>
      </c>
      <c r="N25" s="43" t="s">
        <v>159</v>
      </c>
      <c r="O25" s="56">
        <v>35</v>
      </c>
      <c r="P25" s="44">
        <f t="shared" si="3"/>
        <v>17.5</v>
      </c>
      <c r="Q25" s="55">
        <f t="shared" si="5"/>
        <v>17.5</v>
      </c>
      <c r="R25" s="44">
        <f t="shared" si="3"/>
        <v>8.75</v>
      </c>
    </row>
    <row r="26" spans="1:18" ht="12.75">
      <c r="A26" s="41"/>
      <c r="B26" s="41" t="s">
        <v>117</v>
      </c>
      <c r="C26" s="43">
        <v>0</v>
      </c>
      <c r="D26" s="43" t="s">
        <v>159</v>
      </c>
      <c r="E26" s="44">
        <v>150</v>
      </c>
      <c r="F26" s="44">
        <f t="shared" si="0"/>
        <v>0</v>
      </c>
      <c r="G26" s="55">
        <f t="shared" si="1"/>
        <v>75</v>
      </c>
      <c r="H26" s="44">
        <f t="shared" si="0"/>
        <v>0</v>
      </c>
      <c r="I26" s="43" t="s">
        <v>159</v>
      </c>
      <c r="J26" s="55">
        <v>110</v>
      </c>
      <c r="K26" s="55">
        <f t="shared" si="2"/>
        <v>0</v>
      </c>
      <c r="L26" s="55">
        <f t="shared" si="4"/>
        <v>55</v>
      </c>
      <c r="M26" s="55">
        <f t="shared" si="2"/>
        <v>0</v>
      </c>
      <c r="N26" s="43" t="s">
        <v>159</v>
      </c>
      <c r="O26" s="56">
        <v>86</v>
      </c>
      <c r="P26" s="55">
        <f t="shared" si="3"/>
        <v>0</v>
      </c>
      <c r="Q26" s="55">
        <f t="shared" si="5"/>
        <v>43</v>
      </c>
      <c r="R26" s="55">
        <f t="shared" si="3"/>
        <v>0</v>
      </c>
    </row>
    <row r="27" spans="1:18" ht="12.75">
      <c r="A27" s="41"/>
      <c r="B27" s="41" t="s">
        <v>39</v>
      </c>
      <c r="C27" s="43">
        <v>0.1</v>
      </c>
      <c r="D27" s="43" t="s">
        <v>159</v>
      </c>
      <c r="E27" s="44">
        <v>100</v>
      </c>
      <c r="F27" s="47">
        <f t="shared" si="0"/>
        <v>10</v>
      </c>
      <c r="G27" s="55">
        <f t="shared" si="1"/>
        <v>50</v>
      </c>
      <c r="H27" s="47">
        <f t="shared" si="0"/>
        <v>5</v>
      </c>
      <c r="I27" s="43" t="s">
        <v>159</v>
      </c>
      <c r="J27" s="55">
        <v>82</v>
      </c>
      <c r="K27" s="55">
        <f t="shared" si="2"/>
        <v>8.200000000000001</v>
      </c>
      <c r="L27" s="55">
        <f t="shared" si="4"/>
        <v>41</v>
      </c>
      <c r="M27" s="55">
        <f t="shared" si="2"/>
        <v>4.1000000000000005</v>
      </c>
      <c r="N27" s="43" t="s">
        <v>159</v>
      </c>
      <c r="O27" s="56">
        <v>57</v>
      </c>
      <c r="P27" s="55">
        <f t="shared" si="3"/>
        <v>5.7</v>
      </c>
      <c r="Q27" s="55">
        <f t="shared" si="5"/>
        <v>28.5</v>
      </c>
      <c r="R27" s="55">
        <f t="shared" si="3"/>
        <v>2.85</v>
      </c>
    </row>
    <row r="28" spans="1:18" ht="12.75">
      <c r="A28" s="41"/>
      <c r="B28" s="41" t="s">
        <v>40</v>
      </c>
      <c r="C28" s="43">
        <v>0.1</v>
      </c>
      <c r="D28" s="43" t="s">
        <v>159</v>
      </c>
      <c r="E28" s="44">
        <v>57</v>
      </c>
      <c r="F28" s="47">
        <f t="shared" si="0"/>
        <v>5.7</v>
      </c>
      <c r="G28" s="55">
        <f t="shared" si="1"/>
        <v>28.5</v>
      </c>
      <c r="H28" s="47">
        <f t="shared" si="0"/>
        <v>2.85</v>
      </c>
      <c r="I28" s="43" t="s">
        <v>159</v>
      </c>
      <c r="J28" s="55">
        <v>42</v>
      </c>
      <c r="K28" s="44">
        <f t="shared" si="2"/>
        <v>4.2</v>
      </c>
      <c r="L28" s="55">
        <f t="shared" si="4"/>
        <v>21</v>
      </c>
      <c r="M28" s="44">
        <f t="shared" si="2"/>
        <v>2.1</v>
      </c>
      <c r="N28" s="43" t="s">
        <v>159</v>
      </c>
      <c r="O28" s="56">
        <v>37</v>
      </c>
      <c r="P28" s="55">
        <f t="shared" si="3"/>
        <v>3.7</v>
      </c>
      <c r="Q28" s="55">
        <f t="shared" si="5"/>
        <v>18.5</v>
      </c>
      <c r="R28" s="55">
        <f t="shared" si="3"/>
        <v>1.85</v>
      </c>
    </row>
    <row r="29" spans="1:18" ht="12.75">
      <c r="A29" s="41"/>
      <c r="B29" s="41" t="s">
        <v>41</v>
      </c>
      <c r="C29" s="43">
        <v>0.1</v>
      </c>
      <c r="D29" s="43" t="s">
        <v>159</v>
      </c>
      <c r="E29" s="44">
        <v>150</v>
      </c>
      <c r="F29" s="47">
        <f t="shared" si="0"/>
        <v>15</v>
      </c>
      <c r="G29" s="55">
        <f t="shared" si="1"/>
        <v>75</v>
      </c>
      <c r="H29" s="47">
        <f t="shared" si="0"/>
        <v>7.5</v>
      </c>
      <c r="I29" s="43" t="s">
        <v>159</v>
      </c>
      <c r="J29" s="55">
        <v>140</v>
      </c>
      <c r="K29" s="44">
        <f t="shared" si="2"/>
        <v>14</v>
      </c>
      <c r="L29" s="55">
        <f t="shared" si="4"/>
        <v>70</v>
      </c>
      <c r="M29" s="44">
        <f t="shared" si="2"/>
        <v>7</v>
      </c>
      <c r="N29" s="43" t="s">
        <v>159</v>
      </c>
      <c r="O29" s="56">
        <v>110</v>
      </c>
      <c r="P29" s="44">
        <f t="shared" si="3"/>
        <v>11</v>
      </c>
      <c r="Q29" s="55">
        <f t="shared" si="5"/>
        <v>55</v>
      </c>
      <c r="R29" s="44">
        <f t="shared" si="3"/>
        <v>5.5</v>
      </c>
    </row>
    <row r="30" spans="1:18" ht="12.75">
      <c r="A30" s="41"/>
      <c r="B30" s="41" t="s">
        <v>42</v>
      </c>
      <c r="C30" s="43">
        <v>0.1</v>
      </c>
      <c r="D30" s="43" t="s">
        <v>159</v>
      </c>
      <c r="E30" s="44">
        <v>22</v>
      </c>
      <c r="F30" s="47">
        <f t="shared" si="0"/>
        <v>2.2</v>
      </c>
      <c r="G30" s="55">
        <f t="shared" si="1"/>
        <v>11</v>
      </c>
      <c r="H30" s="47">
        <f t="shared" si="0"/>
        <v>1.1</v>
      </c>
      <c r="I30" s="43" t="s">
        <v>159</v>
      </c>
      <c r="J30" s="55">
        <v>41</v>
      </c>
      <c r="K30" s="55">
        <f t="shared" si="2"/>
        <v>4.1000000000000005</v>
      </c>
      <c r="L30" s="55">
        <f t="shared" si="4"/>
        <v>20.5</v>
      </c>
      <c r="M30" s="55">
        <f t="shared" si="2"/>
        <v>2.0500000000000003</v>
      </c>
      <c r="N30" s="43" t="s">
        <v>159</v>
      </c>
      <c r="O30" s="56">
        <v>20</v>
      </c>
      <c r="P30" s="44">
        <f t="shared" si="3"/>
        <v>2</v>
      </c>
      <c r="Q30" s="55">
        <f t="shared" si="5"/>
        <v>10</v>
      </c>
      <c r="R30" s="44">
        <f t="shared" si="3"/>
        <v>1</v>
      </c>
    </row>
    <row r="31" spans="1:18" ht="12.75">
      <c r="A31" s="41"/>
      <c r="B31" s="41" t="s">
        <v>118</v>
      </c>
      <c r="C31" s="43">
        <v>0</v>
      </c>
      <c r="D31" s="43" t="s">
        <v>159</v>
      </c>
      <c r="E31" s="44">
        <v>220</v>
      </c>
      <c r="F31" s="55">
        <f t="shared" si="0"/>
        <v>0</v>
      </c>
      <c r="G31" s="44">
        <f>IF(E31=0,"",IF(D31="nd",E31/2,E31))</f>
        <v>110</v>
      </c>
      <c r="H31" s="55">
        <f t="shared" si="0"/>
        <v>0</v>
      </c>
      <c r="I31" s="43" t="s">
        <v>159</v>
      </c>
      <c r="J31" s="55">
        <v>140</v>
      </c>
      <c r="K31" s="55">
        <f t="shared" si="2"/>
        <v>0</v>
      </c>
      <c r="L31" s="55">
        <f t="shared" si="4"/>
        <v>70</v>
      </c>
      <c r="M31" s="55">
        <f t="shared" si="2"/>
        <v>0</v>
      </c>
      <c r="N31" s="43" t="s">
        <v>159</v>
      </c>
      <c r="O31" s="56">
        <v>120</v>
      </c>
      <c r="P31" s="55">
        <f t="shared" si="3"/>
        <v>0</v>
      </c>
      <c r="Q31" s="55">
        <f t="shared" si="5"/>
        <v>60</v>
      </c>
      <c r="R31" s="55">
        <f t="shared" si="3"/>
        <v>0</v>
      </c>
    </row>
    <row r="32" spans="1:18" ht="12.75">
      <c r="A32" s="41"/>
      <c r="B32" s="41" t="s">
        <v>43</v>
      </c>
      <c r="C32" s="43">
        <v>0.01</v>
      </c>
      <c r="D32" s="43" t="s">
        <v>159</v>
      </c>
      <c r="E32" s="44">
        <v>240</v>
      </c>
      <c r="F32" s="44">
        <f t="shared" si="0"/>
        <v>2.4</v>
      </c>
      <c r="G32" s="55">
        <f>IF(E32=0,"",IF(D32="nd",E32/2,E32))</f>
        <v>120</v>
      </c>
      <c r="H32" s="44">
        <f t="shared" si="0"/>
        <v>1.2</v>
      </c>
      <c r="I32" s="43" t="s">
        <v>159</v>
      </c>
      <c r="J32" s="55">
        <v>220</v>
      </c>
      <c r="K32" s="47">
        <f t="shared" si="2"/>
        <v>2.2</v>
      </c>
      <c r="L32" s="55">
        <f t="shared" si="4"/>
        <v>110</v>
      </c>
      <c r="M32" s="47">
        <f t="shared" si="2"/>
        <v>1.1</v>
      </c>
      <c r="N32" s="43" t="s">
        <v>159</v>
      </c>
      <c r="O32" s="56">
        <v>180</v>
      </c>
      <c r="P32" s="47">
        <f t="shared" si="3"/>
        <v>1.8</v>
      </c>
      <c r="Q32" s="55">
        <f t="shared" si="5"/>
        <v>90</v>
      </c>
      <c r="R32" s="47">
        <f t="shared" si="3"/>
        <v>0.9</v>
      </c>
    </row>
    <row r="33" spans="1:18" ht="12.75">
      <c r="A33" s="41"/>
      <c r="B33" s="41" t="s">
        <v>44</v>
      </c>
      <c r="C33" s="43">
        <v>0.01</v>
      </c>
      <c r="D33" s="43" t="s">
        <v>159</v>
      </c>
      <c r="E33" s="44">
        <v>65</v>
      </c>
      <c r="F33" s="47">
        <f t="shared" si="0"/>
        <v>0.65</v>
      </c>
      <c r="G33" s="55">
        <f>IF(E33=0,"",IF(D33="nd",E33/2,E33))</f>
        <v>32.5</v>
      </c>
      <c r="H33" s="47">
        <f t="shared" si="0"/>
        <v>0.325</v>
      </c>
      <c r="I33" s="43" t="s">
        <v>159</v>
      </c>
      <c r="J33" s="55">
        <v>67</v>
      </c>
      <c r="K33" s="47">
        <f t="shared" si="2"/>
        <v>0.67</v>
      </c>
      <c r="L33" s="55">
        <f t="shared" si="4"/>
        <v>33.5</v>
      </c>
      <c r="M33" s="47">
        <f t="shared" si="2"/>
        <v>0.335</v>
      </c>
      <c r="N33" s="43" t="s">
        <v>159</v>
      </c>
      <c r="O33" s="56">
        <v>48</v>
      </c>
      <c r="P33" s="47">
        <f t="shared" si="3"/>
        <v>0.48</v>
      </c>
      <c r="Q33" s="55">
        <f t="shared" si="5"/>
        <v>24</v>
      </c>
      <c r="R33" s="47">
        <f t="shared" si="3"/>
        <v>0.24</v>
      </c>
    </row>
    <row r="34" spans="1:18" ht="12.75">
      <c r="A34" s="41"/>
      <c r="B34" s="41" t="s">
        <v>119</v>
      </c>
      <c r="C34" s="43">
        <v>0</v>
      </c>
      <c r="D34" s="43" t="s">
        <v>159</v>
      </c>
      <c r="E34" s="44">
        <v>240</v>
      </c>
      <c r="F34" s="55">
        <f t="shared" si="0"/>
        <v>0</v>
      </c>
      <c r="G34" s="55">
        <f>IF(E34=0,"",IF(D34="nd",E34/2,E34))</f>
        <v>120</v>
      </c>
      <c r="H34" s="55">
        <f t="shared" si="0"/>
        <v>0</v>
      </c>
      <c r="I34" s="43" t="s">
        <v>159</v>
      </c>
      <c r="J34" s="55">
        <v>220</v>
      </c>
      <c r="K34" s="55">
        <f t="shared" si="2"/>
        <v>0</v>
      </c>
      <c r="L34" s="55">
        <f t="shared" si="4"/>
        <v>110</v>
      </c>
      <c r="M34" s="55">
        <f t="shared" si="2"/>
        <v>0</v>
      </c>
      <c r="N34" s="43" t="s">
        <v>159</v>
      </c>
      <c r="O34" s="56">
        <v>180</v>
      </c>
      <c r="P34" s="55">
        <f t="shared" si="3"/>
        <v>0</v>
      </c>
      <c r="Q34" s="55">
        <f t="shared" si="5"/>
        <v>90</v>
      </c>
      <c r="R34" s="55">
        <f t="shared" si="3"/>
        <v>0</v>
      </c>
    </row>
    <row r="35" spans="1:18" ht="12.75">
      <c r="A35" s="41"/>
      <c r="B35" s="41" t="s">
        <v>45</v>
      </c>
      <c r="C35" s="43">
        <v>0.001</v>
      </c>
      <c r="D35" s="43" t="s">
        <v>159</v>
      </c>
      <c r="E35" s="44">
        <v>150</v>
      </c>
      <c r="F35" s="47">
        <f t="shared" si="0"/>
        <v>0.15</v>
      </c>
      <c r="G35" s="55">
        <f>IF(E35=0,"",IF(D35="nd",E35/2,E35))</f>
        <v>75</v>
      </c>
      <c r="H35" s="47">
        <f t="shared" si="0"/>
        <v>0.075</v>
      </c>
      <c r="I35" s="43" t="s">
        <v>159</v>
      </c>
      <c r="J35" s="55">
        <v>160</v>
      </c>
      <c r="K35" s="46">
        <f t="shared" si="2"/>
        <v>0.16</v>
      </c>
      <c r="L35" s="55">
        <f t="shared" si="4"/>
        <v>80</v>
      </c>
      <c r="M35" s="46">
        <f t="shared" si="2"/>
        <v>0.08</v>
      </c>
      <c r="N35" s="43" t="s">
        <v>159</v>
      </c>
      <c r="O35" s="56">
        <v>130</v>
      </c>
      <c r="P35" s="46">
        <f t="shared" si="3"/>
        <v>0.13</v>
      </c>
      <c r="Q35" s="55">
        <f t="shared" si="5"/>
        <v>65</v>
      </c>
      <c r="R35" s="46">
        <f t="shared" si="3"/>
        <v>0.065</v>
      </c>
    </row>
    <row r="36" spans="1:18" ht="12.75">
      <c r="A36" s="41"/>
      <c r="B36" s="41"/>
      <c r="C36" s="41"/>
      <c r="D36" s="41"/>
      <c r="E36" s="44"/>
      <c r="F36" s="50"/>
      <c r="G36" s="47"/>
      <c r="H36" s="50"/>
      <c r="I36" s="71"/>
      <c r="J36" s="19"/>
      <c r="K36" s="44"/>
      <c r="L36" s="44"/>
      <c r="M36" s="44"/>
      <c r="N36" s="71"/>
      <c r="O36" s="19"/>
      <c r="P36" s="49"/>
      <c r="Q36" s="47"/>
      <c r="R36" s="49"/>
    </row>
    <row r="37" spans="1:18" ht="12.75">
      <c r="A37" s="41"/>
      <c r="B37" s="41" t="s">
        <v>46</v>
      </c>
      <c r="C37" s="41"/>
      <c r="D37" s="41"/>
      <c r="F37" s="47">
        <v>142.044</v>
      </c>
      <c r="G37" s="47">
        <v>142.044</v>
      </c>
      <c r="H37" s="47">
        <v>142.044</v>
      </c>
      <c r="I37" s="71"/>
      <c r="J37" s="47"/>
      <c r="K37" s="47">
        <v>151.172</v>
      </c>
      <c r="L37" s="47">
        <v>151.172</v>
      </c>
      <c r="M37" s="47">
        <v>151.172</v>
      </c>
      <c r="N37" s="71"/>
      <c r="O37" s="47"/>
      <c r="P37" s="47">
        <v>138.957</v>
      </c>
      <c r="Q37" s="47">
        <v>138.957</v>
      </c>
      <c r="R37" s="47">
        <v>138.957</v>
      </c>
    </row>
    <row r="38" spans="1:18" ht="12.75">
      <c r="A38" s="41"/>
      <c r="B38" s="41" t="s">
        <v>66</v>
      </c>
      <c r="C38" s="41"/>
      <c r="D38" s="41"/>
      <c r="F38" s="44">
        <v>12.8</v>
      </c>
      <c r="G38" s="44">
        <v>12.8</v>
      </c>
      <c r="H38" s="44">
        <v>12.8</v>
      </c>
      <c r="I38" s="71"/>
      <c r="J38" s="47"/>
      <c r="K38" s="44">
        <v>13</v>
      </c>
      <c r="L38" s="44">
        <v>13</v>
      </c>
      <c r="M38" s="44">
        <v>13</v>
      </c>
      <c r="N38" s="71"/>
      <c r="O38" s="47"/>
      <c r="P38" s="44">
        <v>12.2</v>
      </c>
      <c r="Q38" s="44">
        <v>12.2</v>
      </c>
      <c r="R38" s="44">
        <v>12.2</v>
      </c>
    </row>
    <row r="39" spans="1:18" ht="12.75">
      <c r="A39" s="41"/>
      <c r="B39" s="41"/>
      <c r="C39" s="41"/>
      <c r="D39" s="41"/>
      <c r="E39" s="44"/>
      <c r="F39" s="19"/>
      <c r="G39" s="47"/>
      <c r="H39" s="19"/>
      <c r="I39" s="62"/>
      <c r="J39" s="47"/>
      <c r="K39" s="48"/>
      <c r="L39" s="44"/>
      <c r="M39" s="48"/>
      <c r="N39" s="71"/>
      <c r="O39" s="47"/>
      <c r="P39" s="47"/>
      <c r="Q39" s="47"/>
      <c r="R39" s="47"/>
    </row>
    <row r="40" spans="1:18" ht="12.75">
      <c r="A40" s="41"/>
      <c r="B40" s="41" t="s">
        <v>57</v>
      </c>
      <c r="C40" s="50"/>
      <c r="D40" s="50"/>
      <c r="E40" s="44"/>
      <c r="F40" s="47">
        <f>SUM(F11:F35)</f>
        <v>180.44</v>
      </c>
      <c r="G40" s="44">
        <f>SUM(G35,G34,G31,G26,G23,G21,G20,G18,G14,G12)</f>
        <v>5790</v>
      </c>
      <c r="H40" s="47">
        <f>SUM(H11:H35)</f>
        <v>94.29</v>
      </c>
      <c r="I40" s="52"/>
      <c r="J40" s="44"/>
      <c r="K40" s="46">
        <f>SUM(K11:K35)</f>
        <v>143.23999999999998</v>
      </c>
      <c r="L40" s="44">
        <f>SUM(L35,L34,L31,L26,L23,L21,L20,L18,L14,L12)</f>
        <v>5095</v>
      </c>
      <c r="M40" s="46">
        <f>SUM(M11:M35)</f>
        <v>75.225</v>
      </c>
      <c r="N40" s="52"/>
      <c r="O40" s="47"/>
      <c r="P40" s="47">
        <f>SUM(P11:P35)</f>
        <v>165.11999999999998</v>
      </c>
      <c r="Q40" s="44">
        <f>SUM(Q35,Q34,Q31,Q26,Q23,Q21,Q20,Q18,Q14,Q12)</f>
        <v>3983</v>
      </c>
      <c r="R40" s="47">
        <f>SUM(R11:R35)</f>
        <v>85.10999999999999</v>
      </c>
    </row>
    <row r="41" spans="1:18" ht="12.75">
      <c r="A41" s="41"/>
      <c r="B41" s="41" t="s">
        <v>47</v>
      </c>
      <c r="C41" s="50"/>
      <c r="D41" s="44">
        <f>(F41-H41)*2/F41*100</f>
        <v>95.48880514298381</v>
      </c>
      <c r="E41" s="44"/>
      <c r="F41" s="46">
        <f>(F40/F37/0.0283*(21-7)/(21-F38))/1000</f>
        <v>0.0766368547432938</v>
      </c>
      <c r="G41" s="46">
        <f>(G40/G37/0.0283*(21-7)/(21-G38))/1000</f>
        <v>2.4591409275308753</v>
      </c>
      <c r="H41" s="46">
        <f>(H40/H37/0.0283*(21-7)/(21-H38))/1000</f>
        <v>0.040047046296526126</v>
      </c>
      <c r="I41" s="44">
        <f>(K41-M41)*2/K41*100</f>
        <v>94.96648980731636</v>
      </c>
      <c r="J41" s="47"/>
      <c r="K41" s="47">
        <f>K40/K37/0.0283*(21-7)/(21-K38)/1000</f>
        <v>0.05859284241225144</v>
      </c>
      <c r="L41" s="46">
        <f>(L40/L37/0.0283*(21-7)/(21-L38))/1000</f>
        <v>2.084128260893753</v>
      </c>
      <c r="M41" s="47">
        <f>M40/M37/0.0283*(21-7)/(21-M38)/1000</f>
        <v>0.030771059553627588</v>
      </c>
      <c r="N41" s="44">
        <f>(P41-R41)*2/P41*100</f>
        <v>96.91133720930232</v>
      </c>
      <c r="O41" s="47"/>
      <c r="P41" s="46">
        <f>P40/P37/0.0283*(21-7)/(21-P38)/1000</f>
        <v>0.06680026395813603</v>
      </c>
      <c r="Q41" s="46">
        <f>(Q40/Q37/0.0283*(21-7)/(21-Q38))/1000</f>
        <v>1.6113459989417143</v>
      </c>
      <c r="R41" s="46">
        <f>R40/R37/0.0283*(21-7)/(21-R38)/1000</f>
        <v>0.0344317494275494</v>
      </c>
    </row>
    <row r="42" spans="1:18" ht="12.75">
      <c r="A42" s="41"/>
      <c r="B42" s="41"/>
      <c r="C42" s="41"/>
      <c r="D42" s="41"/>
      <c r="E42" s="44"/>
      <c r="F42" s="44"/>
      <c r="G42" s="44"/>
      <c r="H42" s="44"/>
      <c r="I42" s="46"/>
      <c r="J42" s="46"/>
      <c r="K42" s="46"/>
      <c r="L42" s="46"/>
      <c r="M42" s="46"/>
      <c r="N42" s="46"/>
      <c r="O42" s="46"/>
      <c r="P42" s="49"/>
      <c r="Q42" s="46"/>
      <c r="R42" s="49"/>
    </row>
    <row r="43" spans="1:18" ht="12.75">
      <c r="A43" s="47"/>
      <c r="B43" s="41" t="s">
        <v>67</v>
      </c>
      <c r="C43" s="46">
        <f>AVERAGE(H41,M41,R41)</f>
        <v>0.0350832850925677</v>
      </c>
      <c r="D43" s="47"/>
      <c r="E43" s="44"/>
      <c r="F43" s="44"/>
      <c r="G43" s="44"/>
      <c r="H43" s="44"/>
      <c r="I43" s="47"/>
      <c r="J43" s="47"/>
      <c r="K43" s="47"/>
      <c r="L43" s="47"/>
      <c r="M43" s="47"/>
      <c r="N43" s="47"/>
      <c r="O43" s="47"/>
      <c r="P43" s="49"/>
      <c r="Q43" s="47"/>
      <c r="R43" s="49"/>
    </row>
    <row r="44" spans="1:18" ht="12.75">
      <c r="A44" s="41"/>
      <c r="B44" s="41" t="s">
        <v>68</v>
      </c>
      <c r="C44" s="47">
        <f>AVERAGE(G41,L41,Q41)</f>
        <v>2.0515383957887807</v>
      </c>
      <c r="D44" s="41"/>
      <c r="E44" s="44"/>
      <c r="F44" s="44"/>
      <c r="G44" s="44"/>
      <c r="H44" s="44"/>
      <c r="I44" s="49"/>
      <c r="J44" s="49"/>
      <c r="K44" s="49"/>
      <c r="L44" s="49"/>
      <c r="M44" s="49"/>
      <c r="N44" s="49"/>
      <c r="O44" s="49"/>
      <c r="P44" s="49"/>
      <c r="Q44" s="49"/>
      <c r="R44" s="49"/>
    </row>
    <row r="85" spans="1:18" ht="12.75">
      <c r="A85" s="2"/>
      <c r="B85" s="2"/>
      <c r="C85" s="2"/>
      <c r="D85" s="2"/>
      <c r="E85" s="4"/>
      <c r="G85" s="4"/>
      <c r="J85" s="7"/>
      <c r="K85" s="6"/>
      <c r="L85" s="4"/>
      <c r="M85" s="6"/>
      <c r="N85" s="7"/>
      <c r="O85" s="7"/>
      <c r="P85" s="7"/>
      <c r="Q85" s="7"/>
      <c r="R85" s="7"/>
    </row>
    <row r="86" spans="1:18" ht="12.75">
      <c r="A86" s="2"/>
      <c r="B86" s="2"/>
      <c r="C86" s="3"/>
      <c r="D86" s="3"/>
      <c r="E86" s="4"/>
      <c r="F86" s="4"/>
      <c r="G86" s="4"/>
      <c r="H86" s="4"/>
      <c r="I86" s="3"/>
      <c r="J86" s="4"/>
      <c r="K86" s="4"/>
      <c r="L86" s="4"/>
      <c r="M86" s="4"/>
      <c r="N86" s="3"/>
      <c r="O86" s="7"/>
      <c r="P86" s="3"/>
      <c r="Q86" s="3"/>
      <c r="R86" s="3"/>
    </row>
    <row r="87" spans="1:18" ht="12.75">
      <c r="A87" s="2"/>
      <c r="B87" s="2"/>
      <c r="C87" s="3"/>
      <c r="D87" s="3"/>
      <c r="E87" s="4"/>
      <c r="F87" s="4"/>
      <c r="G87" s="4"/>
      <c r="H87" s="4"/>
      <c r="I87" s="3"/>
      <c r="J87" s="7"/>
      <c r="K87" s="3"/>
      <c r="L87" s="4"/>
      <c r="M87" s="3"/>
      <c r="N87" s="3"/>
      <c r="O87" s="7"/>
      <c r="P87" s="5"/>
      <c r="Q87" s="5"/>
      <c r="R87" s="5"/>
    </row>
  </sheetData>
  <printOptions headings="1" horizontalCentered="1"/>
  <pageMargins left="0.25" right="0.25" top="0.5" bottom="0.5" header="0.25" footer="0.25"/>
  <pageSetup horizontalDpi="600" verticalDpi="600" orientation="landscape" pageOrder="overThenDown" scale="80" r:id="rId1"/>
  <headerFooter alignWithMargins="0">
    <oddFooter>&amp;C&amp;P, &amp;A, 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R87"/>
  <sheetViews>
    <sheetView workbookViewId="0" topLeftCell="A34">
      <selection activeCell="B5" sqref="B5"/>
    </sheetView>
  </sheetViews>
  <sheetFormatPr defaultColWidth="9.140625" defaultRowHeight="12.75"/>
  <cols>
    <col min="1" max="1" width="1.7109375" style="0" customWidth="1"/>
    <col min="2" max="2" width="20.00390625" style="0" customWidth="1"/>
    <col min="3" max="3" width="7.7109375" style="0" customWidth="1"/>
    <col min="4" max="4" width="4.57421875" style="0" customWidth="1"/>
    <col min="5" max="5" width="9.421875" style="6" customWidth="1"/>
    <col min="6" max="6" width="9.8515625" style="6" customWidth="1"/>
    <col min="7" max="7" width="10.7109375" style="6" customWidth="1"/>
    <col min="8" max="8" width="9.8515625" style="6" customWidth="1"/>
    <col min="9" max="9" width="3.421875" style="0" customWidth="1"/>
    <col min="11" max="11" width="9.28125" style="0" customWidth="1"/>
    <col min="13" max="13" width="9.28125" style="0" customWidth="1"/>
    <col min="14" max="14" width="4.7109375" style="0" customWidth="1"/>
    <col min="16" max="16" width="9.00390625" style="0" customWidth="1"/>
    <col min="18" max="18" width="9.00390625" style="0" customWidth="1"/>
  </cols>
  <sheetData>
    <row r="1" spans="1:18" ht="12.75">
      <c r="A1" s="57" t="s">
        <v>77</v>
      </c>
      <c r="B1" s="41"/>
      <c r="C1" s="41"/>
      <c r="D1" s="41"/>
      <c r="E1" s="44"/>
      <c r="F1" s="44"/>
      <c r="G1" s="44"/>
      <c r="H1" s="44"/>
      <c r="I1" s="49"/>
      <c r="J1" s="49"/>
      <c r="K1" s="49"/>
      <c r="L1" s="49"/>
      <c r="M1" s="49"/>
      <c r="N1" s="49"/>
      <c r="O1" s="49"/>
      <c r="P1" s="49"/>
      <c r="Q1" s="49"/>
      <c r="R1" s="49"/>
    </row>
    <row r="2" spans="1:18" ht="12.75">
      <c r="A2" s="41" t="s">
        <v>277</v>
      </c>
      <c r="B2" s="41"/>
      <c r="C2" s="41"/>
      <c r="D2" s="41"/>
      <c r="E2" s="44"/>
      <c r="F2" s="44"/>
      <c r="G2" s="44"/>
      <c r="H2" s="44"/>
      <c r="I2" s="49"/>
      <c r="J2" s="49"/>
      <c r="K2" s="49"/>
      <c r="L2" s="49"/>
      <c r="M2" s="49"/>
      <c r="N2" s="49"/>
      <c r="O2" s="49"/>
      <c r="P2" s="49"/>
      <c r="Q2" s="49"/>
      <c r="R2" s="49"/>
    </row>
    <row r="3" spans="1:18" ht="12.75">
      <c r="A3" s="41" t="s">
        <v>21</v>
      </c>
      <c r="B3" s="41"/>
      <c r="C3" s="14" t="str">
        <f>source!C5</f>
        <v>Clean Harbors Environmental Services, Inc.</v>
      </c>
      <c r="D3" s="14"/>
      <c r="E3" s="44"/>
      <c r="F3" s="44"/>
      <c r="G3" s="44"/>
      <c r="H3" s="44"/>
      <c r="I3" s="49"/>
      <c r="J3" s="49"/>
      <c r="K3" s="49"/>
      <c r="L3" s="49"/>
      <c r="M3" s="49"/>
      <c r="N3" s="49"/>
      <c r="O3" s="49"/>
      <c r="P3" s="49"/>
      <c r="Q3" s="49"/>
      <c r="R3" s="49"/>
    </row>
    <row r="4" spans="1:18" ht="12.75">
      <c r="A4" s="41" t="s">
        <v>22</v>
      </c>
      <c r="B4" s="41"/>
      <c r="C4" s="14" t="s">
        <v>185</v>
      </c>
      <c r="D4" s="14"/>
      <c r="E4" s="64"/>
      <c r="F4" s="17"/>
      <c r="G4" s="64"/>
      <c r="H4" s="17"/>
      <c r="I4" s="51"/>
      <c r="J4" s="51"/>
      <c r="K4" s="51"/>
      <c r="L4" s="51"/>
      <c r="M4" s="51"/>
      <c r="N4" s="51"/>
      <c r="O4" s="51"/>
      <c r="P4" s="51"/>
      <c r="Q4" s="51"/>
      <c r="R4" s="51"/>
    </row>
    <row r="5" spans="1:18" ht="12.75">
      <c r="A5" s="41" t="s">
        <v>23</v>
      </c>
      <c r="B5" s="41"/>
      <c r="C5" s="19" t="str">
        <f>cond!C90</f>
        <v>Annual, comprehensive performance test</v>
      </c>
      <c r="D5" s="19"/>
      <c r="E5" s="48"/>
      <c r="F5" s="48" t="s">
        <v>184</v>
      </c>
      <c r="G5" s="48"/>
      <c r="H5" s="48" t="s">
        <v>184</v>
      </c>
      <c r="I5" s="19"/>
      <c r="J5" s="19"/>
      <c r="K5" s="49"/>
      <c r="L5" s="19"/>
      <c r="M5" s="49"/>
      <c r="N5" s="49"/>
      <c r="O5" s="49"/>
      <c r="P5" s="49"/>
      <c r="Q5" s="49"/>
      <c r="R5" s="49"/>
    </row>
    <row r="6" spans="1:18" ht="12.75">
      <c r="A6" s="41"/>
      <c r="B6" s="41"/>
      <c r="C6" s="43"/>
      <c r="D6" s="43"/>
      <c r="E6" s="17"/>
      <c r="F6" s="44"/>
      <c r="G6" s="17"/>
      <c r="H6" s="44"/>
      <c r="I6" s="49"/>
      <c r="J6" s="53"/>
      <c r="K6" s="49"/>
      <c r="L6" s="53"/>
      <c r="M6" s="49"/>
      <c r="N6" s="49"/>
      <c r="O6" s="53"/>
      <c r="P6" s="49"/>
      <c r="Q6" s="53"/>
      <c r="R6" s="49"/>
    </row>
    <row r="7" spans="1:18" ht="12.75">
      <c r="A7" s="41"/>
      <c r="B7" s="41"/>
      <c r="C7" s="43" t="s">
        <v>24</v>
      </c>
      <c r="D7" s="43"/>
      <c r="E7" s="65" t="s">
        <v>58</v>
      </c>
      <c r="F7" s="65"/>
      <c r="G7" s="65"/>
      <c r="H7" s="65"/>
      <c r="I7" s="18"/>
      <c r="J7" s="54" t="s">
        <v>59</v>
      </c>
      <c r="K7" s="54"/>
      <c r="L7" s="54"/>
      <c r="M7" s="54"/>
      <c r="N7" s="18"/>
      <c r="O7" s="54" t="s">
        <v>60</v>
      </c>
      <c r="P7" s="54"/>
      <c r="Q7" s="54"/>
      <c r="R7" s="54"/>
    </row>
    <row r="8" spans="1:18" ht="12.75">
      <c r="A8" s="41"/>
      <c r="B8" s="41"/>
      <c r="C8" s="43" t="s">
        <v>25</v>
      </c>
      <c r="D8" s="41"/>
      <c r="E8" s="17" t="s">
        <v>26</v>
      </c>
      <c r="F8" s="17" t="s">
        <v>27</v>
      </c>
      <c r="G8" s="17" t="s">
        <v>26</v>
      </c>
      <c r="H8" s="17" t="s">
        <v>27</v>
      </c>
      <c r="I8" s="49"/>
      <c r="J8" s="53" t="s">
        <v>26</v>
      </c>
      <c r="K8" s="53" t="s">
        <v>28</v>
      </c>
      <c r="L8" s="53" t="s">
        <v>26</v>
      </c>
      <c r="M8" s="53" t="s">
        <v>28</v>
      </c>
      <c r="N8" s="49"/>
      <c r="O8" s="53" t="s">
        <v>26</v>
      </c>
      <c r="P8" s="53" t="s">
        <v>28</v>
      </c>
      <c r="Q8" s="53" t="s">
        <v>26</v>
      </c>
      <c r="R8" s="53" t="s">
        <v>28</v>
      </c>
    </row>
    <row r="9" spans="1:18" ht="12.75">
      <c r="A9" s="41"/>
      <c r="B9" s="41"/>
      <c r="C9" s="43"/>
      <c r="D9" s="41"/>
      <c r="E9" s="17" t="s">
        <v>244</v>
      </c>
      <c r="F9" s="17" t="s">
        <v>244</v>
      </c>
      <c r="G9" s="17" t="s">
        <v>76</v>
      </c>
      <c r="H9" s="17" t="s">
        <v>76</v>
      </c>
      <c r="I9" s="49"/>
      <c r="J9" s="17" t="s">
        <v>244</v>
      </c>
      <c r="K9" s="17" t="s">
        <v>244</v>
      </c>
      <c r="L9" s="53" t="s">
        <v>76</v>
      </c>
      <c r="M9" s="52" t="s">
        <v>76</v>
      </c>
      <c r="N9" s="49"/>
      <c r="O9" s="17" t="s">
        <v>244</v>
      </c>
      <c r="P9" s="17" t="s">
        <v>244</v>
      </c>
      <c r="Q9" s="53" t="s">
        <v>76</v>
      </c>
      <c r="R9" s="52" t="s">
        <v>76</v>
      </c>
    </row>
    <row r="10" spans="1:18" ht="12.75">
      <c r="A10" s="41" t="s">
        <v>56</v>
      </c>
      <c r="B10" s="41"/>
      <c r="C10" s="41"/>
      <c r="D10" s="41"/>
      <c r="E10" s="44"/>
      <c r="F10" s="44"/>
      <c r="G10" s="44"/>
      <c r="H10" s="44"/>
      <c r="I10" s="49"/>
      <c r="J10" s="49"/>
      <c r="K10" s="49"/>
      <c r="L10" s="49"/>
      <c r="M10" s="49"/>
      <c r="N10" s="49"/>
      <c r="O10" s="44"/>
      <c r="P10" s="49"/>
      <c r="Q10" s="49"/>
      <c r="R10" s="49"/>
    </row>
    <row r="11" spans="1:18" ht="12.75">
      <c r="A11" s="41"/>
      <c r="B11" s="41" t="s">
        <v>112</v>
      </c>
      <c r="C11" s="43">
        <v>0</v>
      </c>
      <c r="E11">
        <v>8800</v>
      </c>
      <c r="F11" s="44">
        <f aca="true" t="shared" si="0" ref="F11:H20">IF(E11="","",E11*$C11)</f>
        <v>0</v>
      </c>
      <c r="G11" s="55">
        <f aca="true" t="shared" si="1" ref="G11:G20">IF(E11=0,"",IF(D11="nd",E11/2,E11))</f>
        <v>8800</v>
      </c>
      <c r="H11" s="44">
        <f t="shared" si="0"/>
        <v>0</v>
      </c>
      <c r="J11">
        <v>5900</v>
      </c>
      <c r="K11" s="55">
        <f aca="true" t="shared" si="2" ref="K11:M20">IF(J11="","",J11*$C11)</f>
        <v>0</v>
      </c>
      <c r="L11" s="44">
        <f aca="true" t="shared" si="3" ref="L11:L21">IF(J11=0,"",IF(I11="nd",J11/2,J11))</f>
        <v>5900</v>
      </c>
      <c r="M11" s="55">
        <f t="shared" si="2"/>
        <v>0</v>
      </c>
      <c r="O11">
        <v>10000</v>
      </c>
      <c r="P11" s="44">
        <f aca="true" t="shared" si="4" ref="P11:R20">IF(O11="","",O11*$C11)</f>
        <v>0</v>
      </c>
      <c r="Q11" s="55">
        <f aca="true" t="shared" si="5" ref="Q11:Q21">IF(O11=0,"",IF(N11="nd",O11/2,O11))</f>
        <v>10000</v>
      </c>
      <c r="R11" s="44">
        <f t="shared" si="4"/>
        <v>0</v>
      </c>
    </row>
    <row r="12" spans="1:18" ht="12.75">
      <c r="A12" s="41"/>
      <c r="B12" s="41" t="s">
        <v>113</v>
      </c>
      <c r="C12" s="43">
        <v>0</v>
      </c>
      <c r="E12">
        <v>15000</v>
      </c>
      <c r="F12" s="55">
        <f t="shared" si="0"/>
        <v>0</v>
      </c>
      <c r="G12" s="55">
        <f t="shared" si="1"/>
        <v>15000</v>
      </c>
      <c r="H12" s="55">
        <f t="shared" si="0"/>
        <v>0</v>
      </c>
      <c r="J12">
        <v>11000</v>
      </c>
      <c r="K12" s="55">
        <f t="shared" si="2"/>
        <v>0</v>
      </c>
      <c r="L12" s="44">
        <f t="shared" si="3"/>
        <v>11000</v>
      </c>
      <c r="M12" s="55">
        <f t="shared" si="2"/>
        <v>0</v>
      </c>
      <c r="O12">
        <v>19000</v>
      </c>
      <c r="P12" s="44">
        <f t="shared" si="4"/>
        <v>0</v>
      </c>
      <c r="Q12" s="55">
        <f t="shared" si="5"/>
        <v>19000</v>
      </c>
      <c r="R12" s="44">
        <f t="shared" si="4"/>
        <v>0</v>
      </c>
    </row>
    <row r="13" spans="1:18" ht="12.75">
      <c r="A13" s="41"/>
      <c r="B13" s="41" t="s">
        <v>114</v>
      </c>
      <c r="C13" s="43">
        <v>0</v>
      </c>
      <c r="E13">
        <v>32000</v>
      </c>
      <c r="F13" s="55">
        <f t="shared" si="0"/>
        <v>0</v>
      </c>
      <c r="G13" s="55">
        <f t="shared" si="1"/>
        <v>32000</v>
      </c>
      <c r="H13" s="55">
        <f t="shared" si="0"/>
        <v>0</v>
      </c>
      <c r="J13">
        <v>24000</v>
      </c>
      <c r="K13" s="55">
        <f t="shared" si="2"/>
        <v>0</v>
      </c>
      <c r="L13" s="55">
        <f t="shared" si="3"/>
        <v>24000</v>
      </c>
      <c r="M13" s="55">
        <f t="shared" si="2"/>
        <v>0</v>
      </c>
      <c r="O13">
        <v>42000</v>
      </c>
      <c r="P13" s="55">
        <f t="shared" si="4"/>
        <v>0</v>
      </c>
      <c r="Q13" s="55">
        <f t="shared" si="5"/>
        <v>42000</v>
      </c>
      <c r="R13" s="55">
        <f t="shared" si="4"/>
        <v>0</v>
      </c>
    </row>
    <row r="14" spans="1:18" ht="12.75">
      <c r="A14" s="41"/>
      <c r="B14" s="41" t="s">
        <v>115</v>
      </c>
      <c r="C14" s="43">
        <v>0</v>
      </c>
      <c r="E14">
        <v>24000</v>
      </c>
      <c r="F14" s="55">
        <f t="shared" si="0"/>
        <v>0</v>
      </c>
      <c r="G14" s="55">
        <f t="shared" si="1"/>
        <v>24000</v>
      </c>
      <c r="H14" s="55">
        <f t="shared" si="0"/>
        <v>0</v>
      </c>
      <c r="J14">
        <v>17000</v>
      </c>
      <c r="K14" s="55">
        <f t="shared" si="2"/>
        <v>0</v>
      </c>
      <c r="L14" s="55">
        <f t="shared" si="3"/>
        <v>17000</v>
      </c>
      <c r="M14" s="55">
        <f t="shared" si="2"/>
        <v>0</v>
      </c>
      <c r="O14">
        <v>28000</v>
      </c>
      <c r="P14" s="55">
        <f t="shared" si="4"/>
        <v>0</v>
      </c>
      <c r="Q14" s="55">
        <f t="shared" si="5"/>
        <v>28000</v>
      </c>
      <c r="R14" s="55">
        <f t="shared" si="4"/>
        <v>0</v>
      </c>
    </row>
    <row r="15" spans="1:18" ht="12.75">
      <c r="A15" s="41"/>
      <c r="B15" s="41" t="s">
        <v>35</v>
      </c>
      <c r="C15" s="43">
        <v>0.001</v>
      </c>
      <c r="E15">
        <v>19000</v>
      </c>
      <c r="F15" s="46">
        <f t="shared" si="0"/>
        <v>19</v>
      </c>
      <c r="G15" s="55">
        <f t="shared" si="1"/>
        <v>19000</v>
      </c>
      <c r="H15" s="46">
        <f t="shared" si="0"/>
        <v>19</v>
      </c>
      <c r="J15">
        <v>13000</v>
      </c>
      <c r="K15" s="47">
        <f t="shared" si="2"/>
        <v>13</v>
      </c>
      <c r="L15" s="55">
        <f t="shared" si="3"/>
        <v>13000</v>
      </c>
      <c r="M15" s="47">
        <f t="shared" si="2"/>
        <v>13</v>
      </c>
      <c r="O15">
        <v>21000</v>
      </c>
      <c r="P15" s="46">
        <f t="shared" si="4"/>
        <v>21</v>
      </c>
      <c r="Q15" s="55">
        <f t="shared" si="5"/>
        <v>21000</v>
      </c>
      <c r="R15" s="46">
        <f t="shared" si="4"/>
        <v>21</v>
      </c>
    </row>
    <row r="16" spans="1:18" ht="12.75">
      <c r="A16" s="41"/>
      <c r="B16" s="41" t="s">
        <v>116</v>
      </c>
      <c r="C16" s="43">
        <v>0</v>
      </c>
      <c r="E16">
        <v>9800</v>
      </c>
      <c r="F16" s="55">
        <f t="shared" si="0"/>
        <v>0</v>
      </c>
      <c r="G16" s="55">
        <f t="shared" si="1"/>
        <v>9800</v>
      </c>
      <c r="H16" s="55">
        <f t="shared" si="0"/>
        <v>0</v>
      </c>
      <c r="J16">
        <v>6800</v>
      </c>
      <c r="K16" s="55">
        <f t="shared" si="2"/>
        <v>0</v>
      </c>
      <c r="L16" s="55">
        <f t="shared" si="3"/>
        <v>6800</v>
      </c>
      <c r="M16" s="55">
        <f t="shared" si="2"/>
        <v>0</v>
      </c>
      <c r="O16">
        <v>11000</v>
      </c>
      <c r="P16" s="55">
        <f t="shared" si="4"/>
        <v>0</v>
      </c>
      <c r="Q16" s="55">
        <f t="shared" si="5"/>
        <v>11000</v>
      </c>
      <c r="R16" s="55">
        <f t="shared" si="4"/>
        <v>0</v>
      </c>
    </row>
    <row r="17" spans="1:18" ht="12.75">
      <c r="A17" s="41"/>
      <c r="B17" s="41" t="s">
        <v>117</v>
      </c>
      <c r="C17" s="43">
        <v>0</v>
      </c>
      <c r="E17">
        <v>18000</v>
      </c>
      <c r="F17" s="44">
        <f t="shared" si="0"/>
        <v>0</v>
      </c>
      <c r="G17" s="55">
        <f t="shared" si="1"/>
        <v>18000</v>
      </c>
      <c r="H17" s="44">
        <f t="shared" si="0"/>
        <v>0</v>
      </c>
      <c r="J17">
        <v>13000</v>
      </c>
      <c r="K17" s="55">
        <f t="shared" si="2"/>
        <v>0</v>
      </c>
      <c r="L17" s="55">
        <f t="shared" si="3"/>
        <v>13000</v>
      </c>
      <c r="M17" s="55">
        <f t="shared" si="2"/>
        <v>0</v>
      </c>
      <c r="O17">
        <v>22000</v>
      </c>
      <c r="P17" s="55">
        <f t="shared" si="4"/>
        <v>0</v>
      </c>
      <c r="Q17" s="55">
        <f t="shared" si="5"/>
        <v>22000</v>
      </c>
      <c r="R17" s="55">
        <f t="shared" si="4"/>
        <v>0</v>
      </c>
    </row>
    <row r="18" spans="1:18" ht="12.75">
      <c r="A18" s="41"/>
      <c r="B18" s="41" t="s">
        <v>118</v>
      </c>
      <c r="C18" s="43">
        <v>0</v>
      </c>
      <c r="E18">
        <v>21000</v>
      </c>
      <c r="F18" s="55">
        <f t="shared" si="0"/>
        <v>0</v>
      </c>
      <c r="G18" s="44">
        <f t="shared" si="1"/>
        <v>21000</v>
      </c>
      <c r="H18" s="55">
        <f t="shared" si="0"/>
        <v>0</v>
      </c>
      <c r="J18">
        <v>15000</v>
      </c>
      <c r="K18" s="55">
        <f t="shared" si="2"/>
        <v>0</v>
      </c>
      <c r="L18" s="55">
        <f t="shared" si="3"/>
        <v>15000</v>
      </c>
      <c r="M18" s="55">
        <f t="shared" si="2"/>
        <v>0</v>
      </c>
      <c r="O18">
        <v>25000</v>
      </c>
      <c r="P18" s="55">
        <f t="shared" si="4"/>
        <v>0</v>
      </c>
      <c r="Q18" s="55">
        <f t="shared" si="5"/>
        <v>25000</v>
      </c>
      <c r="R18" s="55">
        <f t="shared" si="4"/>
        <v>0</v>
      </c>
    </row>
    <row r="19" spans="1:18" ht="12.75">
      <c r="A19" s="41"/>
      <c r="B19" s="41" t="s">
        <v>119</v>
      </c>
      <c r="C19" s="43">
        <v>0</v>
      </c>
      <c r="E19">
        <v>16000</v>
      </c>
      <c r="F19" s="55">
        <f t="shared" si="0"/>
        <v>0</v>
      </c>
      <c r="G19" s="55">
        <f t="shared" si="1"/>
        <v>16000</v>
      </c>
      <c r="H19" s="55">
        <f t="shared" si="0"/>
        <v>0</v>
      </c>
      <c r="J19">
        <v>11000</v>
      </c>
      <c r="K19" s="55">
        <f t="shared" si="2"/>
        <v>0</v>
      </c>
      <c r="L19" s="55">
        <f t="shared" si="3"/>
        <v>11000</v>
      </c>
      <c r="M19" s="55">
        <f t="shared" si="2"/>
        <v>0</v>
      </c>
      <c r="O19">
        <v>16000</v>
      </c>
      <c r="P19" s="55">
        <f t="shared" si="4"/>
        <v>0</v>
      </c>
      <c r="Q19" s="55">
        <f t="shared" si="5"/>
        <v>16000</v>
      </c>
      <c r="R19" s="55">
        <f t="shared" si="4"/>
        <v>0</v>
      </c>
    </row>
    <row r="20" spans="1:18" ht="12.75">
      <c r="A20" s="41"/>
      <c r="B20" s="41" t="s">
        <v>45</v>
      </c>
      <c r="C20" s="43">
        <v>0.001</v>
      </c>
      <c r="E20">
        <v>4500</v>
      </c>
      <c r="F20" s="47">
        <f t="shared" si="0"/>
        <v>4.5</v>
      </c>
      <c r="G20" s="55">
        <f t="shared" si="1"/>
        <v>4500</v>
      </c>
      <c r="H20" s="47">
        <f t="shared" si="0"/>
        <v>4.5</v>
      </c>
      <c r="J20">
        <v>2800</v>
      </c>
      <c r="K20" s="46">
        <f t="shared" si="2"/>
        <v>2.8000000000000003</v>
      </c>
      <c r="L20" s="55">
        <f t="shared" si="3"/>
        <v>2800</v>
      </c>
      <c r="M20" s="46">
        <f t="shared" si="2"/>
        <v>2.8000000000000003</v>
      </c>
      <c r="O20">
        <v>4100</v>
      </c>
      <c r="P20" s="46">
        <f t="shared" si="4"/>
        <v>4.1</v>
      </c>
      <c r="Q20" s="55">
        <f t="shared" si="5"/>
        <v>4100</v>
      </c>
      <c r="R20" s="46">
        <f t="shared" si="4"/>
        <v>4.1</v>
      </c>
    </row>
    <row r="21" spans="1:18" ht="12.75">
      <c r="A21" s="41"/>
      <c r="B21" s="41" t="s">
        <v>29</v>
      </c>
      <c r="C21" s="43">
        <v>1</v>
      </c>
      <c r="E21">
        <v>160</v>
      </c>
      <c r="F21" s="44">
        <f aca="true" t="shared" si="6" ref="F21:H35">IF(E21="","",E21*$C21)</f>
        <v>160</v>
      </c>
      <c r="G21" s="55">
        <f aca="true" t="shared" si="7" ref="G21:G33">IF(E21=0,"",IF(D21="nd",E21/2,E21))</f>
        <v>160</v>
      </c>
      <c r="H21" s="44">
        <f t="shared" si="6"/>
        <v>160</v>
      </c>
      <c r="J21">
        <v>99</v>
      </c>
      <c r="K21" s="44">
        <f aca="true" t="shared" si="8" ref="K21:M35">IF(J21="","",J21*$C21)</f>
        <v>99</v>
      </c>
      <c r="L21" s="44">
        <f t="shared" si="3"/>
        <v>99</v>
      </c>
      <c r="M21" s="44">
        <f t="shared" si="8"/>
        <v>99</v>
      </c>
      <c r="O21">
        <v>150</v>
      </c>
      <c r="P21" s="44">
        <f aca="true" t="shared" si="9" ref="P21:R35">IF(O21="","",O21*$C21)</f>
        <v>150</v>
      </c>
      <c r="Q21" s="55">
        <f t="shared" si="5"/>
        <v>150</v>
      </c>
      <c r="R21" s="44">
        <f t="shared" si="9"/>
        <v>150</v>
      </c>
    </row>
    <row r="22" spans="1:18" ht="12.75">
      <c r="A22" s="41"/>
      <c r="B22" s="41" t="s">
        <v>30</v>
      </c>
      <c r="C22" s="43">
        <v>0.5</v>
      </c>
      <c r="E22">
        <v>430</v>
      </c>
      <c r="F22" s="47">
        <f t="shared" si="6"/>
        <v>215</v>
      </c>
      <c r="G22" s="55">
        <f t="shared" si="7"/>
        <v>430</v>
      </c>
      <c r="H22" s="47">
        <f t="shared" si="6"/>
        <v>215</v>
      </c>
      <c r="J22">
        <v>280</v>
      </c>
      <c r="K22" s="47">
        <f t="shared" si="8"/>
        <v>140</v>
      </c>
      <c r="L22" s="44">
        <f aca="true" t="shared" si="10" ref="L22:L35">IF(J22=0,"",IF(I22="nd",J22/2,J22))</f>
        <v>280</v>
      </c>
      <c r="M22" s="47">
        <f t="shared" si="8"/>
        <v>140</v>
      </c>
      <c r="O22">
        <v>470</v>
      </c>
      <c r="P22" s="44">
        <f t="shared" si="9"/>
        <v>235</v>
      </c>
      <c r="Q22" s="55">
        <f aca="true" t="shared" si="11" ref="Q22:Q35">IF(O22=0,"",IF(N22="nd",O22/2,O22))</f>
        <v>470</v>
      </c>
      <c r="R22" s="44">
        <f t="shared" si="9"/>
        <v>235</v>
      </c>
    </row>
    <row r="23" spans="1:18" ht="12.75">
      <c r="A23" s="41"/>
      <c r="B23" s="41" t="s">
        <v>31</v>
      </c>
      <c r="C23" s="43">
        <v>0.1</v>
      </c>
      <c r="E23">
        <v>590</v>
      </c>
      <c r="F23" s="47">
        <f t="shared" si="6"/>
        <v>59</v>
      </c>
      <c r="G23" s="55">
        <f t="shared" si="7"/>
        <v>590</v>
      </c>
      <c r="H23" s="47">
        <f t="shared" si="6"/>
        <v>59</v>
      </c>
      <c r="J23">
        <v>460</v>
      </c>
      <c r="K23" s="47">
        <f t="shared" si="8"/>
        <v>46</v>
      </c>
      <c r="L23" s="44">
        <f t="shared" si="10"/>
        <v>460</v>
      </c>
      <c r="M23" s="47">
        <f t="shared" si="8"/>
        <v>46</v>
      </c>
      <c r="O23">
        <v>720</v>
      </c>
      <c r="P23" s="47">
        <f t="shared" si="9"/>
        <v>72</v>
      </c>
      <c r="Q23" s="55">
        <f t="shared" si="11"/>
        <v>720</v>
      </c>
      <c r="R23" s="47">
        <f t="shared" si="9"/>
        <v>72</v>
      </c>
    </row>
    <row r="24" spans="1:18" ht="12.75">
      <c r="A24" s="41"/>
      <c r="B24" s="41" t="s">
        <v>32</v>
      </c>
      <c r="C24" s="43">
        <v>0.1</v>
      </c>
      <c r="E24">
        <v>1900</v>
      </c>
      <c r="F24" s="47">
        <f t="shared" si="6"/>
        <v>190</v>
      </c>
      <c r="G24" s="55">
        <f t="shared" si="7"/>
        <v>1900</v>
      </c>
      <c r="H24" s="47">
        <f t="shared" si="6"/>
        <v>190</v>
      </c>
      <c r="J24">
        <v>1400</v>
      </c>
      <c r="K24" s="47">
        <f t="shared" si="8"/>
        <v>140</v>
      </c>
      <c r="L24" s="44">
        <f t="shared" si="10"/>
        <v>1400</v>
      </c>
      <c r="M24" s="47">
        <f t="shared" si="8"/>
        <v>140</v>
      </c>
      <c r="O24">
        <v>2300</v>
      </c>
      <c r="P24" s="44">
        <f t="shared" si="9"/>
        <v>230</v>
      </c>
      <c r="Q24" s="55">
        <f t="shared" si="11"/>
        <v>2300</v>
      </c>
      <c r="R24" s="44">
        <f t="shared" si="9"/>
        <v>230</v>
      </c>
    </row>
    <row r="25" spans="1:18" ht="12.75">
      <c r="A25" s="41"/>
      <c r="B25" s="41" t="s">
        <v>33</v>
      </c>
      <c r="C25" s="43">
        <v>0.1</v>
      </c>
      <c r="E25">
        <v>890</v>
      </c>
      <c r="F25" s="47">
        <f t="shared" si="6"/>
        <v>89</v>
      </c>
      <c r="G25" s="55">
        <f t="shared" si="7"/>
        <v>890</v>
      </c>
      <c r="H25" s="47">
        <f t="shared" si="6"/>
        <v>89</v>
      </c>
      <c r="J25">
        <v>690</v>
      </c>
      <c r="K25" s="47">
        <f t="shared" si="8"/>
        <v>69</v>
      </c>
      <c r="L25" s="44">
        <f t="shared" si="10"/>
        <v>690</v>
      </c>
      <c r="M25" s="47">
        <f t="shared" si="8"/>
        <v>69</v>
      </c>
      <c r="O25">
        <v>1100</v>
      </c>
      <c r="P25" s="44">
        <f t="shared" si="9"/>
        <v>110</v>
      </c>
      <c r="Q25" s="55">
        <f t="shared" si="11"/>
        <v>1100</v>
      </c>
      <c r="R25" s="44">
        <f t="shared" si="9"/>
        <v>110</v>
      </c>
    </row>
    <row r="26" spans="1:18" ht="12.75">
      <c r="A26" s="41"/>
      <c r="B26" s="41" t="s">
        <v>34</v>
      </c>
      <c r="C26" s="43">
        <v>0.01</v>
      </c>
      <c r="E26">
        <v>12000</v>
      </c>
      <c r="F26" s="47">
        <f t="shared" si="6"/>
        <v>120</v>
      </c>
      <c r="G26" s="55">
        <f t="shared" si="7"/>
        <v>12000</v>
      </c>
      <c r="H26" s="47">
        <f t="shared" si="6"/>
        <v>120</v>
      </c>
      <c r="J26">
        <v>8300</v>
      </c>
      <c r="K26" s="47">
        <f t="shared" si="8"/>
        <v>83</v>
      </c>
      <c r="L26" s="55">
        <f t="shared" si="10"/>
        <v>8300</v>
      </c>
      <c r="M26" s="47">
        <f t="shared" si="8"/>
        <v>83</v>
      </c>
      <c r="O26">
        <v>13000</v>
      </c>
      <c r="P26" s="47">
        <f t="shared" si="9"/>
        <v>130</v>
      </c>
      <c r="Q26" s="55">
        <f t="shared" si="11"/>
        <v>13000</v>
      </c>
      <c r="R26" s="47">
        <f t="shared" si="9"/>
        <v>130</v>
      </c>
    </row>
    <row r="27" spans="1:18" ht="12.75">
      <c r="A27" s="41"/>
      <c r="B27" s="41" t="s">
        <v>36</v>
      </c>
      <c r="C27" s="43">
        <v>0.1</v>
      </c>
      <c r="E27">
        <v>180</v>
      </c>
      <c r="F27" s="47">
        <f t="shared" si="6"/>
        <v>18</v>
      </c>
      <c r="G27" s="55">
        <f t="shared" si="7"/>
        <v>180</v>
      </c>
      <c r="H27" s="47">
        <f t="shared" si="6"/>
        <v>18</v>
      </c>
      <c r="J27">
        <v>130</v>
      </c>
      <c r="K27" s="55">
        <f t="shared" si="8"/>
        <v>13</v>
      </c>
      <c r="L27" s="55">
        <f t="shared" si="10"/>
        <v>130</v>
      </c>
      <c r="M27" s="55">
        <f t="shared" si="8"/>
        <v>13</v>
      </c>
      <c r="O27">
        <v>210</v>
      </c>
      <c r="P27" s="55">
        <f t="shared" si="9"/>
        <v>21</v>
      </c>
      <c r="Q27" s="55">
        <f t="shared" si="11"/>
        <v>210</v>
      </c>
      <c r="R27" s="55">
        <f t="shared" si="9"/>
        <v>21</v>
      </c>
    </row>
    <row r="28" spans="1:18" ht="12.75">
      <c r="A28" s="41"/>
      <c r="B28" s="41" t="s">
        <v>37</v>
      </c>
      <c r="C28" s="43">
        <v>0.05</v>
      </c>
      <c r="E28">
        <v>490</v>
      </c>
      <c r="F28" s="47">
        <f t="shared" si="6"/>
        <v>24.5</v>
      </c>
      <c r="G28" s="55">
        <f t="shared" si="7"/>
        <v>490</v>
      </c>
      <c r="H28" s="47">
        <f t="shared" si="6"/>
        <v>24.5</v>
      </c>
      <c r="J28">
        <v>340</v>
      </c>
      <c r="K28" s="44">
        <f t="shared" si="8"/>
        <v>17</v>
      </c>
      <c r="L28" s="55">
        <f t="shared" si="10"/>
        <v>340</v>
      </c>
      <c r="M28" s="44">
        <f t="shared" si="8"/>
        <v>17</v>
      </c>
      <c r="O28">
        <v>540</v>
      </c>
      <c r="P28" s="55">
        <f t="shared" si="9"/>
        <v>27</v>
      </c>
      <c r="Q28" s="55">
        <f t="shared" si="11"/>
        <v>540</v>
      </c>
      <c r="R28" s="55">
        <f t="shared" si="9"/>
        <v>27</v>
      </c>
    </row>
    <row r="29" spans="1:18" ht="12.75">
      <c r="A29" s="41"/>
      <c r="B29" s="41" t="s">
        <v>38</v>
      </c>
      <c r="C29" s="43">
        <v>0.5</v>
      </c>
      <c r="E29">
        <v>1400</v>
      </c>
      <c r="F29" s="47">
        <f t="shared" si="6"/>
        <v>700</v>
      </c>
      <c r="G29" s="55">
        <f t="shared" si="7"/>
        <v>1400</v>
      </c>
      <c r="H29" s="47">
        <f t="shared" si="6"/>
        <v>700</v>
      </c>
      <c r="J29">
        <v>1000</v>
      </c>
      <c r="K29" s="55">
        <f t="shared" si="8"/>
        <v>500</v>
      </c>
      <c r="L29" s="55">
        <f t="shared" si="10"/>
        <v>1000</v>
      </c>
      <c r="M29" s="55">
        <f t="shared" si="8"/>
        <v>500</v>
      </c>
      <c r="O29">
        <v>1700</v>
      </c>
      <c r="P29" s="44">
        <f t="shared" si="9"/>
        <v>850</v>
      </c>
      <c r="Q29" s="55">
        <f t="shared" si="11"/>
        <v>1700</v>
      </c>
      <c r="R29" s="44">
        <f t="shared" si="9"/>
        <v>850</v>
      </c>
    </row>
    <row r="30" spans="1:18" ht="12.75">
      <c r="A30" s="41"/>
      <c r="B30" s="41" t="s">
        <v>39</v>
      </c>
      <c r="C30" s="43">
        <v>0.1</v>
      </c>
      <c r="E30">
        <v>1300</v>
      </c>
      <c r="F30" s="47">
        <f t="shared" si="6"/>
        <v>130</v>
      </c>
      <c r="G30" s="55">
        <f t="shared" si="7"/>
        <v>1300</v>
      </c>
      <c r="H30" s="47">
        <f t="shared" si="6"/>
        <v>130</v>
      </c>
      <c r="J30">
        <v>930</v>
      </c>
      <c r="K30" s="55">
        <f t="shared" si="8"/>
        <v>93</v>
      </c>
      <c r="L30" s="55">
        <f t="shared" si="10"/>
        <v>930</v>
      </c>
      <c r="M30" s="55">
        <f t="shared" si="8"/>
        <v>93</v>
      </c>
      <c r="O30">
        <v>1600</v>
      </c>
      <c r="P30" s="55">
        <f t="shared" si="9"/>
        <v>160</v>
      </c>
      <c r="Q30" s="55">
        <f t="shared" si="11"/>
        <v>1600</v>
      </c>
      <c r="R30" s="55">
        <f t="shared" si="9"/>
        <v>160</v>
      </c>
    </row>
    <row r="31" spans="1:18" ht="12.75">
      <c r="A31" s="41"/>
      <c r="B31" s="41" t="s">
        <v>40</v>
      </c>
      <c r="C31" s="43">
        <v>0.1</v>
      </c>
      <c r="E31">
        <v>1500</v>
      </c>
      <c r="F31" s="47">
        <f t="shared" si="6"/>
        <v>150</v>
      </c>
      <c r="G31" s="55">
        <f t="shared" si="7"/>
        <v>1500</v>
      </c>
      <c r="H31" s="47">
        <f t="shared" si="6"/>
        <v>150</v>
      </c>
      <c r="J31">
        <v>1000</v>
      </c>
      <c r="K31" s="44">
        <f t="shared" si="8"/>
        <v>100</v>
      </c>
      <c r="L31" s="55">
        <f t="shared" si="10"/>
        <v>1000</v>
      </c>
      <c r="M31" s="44">
        <f t="shared" si="8"/>
        <v>100</v>
      </c>
      <c r="O31">
        <v>1700</v>
      </c>
      <c r="P31" s="55">
        <f t="shared" si="9"/>
        <v>170</v>
      </c>
      <c r="Q31" s="55">
        <f t="shared" si="11"/>
        <v>1700</v>
      </c>
      <c r="R31" s="55">
        <f t="shared" si="9"/>
        <v>170</v>
      </c>
    </row>
    <row r="32" spans="1:18" ht="12.75">
      <c r="A32" s="41"/>
      <c r="B32" s="41" t="s">
        <v>41</v>
      </c>
      <c r="C32" s="43">
        <v>0.1</v>
      </c>
      <c r="E32">
        <v>3100</v>
      </c>
      <c r="F32" s="47">
        <f t="shared" si="6"/>
        <v>310</v>
      </c>
      <c r="G32" s="55">
        <f t="shared" si="7"/>
        <v>3100</v>
      </c>
      <c r="H32" s="47">
        <f t="shared" si="6"/>
        <v>310</v>
      </c>
      <c r="J32">
        <v>2200</v>
      </c>
      <c r="K32" s="44">
        <f t="shared" si="8"/>
        <v>220</v>
      </c>
      <c r="L32" s="55">
        <f t="shared" si="10"/>
        <v>2200</v>
      </c>
      <c r="M32" s="44">
        <f t="shared" si="8"/>
        <v>220</v>
      </c>
      <c r="O32">
        <v>3500</v>
      </c>
      <c r="P32" s="44">
        <f t="shared" si="9"/>
        <v>350</v>
      </c>
      <c r="Q32" s="55">
        <f t="shared" si="11"/>
        <v>3500</v>
      </c>
      <c r="R32" s="44">
        <f t="shared" si="9"/>
        <v>350</v>
      </c>
    </row>
    <row r="33" spans="1:18" ht="12.75">
      <c r="A33" s="41"/>
      <c r="B33" s="41" t="s">
        <v>42</v>
      </c>
      <c r="C33" s="43">
        <v>0.1</v>
      </c>
      <c r="E33">
        <v>690</v>
      </c>
      <c r="F33" s="47">
        <f t="shared" si="6"/>
        <v>69</v>
      </c>
      <c r="G33" s="55">
        <f t="shared" si="7"/>
        <v>690</v>
      </c>
      <c r="H33" s="47">
        <f t="shared" si="6"/>
        <v>69</v>
      </c>
      <c r="J33">
        <v>460</v>
      </c>
      <c r="K33" s="55">
        <f t="shared" si="8"/>
        <v>46</v>
      </c>
      <c r="L33" s="55">
        <f t="shared" si="10"/>
        <v>460</v>
      </c>
      <c r="M33" s="55">
        <f t="shared" si="8"/>
        <v>46</v>
      </c>
      <c r="O33">
        <v>690</v>
      </c>
      <c r="P33" s="44">
        <f t="shared" si="9"/>
        <v>69</v>
      </c>
      <c r="Q33" s="55">
        <f t="shared" si="11"/>
        <v>690</v>
      </c>
      <c r="R33" s="44">
        <f t="shared" si="9"/>
        <v>69</v>
      </c>
    </row>
    <row r="34" spans="1:18" ht="12.75">
      <c r="A34" s="41"/>
      <c r="B34" s="41" t="s">
        <v>43</v>
      </c>
      <c r="C34" s="43">
        <v>0.01</v>
      </c>
      <c r="E34">
        <v>7700</v>
      </c>
      <c r="F34" s="44">
        <f t="shared" si="6"/>
        <v>77</v>
      </c>
      <c r="G34" s="55">
        <f>IF(E34=0,"",IF(D34="nd",E34/2,E34))</f>
        <v>7700</v>
      </c>
      <c r="H34" s="44">
        <f t="shared" si="6"/>
        <v>77</v>
      </c>
      <c r="J34">
        <v>5400</v>
      </c>
      <c r="K34" s="47">
        <f t="shared" si="8"/>
        <v>54</v>
      </c>
      <c r="L34" s="55">
        <f t="shared" si="10"/>
        <v>5400</v>
      </c>
      <c r="M34" s="47">
        <f t="shared" si="8"/>
        <v>54</v>
      </c>
      <c r="O34">
        <v>8400</v>
      </c>
      <c r="P34" s="47">
        <f t="shared" si="9"/>
        <v>84</v>
      </c>
      <c r="Q34" s="55">
        <f t="shared" si="11"/>
        <v>8400</v>
      </c>
      <c r="R34" s="47">
        <f t="shared" si="9"/>
        <v>84</v>
      </c>
    </row>
    <row r="35" spans="1:18" ht="12.75">
      <c r="A35" s="41"/>
      <c r="B35" s="41" t="s">
        <v>44</v>
      </c>
      <c r="C35" s="43">
        <v>0.01</v>
      </c>
      <c r="E35">
        <v>1300</v>
      </c>
      <c r="F35" s="47">
        <f t="shared" si="6"/>
        <v>13</v>
      </c>
      <c r="G35" s="55">
        <f>IF(E35=0,"",IF(D35="nd",E35/2,E35))</f>
        <v>1300</v>
      </c>
      <c r="H35" s="47">
        <f t="shared" si="6"/>
        <v>13</v>
      </c>
      <c r="J35">
        <v>900</v>
      </c>
      <c r="K35" s="47">
        <f t="shared" si="8"/>
        <v>9</v>
      </c>
      <c r="L35" s="55">
        <f t="shared" si="10"/>
        <v>900</v>
      </c>
      <c r="M35" s="47">
        <f t="shared" si="8"/>
        <v>9</v>
      </c>
      <c r="O35">
        <v>1200</v>
      </c>
      <c r="P35" s="47">
        <f t="shared" si="9"/>
        <v>12</v>
      </c>
      <c r="Q35" s="55">
        <f t="shared" si="11"/>
        <v>1200</v>
      </c>
      <c r="R35" s="47">
        <f t="shared" si="9"/>
        <v>12</v>
      </c>
    </row>
    <row r="36" spans="1:18" ht="12.75">
      <c r="A36" s="41"/>
      <c r="B36" s="41"/>
      <c r="C36" s="41"/>
      <c r="D36" s="41"/>
      <c r="E36" s="44"/>
      <c r="F36" s="50"/>
      <c r="G36" s="47"/>
      <c r="H36" s="50"/>
      <c r="I36" s="71"/>
      <c r="J36" s="19"/>
      <c r="K36" s="44"/>
      <c r="L36" s="44"/>
      <c r="M36" s="44"/>
      <c r="N36" s="71"/>
      <c r="O36" s="19"/>
      <c r="P36" s="49"/>
      <c r="Q36" s="47"/>
      <c r="R36" s="49"/>
    </row>
    <row r="37" spans="1:18" ht="12.75">
      <c r="A37" s="41"/>
      <c r="B37" s="41" t="s">
        <v>46</v>
      </c>
      <c r="C37" s="41"/>
      <c r="D37" s="41"/>
      <c r="F37">
        <v>88.27</v>
      </c>
      <c r="G37">
        <v>88.27</v>
      </c>
      <c r="H37">
        <v>88.27</v>
      </c>
      <c r="K37">
        <v>71.76</v>
      </c>
      <c r="L37">
        <v>71.76</v>
      </c>
      <c r="M37">
        <v>71.76</v>
      </c>
      <c r="P37">
        <v>84.1</v>
      </c>
      <c r="Q37">
        <v>84.1</v>
      </c>
      <c r="R37">
        <v>84.1</v>
      </c>
    </row>
    <row r="38" spans="1:18" ht="12.75">
      <c r="A38" s="41"/>
      <c r="B38" s="41" t="s">
        <v>66</v>
      </c>
      <c r="C38" s="41"/>
      <c r="D38" s="41"/>
      <c r="F38">
        <v>12.6</v>
      </c>
      <c r="G38">
        <v>12.6</v>
      </c>
      <c r="H38">
        <v>12.6</v>
      </c>
      <c r="K38">
        <v>12.6</v>
      </c>
      <c r="L38">
        <v>12.6</v>
      </c>
      <c r="M38">
        <v>12.6</v>
      </c>
      <c r="P38">
        <v>12.9</v>
      </c>
      <c r="Q38">
        <v>12.9</v>
      </c>
      <c r="R38">
        <v>12.9</v>
      </c>
    </row>
    <row r="39" spans="1:18" ht="12.75">
      <c r="A39" s="41"/>
      <c r="B39" s="41"/>
      <c r="C39" s="41"/>
      <c r="D39" s="41"/>
      <c r="E39" s="44"/>
      <c r="F39" s="19"/>
      <c r="G39" s="47"/>
      <c r="H39" s="19"/>
      <c r="I39" s="62"/>
      <c r="J39" s="47"/>
      <c r="K39" s="48"/>
      <c r="L39" s="44"/>
      <c r="M39" s="48"/>
      <c r="N39" s="71"/>
      <c r="O39" s="47"/>
      <c r="P39" s="47"/>
      <c r="Q39" s="47"/>
      <c r="R39" s="47"/>
    </row>
    <row r="40" spans="1:18" ht="12.75">
      <c r="A40" s="41"/>
      <c r="B40" s="41" t="s">
        <v>57</v>
      </c>
      <c r="C40" s="50"/>
      <c r="D40" s="50"/>
      <c r="E40" s="44"/>
      <c r="F40" s="47">
        <f>SUM(F21:F35)</f>
        <v>2324.5</v>
      </c>
      <c r="G40" s="44">
        <f>SUM(G20,G19,G18,G17,G16,G15,G14,G13,G12,G11)</f>
        <v>168100</v>
      </c>
      <c r="H40" s="47">
        <f>SUM(H21:H35)</f>
        <v>2324.5</v>
      </c>
      <c r="I40" s="52"/>
      <c r="J40" s="44"/>
      <c r="K40" s="46">
        <f>SUM(K21:K35)</f>
        <v>1629</v>
      </c>
      <c r="L40" s="44">
        <f>SUM(L20,L19,L18,L17,L16,L15,L14,L13,L12,L11)</f>
        <v>119500</v>
      </c>
      <c r="M40" s="46">
        <f>SUM(M21:M35)</f>
        <v>1629</v>
      </c>
      <c r="N40" s="52"/>
      <c r="O40" s="47"/>
      <c r="P40" s="47">
        <f>SUM(P21:P35)</f>
        <v>2670</v>
      </c>
      <c r="Q40" s="44">
        <f>SUM(Q20,Q19,Q18,Q17,Q16,Q15,Q14,Q13,Q12,Q11)</f>
        <v>198100</v>
      </c>
      <c r="R40" s="47">
        <f>SUM(R21:R35)</f>
        <v>2670</v>
      </c>
    </row>
    <row r="41" spans="1:18" ht="12.75">
      <c r="A41" s="41"/>
      <c r="B41" s="41" t="s">
        <v>47</v>
      </c>
      <c r="C41" s="50"/>
      <c r="D41" s="44">
        <f>(F41-H41)*2/F41*100</f>
        <v>0</v>
      </c>
      <c r="E41" s="44"/>
      <c r="F41" s="46">
        <f>(F40/F37/0.0283*(21-7)/(21-F38))/1000</f>
        <v>1.5508819377530902</v>
      </c>
      <c r="G41" s="46">
        <f>(G40/G37/0.0283*(21-7)/(21-G38))/1000</f>
        <v>112.15455097280895</v>
      </c>
      <c r="H41" s="46">
        <f>(H40/H37/0.0283*(21-7)/(21-H38))/1000</f>
        <v>1.5508819377530902</v>
      </c>
      <c r="I41" s="44">
        <f>(K41-M41)*2/K41*100</f>
        <v>0</v>
      </c>
      <c r="J41" s="47"/>
      <c r="K41" s="47">
        <f>K40/K37/0.0283*(21-7)/(21-K38)/1000</f>
        <v>1.336906295425269</v>
      </c>
      <c r="L41" s="46">
        <f>(L40/L37/0.0283*(21-7)/(21-L38))/1000</f>
        <v>98.07262265397154</v>
      </c>
      <c r="M41" s="47">
        <f>M40/M37/0.0283*(21-7)/(21-M38)/1000</f>
        <v>1.336906295425269</v>
      </c>
      <c r="N41" s="44">
        <f>(P41-R41)*2/P41*100</f>
        <v>0</v>
      </c>
      <c r="O41" s="47"/>
      <c r="P41" s="46">
        <f>P40/P37/0.0283*(21-7)/(21-P38)/1000</f>
        <v>1.938973380509832</v>
      </c>
      <c r="Q41" s="46">
        <f>(Q40/Q37/0.0283*(21-7)/(21-Q38))/1000</f>
        <v>143.8616579322089</v>
      </c>
      <c r="R41" s="46">
        <f>R40/R37/0.0283*(21-7)/(21-R38)/1000</f>
        <v>1.938973380509832</v>
      </c>
    </row>
    <row r="42" spans="1:18" ht="12.75">
      <c r="A42" s="41"/>
      <c r="B42" s="41"/>
      <c r="C42" s="41"/>
      <c r="D42" s="41"/>
      <c r="E42" s="44"/>
      <c r="F42" s="44"/>
      <c r="G42" s="44"/>
      <c r="H42" s="44"/>
      <c r="I42" s="46"/>
      <c r="J42" s="46"/>
      <c r="K42" s="46"/>
      <c r="L42" s="46"/>
      <c r="M42" s="46"/>
      <c r="N42" s="46"/>
      <c r="O42" s="46"/>
      <c r="P42" s="49"/>
      <c r="Q42" s="46"/>
      <c r="R42" s="49"/>
    </row>
    <row r="43" spans="1:18" ht="12.75">
      <c r="A43" s="47"/>
      <c r="B43" s="41" t="s">
        <v>67</v>
      </c>
      <c r="C43" s="46">
        <f>AVERAGE(H41,M41,R41)</f>
        <v>1.6089205378960638</v>
      </c>
      <c r="D43" s="47"/>
      <c r="E43" s="44"/>
      <c r="F43" s="44"/>
      <c r="G43" s="44"/>
      <c r="H43" s="44"/>
      <c r="I43" s="47"/>
      <c r="J43" s="47"/>
      <c r="K43" s="47"/>
      <c r="L43" s="47"/>
      <c r="M43" s="47"/>
      <c r="N43" s="47"/>
      <c r="O43" s="47"/>
      <c r="P43" s="49"/>
      <c r="Q43" s="47"/>
      <c r="R43" s="49"/>
    </row>
    <row r="44" spans="1:18" ht="12.75">
      <c r="A44" s="41"/>
      <c r="B44" s="41" t="s">
        <v>68</v>
      </c>
      <c r="C44" s="47">
        <f>AVERAGE(G41,L41,Q41)</f>
        <v>118.02961051966314</v>
      </c>
      <c r="D44" s="41"/>
      <c r="E44" s="44"/>
      <c r="F44" s="44"/>
      <c r="G44" s="44"/>
      <c r="H44" s="44"/>
      <c r="I44" s="49"/>
      <c r="J44" s="49"/>
      <c r="K44" s="49"/>
      <c r="L44" s="49"/>
      <c r="M44" s="49"/>
      <c r="N44" s="49"/>
      <c r="O44" s="49"/>
      <c r="P44" s="49"/>
      <c r="Q44" s="49"/>
      <c r="R44" s="49"/>
    </row>
    <row r="85" spans="1:18" ht="12.75">
      <c r="A85" s="2"/>
      <c r="B85" s="2"/>
      <c r="C85" s="2"/>
      <c r="D85" s="2"/>
      <c r="E85" s="4"/>
      <c r="G85" s="4"/>
      <c r="J85" s="7"/>
      <c r="K85" s="6"/>
      <c r="L85" s="4"/>
      <c r="M85" s="6"/>
      <c r="N85" s="7"/>
      <c r="O85" s="7"/>
      <c r="P85" s="7"/>
      <c r="Q85" s="7"/>
      <c r="R85" s="7"/>
    </row>
    <row r="86" spans="1:18" ht="12.75">
      <c r="A86" s="2"/>
      <c r="B86" s="2"/>
      <c r="C86" s="3"/>
      <c r="D86" s="3"/>
      <c r="E86" s="4"/>
      <c r="F86" s="4"/>
      <c r="G86" s="4"/>
      <c r="H86" s="4"/>
      <c r="I86" s="3"/>
      <c r="J86" s="4"/>
      <c r="K86" s="4"/>
      <c r="L86" s="4"/>
      <c r="M86" s="4"/>
      <c r="N86" s="3"/>
      <c r="O86" s="7"/>
      <c r="P86" s="3"/>
      <c r="Q86" s="3"/>
      <c r="R86" s="3"/>
    </row>
    <row r="87" spans="1:18" ht="12.75">
      <c r="A87" s="2"/>
      <c r="B87" s="2"/>
      <c r="C87" s="3"/>
      <c r="D87" s="3"/>
      <c r="E87" s="4"/>
      <c r="F87" s="4"/>
      <c r="G87" s="4"/>
      <c r="H87" s="4"/>
      <c r="I87" s="3"/>
      <c r="J87" s="7"/>
      <c r="K87" s="3"/>
      <c r="L87" s="4"/>
      <c r="M87" s="3"/>
      <c r="N87" s="3"/>
      <c r="O87" s="7"/>
      <c r="P87" s="5"/>
      <c r="Q87" s="5"/>
      <c r="R87" s="5"/>
    </row>
  </sheetData>
  <printOptions headings="1" horizontalCentered="1"/>
  <pageMargins left="0.25" right="0.25" top="0.5" bottom="0.5" header="0.25" footer="0.25"/>
  <pageSetup horizontalDpi="600" verticalDpi="600" orientation="landscape" pageOrder="overThenDown" scale="80" r:id="rId1"/>
  <headerFooter alignWithMargins="0">
    <oddFooter>&amp;C&amp;P, &amp;A, &amp;F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R87"/>
  <sheetViews>
    <sheetView workbookViewId="0" topLeftCell="A1">
      <selection activeCell="B5" sqref="B5"/>
    </sheetView>
  </sheetViews>
  <sheetFormatPr defaultColWidth="9.140625" defaultRowHeight="12.75"/>
  <cols>
    <col min="1" max="1" width="1.7109375" style="0" customWidth="1"/>
    <col min="2" max="2" width="20.00390625" style="0" customWidth="1"/>
    <col min="3" max="3" width="7.7109375" style="0" customWidth="1"/>
    <col min="4" max="4" width="4.28125" style="0" customWidth="1"/>
    <col min="5" max="5" width="9.421875" style="6" customWidth="1"/>
    <col min="6" max="6" width="9.00390625" style="0" customWidth="1"/>
    <col min="7" max="7" width="10.7109375" style="6" customWidth="1"/>
    <col min="8" max="8" width="9.8515625" style="6" customWidth="1"/>
    <col min="9" max="9" width="3.421875" style="0" customWidth="1"/>
    <col min="11" max="11" width="9.00390625" style="0" customWidth="1"/>
    <col min="13" max="13" width="9.28125" style="0" customWidth="1"/>
    <col min="14" max="14" width="3.8515625" style="0" customWidth="1"/>
    <col min="16" max="16" width="9.00390625" style="0" customWidth="1"/>
    <col min="18" max="18" width="9.00390625" style="0" customWidth="1"/>
  </cols>
  <sheetData>
    <row r="1" spans="1:18" ht="12.75">
      <c r="A1" s="57" t="s">
        <v>77</v>
      </c>
      <c r="B1" s="41"/>
      <c r="C1" s="41"/>
      <c r="D1" s="41"/>
      <c r="E1" s="44"/>
      <c r="F1" s="49"/>
      <c r="G1" s="44"/>
      <c r="H1" s="44"/>
      <c r="I1" s="49"/>
      <c r="J1" s="49"/>
      <c r="K1" s="49"/>
      <c r="L1" s="49"/>
      <c r="M1" s="49"/>
      <c r="N1" s="49"/>
      <c r="O1" s="49"/>
      <c r="P1" s="49"/>
      <c r="Q1" s="49"/>
      <c r="R1" s="49"/>
    </row>
    <row r="2" spans="1:18" ht="12.75">
      <c r="A2" s="41" t="s">
        <v>277</v>
      </c>
      <c r="B2" s="41"/>
      <c r="C2" s="41"/>
      <c r="D2" s="41"/>
      <c r="E2" s="44"/>
      <c r="F2" s="49"/>
      <c r="G2" s="44"/>
      <c r="H2" s="44"/>
      <c r="I2" s="49"/>
      <c r="J2" s="49"/>
      <c r="K2" s="49"/>
      <c r="L2" s="49"/>
      <c r="M2" s="49"/>
      <c r="N2" s="49"/>
      <c r="O2" s="49"/>
      <c r="P2" s="49"/>
      <c r="Q2" s="49"/>
      <c r="R2" s="49"/>
    </row>
    <row r="3" spans="1:18" ht="12.75">
      <c r="A3" s="41" t="s">
        <v>21</v>
      </c>
      <c r="B3" s="41"/>
      <c r="C3" s="14" t="str">
        <f>source!C5</f>
        <v>Clean Harbors Environmental Services, Inc.</v>
      </c>
      <c r="D3" s="14"/>
      <c r="E3" s="44"/>
      <c r="F3" s="49"/>
      <c r="G3" s="44"/>
      <c r="H3" s="44"/>
      <c r="I3" s="49"/>
      <c r="J3" s="49"/>
      <c r="K3" s="49"/>
      <c r="L3" s="49"/>
      <c r="M3" s="49"/>
      <c r="N3" s="49"/>
      <c r="O3" s="49"/>
      <c r="P3" s="49"/>
      <c r="Q3" s="49"/>
      <c r="R3" s="49"/>
    </row>
    <row r="4" spans="1:18" ht="12.75">
      <c r="A4" s="41" t="s">
        <v>22</v>
      </c>
      <c r="B4" s="41"/>
      <c r="C4" s="14" t="s">
        <v>199</v>
      </c>
      <c r="D4" s="14"/>
      <c r="E4" s="64"/>
      <c r="F4" s="51"/>
      <c r="G4" s="64"/>
      <c r="H4" s="17"/>
      <c r="I4" s="51"/>
      <c r="J4" s="51"/>
      <c r="K4" s="51"/>
      <c r="L4" s="51"/>
      <c r="M4" s="51"/>
      <c r="N4" s="51"/>
      <c r="O4" s="51"/>
      <c r="P4" s="51"/>
      <c r="Q4" s="51"/>
      <c r="R4" s="51"/>
    </row>
    <row r="5" spans="1:18" ht="12.75">
      <c r="A5" s="41" t="s">
        <v>23</v>
      </c>
      <c r="B5" s="41"/>
      <c r="C5" s="19" t="str">
        <f>cond!C90</f>
        <v>Annual, comprehensive performance test</v>
      </c>
      <c r="D5" s="19"/>
      <c r="E5" s="48"/>
      <c r="F5" s="49"/>
      <c r="G5" s="48"/>
      <c r="H5" s="48" t="s">
        <v>200</v>
      </c>
      <c r="I5" s="19"/>
      <c r="J5" s="19"/>
      <c r="K5" s="49"/>
      <c r="L5" s="19"/>
      <c r="M5" s="49"/>
      <c r="N5" s="49"/>
      <c r="O5" s="49"/>
      <c r="P5" s="49"/>
      <c r="Q5" s="49"/>
      <c r="R5" s="49"/>
    </row>
    <row r="6" spans="1:18" ht="12.75">
      <c r="A6" s="41"/>
      <c r="B6" s="41"/>
      <c r="C6" s="43"/>
      <c r="D6" s="43"/>
      <c r="E6" s="17"/>
      <c r="F6" s="49"/>
      <c r="G6" s="17"/>
      <c r="H6" s="44"/>
      <c r="I6" s="49"/>
      <c r="J6" s="53"/>
      <c r="K6" s="49"/>
      <c r="L6" s="53"/>
      <c r="M6" s="49"/>
      <c r="N6" s="49"/>
      <c r="O6" s="53"/>
      <c r="P6" s="49"/>
      <c r="Q6" s="53"/>
      <c r="R6" s="49"/>
    </row>
    <row r="7" spans="1:18" ht="12.75">
      <c r="A7" s="41"/>
      <c r="B7" s="41"/>
      <c r="C7" s="43" t="s">
        <v>24</v>
      </c>
      <c r="D7" s="43"/>
      <c r="E7" s="65" t="s">
        <v>58</v>
      </c>
      <c r="F7" s="54"/>
      <c r="G7" s="65"/>
      <c r="H7" s="65"/>
      <c r="I7" s="18"/>
      <c r="J7" s="54" t="s">
        <v>59</v>
      </c>
      <c r="K7" s="54"/>
      <c r="L7" s="54"/>
      <c r="M7" s="54"/>
      <c r="N7" s="18"/>
      <c r="O7" s="54" t="s">
        <v>60</v>
      </c>
      <c r="P7" s="54"/>
      <c r="Q7" s="54"/>
      <c r="R7" s="54"/>
    </row>
    <row r="8" spans="1:18" ht="12.75">
      <c r="A8" s="41"/>
      <c r="B8" s="41"/>
      <c r="C8" s="43" t="s">
        <v>25</v>
      </c>
      <c r="D8" s="41"/>
      <c r="E8" s="17" t="s">
        <v>26</v>
      </c>
      <c r="F8" s="53" t="s">
        <v>28</v>
      </c>
      <c r="G8" s="17" t="s">
        <v>26</v>
      </c>
      <c r="H8" s="17" t="s">
        <v>27</v>
      </c>
      <c r="I8" s="49"/>
      <c r="J8" s="53" t="s">
        <v>26</v>
      </c>
      <c r="K8" s="53" t="s">
        <v>28</v>
      </c>
      <c r="L8" s="53" t="s">
        <v>26</v>
      </c>
      <c r="M8" s="53" t="s">
        <v>28</v>
      </c>
      <c r="N8" s="49"/>
      <c r="O8" s="53" t="s">
        <v>26</v>
      </c>
      <c r="P8" s="53" t="s">
        <v>28</v>
      </c>
      <c r="Q8" s="53" t="s">
        <v>26</v>
      </c>
      <c r="R8" s="53" t="s">
        <v>28</v>
      </c>
    </row>
    <row r="9" spans="1:18" ht="12.75">
      <c r="A9" s="41"/>
      <c r="B9" s="41"/>
      <c r="C9" s="43"/>
      <c r="D9" s="41"/>
      <c r="E9" s="17" t="s">
        <v>244</v>
      </c>
      <c r="F9" s="17" t="s">
        <v>244</v>
      </c>
      <c r="G9" s="17" t="s">
        <v>76</v>
      </c>
      <c r="H9" s="17" t="s">
        <v>76</v>
      </c>
      <c r="I9" s="49"/>
      <c r="J9" s="17" t="s">
        <v>244</v>
      </c>
      <c r="K9" s="17" t="s">
        <v>244</v>
      </c>
      <c r="L9" s="53" t="s">
        <v>76</v>
      </c>
      <c r="M9" s="52" t="s">
        <v>76</v>
      </c>
      <c r="N9" s="49"/>
      <c r="O9" s="17" t="s">
        <v>244</v>
      </c>
      <c r="P9" s="17" t="s">
        <v>244</v>
      </c>
      <c r="Q9" s="53" t="s">
        <v>76</v>
      </c>
      <c r="R9" s="52" t="s">
        <v>76</v>
      </c>
    </row>
    <row r="10" spans="1:18" ht="12.75">
      <c r="A10" s="41" t="s">
        <v>56</v>
      </c>
      <c r="B10" s="41"/>
      <c r="C10" s="41"/>
      <c r="D10" s="41"/>
      <c r="E10" s="44"/>
      <c r="F10" s="49"/>
      <c r="G10" s="44"/>
      <c r="H10" s="44"/>
      <c r="I10" s="49"/>
      <c r="J10" s="49"/>
      <c r="K10" s="49"/>
      <c r="L10" s="49"/>
      <c r="M10" s="49"/>
      <c r="N10" s="49"/>
      <c r="O10" s="44"/>
      <c r="P10" s="49"/>
      <c r="Q10" s="49"/>
      <c r="R10" s="49"/>
    </row>
    <row r="11" spans="1:18" ht="12.75">
      <c r="A11" s="41"/>
      <c r="B11" s="41" t="s">
        <v>112</v>
      </c>
      <c r="C11" s="43">
        <v>0</v>
      </c>
      <c r="E11">
        <v>13800</v>
      </c>
      <c r="F11" s="44">
        <f aca="true" t="shared" si="0" ref="F11:F35">IF(E11="","",E11*$C11)</f>
        <v>0</v>
      </c>
      <c r="G11" s="55">
        <f aca="true" t="shared" si="1" ref="G11:G20">IF(E11=0,"",IF(D11="nd",E11/2,E11))</f>
        <v>13800</v>
      </c>
      <c r="H11" s="44">
        <f aca="true" t="shared" si="2" ref="H11:H20">IF(G11="","",G11*$C11)</f>
        <v>0</v>
      </c>
      <c r="J11">
        <v>4600</v>
      </c>
      <c r="K11" s="44">
        <f aca="true" t="shared" si="3" ref="K11:K35">IF(J11="","",J11*$C11)</f>
        <v>0</v>
      </c>
      <c r="L11" s="44">
        <f aca="true" t="shared" si="4" ref="L11:L21">IF(J11=0,"",IF(I11="nd",J11/2,J11))</f>
        <v>4600</v>
      </c>
      <c r="M11" s="55">
        <f aca="true" t="shared" si="5" ref="M11:M20">IF(L11="","",L11*$C11)</f>
        <v>0</v>
      </c>
      <c r="O11">
        <v>3970</v>
      </c>
      <c r="P11" s="44">
        <f aca="true" t="shared" si="6" ref="P11:R20">IF(O11="","",O11*$C11)</f>
        <v>0</v>
      </c>
      <c r="Q11" s="55">
        <f aca="true" t="shared" si="7" ref="Q11:Q21">IF(O11=0,"",IF(N11="nd",O11/2,O11))</f>
        <v>3970</v>
      </c>
      <c r="R11" s="44">
        <f t="shared" si="6"/>
        <v>0</v>
      </c>
    </row>
    <row r="12" spans="1:18" ht="12.75">
      <c r="A12" s="41"/>
      <c r="B12" s="41" t="s">
        <v>113</v>
      </c>
      <c r="C12" s="43">
        <v>0</v>
      </c>
      <c r="E12">
        <v>22200</v>
      </c>
      <c r="F12" s="44">
        <f t="shared" si="0"/>
        <v>0</v>
      </c>
      <c r="G12" s="55">
        <f t="shared" si="1"/>
        <v>22200</v>
      </c>
      <c r="H12" s="55">
        <f t="shared" si="2"/>
        <v>0</v>
      </c>
      <c r="J12">
        <v>5890</v>
      </c>
      <c r="K12" s="44">
        <f t="shared" si="3"/>
        <v>0</v>
      </c>
      <c r="L12" s="44">
        <f t="shared" si="4"/>
        <v>5890</v>
      </c>
      <c r="M12" s="55">
        <f t="shared" si="5"/>
        <v>0</v>
      </c>
      <c r="O12">
        <v>5580</v>
      </c>
      <c r="P12" s="44">
        <f t="shared" si="6"/>
        <v>0</v>
      </c>
      <c r="Q12" s="55">
        <f t="shared" si="7"/>
        <v>5580</v>
      </c>
      <c r="R12" s="44">
        <f t="shared" si="6"/>
        <v>0</v>
      </c>
    </row>
    <row r="13" spans="1:18" ht="12.75">
      <c r="A13" s="41"/>
      <c r="B13" s="41" t="s">
        <v>114</v>
      </c>
      <c r="C13" s="43">
        <v>0</v>
      </c>
      <c r="E13">
        <v>42300</v>
      </c>
      <c r="F13" s="55">
        <f t="shared" si="0"/>
        <v>0</v>
      </c>
      <c r="G13" s="55">
        <f t="shared" si="1"/>
        <v>42300</v>
      </c>
      <c r="H13" s="55">
        <f t="shared" si="2"/>
        <v>0</v>
      </c>
      <c r="J13">
        <v>11600</v>
      </c>
      <c r="K13" s="55">
        <f t="shared" si="3"/>
        <v>0</v>
      </c>
      <c r="L13" s="55">
        <f t="shared" si="4"/>
        <v>11600</v>
      </c>
      <c r="M13" s="55">
        <f t="shared" si="5"/>
        <v>0</v>
      </c>
      <c r="O13">
        <v>11100</v>
      </c>
      <c r="P13" s="55">
        <f t="shared" si="6"/>
        <v>0</v>
      </c>
      <c r="Q13" s="55">
        <f t="shared" si="7"/>
        <v>11100</v>
      </c>
      <c r="R13" s="55">
        <f t="shared" si="6"/>
        <v>0</v>
      </c>
    </row>
    <row r="14" spans="1:18" ht="12.75">
      <c r="A14" s="41"/>
      <c r="B14" s="41" t="s">
        <v>115</v>
      </c>
      <c r="C14" s="43">
        <v>0</v>
      </c>
      <c r="E14">
        <v>6410</v>
      </c>
      <c r="F14" s="55">
        <f t="shared" si="0"/>
        <v>0</v>
      </c>
      <c r="G14" s="55">
        <f t="shared" si="1"/>
        <v>6410</v>
      </c>
      <c r="H14" s="55">
        <f t="shared" si="2"/>
        <v>0</v>
      </c>
      <c r="J14">
        <v>2640</v>
      </c>
      <c r="K14" s="55">
        <f t="shared" si="3"/>
        <v>0</v>
      </c>
      <c r="L14" s="55">
        <f t="shared" si="4"/>
        <v>2640</v>
      </c>
      <c r="M14" s="55">
        <f t="shared" si="5"/>
        <v>0</v>
      </c>
      <c r="O14">
        <v>2260</v>
      </c>
      <c r="P14" s="55">
        <f t="shared" si="6"/>
        <v>0</v>
      </c>
      <c r="Q14" s="55">
        <f t="shared" si="7"/>
        <v>2260</v>
      </c>
      <c r="R14" s="55">
        <f t="shared" si="6"/>
        <v>0</v>
      </c>
    </row>
    <row r="15" spans="1:18" ht="12.75">
      <c r="A15" s="41"/>
      <c r="B15" s="41" t="s">
        <v>35</v>
      </c>
      <c r="C15" s="43">
        <v>0.001</v>
      </c>
      <c r="E15">
        <v>2850</v>
      </c>
      <c r="F15" s="46">
        <f t="shared" si="0"/>
        <v>2.85</v>
      </c>
      <c r="G15" s="55">
        <f t="shared" si="1"/>
        <v>2850</v>
      </c>
      <c r="H15" s="46">
        <f t="shared" si="2"/>
        <v>2.85</v>
      </c>
      <c r="J15">
        <v>1630</v>
      </c>
      <c r="K15" s="46">
        <f t="shared" si="3"/>
        <v>1.6300000000000001</v>
      </c>
      <c r="L15" s="55">
        <f t="shared" si="4"/>
        <v>1630</v>
      </c>
      <c r="M15" s="47">
        <f t="shared" si="5"/>
        <v>1.6300000000000001</v>
      </c>
      <c r="O15">
        <v>1220</v>
      </c>
      <c r="P15" s="46">
        <f t="shared" si="6"/>
        <v>1.22</v>
      </c>
      <c r="Q15" s="55">
        <f t="shared" si="7"/>
        <v>1220</v>
      </c>
      <c r="R15" s="46">
        <f t="shared" si="6"/>
        <v>1.22</v>
      </c>
    </row>
    <row r="16" spans="1:18" ht="12.75">
      <c r="A16" s="41"/>
      <c r="B16" s="41" t="s">
        <v>116</v>
      </c>
      <c r="C16" s="43">
        <v>0</v>
      </c>
      <c r="E16">
        <v>2580</v>
      </c>
      <c r="F16" s="55">
        <f t="shared" si="0"/>
        <v>0</v>
      </c>
      <c r="G16" s="55">
        <f t="shared" si="1"/>
        <v>2580</v>
      </c>
      <c r="H16" s="55">
        <f t="shared" si="2"/>
        <v>0</v>
      </c>
      <c r="J16">
        <v>1060</v>
      </c>
      <c r="K16" s="55">
        <f t="shared" si="3"/>
        <v>0</v>
      </c>
      <c r="L16" s="55">
        <f t="shared" si="4"/>
        <v>1060</v>
      </c>
      <c r="M16" s="55">
        <f t="shared" si="5"/>
        <v>0</v>
      </c>
      <c r="O16">
        <v>974</v>
      </c>
      <c r="P16" s="55">
        <f t="shared" si="6"/>
        <v>0</v>
      </c>
      <c r="Q16" s="55">
        <f t="shared" si="7"/>
        <v>974</v>
      </c>
      <c r="R16" s="55">
        <f t="shared" si="6"/>
        <v>0</v>
      </c>
    </row>
    <row r="17" spans="1:18" ht="12.75">
      <c r="A17" s="41"/>
      <c r="B17" s="41" t="s">
        <v>117</v>
      </c>
      <c r="C17" s="43">
        <v>0</v>
      </c>
      <c r="E17">
        <v>2760</v>
      </c>
      <c r="F17" s="55">
        <f t="shared" si="0"/>
        <v>0</v>
      </c>
      <c r="G17" s="55">
        <f t="shared" si="1"/>
        <v>2760</v>
      </c>
      <c r="H17" s="44">
        <f t="shared" si="2"/>
        <v>0</v>
      </c>
      <c r="J17">
        <v>1080</v>
      </c>
      <c r="K17" s="55">
        <f t="shared" si="3"/>
        <v>0</v>
      </c>
      <c r="L17" s="55">
        <f t="shared" si="4"/>
        <v>1080</v>
      </c>
      <c r="M17" s="55">
        <f t="shared" si="5"/>
        <v>0</v>
      </c>
      <c r="O17">
        <v>992</v>
      </c>
      <c r="P17" s="55">
        <f t="shared" si="6"/>
        <v>0</v>
      </c>
      <c r="Q17" s="55">
        <f t="shared" si="7"/>
        <v>992</v>
      </c>
      <c r="R17" s="55">
        <f t="shared" si="6"/>
        <v>0</v>
      </c>
    </row>
    <row r="18" spans="1:18" ht="12.75">
      <c r="A18" s="41"/>
      <c r="B18" s="41" t="s">
        <v>118</v>
      </c>
      <c r="C18" s="43">
        <v>0</v>
      </c>
      <c r="E18">
        <v>2400</v>
      </c>
      <c r="F18" s="55">
        <f t="shared" si="0"/>
        <v>0</v>
      </c>
      <c r="G18" s="44">
        <f t="shared" si="1"/>
        <v>2400</v>
      </c>
      <c r="H18" s="55">
        <f t="shared" si="2"/>
        <v>0</v>
      </c>
      <c r="J18">
        <v>912</v>
      </c>
      <c r="K18" s="55">
        <f t="shared" si="3"/>
        <v>0</v>
      </c>
      <c r="L18" s="55">
        <f t="shared" si="4"/>
        <v>912</v>
      </c>
      <c r="M18" s="55">
        <f t="shared" si="5"/>
        <v>0</v>
      </c>
      <c r="O18">
        <v>711</v>
      </c>
      <c r="P18" s="55">
        <f t="shared" si="6"/>
        <v>0</v>
      </c>
      <c r="Q18" s="55">
        <f t="shared" si="7"/>
        <v>711</v>
      </c>
      <c r="R18" s="55">
        <f t="shared" si="6"/>
        <v>0</v>
      </c>
    </row>
    <row r="19" spans="1:18" ht="12.75">
      <c r="A19" s="41"/>
      <c r="B19" s="41" t="s">
        <v>119</v>
      </c>
      <c r="C19" s="43">
        <v>0</v>
      </c>
      <c r="E19">
        <v>913</v>
      </c>
      <c r="F19" s="55">
        <f t="shared" si="0"/>
        <v>0</v>
      </c>
      <c r="G19" s="55">
        <f t="shared" si="1"/>
        <v>913</v>
      </c>
      <c r="H19" s="55">
        <f t="shared" si="2"/>
        <v>0</v>
      </c>
      <c r="J19">
        <v>415</v>
      </c>
      <c r="K19" s="55">
        <f t="shared" si="3"/>
        <v>0</v>
      </c>
      <c r="L19" s="55">
        <f t="shared" si="4"/>
        <v>415</v>
      </c>
      <c r="M19" s="55">
        <f t="shared" si="5"/>
        <v>0</v>
      </c>
      <c r="O19">
        <v>280</v>
      </c>
      <c r="P19" s="55">
        <f t="shared" si="6"/>
        <v>0</v>
      </c>
      <c r="Q19" s="55">
        <f t="shared" si="7"/>
        <v>280</v>
      </c>
      <c r="R19" s="55">
        <f t="shared" si="6"/>
        <v>0</v>
      </c>
    </row>
    <row r="20" spans="1:18" ht="12.75">
      <c r="A20" s="41"/>
      <c r="B20" s="41" t="s">
        <v>45</v>
      </c>
      <c r="C20" s="43">
        <v>0.001</v>
      </c>
      <c r="E20">
        <v>196</v>
      </c>
      <c r="F20" s="46">
        <f t="shared" si="0"/>
        <v>0.196</v>
      </c>
      <c r="G20" s="55">
        <f t="shared" si="1"/>
        <v>196</v>
      </c>
      <c r="H20" s="47">
        <f t="shared" si="2"/>
        <v>0.196</v>
      </c>
      <c r="J20">
        <v>119</v>
      </c>
      <c r="K20" s="46">
        <f t="shared" si="3"/>
        <v>0.11900000000000001</v>
      </c>
      <c r="L20" s="55">
        <f t="shared" si="4"/>
        <v>119</v>
      </c>
      <c r="M20" s="46">
        <f t="shared" si="5"/>
        <v>0.11900000000000001</v>
      </c>
      <c r="O20">
        <v>74.6</v>
      </c>
      <c r="P20" s="46">
        <f t="shared" si="6"/>
        <v>0.0746</v>
      </c>
      <c r="Q20" s="55">
        <f t="shared" si="7"/>
        <v>74.6</v>
      </c>
      <c r="R20" s="46">
        <f t="shared" si="6"/>
        <v>0.0746</v>
      </c>
    </row>
    <row r="21" spans="1:18" ht="12.75">
      <c r="A21" s="41"/>
      <c r="B21" s="41" t="s">
        <v>29</v>
      </c>
      <c r="C21" s="43">
        <v>1</v>
      </c>
      <c r="E21">
        <v>5.77</v>
      </c>
      <c r="F21" s="44">
        <f t="shared" si="0"/>
        <v>5.77</v>
      </c>
      <c r="G21" s="55">
        <f aca="true" t="shared" si="8" ref="G21:G33">IF(E21=0,"",IF(D21="nd",E21/2,E21))</f>
        <v>5.77</v>
      </c>
      <c r="H21" s="44">
        <f aca="true" t="shared" si="9" ref="H21:H35">IF(G21="","",G21*$C21)</f>
        <v>5.77</v>
      </c>
      <c r="J21">
        <v>1.34</v>
      </c>
      <c r="K21" s="44">
        <f t="shared" si="3"/>
        <v>1.34</v>
      </c>
      <c r="L21" s="44">
        <f t="shared" si="4"/>
        <v>1.34</v>
      </c>
      <c r="M21" s="44">
        <f aca="true" t="shared" si="10" ref="M21:M35">IF(L21="","",L21*$C21)</f>
        <v>1.34</v>
      </c>
      <c r="O21">
        <v>1.17</v>
      </c>
      <c r="P21" s="44">
        <f aca="true" t="shared" si="11" ref="P21:R35">IF(O21="","",O21*$C21)</f>
        <v>1.17</v>
      </c>
      <c r="Q21" s="55">
        <f t="shared" si="7"/>
        <v>1.17</v>
      </c>
      <c r="R21" s="44">
        <f t="shared" si="11"/>
        <v>1.17</v>
      </c>
    </row>
    <row r="22" spans="1:18" ht="12.75">
      <c r="A22" s="41"/>
      <c r="B22" s="41" t="s">
        <v>30</v>
      </c>
      <c r="C22" s="43">
        <v>0.5</v>
      </c>
      <c r="E22">
        <v>103</v>
      </c>
      <c r="F22" s="44">
        <f t="shared" si="0"/>
        <v>51.5</v>
      </c>
      <c r="G22" s="55">
        <f t="shared" si="8"/>
        <v>103</v>
      </c>
      <c r="H22" s="47">
        <f t="shared" si="9"/>
        <v>51.5</v>
      </c>
      <c r="J22">
        <v>39.2</v>
      </c>
      <c r="K22" s="44">
        <f t="shared" si="3"/>
        <v>19.6</v>
      </c>
      <c r="L22" s="44">
        <f aca="true" t="shared" si="12" ref="L22:L35">IF(J22=0,"",IF(I22="nd",J22/2,J22))</f>
        <v>39.2</v>
      </c>
      <c r="M22" s="47">
        <f t="shared" si="10"/>
        <v>19.6</v>
      </c>
      <c r="O22">
        <v>52.6</v>
      </c>
      <c r="P22" s="44">
        <f t="shared" si="11"/>
        <v>26.3</v>
      </c>
      <c r="Q22" s="55">
        <f aca="true" t="shared" si="13" ref="Q22:Q35">IF(O22=0,"",IF(N22="nd",O22/2,O22))</f>
        <v>52.6</v>
      </c>
      <c r="R22" s="44">
        <f t="shared" si="11"/>
        <v>26.3</v>
      </c>
    </row>
    <row r="23" spans="1:18" ht="12.75">
      <c r="A23" s="41"/>
      <c r="B23" s="41" t="s">
        <v>31</v>
      </c>
      <c r="C23" s="43">
        <v>0.1</v>
      </c>
      <c r="E23">
        <v>189</v>
      </c>
      <c r="F23" s="47">
        <f t="shared" si="0"/>
        <v>18.900000000000002</v>
      </c>
      <c r="G23" s="55">
        <f t="shared" si="8"/>
        <v>189</v>
      </c>
      <c r="H23" s="47">
        <f t="shared" si="9"/>
        <v>18.900000000000002</v>
      </c>
      <c r="J23">
        <v>69.9</v>
      </c>
      <c r="K23" s="47">
        <f t="shared" si="3"/>
        <v>6.990000000000001</v>
      </c>
      <c r="L23" s="44">
        <f t="shared" si="12"/>
        <v>69.9</v>
      </c>
      <c r="M23" s="47">
        <f t="shared" si="10"/>
        <v>6.990000000000001</v>
      </c>
      <c r="O23">
        <v>77.6</v>
      </c>
      <c r="P23" s="47">
        <f t="shared" si="11"/>
        <v>7.76</v>
      </c>
      <c r="Q23" s="55">
        <f t="shared" si="13"/>
        <v>77.6</v>
      </c>
      <c r="R23" s="47">
        <f t="shared" si="11"/>
        <v>7.76</v>
      </c>
    </row>
    <row r="24" spans="1:18" ht="12.75">
      <c r="A24" s="41"/>
      <c r="B24" s="41" t="s">
        <v>32</v>
      </c>
      <c r="C24" s="43">
        <v>0.1</v>
      </c>
      <c r="E24">
        <v>787</v>
      </c>
      <c r="F24" s="44">
        <f t="shared" si="0"/>
        <v>78.7</v>
      </c>
      <c r="G24" s="55">
        <f t="shared" si="8"/>
        <v>787</v>
      </c>
      <c r="H24" s="47">
        <f t="shared" si="9"/>
        <v>78.7</v>
      </c>
      <c r="J24">
        <v>271</v>
      </c>
      <c r="K24" s="44">
        <f t="shared" si="3"/>
        <v>27.1</v>
      </c>
      <c r="L24" s="44">
        <f t="shared" si="12"/>
        <v>271</v>
      </c>
      <c r="M24" s="47">
        <f t="shared" si="10"/>
        <v>27.1</v>
      </c>
      <c r="O24">
        <v>268</v>
      </c>
      <c r="P24" s="44">
        <f t="shared" si="11"/>
        <v>26.8</v>
      </c>
      <c r="Q24" s="55">
        <f t="shared" si="13"/>
        <v>268</v>
      </c>
      <c r="R24" s="44">
        <f t="shared" si="11"/>
        <v>26.8</v>
      </c>
    </row>
    <row r="25" spans="1:18" ht="12.75">
      <c r="A25" s="41"/>
      <c r="B25" s="41" t="s">
        <v>33</v>
      </c>
      <c r="C25" s="43">
        <v>0.1</v>
      </c>
      <c r="E25">
        <v>339</v>
      </c>
      <c r="F25" s="44">
        <f t="shared" si="0"/>
        <v>33.9</v>
      </c>
      <c r="G25" s="55">
        <f t="shared" si="8"/>
        <v>339</v>
      </c>
      <c r="H25" s="47">
        <f t="shared" si="9"/>
        <v>33.9</v>
      </c>
      <c r="J25">
        <v>121</v>
      </c>
      <c r="K25" s="44">
        <f t="shared" si="3"/>
        <v>12.100000000000001</v>
      </c>
      <c r="L25" s="44">
        <f t="shared" si="12"/>
        <v>121</v>
      </c>
      <c r="M25" s="47">
        <f t="shared" si="10"/>
        <v>12.100000000000001</v>
      </c>
      <c r="O25">
        <v>141</v>
      </c>
      <c r="P25" s="44">
        <f t="shared" si="11"/>
        <v>14.100000000000001</v>
      </c>
      <c r="Q25" s="55">
        <f t="shared" si="13"/>
        <v>141</v>
      </c>
      <c r="R25" s="44">
        <f t="shared" si="11"/>
        <v>14.100000000000001</v>
      </c>
    </row>
    <row r="26" spans="1:18" ht="12.75">
      <c r="A26" s="41"/>
      <c r="B26" s="41" t="s">
        <v>34</v>
      </c>
      <c r="C26" s="43">
        <v>0.01</v>
      </c>
      <c r="E26">
        <v>3160</v>
      </c>
      <c r="F26" s="47">
        <f t="shared" si="0"/>
        <v>31.6</v>
      </c>
      <c r="G26" s="55">
        <f t="shared" si="8"/>
        <v>3160</v>
      </c>
      <c r="H26" s="47">
        <f t="shared" si="9"/>
        <v>31.6</v>
      </c>
      <c r="J26">
        <v>1300</v>
      </c>
      <c r="K26" s="47">
        <f t="shared" si="3"/>
        <v>13</v>
      </c>
      <c r="L26" s="55">
        <f t="shared" si="12"/>
        <v>1300</v>
      </c>
      <c r="M26" s="47">
        <f t="shared" si="10"/>
        <v>13</v>
      </c>
      <c r="O26">
        <v>1110</v>
      </c>
      <c r="P26" s="47">
        <f t="shared" si="11"/>
        <v>11.1</v>
      </c>
      <c r="Q26" s="55">
        <f t="shared" si="13"/>
        <v>1110</v>
      </c>
      <c r="R26" s="47">
        <f t="shared" si="11"/>
        <v>11.1</v>
      </c>
    </row>
    <row r="27" spans="1:18" ht="12.75">
      <c r="A27" s="41"/>
      <c r="B27" s="41" t="s">
        <v>36</v>
      </c>
      <c r="C27" s="43">
        <v>0.1</v>
      </c>
      <c r="E27">
        <v>41.1</v>
      </c>
      <c r="F27" s="55">
        <f t="shared" si="0"/>
        <v>4.11</v>
      </c>
      <c r="G27" s="55">
        <f t="shared" si="8"/>
        <v>41.1</v>
      </c>
      <c r="H27" s="47">
        <f t="shared" si="9"/>
        <v>4.11</v>
      </c>
      <c r="J27">
        <v>16.5</v>
      </c>
      <c r="K27" s="55">
        <f t="shared" si="3"/>
        <v>1.6500000000000001</v>
      </c>
      <c r="L27" s="55">
        <f t="shared" si="12"/>
        <v>16.5</v>
      </c>
      <c r="M27" s="55">
        <f t="shared" si="10"/>
        <v>1.6500000000000001</v>
      </c>
      <c r="O27">
        <v>15.9</v>
      </c>
      <c r="P27" s="55">
        <f t="shared" si="11"/>
        <v>1.59</v>
      </c>
      <c r="Q27" s="55">
        <f t="shared" si="13"/>
        <v>15.9</v>
      </c>
      <c r="R27" s="55">
        <f t="shared" si="11"/>
        <v>1.59</v>
      </c>
    </row>
    <row r="28" spans="1:18" ht="12.75">
      <c r="A28" s="41"/>
      <c r="B28" s="41" t="s">
        <v>37</v>
      </c>
      <c r="C28" s="43">
        <v>0.05</v>
      </c>
      <c r="E28">
        <v>62.6</v>
      </c>
      <c r="F28" s="55">
        <f t="shared" si="0"/>
        <v>3.1300000000000003</v>
      </c>
      <c r="G28" s="55">
        <f t="shared" si="8"/>
        <v>62.6</v>
      </c>
      <c r="H28" s="47">
        <f t="shared" si="9"/>
        <v>3.1300000000000003</v>
      </c>
      <c r="J28">
        <v>26.1</v>
      </c>
      <c r="K28" s="55">
        <f t="shared" si="3"/>
        <v>1.3050000000000002</v>
      </c>
      <c r="L28" s="55">
        <f t="shared" si="12"/>
        <v>26.1</v>
      </c>
      <c r="M28" s="44">
        <f t="shared" si="10"/>
        <v>1.3050000000000002</v>
      </c>
      <c r="O28">
        <v>24.7</v>
      </c>
      <c r="P28" s="55">
        <f t="shared" si="11"/>
        <v>1.235</v>
      </c>
      <c r="Q28" s="55">
        <f t="shared" si="13"/>
        <v>24.7</v>
      </c>
      <c r="R28" s="55">
        <f t="shared" si="11"/>
        <v>1.235</v>
      </c>
    </row>
    <row r="29" spans="1:18" ht="12.75">
      <c r="A29" s="41"/>
      <c r="B29" s="41" t="s">
        <v>38</v>
      </c>
      <c r="C29" s="43">
        <v>0.5</v>
      </c>
      <c r="E29">
        <v>206</v>
      </c>
      <c r="F29" s="44">
        <f t="shared" si="0"/>
        <v>103</v>
      </c>
      <c r="G29" s="55">
        <f t="shared" si="8"/>
        <v>206</v>
      </c>
      <c r="H29" s="47">
        <f t="shared" si="9"/>
        <v>103</v>
      </c>
      <c r="J29">
        <v>76</v>
      </c>
      <c r="K29" s="44">
        <f t="shared" si="3"/>
        <v>38</v>
      </c>
      <c r="L29" s="55">
        <f t="shared" si="12"/>
        <v>76</v>
      </c>
      <c r="M29" s="55">
        <f t="shared" si="10"/>
        <v>38</v>
      </c>
      <c r="O29">
        <v>77.4</v>
      </c>
      <c r="P29" s="44">
        <f t="shared" si="11"/>
        <v>38.7</v>
      </c>
      <c r="Q29" s="55">
        <f t="shared" si="13"/>
        <v>77.4</v>
      </c>
      <c r="R29" s="44">
        <f t="shared" si="11"/>
        <v>38.7</v>
      </c>
    </row>
    <row r="30" spans="1:18" ht="12.75">
      <c r="A30" s="41"/>
      <c r="B30" s="41" t="s">
        <v>39</v>
      </c>
      <c r="C30" s="43">
        <v>0.1</v>
      </c>
      <c r="E30">
        <v>109</v>
      </c>
      <c r="F30" s="55">
        <f t="shared" si="0"/>
        <v>10.9</v>
      </c>
      <c r="G30" s="55">
        <f t="shared" si="8"/>
        <v>109</v>
      </c>
      <c r="H30" s="47">
        <f t="shared" si="9"/>
        <v>10.9</v>
      </c>
      <c r="J30">
        <v>48.4</v>
      </c>
      <c r="K30" s="55">
        <f t="shared" si="3"/>
        <v>4.84</v>
      </c>
      <c r="L30" s="55">
        <f t="shared" si="12"/>
        <v>48.4</v>
      </c>
      <c r="M30" s="55">
        <f t="shared" si="10"/>
        <v>4.84</v>
      </c>
      <c r="O30">
        <v>40</v>
      </c>
      <c r="P30" s="55">
        <f t="shared" si="11"/>
        <v>4</v>
      </c>
      <c r="Q30" s="55">
        <f t="shared" si="13"/>
        <v>40</v>
      </c>
      <c r="R30" s="55">
        <f t="shared" si="11"/>
        <v>4</v>
      </c>
    </row>
    <row r="31" spans="1:18" ht="12.75">
      <c r="A31" s="41"/>
      <c r="B31" s="41" t="s">
        <v>40</v>
      </c>
      <c r="C31" s="43">
        <v>0.1</v>
      </c>
      <c r="E31">
        <v>125</v>
      </c>
      <c r="F31" s="55">
        <f t="shared" si="0"/>
        <v>12.5</v>
      </c>
      <c r="G31" s="55">
        <f t="shared" si="8"/>
        <v>125</v>
      </c>
      <c r="H31" s="47">
        <f t="shared" si="9"/>
        <v>12.5</v>
      </c>
      <c r="J31">
        <v>60.4</v>
      </c>
      <c r="K31" s="55">
        <f t="shared" si="3"/>
        <v>6.04</v>
      </c>
      <c r="L31" s="55">
        <f t="shared" si="12"/>
        <v>60.4</v>
      </c>
      <c r="M31" s="44">
        <f t="shared" si="10"/>
        <v>6.04</v>
      </c>
      <c r="O31">
        <v>50.4</v>
      </c>
      <c r="P31" s="55">
        <f t="shared" si="11"/>
        <v>5.04</v>
      </c>
      <c r="Q31" s="55">
        <f t="shared" si="13"/>
        <v>50.4</v>
      </c>
      <c r="R31" s="55">
        <f t="shared" si="11"/>
        <v>5.04</v>
      </c>
    </row>
    <row r="32" spans="1:18" ht="12.75">
      <c r="A32" s="41"/>
      <c r="B32" s="41" t="s">
        <v>41</v>
      </c>
      <c r="C32" s="43">
        <v>0.1</v>
      </c>
      <c r="E32">
        <v>325</v>
      </c>
      <c r="F32" s="44">
        <f t="shared" si="0"/>
        <v>32.5</v>
      </c>
      <c r="G32" s="55">
        <f t="shared" si="8"/>
        <v>325</v>
      </c>
      <c r="H32" s="47">
        <f t="shared" si="9"/>
        <v>32.5</v>
      </c>
      <c r="J32">
        <v>136</v>
      </c>
      <c r="K32" s="44">
        <f t="shared" si="3"/>
        <v>13.600000000000001</v>
      </c>
      <c r="L32" s="55">
        <f t="shared" si="12"/>
        <v>136</v>
      </c>
      <c r="M32" s="44">
        <f t="shared" si="10"/>
        <v>13.600000000000001</v>
      </c>
      <c r="O32">
        <v>104</v>
      </c>
      <c r="P32" s="44">
        <f t="shared" si="11"/>
        <v>10.4</v>
      </c>
      <c r="Q32" s="55">
        <f t="shared" si="13"/>
        <v>104</v>
      </c>
      <c r="R32" s="44">
        <f t="shared" si="11"/>
        <v>10.4</v>
      </c>
    </row>
    <row r="33" spans="1:18" ht="12.75">
      <c r="A33" s="41"/>
      <c r="B33" s="41" t="s">
        <v>42</v>
      </c>
      <c r="C33" s="43">
        <v>0.1</v>
      </c>
      <c r="E33">
        <v>64.5</v>
      </c>
      <c r="F33" s="44">
        <f t="shared" si="0"/>
        <v>6.45</v>
      </c>
      <c r="G33" s="55">
        <f t="shared" si="8"/>
        <v>64.5</v>
      </c>
      <c r="H33" s="47">
        <f t="shared" si="9"/>
        <v>6.45</v>
      </c>
      <c r="J33">
        <v>25</v>
      </c>
      <c r="K33" s="44">
        <f t="shared" si="3"/>
        <v>2.5</v>
      </c>
      <c r="L33" s="55">
        <f t="shared" si="12"/>
        <v>25</v>
      </c>
      <c r="M33" s="55">
        <f t="shared" si="10"/>
        <v>2.5</v>
      </c>
      <c r="O33">
        <v>17.4</v>
      </c>
      <c r="P33" s="44">
        <f t="shared" si="11"/>
        <v>1.74</v>
      </c>
      <c r="Q33" s="55">
        <f t="shared" si="13"/>
        <v>17.4</v>
      </c>
      <c r="R33" s="44">
        <f t="shared" si="11"/>
        <v>1.74</v>
      </c>
    </row>
    <row r="34" spans="1:18" ht="12.75">
      <c r="A34" s="41"/>
      <c r="B34" s="41" t="s">
        <v>43</v>
      </c>
      <c r="C34" s="43">
        <v>0.01</v>
      </c>
      <c r="E34">
        <v>316</v>
      </c>
      <c r="F34" s="47">
        <f t="shared" si="0"/>
        <v>3.16</v>
      </c>
      <c r="G34" s="55">
        <f>IF(E34=0,"",IF(D34="nd",E34/2,E34))</f>
        <v>316</v>
      </c>
      <c r="H34" s="44">
        <f t="shared" si="9"/>
        <v>3.16</v>
      </c>
      <c r="J34">
        <v>180</v>
      </c>
      <c r="K34" s="47">
        <f t="shared" si="3"/>
        <v>1.8</v>
      </c>
      <c r="L34" s="55">
        <f t="shared" si="12"/>
        <v>180</v>
      </c>
      <c r="M34" s="47">
        <f t="shared" si="10"/>
        <v>1.8</v>
      </c>
      <c r="O34">
        <v>133</v>
      </c>
      <c r="P34" s="47">
        <f t="shared" si="11"/>
        <v>1.33</v>
      </c>
      <c r="Q34" s="55">
        <f t="shared" si="13"/>
        <v>133</v>
      </c>
      <c r="R34" s="47">
        <f t="shared" si="11"/>
        <v>1.33</v>
      </c>
    </row>
    <row r="35" spans="1:18" ht="12.75">
      <c r="A35" s="41"/>
      <c r="B35" s="41" t="s">
        <v>44</v>
      </c>
      <c r="C35" s="43">
        <v>0.01</v>
      </c>
      <c r="E35">
        <v>88.9</v>
      </c>
      <c r="F35" s="47">
        <f t="shared" si="0"/>
        <v>0.8890000000000001</v>
      </c>
      <c r="G35" s="55">
        <f>IF(E35=0,"",IF(D35="nd",E35/2,E35))</f>
        <v>88.9</v>
      </c>
      <c r="H35" s="47">
        <f t="shared" si="9"/>
        <v>0.8890000000000001</v>
      </c>
      <c r="J35">
        <v>42.9</v>
      </c>
      <c r="K35" s="47">
        <f t="shared" si="3"/>
        <v>0.429</v>
      </c>
      <c r="L35" s="55">
        <f t="shared" si="12"/>
        <v>42.9</v>
      </c>
      <c r="M35" s="47">
        <f t="shared" si="10"/>
        <v>0.429</v>
      </c>
      <c r="O35">
        <v>25.2</v>
      </c>
      <c r="P35" s="47">
        <f t="shared" si="11"/>
        <v>0.252</v>
      </c>
      <c r="Q35" s="55">
        <f t="shared" si="13"/>
        <v>25.2</v>
      </c>
      <c r="R35" s="47">
        <f t="shared" si="11"/>
        <v>0.252</v>
      </c>
    </row>
    <row r="36" spans="1:18" ht="12.75">
      <c r="A36" s="41"/>
      <c r="B36" s="41"/>
      <c r="C36" s="41"/>
      <c r="D36" s="41"/>
      <c r="E36" s="44"/>
      <c r="F36" s="49"/>
      <c r="G36" s="47"/>
      <c r="H36" s="50"/>
      <c r="I36" s="71"/>
      <c r="J36" s="19"/>
      <c r="K36" s="49"/>
      <c r="L36" s="44"/>
      <c r="M36" s="44"/>
      <c r="N36" s="71"/>
      <c r="O36" s="19"/>
      <c r="P36" s="49"/>
      <c r="Q36" s="47"/>
      <c r="R36" s="49"/>
    </row>
    <row r="37" spans="1:18" ht="12.75">
      <c r="A37" s="41"/>
      <c r="B37" s="41" t="s">
        <v>46</v>
      </c>
      <c r="C37" s="41"/>
      <c r="D37" s="41"/>
      <c r="F37">
        <f>H37</f>
        <v>97.04</v>
      </c>
      <c r="G37">
        <v>97.04</v>
      </c>
      <c r="H37">
        <v>97.04</v>
      </c>
      <c r="K37">
        <f>M37</f>
        <v>99.73</v>
      </c>
      <c r="L37">
        <v>99.73</v>
      </c>
      <c r="M37">
        <v>99.73</v>
      </c>
      <c r="P37">
        <f>R37</f>
        <v>100.5</v>
      </c>
      <c r="Q37">
        <v>100.5</v>
      </c>
      <c r="R37">
        <v>100.5</v>
      </c>
    </row>
    <row r="38" spans="1:18" ht="12.75">
      <c r="A38" s="41"/>
      <c r="B38" s="41" t="s">
        <v>66</v>
      </c>
      <c r="C38" s="41"/>
      <c r="D38" s="41"/>
      <c r="F38">
        <f>H38</f>
        <v>14.1</v>
      </c>
      <c r="G38">
        <v>14.1</v>
      </c>
      <c r="H38">
        <v>14.1</v>
      </c>
      <c r="K38">
        <f>M38</f>
        <v>11.2</v>
      </c>
      <c r="L38">
        <v>11.2</v>
      </c>
      <c r="M38">
        <v>11.2</v>
      </c>
      <c r="P38">
        <f>R38</f>
        <v>13.2</v>
      </c>
      <c r="Q38">
        <v>13.2</v>
      </c>
      <c r="R38">
        <v>13.2</v>
      </c>
    </row>
    <row r="39" spans="1:18" ht="12.75">
      <c r="A39" s="41"/>
      <c r="B39" s="41"/>
      <c r="C39" s="41"/>
      <c r="D39" s="41"/>
      <c r="E39" s="44"/>
      <c r="F39" s="47"/>
      <c r="G39" s="47"/>
      <c r="H39" s="19"/>
      <c r="I39" s="62"/>
      <c r="J39" s="47"/>
      <c r="K39" s="47"/>
      <c r="L39" s="44"/>
      <c r="M39" s="48"/>
      <c r="N39" s="71"/>
      <c r="O39" s="47"/>
      <c r="P39" s="47"/>
      <c r="Q39" s="47"/>
      <c r="R39" s="47"/>
    </row>
    <row r="40" spans="1:18" ht="12.75">
      <c r="A40" s="41"/>
      <c r="B40" s="41" t="s">
        <v>57</v>
      </c>
      <c r="C40" s="50"/>
      <c r="D40" s="50"/>
      <c r="E40" s="44"/>
      <c r="F40" s="47">
        <f>SUM(F21:F35)</f>
        <v>397.009</v>
      </c>
      <c r="G40" s="44">
        <f>SUM(G20,G19,G18,G17,G16,G15,G14,G13,G12,G11)</f>
        <v>96409</v>
      </c>
      <c r="H40" s="47">
        <f>SUM(H21:H35)</f>
        <v>397.009</v>
      </c>
      <c r="I40" s="52"/>
      <c r="J40" s="44"/>
      <c r="K40" s="47">
        <f>SUM(K21:K35)</f>
        <v>150.294</v>
      </c>
      <c r="L40" s="44">
        <f>SUM(L20,L19,L18,L17,L16,L15,L14,L13,L12,L11)</f>
        <v>29946</v>
      </c>
      <c r="M40" s="46">
        <f>SUM(M21:M35)</f>
        <v>150.294</v>
      </c>
      <c r="N40" s="52"/>
      <c r="O40" s="47"/>
      <c r="P40" s="47">
        <f>SUM(P21:P35)</f>
        <v>151.51700000000002</v>
      </c>
      <c r="Q40" s="44">
        <f>SUM(Q20,Q19,Q18,Q17,Q16,Q15,Q14,Q13,Q12,Q11)</f>
        <v>27161.6</v>
      </c>
      <c r="R40" s="47">
        <f>SUM(R21:R35)</f>
        <v>151.51700000000002</v>
      </c>
    </row>
    <row r="41" spans="1:18" ht="12.75">
      <c r="A41" s="41"/>
      <c r="B41" s="41" t="s">
        <v>47</v>
      </c>
      <c r="C41" s="50"/>
      <c r="D41" s="44">
        <f>(F41-H41)*2/F41*100</f>
        <v>0</v>
      </c>
      <c r="E41" s="44"/>
      <c r="F41" s="46">
        <f>F40/F37/0.0283*(21-7)/(21-F38)/1000</f>
        <v>0.2933202683700346</v>
      </c>
      <c r="G41" s="46">
        <f>(G40/G37/0.0283*(21-7)/(21-G38))/1000</f>
        <v>71.22940223845471</v>
      </c>
      <c r="H41" s="46">
        <f>(H40/H37/0.0283*(21-7)/(21-H38))/1000</f>
        <v>0.2933202683700346</v>
      </c>
      <c r="I41" s="44">
        <f>(K41-M41)*2/K41*100</f>
        <v>0</v>
      </c>
      <c r="J41" s="47"/>
      <c r="K41" s="46">
        <f>K40/K37/0.0283*(21-7)/(21-K38)/1000</f>
        <v>0.07607314104467726</v>
      </c>
      <c r="L41" s="46">
        <f>(L40/L37/0.0283*(21-7)/(21-L38))/1000</f>
        <v>15.157533113257383</v>
      </c>
      <c r="M41" s="47">
        <f>M40/M37/0.0283*(21-7)/(21-M38)/1000</f>
        <v>0.07607314104467726</v>
      </c>
      <c r="N41" s="44">
        <f>(P41-R41)*2/P41*100</f>
        <v>0</v>
      </c>
      <c r="O41" s="47"/>
      <c r="P41" s="46">
        <f>P40/P37/0.0283*(21-7)/(21-P38)/1000</f>
        <v>0.09561858191149897</v>
      </c>
      <c r="Q41" s="46">
        <f>(Q40/Q37/0.0283*(21-7)/(21-Q38))/1000</f>
        <v>17.141005131090036</v>
      </c>
      <c r="R41" s="46">
        <f>R40/R37/0.0283*(21-7)/(21-R38)/1000</f>
        <v>0.09561858191149897</v>
      </c>
    </row>
    <row r="42" spans="1:18" ht="12.75">
      <c r="A42" s="41"/>
      <c r="B42" s="41"/>
      <c r="C42" s="41"/>
      <c r="D42" s="41"/>
      <c r="E42" s="44"/>
      <c r="F42" s="49"/>
      <c r="G42" s="44"/>
      <c r="H42" s="44"/>
      <c r="I42" s="46"/>
      <c r="J42" s="46"/>
      <c r="K42" s="49"/>
      <c r="L42" s="46"/>
      <c r="M42" s="46"/>
      <c r="N42" s="46"/>
      <c r="O42" s="46"/>
      <c r="P42" s="49"/>
      <c r="Q42" s="46"/>
      <c r="R42" s="49"/>
    </row>
    <row r="43" spans="1:18" ht="12.75">
      <c r="A43" s="47"/>
      <c r="B43" s="41" t="s">
        <v>67</v>
      </c>
      <c r="C43" s="46">
        <f>AVERAGE(H41,M41,R41)</f>
        <v>0.15500399710873694</v>
      </c>
      <c r="D43" s="47"/>
      <c r="E43" s="44"/>
      <c r="F43" s="49"/>
      <c r="G43" s="44"/>
      <c r="H43" s="44"/>
      <c r="I43" s="47"/>
      <c r="J43" s="47"/>
      <c r="K43" s="49"/>
      <c r="L43" s="47"/>
      <c r="M43" s="47"/>
      <c r="N43" s="47"/>
      <c r="O43" s="47"/>
      <c r="P43" s="49"/>
      <c r="Q43" s="47"/>
      <c r="R43" s="49"/>
    </row>
    <row r="44" spans="1:18" ht="12.75">
      <c r="A44" s="41"/>
      <c r="B44" s="41" t="s">
        <v>68</v>
      </c>
      <c r="C44" s="47">
        <f>AVERAGE(G41,L41,Q41)</f>
        <v>34.50931349426738</v>
      </c>
      <c r="D44" s="41"/>
      <c r="E44" s="44"/>
      <c r="F44" s="49"/>
      <c r="G44" s="44"/>
      <c r="H44" s="44"/>
      <c r="I44" s="49"/>
      <c r="J44" s="49"/>
      <c r="K44" s="49"/>
      <c r="L44" s="49"/>
      <c r="M44" s="49"/>
      <c r="N44" s="49"/>
      <c r="O44" s="49"/>
      <c r="P44" s="49"/>
      <c r="Q44" s="49"/>
      <c r="R44" s="49"/>
    </row>
    <row r="85" spans="1:18" ht="12.75">
      <c r="A85" s="2"/>
      <c r="B85" s="2"/>
      <c r="C85" s="2"/>
      <c r="D85" s="2"/>
      <c r="E85" s="4"/>
      <c r="F85" s="7"/>
      <c r="G85" s="4"/>
      <c r="J85" s="7"/>
      <c r="K85" s="7"/>
      <c r="L85" s="4"/>
      <c r="M85" s="6"/>
      <c r="N85" s="7"/>
      <c r="O85" s="7"/>
      <c r="P85" s="7"/>
      <c r="Q85" s="7"/>
      <c r="R85" s="7"/>
    </row>
    <row r="86" spans="1:18" ht="12.75">
      <c r="A86" s="2"/>
      <c r="B86" s="2"/>
      <c r="C86" s="3"/>
      <c r="D86" s="3"/>
      <c r="E86" s="4"/>
      <c r="F86" s="3"/>
      <c r="G86" s="4"/>
      <c r="H86" s="4"/>
      <c r="I86" s="3"/>
      <c r="J86" s="4"/>
      <c r="K86" s="3"/>
      <c r="L86" s="4"/>
      <c r="M86" s="4"/>
      <c r="N86" s="3"/>
      <c r="O86" s="7"/>
      <c r="P86" s="3"/>
      <c r="Q86" s="3"/>
      <c r="R86" s="3"/>
    </row>
    <row r="87" spans="1:18" ht="12.75">
      <c r="A87" s="2"/>
      <c r="B87" s="2"/>
      <c r="C87" s="3"/>
      <c r="D87" s="3"/>
      <c r="E87" s="4"/>
      <c r="F87" s="5"/>
      <c r="G87" s="4"/>
      <c r="H87" s="4"/>
      <c r="I87" s="3"/>
      <c r="J87" s="7"/>
      <c r="K87" s="5"/>
      <c r="L87" s="4"/>
      <c r="M87" s="3"/>
      <c r="N87" s="3"/>
      <c r="O87" s="7"/>
      <c r="P87" s="5"/>
      <c r="Q87" s="5"/>
      <c r="R87" s="5"/>
    </row>
  </sheetData>
  <printOptions headings="1" horizontalCentered="1"/>
  <pageMargins left="0.25" right="0.25" top="0.5" bottom="0.5" header="0.25" footer="0.25"/>
  <pageSetup horizontalDpi="600" verticalDpi="600" orientation="landscape" pageOrder="overThenDown" scale="80" r:id="rId1"/>
  <headerFooter alignWithMargins="0">
    <oddFooter>&amp;C&amp;P, &amp;A, 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L481"/>
  <sheetViews>
    <sheetView workbookViewId="0" topLeftCell="B1">
      <selection activeCell="B5" sqref="B5"/>
    </sheetView>
  </sheetViews>
  <sheetFormatPr defaultColWidth="9.140625" defaultRowHeight="12.75"/>
  <cols>
    <col min="1" max="1" width="1.8515625" style="1" hidden="1" customWidth="1"/>
    <col min="2" max="2" width="27.140625" style="1" customWidth="1"/>
    <col min="3" max="3" width="58.421875" style="1" customWidth="1"/>
    <col min="4" max="16384" width="8.8515625" style="1" customWidth="1"/>
  </cols>
  <sheetData>
    <row r="1" spans="2:12" ht="12.75">
      <c r="B1" s="8" t="s">
        <v>86</v>
      </c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2:12" ht="12.75"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2:12" ht="12.75">
      <c r="B3" s="19" t="s">
        <v>235</v>
      </c>
      <c r="C3" s="20">
        <v>3010</v>
      </c>
      <c r="D3" s="19"/>
      <c r="E3" s="19"/>
      <c r="F3" s="19"/>
      <c r="G3" s="19"/>
      <c r="H3" s="19"/>
      <c r="I3" s="19"/>
      <c r="J3" s="19"/>
      <c r="K3" s="19"/>
      <c r="L3" s="19"/>
    </row>
    <row r="4" spans="2:12" ht="12.75">
      <c r="B4" s="19" t="s">
        <v>0</v>
      </c>
      <c r="C4" s="19" t="s">
        <v>132</v>
      </c>
      <c r="D4" s="19"/>
      <c r="E4" s="19"/>
      <c r="F4" s="19"/>
      <c r="G4" s="19"/>
      <c r="H4" s="19"/>
      <c r="I4" s="19"/>
      <c r="J4" s="19"/>
      <c r="K4" s="19"/>
      <c r="L4" s="19"/>
    </row>
    <row r="5" spans="2:12" ht="12.75">
      <c r="B5" s="19" t="s">
        <v>1</v>
      </c>
      <c r="C5" s="19" t="s">
        <v>133</v>
      </c>
      <c r="D5" s="19"/>
      <c r="E5" s="19"/>
      <c r="F5" s="19"/>
      <c r="G5" s="19"/>
      <c r="H5" s="19"/>
      <c r="I5" s="19"/>
      <c r="J5" s="19"/>
      <c r="K5" s="19"/>
      <c r="L5" s="19"/>
    </row>
    <row r="6" spans="2:12" ht="12.75">
      <c r="B6" s="19" t="s">
        <v>2</v>
      </c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2:12" ht="12.75">
      <c r="B7" s="19" t="s">
        <v>3</v>
      </c>
      <c r="C7" s="19" t="s">
        <v>134</v>
      </c>
      <c r="D7" s="19"/>
      <c r="E7" s="19"/>
      <c r="F7" s="19"/>
      <c r="G7" s="19"/>
      <c r="H7" s="19"/>
      <c r="I7" s="19"/>
      <c r="J7" s="19"/>
      <c r="K7" s="19"/>
      <c r="L7" s="19"/>
    </row>
    <row r="8" spans="2:12" ht="12.75">
      <c r="B8" s="19" t="s">
        <v>4</v>
      </c>
      <c r="C8" s="19" t="s">
        <v>135</v>
      </c>
      <c r="D8" s="19"/>
      <c r="E8" s="19"/>
      <c r="F8" s="19"/>
      <c r="G8" s="19"/>
      <c r="H8" s="19"/>
      <c r="I8" s="19"/>
      <c r="J8" s="19"/>
      <c r="K8" s="19"/>
      <c r="L8" s="19"/>
    </row>
    <row r="9" spans="2:12" ht="12.75">
      <c r="B9" s="19" t="s">
        <v>5</v>
      </c>
      <c r="C9" s="19" t="s">
        <v>210</v>
      </c>
      <c r="D9" s="19"/>
      <c r="E9" s="19"/>
      <c r="F9" s="19"/>
      <c r="G9" s="19"/>
      <c r="H9" s="19"/>
      <c r="I9" s="19"/>
      <c r="J9" s="19"/>
      <c r="K9" s="19"/>
      <c r="L9" s="19"/>
    </row>
    <row r="10" spans="2:12" ht="12.75">
      <c r="B10" s="19" t="s">
        <v>6</v>
      </c>
      <c r="C10" s="19" t="s">
        <v>148</v>
      </c>
      <c r="D10" s="19"/>
      <c r="E10" s="19"/>
      <c r="F10" s="19"/>
      <c r="G10" s="19"/>
      <c r="H10" s="19"/>
      <c r="I10" s="19"/>
      <c r="J10" s="19"/>
      <c r="K10" s="19"/>
      <c r="L10" s="19"/>
    </row>
    <row r="11" spans="2:12" ht="12.75">
      <c r="B11" s="19" t="s">
        <v>253</v>
      </c>
      <c r="C11" s="20">
        <v>0</v>
      </c>
      <c r="D11" s="19"/>
      <c r="E11" s="19"/>
      <c r="F11" s="19"/>
      <c r="G11" s="19"/>
      <c r="H11" s="19"/>
      <c r="I11" s="19"/>
      <c r="J11" s="19"/>
      <c r="K11" s="19"/>
      <c r="L11" s="19"/>
    </row>
    <row r="12" spans="2:12" ht="12.75">
      <c r="B12" s="19" t="s">
        <v>233</v>
      </c>
      <c r="C12" s="19" t="s">
        <v>270</v>
      </c>
      <c r="D12" s="19"/>
      <c r="E12" s="19"/>
      <c r="F12" s="19"/>
      <c r="G12" s="19"/>
      <c r="H12" s="19"/>
      <c r="I12" s="19"/>
      <c r="J12" s="19"/>
      <c r="K12" s="19"/>
      <c r="L12" s="19"/>
    </row>
    <row r="13" spans="2:12" ht="12.75">
      <c r="B13" s="19" t="s">
        <v>231</v>
      </c>
      <c r="C13" s="19" t="s">
        <v>232</v>
      </c>
      <c r="D13" s="19"/>
      <c r="E13" s="19"/>
      <c r="F13" s="19"/>
      <c r="G13" s="19"/>
      <c r="H13" s="19"/>
      <c r="I13" s="19"/>
      <c r="J13" s="19"/>
      <c r="K13" s="19"/>
      <c r="L13" s="19"/>
    </row>
    <row r="14" spans="2:12" s="59" customFormat="1" ht="25.5">
      <c r="B14" s="58" t="s">
        <v>73</v>
      </c>
      <c r="C14" s="58" t="s">
        <v>172</v>
      </c>
      <c r="D14" s="58"/>
      <c r="E14" s="58"/>
      <c r="F14" s="58"/>
      <c r="G14" s="58"/>
      <c r="H14" s="58"/>
      <c r="I14" s="58"/>
      <c r="J14" s="58"/>
      <c r="K14" s="58"/>
      <c r="L14" s="58"/>
    </row>
    <row r="15" spans="2:12" s="59" customFormat="1" ht="12.75">
      <c r="B15" s="58" t="s">
        <v>81</v>
      </c>
      <c r="C15" s="60">
        <v>57.79</v>
      </c>
      <c r="D15" s="58"/>
      <c r="E15" s="58"/>
      <c r="F15" s="58"/>
      <c r="G15" s="58"/>
      <c r="H15" s="58"/>
      <c r="I15" s="58"/>
      <c r="J15" s="58"/>
      <c r="K15" s="58"/>
      <c r="L15" s="58"/>
    </row>
    <row r="16" spans="2:12" s="59" customFormat="1" ht="12.75">
      <c r="B16" s="19" t="s">
        <v>87</v>
      </c>
      <c r="C16" s="19"/>
      <c r="F16" s="58"/>
      <c r="G16" s="58"/>
      <c r="H16" s="58"/>
      <c r="I16" s="58"/>
      <c r="J16" s="58"/>
      <c r="K16" s="58"/>
      <c r="L16" s="58"/>
    </row>
    <row r="17" spans="2:12" s="59" customFormat="1" ht="12.75">
      <c r="B17" s="19" t="s">
        <v>254</v>
      </c>
      <c r="C17" s="59" t="s">
        <v>226</v>
      </c>
      <c r="D17" s="58"/>
      <c r="E17" s="58"/>
      <c r="F17" s="58"/>
      <c r="G17" s="58"/>
      <c r="H17" s="58"/>
      <c r="I17" s="58"/>
      <c r="J17" s="58"/>
      <c r="K17" s="58"/>
      <c r="L17" s="58"/>
    </row>
    <row r="18" spans="2:12" s="59" customFormat="1" ht="12.75">
      <c r="B18" s="19" t="s">
        <v>255</v>
      </c>
      <c r="C18" s="59" t="s">
        <v>271</v>
      </c>
      <c r="D18" s="58"/>
      <c r="E18" s="58"/>
      <c r="F18" s="58"/>
      <c r="G18" s="58"/>
      <c r="H18" s="58"/>
      <c r="I18" s="58"/>
      <c r="J18" s="58"/>
      <c r="K18" s="58"/>
      <c r="L18" s="58"/>
    </row>
    <row r="19" spans="2:12" ht="25.5">
      <c r="B19" s="58" t="s">
        <v>7</v>
      </c>
      <c r="C19" s="58" t="s">
        <v>201</v>
      </c>
      <c r="D19" s="19"/>
      <c r="E19" s="19"/>
      <c r="F19" s="19"/>
      <c r="G19" s="19"/>
      <c r="H19" s="19"/>
      <c r="I19" s="19"/>
      <c r="J19" s="19"/>
      <c r="K19" s="19"/>
      <c r="L19" s="19"/>
    </row>
    <row r="20" spans="2:12" ht="12.75">
      <c r="B20" s="19" t="s">
        <v>78</v>
      </c>
      <c r="C20" s="19" t="s">
        <v>256</v>
      </c>
      <c r="D20" s="19"/>
      <c r="E20" s="19"/>
      <c r="F20" s="19"/>
      <c r="G20" s="19"/>
      <c r="H20" s="19"/>
      <c r="I20" s="19"/>
      <c r="J20" s="19"/>
      <c r="K20" s="19"/>
      <c r="L20" s="19"/>
    </row>
    <row r="21" spans="2:12" ht="12.75">
      <c r="B21" s="19" t="s">
        <v>88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</row>
    <row r="22" spans="2:12" ht="12.75">
      <c r="B22" s="19" t="s">
        <v>79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</row>
    <row r="23" spans="2:12" ht="12.75" customHeight="1"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</row>
    <row r="24" spans="2:12" ht="12.75">
      <c r="B24" s="19" t="s">
        <v>8</v>
      </c>
      <c r="C24" s="20"/>
      <c r="D24" s="19"/>
      <c r="E24" s="19"/>
      <c r="F24" s="19"/>
      <c r="G24" s="19"/>
      <c r="H24" s="19"/>
      <c r="I24" s="19"/>
      <c r="J24" s="19"/>
      <c r="K24" s="19"/>
      <c r="L24" s="19"/>
    </row>
    <row r="25" spans="2:12" ht="12.75">
      <c r="B25" s="19" t="s">
        <v>9</v>
      </c>
      <c r="C25" s="20">
        <f>75/12</f>
        <v>6.25</v>
      </c>
      <c r="D25" s="19"/>
      <c r="E25" s="19"/>
      <c r="F25" s="19"/>
      <c r="G25" s="19"/>
      <c r="H25" s="19"/>
      <c r="I25" s="19"/>
      <c r="J25" s="19"/>
      <c r="K25" s="19"/>
      <c r="L25" s="19"/>
    </row>
    <row r="26" spans="2:12" ht="12.75">
      <c r="B26" s="19" t="s">
        <v>10</v>
      </c>
      <c r="C26" s="20"/>
      <c r="D26" s="19"/>
      <c r="E26" s="19"/>
      <c r="F26" s="19"/>
      <c r="G26" s="19"/>
      <c r="H26" s="19"/>
      <c r="I26" s="19"/>
      <c r="J26" s="19"/>
      <c r="K26" s="19"/>
      <c r="L26" s="19"/>
    </row>
    <row r="27" spans="2:12" ht="12.75">
      <c r="B27" s="19" t="s">
        <v>83</v>
      </c>
      <c r="C27" s="21">
        <v>27</v>
      </c>
      <c r="D27" s="19"/>
      <c r="E27" s="19"/>
      <c r="F27" s="19"/>
      <c r="G27" s="19"/>
      <c r="H27" s="19"/>
      <c r="I27" s="19"/>
      <c r="J27" s="19"/>
      <c r="K27" s="19"/>
      <c r="L27" s="19"/>
    </row>
    <row r="28" spans="2:12" ht="14.25" customHeight="1">
      <c r="B28" s="19" t="s">
        <v>84</v>
      </c>
      <c r="C28" s="20">
        <v>290</v>
      </c>
      <c r="D28" s="19"/>
      <c r="E28" s="19"/>
      <c r="F28" s="19"/>
      <c r="G28" s="19"/>
      <c r="H28" s="19"/>
      <c r="I28" s="19"/>
      <c r="J28" s="19"/>
      <c r="K28" s="19"/>
      <c r="L28" s="19"/>
    </row>
    <row r="29" spans="2:12" ht="12" customHeight="1"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</row>
    <row r="30" spans="2:12" ht="12.75">
      <c r="B30" s="68" t="s">
        <v>11</v>
      </c>
      <c r="C30" s="67"/>
      <c r="D30" s="19"/>
      <c r="E30" s="19"/>
      <c r="F30" s="19"/>
      <c r="G30" s="19"/>
      <c r="H30" s="19"/>
      <c r="I30" s="19"/>
      <c r="J30" s="19"/>
      <c r="K30" s="19"/>
      <c r="L30" s="19"/>
    </row>
    <row r="31" spans="2:12" ht="12.75">
      <c r="B31" s="19" t="s">
        <v>111</v>
      </c>
      <c r="C31" s="19"/>
      <c r="D31" s="19"/>
      <c r="E31" s="19"/>
      <c r="F31" s="19"/>
      <c r="G31" s="19"/>
      <c r="H31" s="19"/>
      <c r="I31" s="19"/>
      <c r="J31" s="19"/>
      <c r="K31" s="19"/>
      <c r="L31" s="19"/>
    </row>
    <row r="32" spans="2:12" ht="14.25" customHeight="1"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</row>
    <row r="92" spans="2:12" ht="12.75"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</row>
    <row r="93" spans="2:12" ht="12.75"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</row>
    <row r="94" spans="2:12" ht="12.75"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</row>
    <row r="95" spans="2:12" ht="12.75"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</row>
    <row r="96" spans="2:12" ht="12.75"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</row>
    <row r="97" spans="2:12" ht="12.75"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</row>
    <row r="98" spans="2:12" ht="12.75"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</row>
    <row r="99" spans="2:12" ht="12.75"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</row>
    <row r="100" spans="2:12" ht="12.75"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</row>
    <row r="101" spans="2:12" ht="12.75"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</row>
    <row r="102" spans="2:12" ht="12.75"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</row>
    <row r="103" spans="2:12" ht="12.75"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</row>
    <row r="104" spans="2:12" ht="12.75"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</row>
    <row r="105" spans="2:12" ht="12.75"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</row>
    <row r="106" spans="2:12" ht="12.75"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</row>
    <row r="107" spans="2:12" ht="12.75"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</row>
    <row r="108" spans="2:12" ht="12.75"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</row>
    <row r="109" spans="2:12" ht="12.75"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</row>
    <row r="110" spans="2:12" ht="12.75"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</row>
    <row r="111" spans="2:12" ht="12.75"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</row>
    <row r="112" spans="2:12" ht="12.75"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</row>
    <row r="113" spans="2:12" ht="12.75"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</row>
    <row r="114" spans="2:12" ht="12.75"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</row>
    <row r="115" spans="2:12" ht="12.75"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</row>
    <row r="116" spans="2:12" ht="12.75"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</row>
    <row r="117" spans="2:12" ht="12.75"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</row>
    <row r="118" spans="2:12" ht="12.75"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</row>
    <row r="119" spans="2:12" ht="12.75"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</row>
    <row r="120" spans="2:12" ht="12.75"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</row>
    <row r="121" spans="2:12" ht="12.75"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</row>
    <row r="122" spans="2:12" ht="12.75"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</row>
    <row r="123" spans="2:12" ht="12.75"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</row>
    <row r="124" spans="2:12" ht="12.75"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</row>
    <row r="125" spans="2:12" ht="12.75"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</row>
    <row r="126" spans="2:12" ht="12.75"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</row>
    <row r="127" spans="2:12" ht="12.75"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</row>
    <row r="128" spans="2:12" ht="12.75"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</row>
    <row r="129" spans="2:12" ht="12.75"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</row>
    <row r="130" spans="2:12" ht="12.75"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</row>
    <row r="131" spans="2:12" ht="12.75"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</row>
    <row r="132" spans="2:12" ht="12.75"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</row>
    <row r="133" spans="2:12" ht="12.75"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</row>
    <row r="134" spans="2:12" ht="12.75"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</row>
    <row r="135" spans="2:12" ht="12.75"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</row>
    <row r="136" spans="2:12" ht="12.75"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</row>
    <row r="137" spans="2:12" ht="12.75"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</row>
    <row r="138" spans="2:12" ht="12.75"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</row>
    <row r="139" spans="2:12" ht="12.75"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</row>
    <row r="140" spans="2:12" ht="12.75"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</row>
    <row r="141" spans="2:12" ht="12.75"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</row>
    <row r="142" spans="2:12" ht="12.75"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</row>
    <row r="143" spans="2:12" ht="12.75"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</row>
    <row r="144" spans="2:12" ht="12.75"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</row>
    <row r="145" spans="2:12" ht="12.75"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</row>
    <row r="146" spans="2:12" ht="12.75"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</row>
    <row r="147" spans="2:12" ht="12.75"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</row>
    <row r="148" spans="2:12" ht="12.75"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</row>
    <row r="149" spans="2:12" ht="12.75"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</row>
    <row r="150" spans="2:12" ht="12.75"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</row>
    <row r="151" spans="2:12" ht="12.75"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</row>
    <row r="152" spans="2:12" ht="12.75"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</row>
    <row r="153" spans="2:12" ht="12.75"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</row>
    <row r="154" spans="2:12" ht="12.75"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</row>
    <row r="155" spans="2:12" ht="12.75"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</row>
    <row r="156" spans="2:12" ht="12.75"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</row>
    <row r="157" spans="2:12" ht="12.75"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</row>
    <row r="158" spans="2:12" ht="12.75"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</row>
    <row r="159" spans="2:12" ht="12.75"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</row>
    <row r="160" spans="2:12" ht="12.75"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</row>
    <row r="161" spans="2:12" ht="12.75"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</row>
    <row r="162" spans="2:12" ht="12.75"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</row>
    <row r="163" spans="2:12" ht="12.75"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</row>
    <row r="164" spans="2:12" ht="12.75"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</row>
    <row r="165" spans="2:12" ht="12.75"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</row>
    <row r="166" spans="2:12" ht="12.75"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</row>
    <row r="167" spans="2:12" ht="12.75"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</row>
    <row r="168" spans="2:12" ht="12.75"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</row>
    <row r="169" spans="2:12" ht="12.75"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</row>
    <row r="170" spans="2:12" ht="12.75"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</row>
    <row r="171" spans="2:12" ht="12.75"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</row>
    <row r="172" spans="2:12" ht="12.75"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</row>
    <row r="173" spans="2:12" ht="12.75"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</row>
    <row r="174" spans="2:12" ht="12.75"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</row>
    <row r="175" spans="2:12" ht="12.75"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</row>
    <row r="176" spans="2:12" ht="12.75"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</row>
    <row r="177" spans="2:12" ht="12.75"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</row>
    <row r="178" spans="2:12" ht="12.75"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</row>
    <row r="179" spans="2:12" ht="12.75"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</row>
    <row r="180" spans="2:12" ht="12.75"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</row>
    <row r="181" spans="2:12" ht="12.75"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</row>
    <row r="182" spans="2:12" ht="12.75"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</row>
    <row r="183" spans="2:12" ht="12.75"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</row>
    <row r="184" spans="2:12" ht="12.75"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</row>
    <row r="185" spans="2:12" ht="12.75"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</row>
    <row r="186" spans="2:12" ht="12.75"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</row>
    <row r="187" spans="2:12" ht="12.75"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</row>
    <row r="188" spans="2:12" ht="12.75"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</row>
    <row r="189" spans="2:12" ht="12.75"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</row>
    <row r="190" spans="2:12" ht="12.75"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</row>
    <row r="191" spans="2:12" ht="12.75"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</row>
    <row r="192" spans="2:12" ht="12.75"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</row>
    <row r="193" spans="2:12" ht="12.75"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</row>
    <row r="194" spans="2:12" ht="12.75"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</row>
    <row r="195" spans="2:12" ht="12.75"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</row>
    <row r="196" spans="2:12" ht="12.75"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</row>
    <row r="197" spans="2:12" ht="12.75"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</row>
    <row r="198" spans="2:12" ht="12.75"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</row>
    <row r="199" spans="2:12" ht="12.75"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</row>
    <row r="200" spans="2:12" ht="12.75"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</row>
    <row r="201" spans="2:12" ht="12.75"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</row>
    <row r="202" spans="2:12" ht="12.75"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</row>
    <row r="203" spans="2:12" ht="12.75"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</row>
    <row r="204" spans="2:12" ht="12.75"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</row>
    <row r="205" spans="2:12" ht="12.75"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</row>
    <row r="206" spans="2:12" ht="12.75"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</row>
    <row r="207" spans="2:12" ht="12.75"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</row>
    <row r="208" spans="2:12" ht="12.75"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</row>
    <row r="209" spans="2:12" ht="12.75"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</row>
    <row r="210" spans="2:12" ht="12.75"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</row>
    <row r="211" spans="2:12" ht="12.75"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</row>
    <row r="212" spans="2:12" ht="12.75"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</row>
    <row r="213" spans="2:12" ht="12.75"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</row>
    <row r="214" spans="2:12" ht="12.75"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</row>
    <row r="215" spans="2:12" ht="12.75"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</row>
    <row r="216" spans="2:12" ht="12.75"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</row>
    <row r="217" spans="2:12" ht="12.75"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9"/>
    </row>
    <row r="218" spans="2:12" ht="12.75"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</row>
    <row r="219" spans="2:12" ht="12.75"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</row>
    <row r="220" spans="2:12" ht="12.75"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</row>
    <row r="221" spans="2:12" ht="12.75"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9"/>
    </row>
    <row r="222" spans="2:12" ht="12.75"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</row>
    <row r="223" spans="2:12" ht="12.75"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</row>
    <row r="224" spans="2:12" ht="12.75"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19"/>
    </row>
    <row r="225" spans="2:12" ht="12.75"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19"/>
    </row>
    <row r="226" spans="2:12" ht="12.75"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19"/>
    </row>
    <row r="227" spans="2:12" ht="12.75"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19"/>
    </row>
    <row r="228" spans="2:12" ht="12.75"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</row>
    <row r="229" spans="2:12" ht="12.75">
      <c r="B229" s="19"/>
      <c r="C229" s="19"/>
      <c r="D229" s="19"/>
      <c r="E229" s="19"/>
      <c r="F229" s="19"/>
      <c r="G229" s="19"/>
      <c r="H229" s="19"/>
      <c r="I229" s="19"/>
      <c r="J229" s="19"/>
      <c r="K229" s="19"/>
      <c r="L229" s="19"/>
    </row>
    <row r="230" spans="2:12" ht="12.75"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9"/>
    </row>
    <row r="231" spans="2:12" ht="12.75"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19"/>
    </row>
    <row r="232" spans="2:12" ht="12.75"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19"/>
    </row>
    <row r="233" spans="2:12" ht="12.75"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19"/>
    </row>
    <row r="234" spans="2:12" ht="12.75"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9"/>
    </row>
    <row r="235" spans="2:12" ht="12.75"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</row>
    <row r="236" spans="2:12" ht="12.75"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</row>
    <row r="237" spans="2:12" ht="12.75"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</row>
    <row r="238" spans="2:12" ht="12.75"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</row>
    <row r="239" spans="2:12" ht="12.75"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</row>
    <row r="240" spans="2:12" ht="12.75"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19"/>
    </row>
    <row r="241" spans="2:12" ht="12.75"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19"/>
    </row>
    <row r="242" spans="2:12" ht="12.75"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</row>
    <row r="243" spans="2:12" ht="12.75">
      <c r="B243" s="19"/>
      <c r="C243" s="19"/>
      <c r="D243" s="19"/>
      <c r="E243" s="19"/>
      <c r="F243" s="19"/>
      <c r="G243" s="19"/>
      <c r="H243" s="19"/>
      <c r="I243" s="19"/>
      <c r="J243" s="19"/>
      <c r="K243" s="19"/>
      <c r="L243" s="19"/>
    </row>
    <row r="244" spans="2:12" ht="12.75">
      <c r="B244" s="19"/>
      <c r="C244" s="19"/>
      <c r="D244" s="19"/>
      <c r="E244" s="19"/>
      <c r="F244" s="19"/>
      <c r="G244" s="19"/>
      <c r="H244" s="19"/>
      <c r="I244" s="19"/>
      <c r="J244" s="19"/>
      <c r="K244" s="19"/>
      <c r="L244" s="19"/>
    </row>
    <row r="245" spans="2:12" ht="12.75">
      <c r="B245" s="19"/>
      <c r="C245" s="19"/>
      <c r="D245" s="19"/>
      <c r="E245" s="19"/>
      <c r="F245" s="19"/>
      <c r="G245" s="19"/>
      <c r="H245" s="19"/>
      <c r="I245" s="19"/>
      <c r="J245" s="19"/>
      <c r="K245" s="19"/>
      <c r="L245" s="19"/>
    </row>
    <row r="246" spans="2:12" ht="12.75">
      <c r="B246" s="19"/>
      <c r="C246" s="19"/>
      <c r="D246" s="19"/>
      <c r="E246" s="19"/>
      <c r="F246" s="19"/>
      <c r="G246" s="19"/>
      <c r="H246" s="19"/>
      <c r="I246" s="19"/>
      <c r="J246" s="19"/>
      <c r="K246" s="19"/>
      <c r="L246" s="19"/>
    </row>
    <row r="247" spans="2:12" ht="12.75">
      <c r="B247" s="19"/>
      <c r="C247" s="19"/>
      <c r="D247" s="19"/>
      <c r="E247" s="19"/>
      <c r="F247" s="19"/>
      <c r="G247" s="19"/>
      <c r="H247" s="19"/>
      <c r="I247" s="19"/>
      <c r="J247" s="19"/>
      <c r="K247" s="19"/>
      <c r="L247" s="19"/>
    </row>
    <row r="248" spans="2:12" ht="12.75">
      <c r="B248" s="19"/>
      <c r="C248" s="19"/>
      <c r="D248" s="19"/>
      <c r="E248" s="19"/>
      <c r="F248" s="19"/>
      <c r="G248" s="19"/>
      <c r="H248" s="19"/>
      <c r="I248" s="19"/>
      <c r="J248" s="19"/>
      <c r="K248" s="19"/>
      <c r="L248" s="19"/>
    </row>
    <row r="249" spans="2:12" ht="12.75">
      <c r="B249" s="19"/>
      <c r="C249" s="19"/>
      <c r="D249" s="19"/>
      <c r="E249" s="19"/>
      <c r="F249" s="19"/>
      <c r="G249" s="19"/>
      <c r="H249" s="19"/>
      <c r="I249" s="19"/>
      <c r="J249" s="19"/>
      <c r="K249" s="19"/>
      <c r="L249" s="19"/>
    </row>
    <row r="250" spans="2:12" ht="12.75">
      <c r="B250" s="19"/>
      <c r="C250" s="19"/>
      <c r="D250" s="19"/>
      <c r="E250" s="19"/>
      <c r="F250" s="19"/>
      <c r="G250" s="19"/>
      <c r="H250" s="19"/>
      <c r="I250" s="19"/>
      <c r="J250" s="19"/>
      <c r="K250" s="19"/>
      <c r="L250" s="19"/>
    </row>
    <row r="251" spans="2:12" ht="12.75">
      <c r="B251" s="19"/>
      <c r="C251" s="19"/>
      <c r="D251" s="19"/>
      <c r="E251" s="19"/>
      <c r="F251" s="19"/>
      <c r="G251" s="19"/>
      <c r="H251" s="19"/>
      <c r="I251" s="19"/>
      <c r="J251" s="19"/>
      <c r="K251" s="19"/>
      <c r="L251" s="19"/>
    </row>
    <row r="252" spans="2:12" ht="12.75">
      <c r="B252" s="19"/>
      <c r="C252" s="19"/>
      <c r="D252" s="19"/>
      <c r="E252" s="19"/>
      <c r="F252" s="19"/>
      <c r="G252" s="19"/>
      <c r="H252" s="19"/>
      <c r="I252" s="19"/>
      <c r="J252" s="19"/>
      <c r="K252" s="19"/>
      <c r="L252" s="19"/>
    </row>
    <row r="253" spans="2:12" ht="12.75">
      <c r="B253" s="19"/>
      <c r="C253" s="19"/>
      <c r="D253" s="19"/>
      <c r="E253" s="19"/>
      <c r="F253" s="19"/>
      <c r="G253" s="19"/>
      <c r="H253" s="19"/>
      <c r="I253" s="19"/>
      <c r="J253" s="19"/>
      <c r="K253" s="19"/>
      <c r="L253" s="19"/>
    </row>
    <row r="254" spans="2:12" ht="12.75">
      <c r="B254" s="19"/>
      <c r="C254" s="19"/>
      <c r="D254" s="19"/>
      <c r="E254" s="19"/>
      <c r="F254" s="19"/>
      <c r="G254" s="19"/>
      <c r="H254" s="19"/>
      <c r="I254" s="19"/>
      <c r="J254" s="19"/>
      <c r="K254" s="19"/>
      <c r="L254" s="19"/>
    </row>
    <row r="255" spans="2:12" ht="12.75">
      <c r="B255" s="19"/>
      <c r="C255" s="19"/>
      <c r="D255" s="19"/>
      <c r="E255" s="19"/>
      <c r="F255" s="19"/>
      <c r="G255" s="19"/>
      <c r="H255" s="19"/>
      <c r="I255" s="19"/>
      <c r="J255" s="19"/>
      <c r="K255" s="19"/>
      <c r="L255" s="19"/>
    </row>
    <row r="256" spans="2:12" ht="12.75">
      <c r="B256" s="19"/>
      <c r="C256" s="19"/>
      <c r="D256" s="19"/>
      <c r="E256" s="19"/>
      <c r="F256" s="19"/>
      <c r="G256" s="19"/>
      <c r="H256" s="19"/>
      <c r="I256" s="19"/>
      <c r="J256" s="19"/>
      <c r="K256" s="19"/>
      <c r="L256" s="19"/>
    </row>
    <row r="257" spans="2:12" ht="12.75">
      <c r="B257" s="19"/>
      <c r="C257" s="19"/>
      <c r="D257" s="19"/>
      <c r="E257" s="19"/>
      <c r="F257" s="19"/>
      <c r="G257" s="19"/>
      <c r="H257" s="19"/>
      <c r="I257" s="19"/>
      <c r="J257" s="19"/>
      <c r="K257" s="19"/>
      <c r="L257" s="19"/>
    </row>
    <row r="258" spans="2:12" ht="12.75">
      <c r="B258" s="19"/>
      <c r="C258" s="19"/>
      <c r="D258" s="19"/>
      <c r="E258" s="19"/>
      <c r="F258" s="19"/>
      <c r="G258" s="19"/>
      <c r="H258" s="19"/>
      <c r="I258" s="19"/>
      <c r="J258" s="19"/>
      <c r="K258" s="19"/>
      <c r="L258" s="19"/>
    </row>
    <row r="259" spans="2:12" ht="12.75"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</row>
    <row r="260" spans="2:12" ht="12.75">
      <c r="B260" s="19"/>
      <c r="C260" s="19"/>
      <c r="D260" s="19"/>
      <c r="E260" s="19"/>
      <c r="F260" s="19"/>
      <c r="G260" s="19"/>
      <c r="H260" s="19"/>
      <c r="I260" s="19"/>
      <c r="J260" s="19"/>
      <c r="K260" s="19"/>
      <c r="L260" s="19"/>
    </row>
    <row r="261" spans="2:12" ht="12.75">
      <c r="B261" s="19"/>
      <c r="C261" s="19"/>
      <c r="D261" s="19"/>
      <c r="E261" s="19"/>
      <c r="F261" s="19"/>
      <c r="G261" s="19"/>
      <c r="H261" s="19"/>
      <c r="I261" s="19"/>
      <c r="J261" s="19"/>
      <c r="K261" s="19"/>
      <c r="L261" s="19"/>
    </row>
    <row r="262" spans="2:12" ht="12.75">
      <c r="B262" s="19"/>
      <c r="C262" s="19"/>
      <c r="D262" s="19"/>
      <c r="E262" s="19"/>
      <c r="F262" s="19"/>
      <c r="G262" s="19"/>
      <c r="H262" s="19"/>
      <c r="I262" s="19"/>
      <c r="J262" s="19"/>
      <c r="K262" s="19"/>
      <c r="L262" s="19"/>
    </row>
    <row r="263" spans="2:12" ht="12.75">
      <c r="B263" s="19"/>
      <c r="C263" s="19"/>
      <c r="D263" s="19"/>
      <c r="E263" s="19"/>
      <c r="F263" s="19"/>
      <c r="G263" s="19"/>
      <c r="H263" s="19"/>
      <c r="I263" s="19"/>
      <c r="J263" s="19"/>
      <c r="K263" s="19"/>
      <c r="L263" s="19"/>
    </row>
    <row r="264" spans="2:12" ht="12.75">
      <c r="B264" s="19"/>
      <c r="C264" s="19"/>
      <c r="D264" s="19"/>
      <c r="E264" s="19"/>
      <c r="F264" s="19"/>
      <c r="G264" s="19"/>
      <c r="H264" s="19"/>
      <c r="I264" s="19"/>
      <c r="J264" s="19"/>
      <c r="K264" s="19"/>
      <c r="L264" s="19"/>
    </row>
    <row r="265" spans="2:12" ht="12.75"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19"/>
    </row>
    <row r="266" spans="2:12" ht="12.75">
      <c r="B266" s="19"/>
      <c r="C266" s="19"/>
      <c r="D266" s="19"/>
      <c r="E266" s="19"/>
      <c r="F266" s="19"/>
      <c r="G266" s="19"/>
      <c r="H266" s="19"/>
      <c r="I266" s="19"/>
      <c r="J266" s="19"/>
      <c r="K266" s="19"/>
      <c r="L266" s="19"/>
    </row>
    <row r="267" spans="2:12" ht="12.75">
      <c r="B267" s="19"/>
      <c r="C267" s="19"/>
      <c r="D267" s="19"/>
      <c r="E267" s="19"/>
      <c r="F267" s="19"/>
      <c r="G267" s="19"/>
      <c r="H267" s="19"/>
      <c r="I267" s="19"/>
      <c r="J267" s="19"/>
      <c r="K267" s="19"/>
      <c r="L267" s="19"/>
    </row>
    <row r="268" spans="2:12" ht="12.75">
      <c r="B268" s="19"/>
      <c r="C268" s="19"/>
      <c r="D268" s="19"/>
      <c r="E268" s="19"/>
      <c r="F268" s="19"/>
      <c r="G268" s="19"/>
      <c r="H268" s="19"/>
      <c r="I268" s="19"/>
      <c r="J268" s="19"/>
      <c r="K268" s="19"/>
      <c r="L268" s="19"/>
    </row>
    <row r="269" spans="2:12" ht="12.75">
      <c r="B269" s="19"/>
      <c r="C269" s="19"/>
      <c r="D269" s="19"/>
      <c r="E269" s="19"/>
      <c r="F269" s="19"/>
      <c r="G269" s="19"/>
      <c r="H269" s="19"/>
      <c r="I269" s="19"/>
      <c r="J269" s="19"/>
      <c r="K269" s="19"/>
      <c r="L269" s="19"/>
    </row>
    <row r="270" spans="2:12" ht="12.75">
      <c r="B270" s="19"/>
      <c r="C270" s="19"/>
      <c r="D270" s="19"/>
      <c r="E270" s="19"/>
      <c r="F270" s="19"/>
      <c r="G270" s="19"/>
      <c r="H270" s="19"/>
      <c r="I270" s="19"/>
      <c r="J270" s="19"/>
      <c r="K270" s="19"/>
      <c r="L270" s="19"/>
    </row>
    <row r="271" spans="2:12" ht="12.75">
      <c r="B271" s="19"/>
      <c r="C271" s="19"/>
      <c r="D271" s="19"/>
      <c r="E271" s="19"/>
      <c r="F271" s="19"/>
      <c r="G271" s="19"/>
      <c r="H271" s="19"/>
      <c r="I271" s="19"/>
      <c r="J271" s="19"/>
      <c r="K271" s="19"/>
      <c r="L271" s="19"/>
    </row>
    <row r="272" spans="2:12" ht="12.75">
      <c r="B272" s="19"/>
      <c r="C272" s="19"/>
      <c r="D272" s="19"/>
      <c r="E272" s="19"/>
      <c r="F272" s="19"/>
      <c r="G272" s="19"/>
      <c r="H272" s="19"/>
      <c r="I272" s="19"/>
      <c r="J272" s="19"/>
      <c r="K272" s="19"/>
      <c r="L272" s="19"/>
    </row>
    <row r="273" spans="2:12" ht="12.75">
      <c r="B273" s="19"/>
      <c r="C273" s="19"/>
      <c r="D273" s="19"/>
      <c r="E273" s="19"/>
      <c r="F273" s="19"/>
      <c r="G273" s="19"/>
      <c r="H273" s="19"/>
      <c r="I273" s="19"/>
      <c r="J273" s="19"/>
      <c r="K273" s="19"/>
      <c r="L273" s="19"/>
    </row>
    <row r="274" spans="2:12" ht="12.75">
      <c r="B274" s="19"/>
      <c r="C274" s="19"/>
      <c r="D274" s="19"/>
      <c r="E274" s="19"/>
      <c r="F274" s="19"/>
      <c r="G274" s="19"/>
      <c r="H274" s="19"/>
      <c r="I274" s="19"/>
      <c r="J274" s="19"/>
      <c r="K274" s="19"/>
      <c r="L274" s="19"/>
    </row>
    <row r="275" spans="2:12" ht="12.75">
      <c r="B275" s="19"/>
      <c r="C275" s="19"/>
      <c r="D275" s="19"/>
      <c r="E275" s="19"/>
      <c r="F275" s="19"/>
      <c r="G275" s="19"/>
      <c r="H275" s="19"/>
      <c r="I275" s="19"/>
      <c r="J275" s="19"/>
      <c r="K275" s="19"/>
      <c r="L275" s="19"/>
    </row>
    <row r="276" spans="2:12" ht="12.75">
      <c r="B276" s="19"/>
      <c r="C276" s="19"/>
      <c r="D276" s="19"/>
      <c r="E276" s="19"/>
      <c r="F276" s="19"/>
      <c r="G276" s="19"/>
      <c r="H276" s="19"/>
      <c r="I276" s="19"/>
      <c r="J276" s="19"/>
      <c r="K276" s="19"/>
      <c r="L276" s="19"/>
    </row>
    <row r="277" spans="2:12" ht="12.75">
      <c r="B277" s="19"/>
      <c r="C277" s="19"/>
      <c r="D277" s="19"/>
      <c r="E277" s="19"/>
      <c r="F277" s="19"/>
      <c r="G277" s="19"/>
      <c r="H277" s="19"/>
      <c r="I277" s="19"/>
      <c r="J277" s="19"/>
      <c r="K277" s="19"/>
      <c r="L277" s="19"/>
    </row>
    <row r="278" spans="2:12" ht="12.75">
      <c r="B278" s="19"/>
      <c r="C278" s="19"/>
      <c r="D278" s="19"/>
      <c r="E278" s="19"/>
      <c r="F278" s="19"/>
      <c r="G278" s="19"/>
      <c r="H278" s="19"/>
      <c r="I278" s="19"/>
      <c r="J278" s="19"/>
      <c r="K278" s="19"/>
      <c r="L278" s="19"/>
    </row>
    <row r="279" spans="2:12" ht="12.75">
      <c r="B279" s="19"/>
      <c r="C279" s="19"/>
      <c r="D279" s="19"/>
      <c r="E279" s="19"/>
      <c r="F279" s="19"/>
      <c r="G279" s="19"/>
      <c r="H279" s="19"/>
      <c r="I279" s="19"/>
      <c r="J279" s="19"/>
      <c r="K279" s="19"/>
      <c r="L279" s="19"/>
    </row>
    <row r="280" spans="2:12" ht="12.75">
      <c r="B280" s="19"/>
      <c r="C280" s="19"/>
      <c r="D280" s="19"/>
      <c r="E280" s="19"/>
      <c r="F280" s="19"/>
      <c r="G280" s="19"/>
      <c r="H280" s="19"/>
      <c r="I280" s="19"/>
      <c r="J280" s="19"/>
      <c r="K280" s="19"/>
      <c r="L280" s="19"/>
    </row>
    <row r="281" spans="2:12" ht="12.75">
      <c r="B281" s="19"/>
      <c r="C281" s="19"/>
      <c r="D281" s="19"/>
      <c r="E281" s="19"/>
      <c r="F281" s="19"/>
      <c r="G281" s="19"/>
      <c r="H281" s="19"/>
      <c r="I281" s="19"/>
      <c r="J281" s="19"/>
      <c r="K281" s="19"/>
      <c r="L281" s="19"/>
    </row>
    <row r="282" spans="2:12" ht="12.75">
      <c r="B282" s="19"/>
      <c r="C282" s="19"/>
      <c r="D282" s="19"/>
      <c r="E282" s="19"/>
      <c r="F282" s="19"/>
      <c r="G282" s="19"/>
      <c r="H282" s="19"/>
      <c r="I282" s="19"/>
      <c r="J282" s="19"/>
      <c r="K282" s="19"/>
      <c r="L282" s="19"/>
    </row>
    <row r="283" spans="2:12" ht="12.75">
      <c r="B283" s="19"/>
      <c r="C283" s="19"/>
      <c r="D283" s="19"/>
      <c r="E283" s="19"/>
      <c r="F283" s="19"/>
      <c r="G283" s="19"/>
      <c r="H283" s="19"/>
      <c r="I283" s="19"/>
      <c r="J283" s="19"/>
      <c r="K283" s="19"/>
      <c r="L283" s="19"/>
    </row>
    <row r="284" spans="2:12" ht="12.75">
      <c r="B284" s="19"/>
      <c r="C284" s="19"/>
      <c r="D284" s="19"/>
      <c r="E284" s="19"/>
      <c r="F284" s="19"/>
      <c r="G284" s="19"/>
      <c r="H284" s="19"/>
      <c r="I284" s="19"/>
      <c r="J284" s="19"/>
      <c r="K284" s="19"/>
      <c r="L284" s="19"/>
    </row>
    <row r="285" spans="2:12" ht="12.75">
      <c r="B285" s="19"/>
      <c r="C285" s="19"/>
      <c r="D285" s="19"/>
      <c r="E285" s="19"/>
      <c r="F285" s="19"/>
      <c r="G285" s="19"/>
      <c r="H285" s="19"/>
      <c r="I285" s="19"/>
      <c r="J285" s="19"/>
      <c r="K285" s="19"/>
      <c r="L285" s="19"/>
    </row>
    <row r="286" spans="2:12" ht="12.75">
      <c r="B286" s="19"/>
      <c r="C286" s="19"/>
      <c r="D286" s="19"/>
      <c r="E286" s="19"/>
      <c r="F286" s="19"/>
      <c r="G286" s="19"/>
      <c r="H286" s="19"/>
      <c r="I286" s="19"/>
      <c r="J286" s="19"/>
      <c r="K286" s="19"/>
      <c r="L286" s="19"/>
    </row>
    <row r="287" spans="2:12" ht="12.75">
      <c r="B287" s="19"/>
      <c r="C287" s="19"/>
      <c r="D287" s="19"/>
      <c r="E287" s="19"/>
      <c r="F287" s="19"/>
      <c r="G287" s="19"/>
      <c r="H287" s="19"/>
      <c r="I287" s="19"/>
      <c r="J287" s="19"/>
      <c r="K287" s="19"/>
      <c r="L287" s="19"/>
    </row>
    <row r="288" spans="2:12" ht="12.75">
      <c r="B288" s="19"/>
      <c r="C288" s="19"/>
      <c r="D288" s="19"/>
      <c r="E288" s="19"/>
      <c r="F288" s="19"/>
      <c r="G288" s="19"/>
      <c r="H288" s="19"/>
      <c r="I288" s="19"/>
      <c r="J288" s="19"/>
      <c r="K288" s="19"/>
      <c r="L288" s="19"/>
    </row>
    <row r="289" spans="2:12" ht="12.75">
      <c r="B289" s="19"/>
      <c r="C289" s="19"/>
      <c r="D289" s="19"/>
      <c r="E289" s="19"/>
      <c r="F289" s="19"/>
      <c r="G289" s="19"/>
      <c r="H289" s="19"/>
      <c r="I289" s="19"/>
      <c r="J289" s="19"/>
      <c r="K289" s="19"/>
      <c r="L289" s="19"/>
    </row>
    <row r="290" spans="2:12" ht="12.75">
      <c r="B290" s="19"/>
      <c r="C290" s="19"/>
      <c r="D290" s="19"/>
      <c r="E290" s="19"/>
      <c r="F290" s="19"/>
      <c r="G290" s="19"/>
      <c r="H290" s="19"/>
      <c r="I290" s="19"/>
      <c r="J290" s="19"/>
      <c r="K290" s="19"/>
      <c r="L290" s="19"/>
    </row>
    <row r="291" spans="2:12" ht="12.75">
      <c r="B291" s="19"/>
      <c r="C291" s="19"/>
      <c r="D291" s="19"/>
      <c r="E291" s="19"/>
      <c r="F291" s="19"/>
      <c r="G291" s="19"/>
      <c r="H291" s="19"/>
      <c r="I291" s="19"/>
      <c r="J291" s="19"/>
      <c r="K291" s="19"/>
      <c r="L291" s="19"/>
    </row>
    <row r="292" spans="2:12" ht="12.75">
      <c r="B292" s="19"/>
      <c r="C292" s="19"/>
      <c r="D292" s="19"/>
      <c r="E292" s="19"/>
      <c r="F292" s="19"/>
      <c r="G292" s="19"/>
      <c r="H292" s="19"/>
      <c r="I292" s="19"/>
      <c r="J292" s="19"/>
      <c r="K292" s="19"/>
      <c r="L292" s="19"/>
    </row>
    <row r="293" spans="2:12" ht="12.75">
      <c r="B293" s="19"/>
      <c r="C293" s="19"/>
      <c r="D293" s="19"/>
      <c r="E293" s="19"/>
      <c r="F293" s="19"/>
      <c r="G293" s="19"/>
      <c r="H293" s="19"/>
      <c r="I293" s="19"/>
      <c r="J293" s="19"/>
      <c r="K293" s="19"/>
      <c r="L293" s="19"/>
    </row>
    <row r="294" spans="2:12" ht="12.75">
      <c r="B294" s="19"/>
      <c r="C294" s="19"/>
      <c r="D294" s="19"/>
      <c r="E294" s="19"/>
      <c r="F294" s="19"/>
      <c r="G294" s="19"/>
      <c r="H294" s="19"/>
      <c r="I294" s="19"/>
      <c r="J294" s="19"/>
      <c r="K294" s="19"/>
      <c r="L294" s="19"/>
    </row>
    <row r="295" spans="2:12" ht="12.75">
      <c r="B295" s="19"/>
      <c r="C295" s="19"/>
      <c r="D295" s="19"/>
      <c r="E295" s="19"/>
      <c r="F295" s="19"/>
      <c r="G295" s="19"/>
      <c r="H295" s="19"/>
      <c r="I295" s="19"/>
      <c r="J295" s="19"/>
      <c r="K295" s="19"/>
      <c r="L295" s="19"/>
    </row>
    <row r="296" spans="2:12" ht="12.75">
      <c r="B296" s="19"/>
      <c r="C296" s="19"/>
      <c r="D296" s="19"/>
      <c r="E296" s="19"/>
      <c r="F296" s="19"/>
      <c r="G296" s="19"/>
      <c r="H296" s="19"/>
      <c r="I296" s="19"/>
      <c r="J296" s="19"/>
      <c r="K296" s="19"/>
      <c r="L296" s="19"/>
    </row>
    <row r="297" spans="2:12" ht="12.75">
      <c r="B297" s="19"/>
      <c r="C297" s="19"/>
      <c r="D297" s="19"/>
      <c r="E297" s="19"/>
      <c r="F297" s="19"/>
      <c r="G297" s="19"/>
      <c r="H297" s="19"/>
      <c r="I297" s="19"/>
      <c r="J297" s="19"/>
      <c r="K297" s="19"/>
      <c r="L297" s="19"/>
    </row>
    <row r="298" spans="2:12" ht="12.75">
      <c r="B298" s="19"/>
      <c r="C298" s="19"/>
      <c r="D298" s="19"/>
      <c r="E298" s="19"/>
      <c r="F298" s="19"/>
      <c r="G298" s="19"/>
      <c r="H298" s="19"/>
      <c r="I298" s="19"/>
      <c r="J298" s="19"/>
      <c r="K298" s="19"/>
      <c r="L298" s="19"/>
    </row>
    <row r="299" spans="2:12" ht="12.75">
      <c r="B299" s="19"/>
      <c r="C299" s="19"/>
      <c r="D299" s="19"/>
      <c r="E299" s="19"/>
      <c r="F299" s="19"/>
      <c r="G299" s="19"/>
      <c r="H299" s="19"/>
      <c r="I299" s="19"/>
      <c r="J299" s="19"/>
      <c r="K299" s="19"/>
      <c r="L299" s="19"/>
    </row>
    <row r="300" spans="2:12" ht="12.75">
      <c r="B300" s="19"/>
      <c r="C300" s="19"/>
      <c r="D300" s="19"/>
      <c r="E300" s="19"/>
      <c r="F300" s="19"/>
      <c r="G300" s="19"/>
      <c r="H300" s="19"/>
      <c r="I300" s="19"/>
      <c r="J300" s="19"/>
      <c r="K300" s="19"/>
      <c r="L300" s="19"/>
    </row>
    <row r="301" spans="2:12" ht="12.75">
      <c r="B301" s="19"/>
      <c r="C301" s="19"/>
      <c r="D301" s="19"/>
      <c r="E301" s="19"/>
      <c r="F301" s="19"/>
      <c r="G301" s="19"/>
      <c r="H301" s="19"/>
      <c r="I301" s="19"/>
      <c r="J301" s="19"/>
      <c r="K301" s="19"/>
      <c r="L301" s="19"/>
    </row>
    <row r="302" spans="2:12" ht="12.75">
      <c r="B302" s="19"/>
      <c r="C302" s="19"/>
      <c r="D302" s="19"/>
      <c r="E302" s="19"/>
      <c r="F302" s="19"/>
      <c r="G302" s="19"/>
      <c r="H302" s="19"/>
      <c r="I302" s="19"/>
      <c r="J302" s="19"/>
      <c r="K302" s="19"/>
      <c r="L302" s="19"/>
    </row>
    <row r="303" spans="2:12" ht="12.75">
      <c r="B303" s="19"/>
      <c r="C303" s="19"/>
      <c r="D303" s="19"/>
      <c r="E303" s="19"/>
      <c r="F303" s="19"/>
      <c r="G303" s="19"/>
      <c r="H303" s="19"/>
      <c r="I303" s="19"/>
      <c r="J303" s="19"/>
      <c r="K303" s="19"/>
      <c r="L303" s="19"/>
    </row>
    <row r="304" spans="2:12" ht="12.75">
      <c r="B304" s="19"/>
      <c r="C304" s="19"/>
      <c r="D304" s="19"/>
      <c r="E304" s="19"/>
      <c r="F304" s="19"/>
      <c r="G304" s="19"/>
      <c r="H304" s="19"/>
      <c r="I304" s="19"/>
      <c r="J304" s="19"/>
      <c r="K304" s="19"/>
      <c r="L304" s="19"/>
    </row>
    <row r="305" spans="2:12" ht="12.75"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</row>
    <row r="306" spans="2:12" ht="12.75">
      <c r="B306" s="19"/>
      <c r="C306" s="19"/>
      <c r="D306" s="19"/>
      <c r="E306" s="19"/>
      <c r="F306" s="19"/>
      <c r="G306" s="19"/>
      <c r="H306" s="19"/>
      <c r="I306" s="19"/>
      <c r="J306" s="19"/>
      <c r="K306" s="19"/>
      <c r="L306" s="19"/>
    </row>
    <row r="307" spans="2:12" ht="12.75"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</row>
    <row r="308" spans="2:12" ht="12.75">
      <c r="B308" s="19"/>
      <c r="C308" s="19"/>
      <c r="D308" s="19"/>
      <c r="E308" s="19"/>
      <c r="F308" s="19"/>
      <c r="G308" s="19"/>
      <c r="H308" s="19"/>
      <c r="I308" s="19"/>
      <c r="J308" s="19"/>
      <c r="K308" s="19"/>
      <c r="L308" s="19"/>
    </row>
    <row r="309" spans="2:12" ht="12.75">
      <c r="B309" s="19"/>
      <c r="C309" s="19"/>
      <c r="D309" s="19"/>
      <c r="E309" s="19"/>
      <c r="F309" s="19"/>
      <c r="G309" s="19"/>
      <c r="H309" s="19"/>
      <c r="I309" s="19"/>
      <c r="J309" s="19"/>
      <c r="K309" s="19"/>
      <c r="L309" s="19"/>
    </row>
    <row r="310" spans="2:12" ht="12.75">
      <c r="B310" s="19"/>
      <c r="C310" s="19"/>
      <c r="D310" s="19"/>
      <c r="E310" s="19"/>
      <c r="F310" s="19"/>
      <c r="G310" s="19"/>
      <c r="H310" s="19"/>
      <c r="I310" s="19"/>
      <c r="J310" s="19"/>
      <c r="K310" s="19"/>
      <c r="L310" s="19"/>
    </row>
    <row r="311" spans="2:12" ht="12.75">
      <c r="B311" s="19"/>
      <c r="C311" s="19"/>
      <c r="D311" s="19"/>
      <c r="E311" s="19"/>
      <c r="F311" s="19"/>
      <c r="G311" s="19"/>
      <c r="H311" s="19"/>
      <c r="I311" s="19"/>
      <c r="J311" s="19"/>
      <c r="K311" s="19"/>
      <c r="L311" s="19"/>
    </row>
    <row r="312" spans="2:12" ht="12.75">
      <c r="B312" s="19"/>
      <c r="C312" s="19"/>
      <c r="D312" s="19"/>
      <c r="E312" s="19"/>
      <c r="F312" s="19"/>
      <c r="G312" s="19"/>
      <c r="H312" s="19"/>
      <c r="I312" s="19"/>
      <c r="J312" s="19"/>
      <c r="K312" s="19"/>
      <c r="L312" s="19"/>
    </row>
    <row r="313" spans="2:12" ht="12.75">
      <c r="B313" s="19"/>
      <c r="C313" s="19"/>
      <c r="D313" s="19"/>
      <c r="E313" s="19"/>
      <c r="F313" s="19"/>
      <c r="G313" s="19"/>
      <c r="H313" s="19"/>
      <c r="I313" s="19"/>
      <c r="J313" s="19"/>
      <c r="K313" s="19"/>
      <c r="L313" s="19"/>
    </row>
    <row r="314" spans="2:12" ht="12.75">
      <c r="B314" s="19"/>
      <c r="C314" s="19"/>
      <c r="D314" s="19"/>
      <c r="E314" s="19"/>
      <c r="F314" s="19"/>
      <c r="G314" s="19"/>
      <c r="H314" s="19"/>
      <c r="I314" s="19"/>
      <c r="J314" s="19"/>
      <c r="K314" s="19"/>
      <c r="L314" s="19"/>
    </row>
    <row r="315" spans="2:12" ht="12.75">
      <c r="B315" s="19"/>
      <c r="C315" s="19"/>
      <c r="D315" s="19"/>
      <c r="E315" s="19"/>
      <c r="F315" s="19"/>
      <c r="G315" s="19"/>
      <c r="H315" s="19"/>
      <c r="I315" s="19"/>
      <c r="J315" s="19"/>
      <c r="K315" s="19"/>
      <c r="L315" s="19"/>
    </row>
    <row r="316" spans="2:12" ht="12.75">
      <c r="B316" s="19"/>
      <c r="C316" s="19"/>
      <c r="D316" s="19"/>
      <c r="E316" s="19"/>
      <c r="F316" s="19"/>
      <c r="G316" s="19"/>
      <c r="H316" s="19"/>
      <c r="I316" s="19"/>
      <c r="J316" s="19"/>
      <c r="K316" s="19"/>
      <c r="L316" s="19"/>
    </row>
    <row r="317" spans="2:12" ht="12.75">
      <c r="B317" s="19"/>
      <c r="C317" s="19"/>
      <c r="D317" s="19"/>
      <c r="E317" s="19"/>
      <c r="F317" s="19"/>
      <c r="G317" s="19"/>
      <c r="H317" s="19"/>
      <c r="I317" s="19"/>
      <c r="J317" s="19"/>
      <c r="K317" s="19"/>
      <c r="L317" s="19"/>
    </row>
    <row r="318" spans="2:12" ht="12.75">
      <c r="B318" s="19"/>
      <c r="C318" s="19"/>
      <c r="D318" s="19"/>
      <c r="E318" s="19"/>
      <c r="F318" s="19"/>
      <c r="G318" s="19"/>
      <c r="H318" s="19"/>
      <c r="I318" s="19"/>
      <c r="J318" s="19"/>
      <c r="K318" s="19"/>
      <c r="L318" s="19"/>
    </row>
    <row r="319" spans="2:12" ht="12.75">
      <c r="B319" s="19"/>
      <c r="C319" s="19"/>
      <c r="D319" s="19"/>
      <c r="E319" s="19"/>
      <c r="F319" s="19"/>
      <c r="G319" s="19"/>
      <c r="H319" s="19"/>
      <c r="I319" s="19"/>
      <c r="J319" s="19"/>
      <c r="K319" s="19"/>
      <c r="L319" s="19"/>
    </row>
    <row r="320" spans="2:12" ht="12.75">
      <c r="B320" s="19"/>
      <c r="C320" s="19"/>
      <c r="D320" s="19"/>
      <c r="E320" s="19"/>
      <c r="F320" s="19"/>
      <c r="G320" s="19"/>
      <c r="H320" s="19"/>
      <c r="I320" s="19"/>
      <c r="J320" s="19"/>
      <c r="K320" s="19"/>
      <c r="L320" s="19"/>
    </row>
    <row r="321" spans="2:12" ht="12.75">
      <c r="B321" s="19"/>
      <c r="C321" s="19"/>
      <c r="D321" s="19"/>
      <c r="E321" s="19"/>
      <c r="F321" s="19"/>
      <c r="G321" s="19"/>
      <c r="H321" s="19"/>
      <c r="I321" s="19"/>
      <c r="J321" s="19"/>
      <c r="K321" s="19"/>
      <c r="L321" s="19"/>
    </row>
    <row r="322" spans="2:12" ht="12.75">
      <c r="B322" s="19"/>
      <c r="C322" s="19"/>
      <c r="D322" s="19"/>
      <c r="E322" s="19"/>
      <c r="F322" s="19"/>
      <c r="G322" s="19"/>
      <c r="H322" s="19"/>
      <c r="I322" s="19"/>
      <c r="J322" s="19"/>
      <c r="K322" s="19"/>
      <c r="L322" s="19"/>
    </row>
    <row r="323" spans="2:12" ht="12.75">
      <c r="B323" s="19"/>
      <c r="C323" s="19"/>
      <c r="D323" s="19"/>
      <c r="E323" s="19"/>
      <c r="F323" s="19"/>
      <c r="G323" s="19"/>
      <c r="H323" s="19"/>
      <c r="I323" s="19"/>
      <c r="J323" s="19"/>
      <c r="K323" s="19"/>
      <c r="L323" s="19"/>
    </row>
    <row r="324" spans="2:12" ht="12.75">
      <c r="B324" s="19"/>
      <c r="C324" s="19"/>
      <c r="D324" s="19"/>
      <c r="E324" s="19"/>
      <c r="F324" s="19"/>
      <c r="G324" s="19"/>
      <c r="H324" s="19"/>
      <c r="I324" s="19"/>
      <c r="J324" s="19"/>
      <c r="K324" s="19"/>
      <c r="L324" s="19"/>
    </row>
    <row r="325" spans="2:12" ht="12.75">
      <c r="B325" s="19"/>
      <c r="C325" s="19"/>
      <c r="D325" s="19"/>
      <c r="E325" s="19"/>
      <c r="F325" s="19"/>
      <c r="G325" s="19"/>
      <c r="H325" s="19"/>
      <c r="I325" s="19"/>
      <c r="J325" s="19"/>
      <c r="K325" s="19"/>
      <c r="L325" s="19"/>
    </row>
    <row r="326" spans="2:12" ht="12.75">
      <c r="B326" s="19"/>
      <c r="C326" s="19"/>
      <c r="D326" s="19"/>
      <c r="E326" s="19"/>
      <c r="F326" s="19"/>
      <c r="G326" s="19"/>
      <c r="H326" s="19"/>
      <c r="I326" s="19"/>
      <c r="J326" s="19"/>
      <c r="K326" s="19"/>
      <c r="L326" s="19"/>
    </row>
    <row r="327" spans="2:12" ht="12.75">
      <c r="B327" s="19"/>
      <c r="C327" s="19"/>
      <c r="D327" s="19"/>
      <c r="E327" s="19"/>
      <c r="F327" s="19"/>
      <c r="G327" s="19"/>
      <c r="H327" s="19"/>
      <c r="I327" s="19"/>
      <c r="J327" s="19"/>
      <c r="K327" s="19"/>
      <c r="L327" s="19"/>
    </row>
    <row r="328" spans="2:12" ht="12.75">
      <c r="B328" s="19"/>
      <c r="C328" s="19"/>
      <c r="D328" s="19"/>
      <c r="E328" s="19"/>
      <c r="F328" s="19"/>
      <c r="G328" s="19"/>
      <c r="H328" s="19"/>
      <c r="I328" s="19"/>
      <c r="J328" s="19"/>
      <c r="K328" s="19"/>
      <c r="L328" s="19"/>
    </row>
    <row r="329" spans="2:12" ht="12.75">
      <c r="B329" s="19"/>
      <c r="C329" s="19"/>
      <c r="D329" s="19"/>
      <c r="E329" s="19"/>
      <c r="F329" s="19"/>
      <c r="G329" s="19"/>
      <c r="H329" s="19"/>
      <c r="I329" s="19"/>
      <c r="J329" s="19"/>
      <c r="K329" s="19"/>
      <c r="L329" s="19"/>
    </row>
    <row r="330" spans="2:12" ht="12.75">
      <c r="B330" s="19"/>
      <c r="C330" s="19"/>
      <c r="D330" s="19"/>
      <c r="E330" s="19"/>
      <c r="F330" s="19"/>
      <c r="G330" s="19"/>
      <c r="H330" s="19"/>
      <c r="I330" s="19"/>
      <c r="J330" s="19"/>
      <c r="K330" s="19"/>
      <c r="L330" s="19"/>
    </row>
    <row r="331" spans="2:12" ht="12.75">
      <c r="B331" s="19"/>
      <c r="C331" s="19"/>
      <c r="D331" s="19"/>
      <c r="E331" s="19"/>
      <c r="F331" s="19"/>
      <c r="G331" s="19"/>
      <c r="H331" s="19"/>
      <c r="I331" s="19"/>
      <c r="J331" s="19"/>
      <c r="K331" s="19"/>
      <c r="L331" s="19"/>
    </row>
    <row r="332" spans="2:12" ht="12.75">
      <c r="B332" s="19"/>
      <c r="C332" s="19"/>
      <c r="D332" s="19"/>
      <c r="E332" s="19"/>
      <c r="F332" s="19"/>
      <c r="G332" s="19"/>
      <c r="H332" s="19"/>
      <c r="I332" s="19"/>
      <c r="J332" s="19"/>
      <c r="K332" s="19"/>
      <c r="L332" s="19"/>
    </row>
    <row r="333" spans="2:12" ht="12.75"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19"/>
    </row>
    <row r="334" spans="2:12" ht="12.75">
      <c r="B334" s="19"/>
      <c r="C334" s="19"/>
      <c r="D334" s="19"/>
      <c r="E334" s="19"/>
      <c r="F334" s="19"/>
      <c r="G334" s="19"/>
      <c r="H334" s="19"/>
      <c r="I334" s="19"/>
      <c r="J334" s="19"/>
      <c r="K334" s="19"/>
      <c r="L334" s="19"/>
    </row>
    <row r="335" spans="2:12" ht="12.75">
      <c r="B335" s="19"/>
      <c r="C335" s="19"/>
      <c r="D335" s="19"/>
      <c r="E335" s="19"/>
      <c r="F335" s="19"/>
      <c r="G335" s="19"/>
      <c r="H335" s="19"/>
      <c r="I335" s="19"/>
      <c r="J335" s="19"/>
      <c r="K335" s="19"/>
      <c r="L335" s="19"/>
    </row>
    <row r="336" spans="2:12" ht="12.75">
      <c r="B336" s="19"/>
      <c r="C336" s="19"/>
      <c r="D336" s="19"/>
      <c r="E336" s="19"/>
      <c r="F336" s="19"/>
      <c r="G336" s="19"/>
      <c r="H336" s="19"/>
      <c r="I336" s="19"/>
      <c r="J336" s="19"/>
      <c r="K336" s="19"/>
      <c r="L336" s="19"/>
    </row>
    <row r="337" spans="2:12" ht="12.75">
      <c r="B337" s="19"/>
      <c r="C337" s="19"/>
      <c r="D337" s="19"/>
      <c r="E337" s="19"/>
      <c r="F337" s="19"/>
      <c r="G337" s="19"/>
      <c r="H337" s="19"/>
      <c r="I337" s="19"/>
      <c r="J337" s="19"/>
      <c r="K337" s="19"/>
      <c r="L337" s="19"/>
    </row>
    <row r="338" spans="2:12" ht="12.75">
      <c r="B338" s="19"/>
      <c r="C338" s="19"/>
      <c r="D338" s="19"/>
      <c r="E338" s="19"/>
      <c r="F338" s="19"/>
      <c r="G338" s="19"/>
      <c r="H338" s="19"/>
      <c r="I338" s="19"/>
      <c r="J338" s="19"/>
      <c r="K338" s="19"/>
      <c r="L338" s="19"/>
    </row>
    <row r="339" spans="2:12" ht="12.75">
      <c r="B339" s="19"/>
      <c r="C339" s="19"/>
      <c r="D339" s="19"/>
      <c r="E339" s="19"/>
      <c r="F339" s="19"/>
      <c r="G339" s="19"/>
      <c r="H339" s="19"/>
      <c r="I339" s="19"/>
      <c r="J339" s="19"/>
      <c r="K339" s="19"/>
      <c r="L339" s="19"/>
    </row>
    <row r="340" spans="2:12" ht="12.75">
      <c r="B340" s="19"/>
      <c r="C340" s="19"/>
      <c r="D340" s="19"/>
      <c r="E340" s="19"/>
      <c r="F340" s="19"/>
      <c r="G340" s="19"/>
      <c r="H340" s="19"/>
      <c r="I340" s="19"/>
      <c r="J340" s="19"/>
      <c r="K340" s="19"/>
      <c r="L340" s="19"/>
    </row>
    <row r="341" spans="2:12" ht="12.75"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19"/>
    </row>
    <row r="342" spans="2:12" ht="12.75">
      <c r="B342" s="19"/>
      <c r="C342" s="19"/>
      <c r="D342" s="19"/>
      <c r="E342" s="19"/>
      <c r="F342" s="19"/>
      <c r="G342" s="19"/>
      <c r="H342" s="19"/>
      <c r="I342" s="19"/>
      <c r="J342" s="19"/>
      <c r="K342" s="19"/>
      <c r="L342" s="19"/>
    </row>
    <row r="343" spans="2:12" ht="12.75">
      <c r="B343" s="19"/>
      <c r="C343" s="19"/>
      <c r="D343" s="19"/>
      <c r="E343" s="19"/>
      <c r="F343" s="19"/>
      <c r="G343" s="19"/>
      <c r="H343" s="19"/>
      <c r="I343" s="19"/>
      <c r="J343" s="19"/>
      <c r="K343" s="19"/>
      <c r="L343" s="19"/>
    </row>
    <row r="344" spans="2:12" ht="12.75">
      <c r="B344" s="19"/>
      <c r="C344" s="19"/>
      <c r="D344" s="19"/>
      <c r="E344" s="19"/>
      <c r="F344" s="19"/>
      <c r="G344" s="19"/>
      <c r="H344" s="19"/>
      <c r="I344" s="19"/>
      <c r="J344" s="19"/>
      <c r="K344" s="19"/>
      <c r="L344" s="19"/>
    </row>
    <row r="345" spans="2:12" ht="12.75">
      <c r="B345" s="19"/>
      <c r="C345" s="19"/>
      <c r="D345" s="19"/>
      <c r="E345" s="19"/>
      <c r="F345" s="19"/>
      <c r="G345" s="19"/>
      <c r="H345" s="19"/>
      <c r="I345" s="19"/>
      <c r="J345" s="19"/>
      <c r="K345" s="19"/>
      <c r="L345" s="19"/>
    </row>
    <row r="346" spans="2:12" ht="12.75">
      <c r="B346" s="19"/>
      <c r="C346" s="19"/>
      <c r="D346" s="19"/>
      <c r="E346" s="19"/>
      <c r="F346" s="19"/>
      <c r="G346" s="19"/>
      <c r="H346" s="19"/>
      <c r="I346" s="19"/>
      <c r="J346" s="19"/>
      <c r="K346" s="19"/>
      <c r="L346" s="19"/>
    </row>
    <row r="347" spans="2:12" ht="12.75">
      <c r="B347" s="19"/>
      <c r="C347" s="19"/>
      <c r="D347" s="19"/>
      <c r="E347" s="19"/>
      <c r="F347" s="19"/>
      <c r="G347" s="19"/>
      <c r="H347" s="19"/>
      <c r="I347" s="19"/>
      <c r="J347" s="19"/>
      <c r="K347" s="19"/>
      <c r="L347" s="19"/>
    </row>
    <row r="348" spans="2:12" ht="12.75">
      <c r="B348" s="19"/>
      <c r="C348" s="19"/>
      <c r="D348" s="19"/>
      <c r="E348" s="19"/>
      <c r="F348" s="19"/>
      <c r="G348" s="19"/>
      <c r="H348" s="19"/>
      <c r="I348" s="19"/>
      <c r="J348" s="19"/>
      <c r="K348" s="19"/>
      <c r="L348" s="19"/>
    </row>
    <row r="349" spans="2:12" ht="12.75">
      <c r="B349" s="19"/>
      <c r="C349" s="19"/>
      <c r="D349" s="19"/>
      <c r="E349" s="19"/>
      <c r="F349" s="19"/>
      <c r="G349" s="19"/>
      <c r="H349" s="19"/>
      <c r="I349" s="19"/>
      <c r="J349" s="19"/>
      <c r="K349" s="19"/>
      <c r="L349" s="19"/>
    </row>
    <row r="350" spans="2:12" ht="12.75">
      <c r="B350" s="19"/>
      <c r="C350" s="19"/>
      <c r="D350" s="19"/>
      <c r="E350" s="19"/>
      <c r="F350" s="19"/>
      <c r="G350" s="19"/>
      <c r="H350" s="19"/>
      <c r="I350" s="19"/>
      <c r="J350" s="19"/>
      <c r="K350" s="19"/>
      <c r="L350" s="19"/>
    </row>
    <row r="351" spans="2:12" ht="12.75">
      <c r="B351" s="19"/>
      <c r="C351" s="19"/>
      <c r="D351" s="19"/>
      <c r="E351" s="19"/>
      <c r="F351" s="19"/>
      <c r="G351" s="19"/>
      <c r="H351" s="19"/>
      <c r="I351" s="19"/>
      <c r="J351" s="19"/>
      <c r="K351" s="19"/>
      <c r="L351" s="19"/>
    </row>
    <row r="352" spans="2:12" ht="12.75">
      <c r="B352" s="19"/>
      <c r="C352" s="19"/>
      <c r="D352" s="19"/>
      <c r="E352" s="19"/>
      <c r="F352" s="19"/>
      <c r="G352" s="19"/>
      <c r="H352" s="19"/>
      <c r="I352" s="19"/>
      <c r="J352" s="19"/>
      <c r="K352" s="19"/>
      <c r="L352" s="19"/>
    </row>
    <row r="353" spans="2:12" ht="12.75">
      <c r="B353" s="19"/>
      <c r="C353" s="19"/>
      <c r="D353" s="19"/>
      <c r="E353" s="19"/>
      <c r="F353" s="19"/>
      <c r="G353" s="19"/>
      <c r="H353" s="19"/>
      <c r="I353" s="19"/>
      <c r="J353" s="19"/>
      <c r="K353" s="19"/>
      <c r="L353" s="19"/>
    </row>
    <row r="354" spans="2:12" ht="12.75">
      <c r="B354" s="19"/>
      <c r="C354" s="19"/>
      <c r="D354" s="19"/>
      <c r="E354" s="19"/>
      <c r="F354" s="19"/>
      <c r="G354" s="19"/>
      <c r="H354" s="19"/>
      <c r="I354" s="19"/>
      <c r="J354" s="19"/>
      <c r="K354" s="19"/>
      <c r="L354" s="19"/>
    </row>
    <row r="355" spans="2:12" ht="12.75">
      <c r="B355" s="19"/>
      <c r="C355" s="19"/>
      <c r="D355" s="19"/>
      <c r="E355" s="19"/>
      <c r="F355" s="19"/>
      <c r="G355" s="19"/>
      <c r="H355" s="19"/>
      <c r="I355" s="19"/>
      <c r="J355" s="19"/>
      <c r="K355" s="19"/>
      <c r="L355" s="19"/>
    </row>
    <row r="356" spans="2:12" ht="12.75">
      <c r="B356" s="19"/>
      <c r="C356" s="19"/>
      <c r="D356" s="19"/>
      <c r="E356" s="19"/>
      <c r="F356" s="19"/>
      <c r="G356" s="19"/>
      <c r="H356" s="19"/>
      <c r="I356" s="19"/>
      <c r="J356" s="19"/>
      <c r="K356" s="19"/>
      <c r="L356" s="19"/>
    </row>
    <row r="357" spans="2:12" ht="12.75">
      <c r="B357" s="19"/>
      <c r="C357" s="19"/>
      <c r="D357" s="19"/>
      <c r="E357" s="19"/>
      <c r="F357" s="19"/>
      <c r="G357" s="19"/>
      <c r="H357" s="19"/>
      <c r="I357" s="19"/>
      <c r="J357" s="19"/>
      <c r="K357" s="19"/>
      <c r="L357" s="19"/>
    </row>
    <row r="358" spans="2:12" ht="12.75"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19"/>
    </row>
    <row r="359" spans="2:12" ht="12.75">
      <c r="B359" s="19"/>
      <c r="C359" s="19"/>
      <c r="D359" s="19"/>
      <c r="E359" s="19"/>
      <c r="F359" s="19"/>
      <c r="G359" s="19"/>
      <c r="H359" s="19"/>
      <c r="I359" s="19"/>
      <c r="J359" s="19"/>
      <c r="K359" s="19"/>
      <c r="L359" s="19"/>
    </row>
    <row r="360" spans="2:12" ht="12.75">
      <c r="B360" s="19"/>
      <c r="C360" s="19"/>
      <c r="D360" s="19"/>
      <c r="E360" s="19"/>
      <c r="F360" s="19"/>
      <c r="G360" s="19"/>
      <c r="H360" s="19"/>
      <c r="I360" s="19"/>
      <c r="J360" s="19"/>
      <c r="K360" s="19"/>
      <c r="L360" s="19"/>
    </row>
    <row r="361" spans="2:12" ht="12.75">
      <c r="B361" s="19"/>
      <c r="C361" s="19"/>
      <c r="D361" s="19"/>
      <c r="E361" s="19"/>
      <c r="F361" s="19"/>
      <c r="G361" s="19"/>
      <c r="H361" s="19"/>
      <c r="I361" s="19"/>
      <c r="J361" s="19"/>
      <c r="K361" s="19"/>
      <c r="L361" s="19"/>
    </row>
    <row r="362" spans="2:12" ht="12.75">
      <c r="B362" s="19"/>
      <c r="C362" s="19"/>
      <c r="D362" s="19"/>
      <c r="E362" s="19"/>
      <c r="F362" s="19"/>
      <c r="G362" s="19"/>
      <c r="H362" s="19"/>
      <c r="I362" s="19"/>
      <c r="J362" s="19"/>
      <c r="K362" s="19"/>
      <c r="L362" s="19"/>
    </row>
    <row r="363" spans="2:12" ht="12.75">
      <c r="B363" s="19"/>
      <c r="C363" s="19"/>
      <c r="D363" s="19"/>
      <c r="E363" s="19"/>
      <c r="F363" s="19"/>
      <c r="G363" s="19"/>
      <c r="H363" s="19"/>
      <c r="I363" s="19"/>
      <c r="J363" s="19"/>
      <c r="K363" s="19"/>
      <c r="L363" s="19"/>
    </row>
    <row r="364" spans="2:12" ht="12.75">
      <c r="B364" s="19"/>
      <c r="C364" s="19"/>
      <c r="D364" s="19"/>
      <c r="E364" s="19"/>
      <c r="F364" s="19"/>
      <c r="G364" s="19"/>
      <c r="H364" s="19"/>
      <c r="I364" s="19"/>
      <c r="J364" s="19"/>
      <c r="K364" s="19"/>
      <c r="L364" s="19"/>
    </row>
    <row r="365" spans="2:12" ht="12.75">
      <c r="B365" s="19"/>
      <c r="C365" s="19"/>
      <c r="D365" s="19"/>
      <c r="E365" s="19"/>
      <c r="F365" s="19"/>
      <c r="G365" s="19"/>
      <c r="H365" s="19"/>
      <c r="I365" s="19"/>
      <c r="J365" s="19"/>
      <c r="K365" s="19"/>
      <c r="L365" s="19"/>
    </row>
    <row r="366" spans="2:12" ht="12.75">
      <c r="B366" s="19"/>
      <c r="C366" s="19"/>
      <c r="D366" s="19"/>
      <c r="E366" s="19"/>
      <c r="F366" s="19"/>
      <c r="G366" s="19"/>
      <c r="H366" s="19"/>
      <c r="I366" s="19"/>
      <c r="J366" s="19"/>
      <c r="K366" s="19"/>
      <c r="L366" s="19"/>
    </row>
    <row r="367" spans="2:12" ht="12.75">
      <c r="B367" s="19"/>
      <c r="C367" s="19"/>
      <c r="D367" s="19"/>
      <c r="E367" s="19"/>
      <c r="F367" s="19"/>
      <c r="G367" s="19"/>
      <c r="H367" s="19"/>
      <c r="I367" s="19"/>
      <c r="J367" s="19"/>
      <c r="K367" s="19"/>
      <c r="L367" s="19"/>
    </row>
    <row r="368" spans="2:12" ht="12.75">
      <c r="B368" s="19"/>
      <c r="C368" s="19"/>
      <c r="D368" s="19"/>
      <c r="E368" s="19"/>
      <c r="F368" s="19"/>
      <c r="G368" s="19"/>
      <c r="H368" s="19"/>
      <c r="I368" s="19"/>
      <c r="J368" s="19"/>
      <c r="K368" s="19"/>
      <c r="L368" s="19"/>
    </row>
    <row r="369" spans="2:12" ht="12.75">
      <c r="B369" s="19"/>
      <c r="C369" s="19"/>
      <c r="D369" s="19"/>
      <c r="E369" s="19"/>
      <c r="F369" s="19"/>
      <c r="G369" s="19"/>
      <c r="H369" s="19"/>
      <c r="I369" s="19"/>
      <c r="J369" s="19"/>
      <c r="K369" s="19"/>
      <c r="L369" s="19"/>
    </row>
    <row r="370" spans="2:12" ht="12.75">
      <c r="B370" s="19"/>
      <c r="C370" s="19"/>
      <c r="D370" s="19"/>
      <c r="E370" s="19"/>
      <c r="F370" s="19"/>
      <c r="G370" s="19"/>
      <c r="H370" s="19"/>
      <c r="I370" s="19"/>
      <c r="J370" s="19"/>
      <c r="K370" s="19"/>
      <c r="L370" s="19"/>
    </row>
    <row r="371" spans="2:12" ht="12.75">
      <c r="B371" s="19"/>
      <c r="C371" s="19"/>
      <c r="D371" s="19"/>
      <c r="E371" s="19"/>
      <c r="F371" s="19"/>
      <c r="G371" s="19"/>
      <c r="H371" s="19"/>
      <c r="I371" s="19"/>
      <c r="J371" s="19"/>
      <c r="K371" s="19"/>
      <c r="L371" s="19"/>
    </row>
    <row r="372" spans="2:12" ht="12.75">
      <c r="B372" s="19"/>
      <c r="C372" s="19"/>
      <c r="D372" s="19"/>
      <c r="E372" s="19"/>
      <c r="F372" s="19"/>
      <c r="G372" s="19"/>
      <c r="H372" s="19"/>
      <c r="I372" s="19"/>
      <c r="J372" s="19"/>
      <c r="K372" s="19"/>
      <c r="L372" s="19"/>
    </row>
    <row r="373" spans="2:12" ht="12.75">
      <c r="B373" s="19"/>
      <c r="C373" s="19"/>
      <c r="D373" s="19"/>
      <c r="E373" s="19"/>
      <c r="F373" s="19"/>
      <c r="G373" s="19"/>
      <c r="H373" s="19"/>
      <c r="I373" s="19"/>
      <c r="J373" s="19"/>
      <c r="K373" s="19"/>
      <c r="L373" s="19"/>
    </row>
    <row r="374" spans="2:12" ht="12.75">
      <c r="B374" s="19"/>
      <c r="C374" s="19"/>
      <c r="D374" s="19"/>
      <c r="E374" s="19"/>
      <c r="F374" s="19"/>
      <c r="G374" s="19"/>
      <c r="H374" s="19"/>
      <c r="I374" s="19"/>
      <c r="J374" s="19"/>
      <c r="K374" s="19"/>
      <c r="L374" s="19"/>
    </row>
    <row r="375" spans="2:12" ht="12.75">
      <c r="B375" s="19"/>
      <c r="C375" s="19"/>
      <c r="D375" s="19"/>
      <c r="E375" s="19"/>
      <c r="F375" s="19"/>
      <c r="G375" s="19"/>
      <c r="H375" s="19"/>
      <c r="I375" s="19"/>
      <c r="J375" s="19"/>
      <c r="K375" s="19"/>
      <c r="L375" s="19"/>
    </row>
    <row r="376" spans="2:12" ht="12.75">
      <c r="B376" s="19"/>
      <c r="C376" s="19"/>
      <c r="D376" s="19"/>
      <c r="E376" s="19"/>
      <c r="F376" s="19"/>
      <c r="G376" s="19"/>
      <c r="H376" s="19"/>
      <c r="I376" s="19"/>
      <c r="J376" s="19"/>
      <c r="K376" s="19"/>
      <c r="L376" s="19"/>
    </row>
    <row r="377" spans="2:12" ht="12.75">
      <c r="B377" s="19"/>
      <c r="C377" s="19"/>
      <c r="D377" s="19"/>
      <c r="E377" s="19"/>
      <c r="F377" s="19"/>
      <c r="G377" s="19"/>
      <c r="H377" s="19"/>
      <c r="I377" s="19"/>
      <c r="J377" s="19"/>
      <c r="K377" s="19"/>
      <c r="L377" s="19"/>
    </row>
    <row r="378" spans="2:12" ht="12.75">
      <c r="B378" s="19"/>
      <c r="C378" s="19"/>
      <c r="D378" s="19"/>
      <c r="E378" s="19"/>
      <c r="F378" s="19"/>
      <c r="G378" s="19"/>
      <c r="H378" s="19"/>
      <c r="I378" s="19"/>
      <c r="J378" s="19"/>
      <c r="K378" s="19"/>
      <c r="L378" s="19"/>
    </row>
    <row r="379" spans="2:12" ht="12.75">
      <c r="B379" s="19"/>
      <c r="C379" s="19"/>
      <c r="D379" s="19"/>
      <c r="E379" s="19"/>
      <c r="F379" s="19"/>
      <c r="G379" s="19"/>
      <c r="H379" s="19"/>
      <c r="I379" s="19"/>
      <c r="J379" s="19"/>
      <c r="K379" s="19"/>
      <c r="L379" s="19"/>
    </row>
    <row r="380" spans="2:12" ht="12.75">
      <c r="B380" s="19"/>
      <c r="C380" s="19"/>
      <c r="D380" s="19"/>
      <c r="E380" s="19"/>
      <c r="F380" s="19"/>
      <c r="G380" s="19"/>
      <c r="H380" s="19"/>
      <c r="I380" s="19"/>
      <c r="J380" s="19"/>
      <c r="K380" s="19"/>
      <c r="L380" s="19"/>
    </row>
    <row r="381" spans="2:12" ht="12.75">
      <c r="B381" s="19"/>
      <c r="C381" s="19"/>
      <c r="D381" s="19"/>
      <c r="E381" s="19"/>
      <c r="F381" s="19"/>
      <c r="G381" s="19"/>
      <c r="H381" s="19"/>
      <c r="I381" s="19"/>
      <c r="J381" s="19"/>
      <c r="K381" s="19"/>
      <c r="L381" s="19"/>
    </row>
    <row r="382" spans="2:12" ht="12.75">
      <c r="B382" s="19"/>
      <c r="C382" s="19"/>
      <c r="D382" s="19"/>
      <c r="E382" s="19"/>
      <c r="F382" s="19"/>
      <c r="G382" s="19"/>
      <c r="H382" s="19"/>
      <c r="I382" s="19"/>
      <c r="J382" s="19"/>
      <c r="K382" s="19"/>
      <c r="L382" s="19"/>
    </row>
    <row r="383" spans="2:12" ht="12.75">
      <c r="B383" s="19"/>
      <c r="C383" s="19"/>
      <c r="D383" s="19"/>
      <c r="E383" s="19"/>
      <c r="F383" s="19"/>
      <c r="G383" s="19"/>
      <c r="H383" s="19"/>
      <c r="I383" s="19"/>
      <c r="J383" s="19"/>
      <c r="K383" s="19"/>
      <c r="L383" s="19"/>
    </row>
    <row r="384" spans="2:12" ht="12.75">
      <c r="B384" s="19"/>
      <c r="C384" s="19"/>
      <c r="D384" s="19"/>
      <c r="E384" s="19"/>
      <c r="F384" s="19"/>
      <c r="G384" s="19"/>
      <c r="H384" s="19"/>
      <c r="I384" s="19"/>
      <c r="J384" s="19"/>
      <c r="K384" s="19"/>
      <c r="L384" s="19"/>
    </row>
    <row r="385" spans="2:12" ht="12.75">
      <c r="B385" s="19"/>
      <c r="C385" s="19"/>
      <c r="D385" s="19"/>
      <c r="E385" s="19"/>
      <c r="F385" s="19"/>
      <c r="G385" s="19"/>
      <c r="H385" s="19"/>
      <c r="I385" s="19"/>
      <c r="J385" s="19"/>
      <c r="K385" s="19"/>
      <c r="L385" s="19"/>
    </row>
    <row r="386" spans="2:12" ht="12.75">
      <c r="B386" s="19"/>
      <c r="C386" s="19"/>
      <c r="D386" s="19"/>
      <c r="E386" s="19"/>
      <c r="F386" s="19"/>
      <c r="G386" s="19"/>
      <c r="H386" s="19"/>
      <c r="I386" s="19"/>
      <c r="J386" s="19"/>
      <c r="K386" s="19"/>
      <c r="L386" s="19"/>
    </row>
    <row r="387" spans="2:12" ht="12.75">
      <c r="B387" s="19"/>
      <c r="C387" s="19"/>
      <c r="D387" s="19"/>
      <c r="E387" s="19"/>
      <c r="F387" s="19"/>
      <c r="G387" s="19"/>
      <c r="H387" s="19"/>
      <c r="I387" s="19"/>
      <c r="J387" s="19"/>
      <c r="K387" s="19"/>
      <c r="L387" s="19"/>
    </row>
    <row r="388" spans="2:12" ht="12.75">
      <c r="B388" s="19"/>
      <c r="C388" s="19"/>
      <c r="D388" s="19"/>
      <c r="E388" s="19"/>
      <c r="F388" s="19"/>
      <c r="G388" s="19"/>
      <c r="H388" s="19"/>
      <c r="I388" s="19"/>
      <c r="J388" s="19"/>
      <c r="K388" s="19"/>
      <c r="L388" s="19"/>
    </row>
    <row r="389" spans="2:12" ht="12.75">
      <c r="B389" s="19"/>
      <c r="C389" s="19"/>
      <c r="D389" s="19"/>
      <c r="E389" s="19"/>
      <c r="F389" s="19"/>
      <c r="G389" s="19"/>
      <c r="H389" s="19"/>
      <c r="I389" s="19"/>
      <c r="J389" s="19"/>
      <c r="K389" s="19"/>
      <c r="L389" s="19"/>
    </row>
    <row r="390" spans="2:12" ht="12.75">
      <c r="B390" s="19"/>
      <c r="C390" s="19"/>
      <c r="D390" s="19"/>
      <c r="E390" s="19"/>
      <c r="F390" s="19"/>
      <c r="G390" s="19"/>
      <c r="H390" s="19"/>
      <c r="I390" s="19"/>
      <c r="J390" s="19"/>
      <c r="K390" s="19"/>
      <c r="L390" s="19"/>
    </row>
    <row r="391" spans="2:12" ht="12.75">
      <c r="B391" s="19"/>
      <c r="C391" s="19"/>
      <c r="D391" s="19"/>
      <c r="E391" s="19"/>
      <c r="F391" s="19"/>
      <c r="G391" s="19"/>
      <c r="H391" s="19"/>
      <c r="I391" s="19"/>
      <c r="J391" s="19"/>
      <c r="K391" s="19"/>
      <c r="L391" s="19"/>
    </row>
    <row r="392" spans="2:12" ht="12.75">
      <c r="B392" s="19"/>
      <c r="C392" s="19"/>
      <c r="D392" s="19"/>
      <c r="E392" s="19"/>
      <c r="F392" s="19"/>
      <c r="G392" s="19"/>
      <c r="H392" s="19"/>
      <c r="I392" s="19"/>
      <c r="J392" s="19"/>
      <c r="K392" s="19"/>
      <c r="L392" s="19"/>
    </row>
    <row r="393" spans="2:12" ht="12.75">
      <c r="B393" s="19"/>
      <c r="C393" s="19"/>
      <c r="D393" s="19"/>
      <c r="E393" s="19"/>
      <c r="F393" s="19"/>
      <c r="G393" s="19"/>
      <c r="H393" s="19"/>
      <c r="I393" s="19"/>
      <c r="J393" s="19"/>
      <c r="K393" s="19"/>
      <c r="L393" s="19"/>
    </row>
    <row r="394" spans="2:12" ht="12.75">
      <c r="B394" s="19"/>
      <c r="C394" s="19"/>
      <c r="D394" s="19"/>
      <c r="E394" s="19"/>
      <c r="F394" s="19"/>
      <c r="G394" s="19"/>
      <c r="H394" s="19"/>
      <c r="I394" s="19"/>
      <c r="J394" s="19"/>
      <c r="K394" s="19"/>
      <c r="L394" s="19"/>
    </row>
    <row r="395" spans="2:12" ht="12.75">
      <c r="B395" s="19"/>
      <c r="C395" s="19"/>
      <c r="D395" s="19"/>
      <c r="E395" s="19"/>
      <c r="F395" s="19"/>
      <c r="G395" s="19"/>
      <c r="H395" s="19"/>
      <c r="I395" s="19"/>
      <c r="J395" s="19"/>
      <c r="K395" s="19"/>
      <c r="L395" s="19"/>
    </row>
    <row r="396" spans="2:12" ht="12.75">
      <c r="B396" s="19"/>
      <c r="C396" s="19"/>
      <c r="D396" s="19"/>
      <c r="E396" s="19"/>
      <c r="F396" s="19"/>
      <c r="G396" s="19"/>
      <c r="H396" s="19"/>
      <c r="I396" s="19"/>
      <c r="J396" s="19"/>
      <c r="K396" s="19"/>
      <c r="L396" s="19"/>
    </row>
    <row r="397" spans="2:12" ht="12.75">
      <c r="B397" s="19"/>
      <c r="C397" s="19"/>
      <c r="D397" s="19"/>
      <c r="E397" s="19"/>
      <c r="F397" s="19"/>
      <c r="G397" s="19"/>
      <c r="H397" s="19"/>
      <c r="I397" s="19"/>
      <c r="J397" s="19"/>
      <c r="K397" s="19"/>
      <c r="L397" s="19"/>
    </row>
    <row r="398" spans="2:12" ht="12.75">
      <c r="B398" s="19"/>
      <c r="C398" s="19"/>
      <c r="D398" s="19"/>
      <c r="E398" s="19"/>
      <c r="F398" s="19"/>
      <c r="G398" s="19"/>
      <c r="H398" s="19"/>
      <c r="I398" s="19"/>
      <c r="J398" s="19"/>
      <c r="K398" s="19"/>
      <c r="L398" s="19"/>
    </row>
    <row r="399" spans="2:12" ht="12.75">
      <c r="B399" s="19"/>
      <c r="C399" s="19"/>
      <c r="D399" s="19"/>
      <c r="E399" s="19"/>
      <c r="F399" s="19"/>
      <c r="G399" s="19"/>
      <c r="H399" s="19"/>
      <c r="I399" s="19"/>
      <c r="J399" s="19"/>
      <c r="K399" s="19"/>
      <c r="L399" s="19"/>
    </row>
    <row r="400" spans="2:12" ht="12.75">
      <c r="B400" s="19"/>
      <c r="C400" s="19"/>
      <c r="D400" s="19"/>
      <c r="E400" s="19"/>
      <c r="F400" s="19"/>
      <c r="G400" s="19"/>
      <c r="H400" s="19"/>
      <c r="I400" s="19"/>
      <c r="J400" s="19"/>
      <c r="K400" s="19"/>
      <c r="L400" s="19"/>
    </row>
    <row r="401" spans="2:12" ht="12.75">
      <c r="B401" s="19"/>
      <c r="C401" s="19"/>
      <c r="D401" s="19"/>
      <c r="E401" s="19"/>
      <c r="F401" s="19"/>
      <c r="G401" s="19"/>
      <c r="H401" s="19"/>
      <c r="I401" s="19"/>
      <c r="J401" s="19"/>
      <c r="K401" s="19"/>
      <c r="L401" s="19"/>
    </row>
    <row r="402" spans="2:12" ht="12.75">
      <c r="B402" s="19"/>
      <c r="C402" s="19"/>
      <c r="D402" s="19"/>
      <c r="E402" s="19"/>
      <c r="F402" s="19"/>
      <c r="G402" s="19"/>
      <c r="H402" s="19"/>
      <c r="I402" s="19"/>
      <c r="J402" s="19"/>
      <c r="K402" s="19"/>
      <c r="L402" s="19"/>
    </row>
    <row r="403" spans="2:12" ht="12.75">
      <c r="B403" s="19"/>
      <c r="C403" s="19"/>
      <c r="D403" s="19"/>
      <c r="E403" s="19"/>
      <c r="F403" s="19"/>
      <c r="G403" s="19"/>
      <c r="H403" s="19"/>
      <c r="I403" s="19"/>
      <c r="J403" s="19"/>
      <c r="K403" s="19"/>
      <c r="L403" s="19"/>
    </row>
    <row r="404" spans="2:12" ht="12.75">
      <c r="B404" s="19"/>
      <c r="C404" s="19"/>
      <c r="D404" s="19"/>
      <c r="E404" s="19"/>
      <c r="F404" s="19"/>
      <c r="G404" s="19"/>
      <c r="H404" s="19"/>
      <c r="I404" s="19"/>
      <c r="J404" s="19"/>
      <c r="K404" s="19"/>
      <c r="L404" s="19"/>
    </row>
    <row r="405" spans="2:12" ht="12.75">
      <c r="B405" s="19"/>
      <c r="C405" s="19"/>
      <c r="D405" s="19"/>
      <c r="E405" s="19"/>
      <c r="F405" s="19"/>
      <c r="G405" s="19"/>
      <c r="H405" s="19"/>
      <c r="I405" s="19"/>
      <c r="J405" s="19"/>
      <c r="K405" s="19"/>
      <c r="L405" s="19"/>
    </row>
    <row r="406" spans="2:12" ht="12.75">
      <c r="B406" s="19"/>
      <c r="C406" s="19"/>
      <c r="D406" s="19"/>
      <c r="E406" s="19"/>
      <c r="F406" s="19"/>
      <c r="G406" s="19"/>
      <c r="H406" s="19"/>
      <c r="I406" s="19"/>
      <c r="J406" s="19"/>
      <c r="K406" s="19"/>
      <c r="L406" s="19"/>
    </row>
    <row r="407" spans="2:12" ht="12.75">
      <c r="B407" s="19"/>
      <c r="C407" s="19"/>
      <c r="D407" s="19"/>
      <c r="E407" s="19"/>
      <c r="F407" s="19"/>
      <c r="G407" s="19"/>
      <c r="H407" s="19"/>
      <c r="I407" s="19"/>
      <c r="J407" s="19"/>
      <c r="K407" s="19"/>
      <c r="L407" s="19"/>
    </row>
    <row r="408" spans="2:12" ht="12.75">
      <c r="B408" s="19"/>
      <c r="C408" s="19"/>
      <c r="D408" s="19"/>
      <c r="E408" s="19"/>
      <c r="F408" s="19"/>
      <c r="G408" s="19"/>
      <c r="H408" s="19"/>
      <c r="I408" s="19"/>
      <c r="J408" s="19"/>
      <c r="K408" s="19"/>
      <c r="L408" s="19"/>
    </row>
    <row r="409" spans="2:12" ht="12.75">
      <c r="B409" s="19"/>
      <c r="C409" s="19"/>
      <c r="D409" s="19"/>
      <c r="E409" s="19"/>
      <c r="F409" s="19"/>
      <c r="G409" s="19"/>
      <c r="H409" s="19"/>
      <c r="I409" s="19"/>
      <c r="J409" s="19"/>
      <c r="K409" s="19"/>
      <c r="L409" s="19"/>
    </row>
    <row r="410" spans="2:12" ht="12.75">
      <c r="B410" s="19"/>
      <c r="C410" s="19"/>
      <c r="D410" s="19"/>
      <c r="E410" s="19"/>
      <c r="F410" s="19"/>
      <c r="G410" s="19"/>
      <c r="H410" s="19"/>
      <c r="I410" s="19"/>
      <c r="J410" s="19"/>
      <c r="K410" s="19"/>
      <c r="L410" s="19"/>
    </row>
    <row r="411" spans="2:12" ht="12.75">
      <c r="B411" s="19"/>
      <c r="C411" s="19"/>
      <c r="D411" s="19"/>
      <c r="E411" s="19"/>
      <c r="F411" s="19"/>
      <c r="G411" s="19"/>
      <c r="H411" s="19"/>
      <c r="I411" s="19"/>
      <c r="J411" s="19"/>
      <c r="K411" s="19"/>
      <c r="L411" s="19"/>
    </row>
    <row r="412" spans="2:12" ht="12.75">
      <c r="B412" s="19"/>
      <c r="C412" s="19"/>
      <c r="D412" s="19"/>
      <c r="E412" s="19"/>
      <c r="F412" s="19"/>
      <c r="G412" s="19"/>
      <c r="H412" s="19"/>
      <c r="I412" s="19"/>
      <c r="J412" s="19"/>
      <c r="K412" s="19"/>
      <c r="L412" s="19"/>
    </row>
    <row r="413" spans="2:12" ht="12.75">
      <c r="B413" s="19"/>
      <c r="C413" s="19"/>
      <c r="D413" s="19"/>
      <c r="E413" s="19"/>
      <c r="F413" s="19"/>
      <c r="G413" s="19"/>
      <c r="H413" s="19"/>
      <c r="I413" s="19"/>
      <c r="J413" s="19"/>
      <c r="K413" s="19"/>
      <c r="L413" s="19"/>
    </row>
    <row r="414" spans="2:12" ht="12.75">
      <c r="B414" s="19"/>
      <c r="C414" s="19"/>
      <c r="D414" s="19"/>
      <c r="E414" s="19"/>
      <c r="F414" s="19"/>
      <c r="G414" s="19"/>
      <c r="H414" s="19"/>
      <c r="I414" s="19"/>
      <c r="J414" s="19"/>
      <c r="K414" s="19"/>
      <c r="L414" s="19"/>
    </row>
    <row r="415" spans="2:12" ht="12.75">
      <c r="B415" s="19"/>
      <c r="C415" s="19"/>
      <c r="D415" s="19"/>
      <c r="E415" s="19"/>
      <c r="F415" s="19"/>
      <c r="G415" s="19"/>
      <c r="H415" s="19"/>
      <c r="I415" s="19"/>
      <c r="J415" s="19"/>
      <c r="K415" s="19"/>
      <c r="L415" s="19"/>
    </row>
    <row r="416" spans="2:12" ht="12.75">
      <c r="B416" s="19"/>
      <c r="C416" s="19"/>
      <c r="D416" s="19"/>
      <c r="E416" s="19"/>
      <c r="F416" s="19"/>
      <c r="G416" s="19"/>
      <c r="H416" s="19"/>
      <c r="I416" s="19"/>
      <c r="J416" s="19"/>
      <c r="K416" s="19"/>
      <c r="L416" s="19"/>
    </row>
    <row r="417" spans="2:12" ht="12.75">
      <c r="B417" s="19"/>
      <c r="C417" s="19"/>
      <c r="D417" s="19"/>
      <c r="E417" s="19"/>
      <c r="F417" s="19"/>
      <c r="G417" s="19"/>
      <c r="H417" s="19"/>
      <c r="I417" s="19"/>
      <c r="J417" s="19"/>
      <c r="K417" s="19"/>
      <c r="L417" s="19"/>
    </row>
    <row r="418" spans="2:12" ht="12.75">
      <c r="B418" s="19"/>
      <c r="C418" s="19"/>
      <c r="D418" s="19"/>
      <c r="E418" s="19"/>
      <c r="F418" s="19"/>
      <c r="G418" s="19"/>
      <c r="H418" s="19"/>
      <c r="I418" s="19"/>
      <c r="J418" s="19"/>
      <c r="K418" s="19"/>
      <c r="L418" s="19"/>
    </row>
    <row r="419" spans="2:12" ht="12.75">
      <c r="B419" s="19"/>
      <c r="C419" s="19"/>
      <c r="D419" s="19"/>
      <c r="E419" s="19"/>
      <c r="F419" s="19"/>
      <c r="G419" s="19"/>
      <c r="H419" s="19"/>
      <c r="I419" s="19"/>
      <c r="J419" s="19"/>
      <c r="K419" s="19"/>
      <c r="L419" s="19"/>
    </row>
    <row r="420" spans="2:12" ht="12.75">
      <c r="B420" s="19"/>
      <c r="C420" s="19"/>
      <c r="D420" s="19"/>
      <c r="E420" s="19"/>
      <c r="F420" s="19"/>
      <c r="G420" s="19"/>
      <c r="H420" s="19"/>
      <c r="I420" s="19"/>
      <c r="J420" s="19"/>
      <c r="K420" s="19"/>
      <c r="L420" s="19"/>
    </row>
    <row r="421" spans="2:12" ht="12.75">
      <c r="B421" s="19"/>
      <c r="C421" s="19"/>
      <c r="D421" s="19"/>
      <c r="E421" s="19"/>
      <c r="F421" s="19"/>
      <c r="G421" s="19"/>
      <c r="H421" s="19"/>
      <c r="I421" s="19"/>
      <c r="J421" s="19"/>
      <c r="K421" s="19"/>
      <c r="L421" s="19"/>
    </row>
    <row r="422" spans="2:12" ht="12.75">
      <c r="B422" s="19"/>
      <c r="C422" s="19"/>
      <c r="D422" s="19"/>
      <c r="E422" s="19"/>
      <c r="F422" s="19"/>
      <c r="G422" s="19"/>
      <c r="H422" s="19"/>
      <c r="I422" s="19"/>
      <c r="J422" s="19"/>
      <c r="K422" s="19"/>
      <c r="L422" s="19"/>
    </row>
    <row r="423" spans="2:12" ht="12.75">
      <c r="B423" s="19"/>
      <c r="C423" s="19"/>
      <c r="D423" s="19"/>
      <c r="E423" s="19"/>
      <c r="F423" s="19"/>
      <c r="G423" s="19"/>
      <c r="H423" s="19"/>
      <c r="I423" s="19"/>
      <c r="J423" s="19"/>
      <c r="K423" s="19"/>
      <c r="L423" s="19"/>
    </row>
    <row r="424" spans="2:12" ht="12.75">
      <c r="B424" s="19"/>
      <c r="C424" s="19"/>
      <c r="D424" s="19"/>
      <c r="E424" s="19"/>
      <c r="F424" s="19"/>
      <c r="G424" s="19"/>
      <c r="H424" s="19"/>
      <c r="I424" s="19"/>
      <c r="J424" s="19"/>
      <c r="K424" s="19"/>
      <c r="L424" s="19"/>
    </row>
    <row r="425" spans="2:12" ht="12.75">
      <c r="B425" s="19"/>
      <c r="C425" s="19"/>
      <c r="D425" s="19"/>
      <c r="E425" s="19"/>
      <c r="F425" s="19"/>
      <c r="G425" s="19"/>
      <c r="H425" s="19"/>
      <c r="I425" s="19"/>
      <c r="J425" s="19"/>
      <c r="K425" s="19"/>
      <c r="L425" s="19"/>
    </row>
    <row r="426" spans="2:12" ht="12.75">
      <c r="B426" s="19"/>
      <c r="C426" s="19"/>
      <c r="D426" s="19"/>
      <c r="E426" s="19"/>
      <c r="F426" s="19"/>
      <c r="G426" s="19"/>
      <c r="H426" s="19"/>
      <c r="I426" s="19"/>
      <c r="J426" s="19"/>
      <c r="K426" s="19"/>
      <c r="L426" s="19"/>
    </row>
    <row r="427" spans="2:12" ht="12.75">
      <c r="B427" s="19"/>
      <c r="C427" s="19"/>
      <c r="D427" s="19"/>
      <c r="E427" s="19"/>
      <c r="F427" s="19"/>
      <c r="G427" s="19"/>
      <c r="H427" s="19"/>
      <c r="I427" s="19"/>
      <c r="J427" s="19"/>
      <c r="K427" s="19"/>
      <c r="L427" s="19"/>
    </row>
    <row r="428" spans="2:12" ht="12.75">
      <c r="B428" s="19"/>
      <c r="C428" s="19"/>
      <c r="D428" s="19"/>
      <c r="E428" s="19"/>
      <c r="F428" s="19"/>
      <c r="G428" s="19"/>
      <c r="H428" s="19"/>
      <c r="I428" s="19"/>
      <c r="J428" s="19"/>
      <c r="K428" s="19"/>
      <c r="L428" s="19"/>
    </row>
    <row r="429" spans="2:12" ht="12.75">
      <c r="B429" s="19"/>
      <c r="C429" s="19"/>
      <c r="D429" s="19"/>
      <c r="E429" s="19"/>
      <c r="F429" s="19"/>
      <c r="G429" s="19"/>
      <c r="H429" s="19"/>
      <c r="I429" s="19"/>
      <c r="J429" s="19"/>
      <c r="K429" s="19"/>
      <c r="L429" s="19"/>
    </row>
    <row r="430" spans="2:12" ht="12.75">
      <c r="B430" s="19"/>
      <c r="C430" s="19"/>
      <c r="D430" s="19"/>
      <c r="E430" s="19"/>
      <c r="F430" s="19"/>
      <c r="G430" s="19"/>
      <c r="H430" s="19"/>
      <c r="I430" s="19"/>
      <c r="J430" s="19"/>
      <c r="K430" s="19"/>
      <c r="L430" s="19"/>
    </row>
    <row r="431" spans="2:12" ht="12.75">
      <c r="B431" s="19"/>
      <c r="C431" s="19"/>
      <c r="D431" s="19"/>
      <c r="E431" s="19"/>
      <c r="F431" s="19"/>
      <c r="G431" s="19"/>
      <c r="H431" s="19"/>
      <c r="I431" s="19"/>
      <c r="J431" s="19"/>
      <c r="K431" s="19"/>
      <c r="L431" s="19"/>
    </row>
    <row r="432" spans="2:12" ht="12.75">
      <c r="B432" s="19"/>
      <c r="C432" s="19"/>
      <c r="D432" s="19"/>
      <c r="E432" s="19"/>
      <c r="F432" s="19"/>
      <c r="G432" s="19"/>
      <c r="H432" s="19"/>
      <c r="I432" s="19"/>
      <c r="J432" s="19"/>
      <c r="K432" s="19"/>
      <c r="L432" s="19"/>
    </row>
    <row r="433" spans="2:12" ht="12.75">
      <c r="B433" s="19"/>
      <c r="C433" s="19"/>
      <c r="D433" s="19"/>
      <c r="E433" s="19"/>
      <c r="F433" s="19"/>
      <c r="G433" s="19"/>
      <c r="H433" s="19"/>
      <c r="I433" s="19"/>
      <c r="J433" s="19"/>
      <c r="K433" s="19"/>
      <c r="L433" s="19"/>
    </row>
    <row r="434" spans="2:12" ht="12.75">
      <c r="B434" s="19"/>
      <c r="C434" s="19"/>
      <c r="D434" s="19"/>
      <c r="E434" s="19"/>
      <c r="F434" s="19"/>
      <c r="G434" s="19"/>
      <c r="H434" s="19"/>
      <c r="I434" s="19"/>
      <c r="J434" s="19"/>
      <c r="K434" s="19"/>
      <c r="L434" s="19"/>
    </row>
    <row r="435" spans="2:12" ht="12.75">
      <c r="B435" s="19"/>
      <c r="C435" s="19"/>
      <c r="D435" s="19"/>
      <c r="E435" s="19"/>
      <c r="F435" s="19"/>
      <c r="G435" s="19"/>
      <c r="H435" s="19"/>
      <c r="I435" s="19"/>
      <c r="J435" s="19"/>
      <c r="K435" s="19"/>
      <c r="L435" s="19"/>
    </row>
    <row r="436" spans="2:12" ht="12.75">
      <c r="B436" s="19"/>
      <c r="C436" s="19"/>
      <c r="D436" s="19"/>
      <c r="E436" s="19"/>
      <c r="F436" s="19"/>
      <c r="G436" s="19"/>
      <c r="H436" s="19"/>
      <c r="I436" s="19"/>
      <c r="J436" s="19"/>
      <c r="K436" s="19"/>
      <c r="L436" s="19"/>
    </row>
    <row r="437" spans="2:12" ht="12.75">
      <c r="B437" s="19"/>
      <c r="C437" s="19"/>
      <c r="D437" s="19"/>
      <c r="E437" s="19"/>
      <c r="F437" s="19"/>
      <c r="G437" s="19"/>
      <c r="H437" s="19"/>
      <c r="I437" s="19"/>
      <c r="J437" s="19"/>
      <c r="K437" s="19"/>
      <c r="L437" s="19"/>
    </row>
    <row r="438" spans="2:12" ht="12.75">
      <c r="B438" s="19"/>
      <c r="C438" s="19"/>
      <c r="D438" s="19"/>
      <c r="E438" s="19"/>
      <c r="F438" s="19"/>
      <c r="G438" s="19"/>
      <c r="H438" s="19"/>
      <c r="I438" s="19"/>
      <c r="J438" s="19"/>
      <c r="K438" s="19"/>
      <c r="L438" s="19"/>
    </row>
    <row r="439" spans="2:12" ht="12.75">
      <c r="B439" s="19"/>
      <c r="C439" s="19"/>
      <c r="D439" s="19"/>
      <c r="E439" s="19"/>
      <c r="F439" s="19"/>
      <c r="G439" s="19"/>
      <c r="H439" s="19"/>
      <c r="I439" s="19"/>
      <c r="J439" s="19"/>
      <c r="K439" s="19"/>
      <c r="L439" s="19"/>
    </row>
    <row r="440" spans="2:12" ht="12.75">
      <c r="B440" s="19"/>
      <c r="C440" s="19"/>
      <c r="D440" s="19"/>
      <c r="E440" s="19"/>
      <c r="F440" s="19"/>
      <c r="G440" s="19"/>
      <c r="H440" s="19"/>
      <c r="I440" s="19"/>
      <c r="J440" s="19"/>
      <c r="K440" s="19"/>
      <c r="L440" s="19"/>
    </row>
    <row r="441" spans="2:12" ht="12.75">
      <c r="B441" s="19"/>
      <c r="C441" s="19"/>
      <c r="D441" s="19"/>
      <c r="E441" s="19"/>
      <c r="F441" s="19"/>
      <c r="G441" s="19"/>
      <c r="H441" s="19"/>
      <c r="I441" s="19"/>
      <c r="J441" s="19"/>
      <c r="K441" s="19"/>
      <c r="L441" s="19"/>
    </row>
    <row r="442" spans="2:12" ht="12.75">
      <c r="B442" s="19"/>
      <c r="C442" s="19"/>
      <c r="D442" s="19"/>
      <c r="E442" s="19"/>
      <c r="F442" s="19"/>
      <c r="G442" s="19"/>
      <c r="H442" s="19"/>
      <c r="I442" s="19"/>
      <c r="J442" s="19"/>
      <c r="K442" s="19"/>
      <c r="L442" s="19"/>
    </row>
    <row r="443" spans="2:12" ht="12.75">
      <c r="B443" s="19"/>
      <c r="C443" s="19"/>
      <c r="D443" s="19"/>
      <c r="E443" s="19"/>
      <c r="F443" s="19"/>
      <c r="G443" s="19"/>
      <c r="H443" s="19"/>
      <c r="I443" s="19"/>
      <c r="J443" s="19"/>
      <c r="K443" s="19"/>
      <c r="L443" s="19"/>
    </row>
    <row r="444" spans="2:12" ht="12.75">
      <c r="B444" s="19"/>
      <c r="C444" s="19"/>
      <c r="D444" s="19"/>
      <c r="E444" s="19"/>
      <c r="F444" s="19"/>
      <c r="G444" s="19"/>
      <c r="H444" s="19"/>
      <c r="I444" s="19"/>
      <c r="J444" s="19"/>
      <c r="K444" s="19"/>
      <c r="L444" s="19"/>
    </row>
    <row r="445" spans="2:12" ht="12.75">
      <c r="B445" s="19"/>
      <c r="C445" s="19"/>
      <c r="D445" s="19"/>
      <c r="E445" s="19"/>
      <c r="F445" s="19"/>
      <c r="G445" s="19"/>
      <c r="H445" s="19"/>
      <c r="I445" s="19"/>
      <c r="J445" s="19"/>
      <c r="K445" s="19"/>
      <c r="L445" s="19"/>
    </row>
    <row r="446" spans="2:12" ht="12.75">
      <c r="B446" s="19"/>
      <c r="C446" s="19"/>
      <c r="D446" s="19"/>
      <c r="E446" s="19"/>
      <c r="F446" s="19"/>
      <c r="G446" s="19"/>
      <c r="H446" s="19"/>
      <c r="I446" s="19"/>
      <c r="J446" s="19"/>
      <c r="K446" s="19"/>
      <c r="L446" s="19"/>
    </row>
    <row r="447" spans="2:12" ht="12.75">
      <c r="B447" s="19"/>
      <c r="C447" s="19"/>
      <c r="D447" s="19"/>
      <c r="E447" s="19"/>
      <c r="F447" s="19"/>
      <c r="G447" s="19"/>
      <c r="H447" s="19"/>
      <c r="I447" s="19"/>
      <c r="J447" s="19"/>
      <c r="K447" s="19"/>
      <c r="L447" s="19"/>
    </row>
    <row r="448" spans="2:12" ht="12.75">
      <c r="B448" s="19"/>
      <c r="C448" s="19"/>
      <c r="D448" s="19"/>
      <c r="E448" s="19"/>
      <c r="F448" s="19"/>
      <c r="G448" s="19"/>
      <c r="H448" s="19"/>
      <c r="I448" s="19"/>
      <c r="J448" s="19"/>
      <c r="K448" s="19"/>
      <c r="L448" s="19"/>
    </row>
    <row r="449" spans="2:12" ht="12.75">
      <c r="B449" s="19"/>
      <c r="C449" s="19"/>
      <c r="D449" s="19"/>
      <c r="E449" s="19"/>
      <c r="F449" s="19"/>
      <c r="G449" s="19"/>
      <c r="H449" s="19"/>
      <c r="I449" s="19"/>
      <c r="J449" s="19"/>
      <c r="K449" s="19"/>
      <c r="L449" s="19"/>
    </row>
    <row r="450" spans="2:12" ht="12.75">
      <c r="B450" s="19"/>
      <c r="C450" s="19"/>
      <c r="D450" s="19"/>
      <c r="E450" s="19"/>
      <c r="F450" s="19"/>
      <c r="G450" s="19"/>
      <c r="H450" s="19"/>
      <c r="I450" s="19"/>
      <c r="J450" s="19"/>
      <c r="K450" s="19"/>
      <c r="L450" s="19"/>
    </row>
    <row r="451" spans="2:12" ht="12.75">
      <c r="B451" s="19"/>
      <c r="C451" s="19"/>
      <c r="D451" s="19"/>
      <c r="E451" s="19"/>
      <c r="F451" s="19"/>
      <c r="G451" s="19"/>
      <c r="H451" s="19"/>
      <c r="I451" s="19"/>
      <c r="J451" s="19"/>
      <c r="K451" s="19"/>
      <c r="L451" s="19"/>
    </row>
    <row r="452" spans="2:12" ht="12.75">
      <c r="B452" s="19"/>
      <c r="C452" s="19"/>
      <c r="D452" s="19"/>
      <c r="E452" s="19"/>
      <c r="F452" s="19"/>
      <c r="G452" s="19"/>
      <c r="H452" s="19"/>
      <c r="I452" s="19"/>
      <c r="J452" s="19"/>
      <c r="K452" s="19"/>
      <c r="L452" s="19"/>
    </row>
    <row r="453" spans="2:12" ht="12.75">
      <c r="B453" s="19"/>
      <c r="C453" s="19"/>
      <c r="D453" s="19"/>
      <c r="E453" s="19"/>
      <c r="F453" s="19"/>
      <c r="G453" s="19"/>
      <c r="H453" s="19"/>
      <c r="I453" s="19"/>
      <c r="J453" s="19"/>
      <c r="K453" s="19"/>
      <c r="L453" s="19"/>
    </row>
    <row r="454" spans="2:12" ht="12.75">
      <c r="B454" s="19"/>
      <c r="C454" s="19"/>
      <c r="D454" s="19"/>
      <c r="E454" s="19"/>
      <c r="F454" s="19"/>
      <c r="G454" s="19"/>
      <c r="H454" s="19"/>
      <c r="I454" s="19"/>
      <c r="J454" s="19"/>
      <c r="K454" s="19"/>
      <c r="L454" s="19"/>
    </row>
    <row r="455" spans="2:12" ht="12.75">
      <c r="B455" s="19"/>
      <c r="C455" s="19"/>
      <c r="D455" s="19"/>
      <c r="E455" s="19"/>
      <c r="F455" s="19"/>
      <c r="G455" s="19"/>
      <c r="H455" s="19"/>
      <c r="I455" s="19"/>
      <c r="J455" s="19"/>
      <c r="K455" s="19"/>
      <c r="L455" s="19"/>
    </row>
    <row r="456" spans="2:12" ht="12.75">
      <c r="B456" s="19"/>
      <c r="C456" s="19"/>
      <c r="D456" s="19"/>
      <c r="E456" s="19"/>
      <c r="F456" s="19"/>
      <c r="G456" s="19"/>
      <c r="H456" s="19"/>
      <c r="I456" s="19"/>
      <c r="J456" s="19"/>
      <c r="K456" s="19"/>
      <c r="L456" s="19"/>
    </row>
    <row r="457" spans="2:12" ht="12.75">
      <c r="B457" s="19"/>
      <c r="C457" s="19"/>
      <c r="D457" s="19"/>
      <c r="E457" s="19"/>
      <c r="F457" s="19"/>
      <c r="G457" s="19"/>
      <c r="H457" s="19"/>
      <c r="I457" s="19"/>
      <c r="J457" s="19"/>
      <c r="K457" s="19"/>
      <c r="L457" s="19"/>
    </row>
    <row r="458" spans="2:12" ht="12.75">
      <c r="B458" s="19"/>
      <c r="C458" s="19"/>
      <c r="D458" s="19"/>
      <c r="E458" s="19"/>
      <c r="F458" s="19"/>
      <c r="G458" s="19"/>
      <c r="H458" s="19"/>
      <c r="I458" s="19"/>
      <c r="J458" s="19"/>
      <c r="K458" s="19"/>
      <c r="L458" s="19"/>
    </row>
    <row r="459" spans="2:12" ht="12.75">
      <c r="B459" s="19"/>
      <c r="C459" s="19"/>
      <c r="D459" s="19"/>
      <c r="E459" s="19"/>
      <c r="F459" s="19"/>
      <c r="G459" s="19"/>
      <c r="H459" s="19"/>
      <c r="I459" s="19"/>
      <c r="J459" s="19"/>
      <c r="K459" s="19"/>
      <c r="L459" s="19"/>
    </row>
    <row r="460" spans="2:12" ht="12.75">
      <c r="B460" s="19"/>
      <c r="C460" s="19"/>
      <c r="D460" s="19"/>
      <c r="E460" s="19"/>
      <c r="F460" s="19"/>
      <c r="G460" s="19"/>
      <c r="H460" s="19"/>
      <c r="I460" s="19"/>
      <c r="J460" s="19"/>
      <c r="K460" s="19"/>
      <c r="L460" s="19"/>
    </row>
    <row r="461" spans="2:12" ht="12.75">
      <c r="B461" s="19"/>
      <c r="C461" s="19"/>
      <c r="D461" s="19"/>
      <c r="E461" s="19"/>
      <c r="F461" s="19"/>
      <c r="G461" s="19"/>
      <c r="H461" s="19"/>
      <c r="I461" s="19"/>
      <c r="J461" s="19"/>
      <c r="K461" s="19"/>
      <c r="L461" s="19"/>
    </row>
    <row r="462" spans="2:12" ht="12.75">
      <c r="B462" s="19"/>
      <c r="C462" s="19"/>
      <c r="D462" s="19"/>
      <c r="E462" s="19"/>
      <c r="F462" s="19"/>
      <c r="G462" s="19"/>
      <c r="H462" s="19"/>
      <c r="I462" s="19"/>
      <c r="J462" s="19"/>
      <c r="K462" s="19"/>
      <c r="L462" s="19"/>
    </row>
    <row r="463" spans="2:12" ht="12.75">
      <c r="B463" s="19"/>
      <c r="C463" s="19"/>
      <c r="D463" s="19"/>
      <c r="E463" s="19"/>
      <c r="F463" s="19"/>
      <c r="G463" s="19"/>
      <c r="H463" s="19"/>
      <c r="I463" s="19"/>
      <c r="J463" s="19"/>
      <c r="K463" s="19"/>
      <c r="L463" s="19"/>
    </row>
    <row r="464" spans="2:12" ht="12.75">
      <c r="B464" s="19"/>
      <c r="C464" s="19"/>
      <c r="D464" s="19"/>
      <c r="E464" s="19"/>
      <c r="F464" s="19"/>
      <c r="G464" s="19"/>
      <c r="H464" s="19"/>
      <c r="I464" s="19"/>
      <c r="J464" s="19"/>
      <c r="K464" s="19"/>
      <c r="L464" s="19"/>
    </row>
    <row r="465" spans="2:12" ht="12.75">
      <c r="B465" s="19"/>
      <c r="C465" s="19"/>
      <c r="D465" s="19"/>
      <c r="E465" s="19"/>
      <c r="F465" s="19"/>
      <c r="G465" s="19"/>
      <c r="H465" s="19"/>
      <c r="I465" s="19"/>
      <c r="J465" s="19"/>
      <c r="K465" s="19"/>
      <c r="L465" s="19"/>
    </row>
    <row r="466" spans="2:12" ht="12.75">
      <c r="B466" s="19"/>
      <c r="C466" s="19"/>
      <c r="D466" s="19"/>
      <c r="E466" s="19"/>
      <c r="F466" s="19"/>
      <c r="G466" s="19"/>
      <c r="H466" s="19"/>
      <c r="I466" s="19"/>
      <c r="J466" s="19"/>
      <c r="K466" s="19"/>
      <c r="L466" s="19"/>
    </row>
    <row r="467" spans="2:12" ht="12.75">
      <c r="B467" s="19"/>
      <c r="C467" s="19"/>
      <c r="D467" s="19"/>
      <c r="E467" s="19"/>
      <c r="F467" s="19"/>
      <c r="G467" s="19"/>
      <c r="H467" s="19"/>
      <c r="I467" s="19"/>
      <c r="J467" s="19"/>
      <c r="K467" s="19"/>
      <c r="L467" s="19"/>
    </row>
    <row r="468" spans="2:12" ht="12.75">
      <c r="B468" s="19"/>
      <c r="C468" s="19"/>
      <c r="D468" s="19"/>
      <c r="E468" s="19"/>
      <c r="F468" s="19"/>
      <c r="G468" s="19"/>
      <c r="H468" s="19"/>
      <c r="I468" s="19"/>
      <c r="J468" s="19"/>
      <c r="K468" s="19"/>
      <c r="L468" s="19"/>
    </row>
    <row r="469" spans="2:12" ht="12.75">
      <c r="B469" s="19"/>
      <c r="C469" s="19"/>
      <c r="D469" s="19"/>
      <c r="E469" s="19"/>
      <c r="F469" s="19"/>
      <c r="G469" s="19"/>
      <c r="H469" s="19"/>
      <c r="I469" s="19"/>
      <c r="J469" s="19"/>
      <c r="K469" s="19"/>
      <c r="L469" s="19"/>
    </row>
    <row r="470" spans="2:12" ht="12.75">
      <c r="B470" s="19"/>
      <c r="C470" s="19"/>
      <c r="D470" s="19"/>
      <c r="E470" s="19"/>
      <c r="F470" s="19"/>
      <c r="G470" s="19"/>
      <c r="H470" s="19"/>
      <c r="I470" s="19"/>
      <c r="J470" s="19"/>
      <c r="K470" s="19"/>
      <c r="L470" s="19"/>
    </row>
    <row r="471" spans="2:12" ht="12.75">
      <c r="B471" s="19"/>
      <c r="C471" s="19"/>
      <c r="D471" s="19"/>
      <c r="E471" s="19"/>
      <c r="F471" s="19"/>
      <c r="G471" s="19"/>
      <c r="H471" s="19"/>
      <c r="I471" s="19"/>
      <c r="J471" s="19"/>
      <c r="K471" s="19"/>
      <c r="L471" s="19"/>
    </row>
    <row r="472" spans="2:12" ht="12.75">
      <c r="B472" s="19"/>
      <c r="C472" s="19"/>
      <c r="D472" s="19"/>
      <c r="E472" s="19"/>
      <c r="F472" s="19"/>
      <c r="G472" s="19"/>
      <c r="H472" s="19"/>
      <c r="I472" s="19"/>
      <c r="J472" s="19"/>
      <c r="K472" s="19"/>
      <c r="L472" s="19"/>
    </row>
    <row r="473" spans="2:12" ht="12.75">
      <c r="B473" s="19"/>
      <c r="C473" s="19"/>
      <c r="D473" s="19"/>
      <c r="E473" s="19"/>
      <c r="F473" s="19"/>
      <c r="G473" s="19"/>
      <c r="H473" s="19"/>
      <c r="I473" s="19"/>
      <c r="J473" s="19"/>
      <c r="K473" s="19"/>
      <c r="L473" s="19"/>
    </row>
    <row r="474" spans="2:12" ht="12.75">
      <c r="B474" s="19"/>
      <c r="C474" s="19"/>
      <c r="D474" s="19"/>
      <c r="E474" s="19"/>
      <c r="F474" s="19"/>
      <c r="G474" s="19"/>
      <c r="H474" s="19"/>
      <c r="I474" s="19"/>
      <c r="J474" s="19"/>
      <c r="K474" s="19"/>
      <c r="L474" s="19"/>
    </row>
    <row r="475" spans="2:12" ht="12.75">
      <c r="B475" s="19"/>
      <c r="C475" s="19"/>
      <c r="D475" s="19"/>
      <c r="E475" s="19"/>
      <c r="F475" s="19"/>
      <c r="G475" s="19"/>
      <c r="H475" s="19"/>
      <c r="I475" s="19"/>
      <c r="J475" s="19"/>
      <c r="K475" s="19"/>
      <c r="L475" s="19"/>
    </row>
    <row r="476" spans="2:12" ht="12.75">
      <c r="B476" s="19"/>
      <c r="C476" s="19"/>
      <c r="D476" s="19"/>
      <c r="E476" s="19"/>
      <c r="F476" s="19"/>
      <c r="G476" s="19"/>
      <c r="H476" s="19"/>
      <c r="I476" s="19"/>
      <c r="J476" s="19"/>
      <c r="K476" s="19"/>
      <c r="L476" s="19"/>
    </row>
    <row r="477" spans="2:12" ht="12.75">
      <c r="B477" s="19"/>
      <c r="C477" s="19"/>
      <c r="D477" s="19"/>
      <c r="E477" s="19"/>
      <c r="F477" s="19"/>
      <c r="G477" s="19"/>
      <c r="H477" s="19"/>
      <c r="I477" s="19"/>
      <c r="J477" s="19"/>
      <c r="K477" s="19"/>
      <c r="L477" s="19"/>
    </row>
    <row r="478" spans="2:12" ht="12.75">
      <c r="B478" s="19"/>
      <c r="C478" s="19"/>
      <c r="D478" s="19"/>
      <c r="E478" s="19"/>
      <c r="F478" s="19"/>
      <c r="G478" s="19"/>
      <c r="H478" s="19"/>
      <c r="I478" s="19"/>
      <c r="J478" s="19"/>
      <c r="K478" s="19"/>
      <c r="L478" s="19"/>
    </row>
    <row r="479" spans="2:12" ht="12.75">
      <c r="B479" s="19"/>
      <c r="C479" s="19"/>
      <c r="D479" s="19"/>
      <c r="E479" s="19"/>
      <c r="F479" s="19"/>
      <c r="G479" s="19"/>
      <c r="H479" s="19"/>
      <c r="I479" s="19"/>
      <c r="J479" s="19"/>
      <c r="K479" s="19"/>
      <c r="L479" s="19"/>
    </row>
    <row r="480" spans="2:12" ht="12.75">
      <c r="B480" s="19"/>
      <c r="C480" s="19"/>
      <c r="D480" s="19"/>
      <c r="E480" s="19"/>
      <c r="F480" s="19"/>
      <c r="G480" s="19"/>
      <c r="H480" s="19"/>
      <c r="I480" s="19"/>
      <c r="J480" s="19"/>
      <c r="K480" s="19"/>
      <c r="L480" s="19"/>
    </row>
    <row r="481" spans="2:12" ht="12.75">
      <c r="B481" s="19"/>
      <c r="C481" s="19"/>
      <c r="D481" s="19"/>
      <c r="E481" s="19"/>
      <c r="F481" s="19"/>
      <c r="G481" s="19"/>
      <c r="H481" s="19"/>
      <c r="I481" s="19"/>
      <c r="J481" s="19"/>
      <c r="K481" s="19"/>
      <c r="L481" s="19"/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L91"/>
  <sheetViews>
    <sheetView workbookViewId="0" topLeftCell="B1">
      <selection activeCell="B5" sqref="B5"/>
    </sheetView>
  </sheetViews>
  <sheetFormatPr defaultColWidth="9.140625" defaultRowHeight="12.75"/>
  <cols>
    <col min="1" max="1" width="2.57421875" style="0" hidden="1" customWidth="1"/>
    <col min="2" max="2" width="24.00390625" style="0" customWidth="1"/>
    <col min="3" max="3" width="64.421875" style="0" customWidth="1"/>
  </cols>
  <sheetData>
    <row r="1" ht="12.75">
      <c r="B1" s="8" t="s">
        <v>234</v>
      </c>
    </row>
    <row r="3" spans="2:12" s="1" customFormat="1" ht="12.75">
      <c r="B3" s="8" t="s">
        <v>203</v>
      </c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2:12" s="1" customFormat="1" ht="12.75"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</row>
    <row r="5" spans="2:12" s="1" customFormat="1" ht="12.75">
      <c r="B5" s="19" t="s">
        <v>236</v>
      </c>
      <c r="C5" s="19" t="s">
        <v>155</v>
      </c>
      <c r="D5" s="19"/>
      <c r="E5" s="19"/>
      <c r="F5" s="19"/>
      <c r="G5" s="19"/>
      <c r="H5" s="19"/>
      <c r="I5" s="19"/>
      <c r="J5" s="19"/>
      <c r="K5" s="19"/>
      <c r="L5" s="19"/>
    </row>
    <row r="6" spans="2:12" s="1" customFormat="1" ht="12.75">
      <c r="B6" s="19" t="s">
        <v>237</v>
      </c>
      <c r="C6" s="19" t="s">
        <v>137</v>
      </c>
      <c r="D6" s="19"/>
      <c r="E6" s="19"/>
      <c r="F6" s="19"/>
      <c r="G6" s="19"/>
      <c r="H6" s="19"/>
      <c r="I6" s="19"/>
      <c r="J6" s="19"/>
      <c r="K6" s="19"/>
      <c r="L6" s="19"/>
    </row>
    <row r="7" spans="2:12" s="1" customFormat="1" ht="12.75">
      <c r="B7" s="19" t="s">
        <v>238</v>
      </c>
      <c r="C7" s="19" t="s">
        <v>136</v>
      </c>
      <c r="D7" s="19"/>
      <c r="E7" s="19"/>
      <c r="F7" s="19"/>
      <c r="G7" s="19"/>
      <c r="H7" s="19"/>
      <c r="I7" s="19"/>
      <c r="J7" s="19"/>
      <c r="K7" s="19"/>
      <c r="L7" s="19"/>
    </row>
    <row r="8" spans="2:12" s="1" customFormat="1" ht="12.75">
      <c r="B8" s="19" t="s">
        <v>239</v>
      </c>
      <c r="C8" s="22">
        <v>34680</v>
      </c>
      <c r="D8" s="19"/>
      <c r="E8" s="19"/>
      <c r="F8" s="19"/>
      <c r="G8" s="19"/>
      <c r="H8" s="19"/>
      <c r="I8" s="19"/>
      <c r="J8" s="19"/>
      <c r="K8" s="19"/>
      <c r="L8" s="19"/>
    </row>
    <row r="9" spans="2:12" s="1" customFormat="1" ht="12.75">
      <c r="B9" s="19" t="s">
        <v>252</v>
      </c>
      <c r="C9" s="78">
        <v>34669</v>
      </c>
      <c r="D9" s="19"/>
      <c r="E9" s="19"/>
      <c r="F9" s="19"/>
      <c r="G9" s="19"/>
      <c r="H9" s="19"/>
      <c r="I9" s="19"/>
      <c r="J9" s="19"/>
      <c r="K9" s="19"/>
      <c r="L9" s="19"/>
    </row>
    <row r="10" spans="2:12" s="1" customFormat="1" ht="12.75">
      <c r="B10" s="19" t="s">
        <v>240</v>
      </c>
      <c r="C10" s="19" t="s">
        <v>152</v>
      </c>
      <c r="D10" s="19"/>
      <c r="E10" s="19"/>
      <c r="F10" s="19"/>
      <c r="G10" s="19"/>
      <c r="H10" s="19"/>
      <c r="I10" s="19"/>
      <c r="J10" s="19"/>
      <c r="K10" s="19"/>
      <c r="L10" s="19"/>
    </row>
    <row r="11" spans="2:12" s="1" customFormat="1" ht="12.75">
      <c r="B11" s="19" t="s">
        <v>241</v>
      </c>
      <c r="C11" s="22" t="s">
        <v>141</v>
      </c>
      <c r="D11" s="19"/>
      <c r="E11" s="19"/>
      <c r="F11" s="19"/>
      <c r="G11" s="19"/>
      <c r="H11" s="19"/>
      <c r="I11" s="19"/>
      <c r="J11" s="19"/>
      <c r="K11" s="19"/>
      <c r="L11" s="19"/>
    </row>
    <row r="12" spans="2:12" s="1" customFormat="1" ht="12.75">
      <c r="B12" s="19"/>
      <c r="C12" s="22"/>
      <c r="D12" s="19"/>
      <c r="E12" s="19"/>
      <c r="F12" s="19"/>
      <c r="G12" s="19"/>
      <c r="H12" s="19"/>
      <c r="I12" s="19"/>
      <c r="J12" s="19"/>
      <c r="K12" s="19"/>
      <c r="L12" s="19"/>
    </row>
    <row r="13" spans="2:12" s="1" customFormat="1" ht="12.75">
      <c r="B13" s="8" t="s">
        <v>202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</row>
    <row r="14" spans="2:12" s="1" customFormat="1" ht="12.75"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</row>
    <row r="15" spans="2:12" s="1" customFormat="1" ht="12.75">
      <c r="B15" s="19" t="s">
        <v>236</v>
      </c>
      <c r="C15" s="19" t="s">
        <v>155</v>
      </c>
      <c r="D15" s="19"/>
      <c r="E15" s="19"/>
      <c r="F15" s="19"/>
      <c r="G15" s="19"/>
      <c r="H15" s="19"/>
      <c r="I15" s="19"/>
      <c r="J15" s="19"/>
      <c r="K15" s="19"/>
      <c r="L15" s="19"/>
    </row>
    <row r="16" spans="2:12" s="1" customFormat="1" ht="12.75">
      <c r="B16" s="19" t="s">
        <v>237</v>
      </c>
      <c r="C16" s="19" t="s">
        <v>137</v>
      </c>
      <c r="D16" s="19"/>
      <c r="E16" s="19"/>
      <c r="F16" s="19"/>
      <c r="G16" s="19"/>
      <c r="H16" s="19"/>
      <c r="I16" s="19"/>
      <c r="J16" s="19"/>
      <c r="K16" s="19"/>
      <c r="L16" s="19"/>
    </row>
    <row r="17" spans="2:12" s="1" customFormat="1" ht="12.75">
      <c r="B17" s="19" t="s">
        <v>238</v>
      </c>
      <c r="C17" s="19" t="s">
        <v>136</v>
      </c>
      <c r="D17" s="19"/>
      <c r="E17" s="19"/>
      <c r="F17" s="19"/>
      <c r="G17" s="19"/>
      <c r="H17" s="19"/>
      <c r="I17" s="19"/>
      <c r="J17" s="19"/>
      <c r="K17" s="19"/>
      <c r="L17" s="19"/>
    </row>
    <row r="18" spans="2:12" s="1" customFormat="1" ht="12.75">
      <c r="B18" s="19" t="s">
        <v>239</v>
      </c>
      <c r="C18" s="22" t="s">
        <v>149</v>
      </c>
      <c r="D18" s="19"/>
      <c r="E18" s="19"/>
      <c r="F18" s="19"/>
      <c r="G18" s="19"/>
      <c r="H18" s="19"/>
      <c r="I18" s="19"/>
      <c r="J18" s="19"/>
      <c r="K18" s="19"/>
      <c r="L18" s="19"/>
    </row>
    <row r="19" spans="2:12" s="1" customFormat="1" ht="12.75">
      <c r="B19" s="19" t="s">
        <v>252</v>
      </c>
      <c r="C19" s="78">
        <v>34669</v>
      </c>
      <c r="D19" s="19"/>
      <c r="E19" s="19"/>
      <c r="F19" s="19"/>
      <c r="G19" s="19"/>
      <c r="H19" s="19"/>
      <c r="I19" s="19"/>
      <c r="J19" s="19"/>
      <c r="K19" s="19"/>
      <c r="L19" s="19"/>
    </row>
    <row r="20" spans="2:12" s="1" customFormat="1" ht="12.75">
      <c r="B20" s="19" t="s">
        <v>240</v>
      </c>
      <c r="C20" s="63" t="s">
        <v>153</v>
      </c>
      <c r="D20" s="19"/>
      <c r="E20" s="19"/>
      <c r="F20" s="19"/>
      <c r="G20" s="19"/>
      <c r="H20" s="19"/>
      <c r="I20" s="19"/>
      <c r="J20" s="19"/>
      <c r="K20" s="19"/>
      <c r="L20" s="19"/>
    </row>
    <row r="21" spans="2:12" s="1" customFormat="1" ht="12.75">
      <c r="B21" s="19" t="s">
        <v>241</v>
      </c>
      <c r="C21" s="22" t="s">
        <v>142</v>
      </c>
      <c r="D21" s="19"/>
      <c r="E21" s="19"/>
      <c r="F21" s="19"/>
      <c r="G21" s="19"/>
      <c r="H21" s="19"/>
      <c r="I21" s="19"/>
      <c r="J21" s="19"/>
      <c r="K21" s="19"/>
      <c r="L21" s="19"/>
    </row>
    <row r="22" spans="2:12" s="1" customFormat="1" ht="12.75">
      <c r="B22" s="19"/>
      <c r="C22" s="22"/>
      <c r="D22" s="19"/>
      <c r="E22" s="19"/>
      <c r="F22" s="19"/>
      <c r="G22" s="19"/>
      <c r="H22" s="19"/>
      <c r="I22" s="19"/>
      <c r="J22" s="19"/>
      <c r="K22" s="19"/>
      <c r="L22" s="19"/>
    </row>
    <row r="23" spans="2:12" s="1" customFormat="1" ht="12.75">
      <c r="B23" s="8" t="s">
        <v>204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</row>
    <row r="24" spans="2:12" s="1" customFormat="1" ht="12.75"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</row>
    <row r="25" spans="2:12" s="1" customFormat="1" ht="12.75">
      <c r="B25" s="19" t="s">
        <v>236</v>
      </c>
      <c r="C25" s="19" t="s">
        <v>155</v>
      </c>
      <c r="D25" s="19"/>
      <c r="E25" s="19"/>
      <c r="F25" s="19"/>
      <c r="G25" s="19"/>
      <c r="H25" s="19"/>
      <c r="I25" s="19"/>
      <c r="J25" s="19"/>
      <c r="K25" s="19"/>
      <c r="L25" s="19"/>
    </row>
    <row r="26" spans="2:12" s="1" customFormat="1" ht="12.75">
      <c r="B26" s="19" t="s">
        <v>237</v>
      </c>
      <c r="C26" s="19" t="s">
        <v>137</v>
      </c>
      <c r="D26" s="19"/>
      <c r="E26" s="19"/>
      <c r="F26" s="19"/>
      <c r="G26" s="19"/>
      <c r="H26" s="19"/>
      <c r="I26" s="19"/>
      <c r="J26" s="19"/>
      <c r="K26" s="19"/>
      <c r="L26" s="19"/>
    </row>
    <row r="27" spans="2:12" s="1" customFormat="1" ht="12.75">
      <c r="B27" s="19" t="s">
        <v>238</v>
      </c>
      <c r="C27" s="19" t="s">
        <v>136</v>
      </c>
      <c r="D27" s="19"/>
      <c r="E27" s="19"/>
      <c r="F27" s="19"/>
      <c r="G27" s="19"/>
      <c r="H27" s="19"/>
      <c r="I27" s="19"/>
      <c r="J27" s="19"/>
      <c r="K27" s="19"/>
      <c r="L27" s="19"/>
    </row>
    <row r="28" spans="2:12" s="1" customFormat="1" ht="12.75">
      <c r="B28" s="19" t="s">
        <v>239</v>
      </c>
      <c r="C28" s="22" t="s">
        <v>150</v>
      </c>
      <c r="D28" s="19"/>
      <c r="E28" s="19"/>
      <c r="F28" s="19"/>
      <c r="G28" s="19"/>
      <c r="H28" s="19"/>
      <c r="I28" s="19"/>
      <c r="J28" s="19"/>
      <c r="K28" s="19"/>
      <c r="L28" s="19"/>
    </row>
    <row r="29" spans="2:12" s="1" customFormat="1" ht="12.75">
      <c r="B29" s="19" t="s">
        <v>252</v>
      </c>
      <c r="C29" s="78">
        <v>34669</v>
      </c>
      <c r="D29" s="19"/>
      <c r="E29" s="19"/>
      <c r="F29" s="19"/>
      <c r="G29" s="19"/>
      <c r="H29" s="19"/>
      <c r="I29" s="19"/>
      <c r="J29" s="19"/>
      <c r="K29" s="19"/>
      <c r="L29" s="19"/>
    </row>
    <row r="30" spans="2:12" s="59" customFormat="1" ht="12.75">
      <c r="B30" s="19" t="s">
        <v>240</v>
      </c>
      <c r="C30" s="58" t="s">
        <v>154</v>
      </c>
      <c r="D30" s="58"/>
      <c r="E30" s="58"/>
      <c r="F30" s="58"/>
      <c r="G30" s="58"/>
      <c r="H30" s="58"/>
      <c r="I30" s="58"/>
      <c r="J30" s="58"/>
      <c r="K30" s="58"/>
      <c r="L30" s="58"/>
    </row>
    <row r="31" spans="2:12" s="1" customFormat="1" ht="12.75">
      <c r="B31" s="19" t="s">
        <v>241</v>
      </c>
      <c r="C31" s="19" t="s">
        <v>141</v>
      </c>
      <c r="D31" s="19"/>
      <c r="E31" s="19"/>
      <c r="F31" s="19"/>
      <c r="G31" s="19"/>
      <c r="H31" s="19"/>
      <c r="I31" s="19"/>
      <c r="J31" s="19"/>
      <c r="K31" s="19"/>
      <c r="L31" s="19"/>
    </row>
    <row r="32" spans="2:12" s="1" customFormat="1" ht="12.75"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</row>
    <row r="33" spans="2:12" s="1" customFormat="1" ht="12.75">
      <c r="B33" s="8" t="s">
        <v>205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</row>
    <row r="34" spans="2:12" s="1" customFormat="1" ht="12.75"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</row>
    <row r="35" spans="2:12" s="1" customFormat="1" ht="12.75">
      <c r="B35" s="19" t="s">
        <v>236</v>
      </c>
      <c r="C35" s="19" t="s">
        <v>155</v>
      </c>
      <c r="D35" s="19"/>
      <c r="E35" s="19"/>
      <c r="F35" s="19"/>
      <c r="G35" s="19"/>
      <c r="H35" s="19"/>
      <c r="I35" s="19"/>
      <c r="J35" s="19"/>
      <c r="K35" s="19"/>
      <c r="L35" s="19"/>
    </row>
    <row r="36" spans="2:12" s="1" customFormat="1" ht="12.75">
      <c r="B36" s="19" t="s">
        <v>237</v>
      </c>
      <c r="C36" s="19" t="s">
        <v>137</v>
      </c>
      <c r="D36" s="19"/>
      <c r="E36" s="19"/>
      <c r="F36" s="19"/>
      <c r="G36" s="19"/>
      <c r="H36" s="19"/>
      <c r="I36" s="19"/>
      <c r="J36" s="19"/>
      <c r="K36" s="19"/>
      <c r="L36" s="19"/>
    </row>
    <row r="37" spans="2:12" s="1" customFormat="1" ht="12.75">
      <c r="B37" s="19" t="s">
        <v>238</v>
      </c>
      <c r="C37" s="19" t="s">
        <v>136</v>
      </c>
      <c r="D37" s="19"/>
      <c r="E37" s="19"/>
      <c r="F37" s="19"/>
      <c r="G37" s="19"/>
      <c r="H37" s="19"/>
      <c r="I37" s="19"/>
      <c r="J37" s="19"/>
      <c r="K37" s="19"/>
      <c r="L37" s="19"/>
    </row>
    <row r="38" spans="2:12" s="1" customFormat="1" ht="12.75">
      <c r="B38" s="19" t="s">
        <v>239</v>
      </c>
      <c r="C38" s="22" t="s">
        <v>139</v>
      </c>
      <c r="D38" s="19"/>
      <c r="E38" s="19"/>
      <c r="F38" s="19"/>
      <c r="G38" s="19"/>
      <c r="H38" s="19"/>
      <c r="I38" s="19"/>
      <c r="J38" s="19"/>
      <c r="K38" s="19"/>
      <c r="L38" s="19"/>
    </row>
    <row r="39" spans="2:12" s="1" customFormat="1" ht="12.75">
      <c r="B39" s="19" t="s">
        <v>252</v>
      </c>
      <c r="C39" s="78">
        <v>34669</v>
      </c>
      <c r="D39" s="19"/>
      <c r="E39" s="19"/>
      <c r="F39" s="19"/>
      <c r="G39" s="19"/>
      <c r="H39" s="19"/>
      <c r="I39" s="19"/>
      <c r="J39" s="19"/>
      <c r="K39" s="19"/>
      <c r="L39" s="19"/>
    </row>
    <row r="40" spans="2:12" s="1" customFormat="1" ht="12.75">
      <c r="B40" s="19" t="s">
        <v>240</v>
      </c>
      <c r="C40" s="63" t="s">
        <v>138</v>
      </c>
      <c r="D40" s="19"/>
      <c r="E40" s="19"/>
      <c r="F40" s="19"/>
      <c r="G40" s="19"/>
      <c r="H40" s="19"/>
      <c r="I40" s="19"/>
      <c r="J40" s="19"/>
      <c r="K40" s="19"/>
      <c r="L40" s="19"/>
    </row>
    <row r="41" spans="2:12" s="1" customFormat="1" ht="12.75">
      <c r="B41" s="19" t="s">
        <v>241</v>
      </c>
      <c r="C41" s="19" t="s">
        <v>140</v>
      </c>
      <c r="D41" s="19"/>
      <c r="E41" s="19"/>
      <c r="F41" s="19"/>
      <c r="G41" s="19"/>
      <c r="H41" s="19"/>
      <c r="I41" s="19"/>
      <c r="J41" s="19"/>
      <c r="K41" s="19"/>
      <c r="L41" s="19"/>
    </row>
    <row r="42" spans="2:12" s="1" customFormat="1" ht="12.75"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</row>
    <row r="43" spans="2:12" s="1" customFormat="1" ht="12.75">
      <c r="B43" s="8" t="s">
        <v>206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</row>
    <row r="44" spans="2:12" s="1" customFormat="1" ht="12.75"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</row>
    <row r="45" spans="2:12" s="59" customFormat="1" ht="25.5">
      <c r="B45" s="68" t="s">
        <v>236</v>
      </c>
      <c r="C45" s="58" t="s">
        <v>219</v>
      </c>
      <c r="D45" s="58"/>
      <c r="E45" s="58"/>
      <c r="F45" s="58"/>
      <c r="G45" s="58"/>
      <c r="H45" s="58"/>
      <c r="I45" s="58"/>
      <c r="J45" s="58"/>
      <c r="K45" s="58"/>
      <c r="L45" s="58"/>
    </row>
    <row r="46" spans="2:12" s="1" customFormat="1" ht="12.75">
      <c r="B46" s="19" t="s">
        <v>237</v>
      </c>
      <c r="C46" s="19" t="s">
        <v>208</v>
      </c>
      <c r="D46" s="19"/>
      <c r="E46" s="19"/>
      <c r="F46" s="19"/>
      <c r="G46" s="19"/>
      <c r="H46" s="19"/>
      <c r="I46" s="19"/>
      <c r="J46" s="19"/>
      <c r="K46" s="19"/>
      <c r="L46" s="19"/>
    </row>
    <row r="47" spans="2:12" s="1" customFormat="1" ht="12.75">
      <c r="B47" s="19" t="s">
        <v>238</v>
      </c>
      <c r="C47" s="19" t="s">
        <v>136</v>
      </c>
      <c r="D47" s="19"/>
      <c r="E47" s="19"/>
      <c r="F47" s="19"/>
      <c r="G47" s="19"/>
      <c r="H47" s="19"/>
      <c r="I47" s="19"/>
      <c r="J47" s="19"/>
      <c r="K47" s="19"/>
      <c r="L47" s="19"/>
    </row>
    <row r="48" spans="2:12" s="1" customFormat="1" ht="12.75">
      <c r="B48" s="19" t="s">
        <v>239</v>
      </c>
      <c r="C48" s="22" t="s">
        <v>156</v>
      </c>
      <c r="D48" s="19"/>
      <c r="E48" s="19"/>
      <c r="F48" s="19"/>
      <c r="G48" s="19"/>
      <c r="H48" s="19"/>
      <c r="I48" s="19"/>
      <c r="J48" s="19"/>
      <c r="K48" s="19"/>
      <c r="L48" s="19"/>
    </row>
    <row r="49" spans="2:12" s="1" customFormat="1" ht="12.75">
      <c r="B49" s="19" t="s">
        <v>252</v>
      </c>
      <c r="C49" s="78">
        <v>35004</v>
      </c>
      <c r="D49" s="19"/>
      <c r="E49" s="19"/>
      <c r="F49" s="19"/>
      <c r="G49" s="19"/>
      <c r="H49" s="19"/>
      <c r="I49" s="19"/>
      <c r="J49" s="19"/>
      <c r="K49" s="19"/>
      <c r="L49" s="19"/>
    </row>
    <row r="50" spans="2:12" s="1" customFormat="1" ht="12.75">
      <c r="B50" s="19" t="s">
        <v>240</v>
      </c>
      <c r="C50" s="63" t="s">
        <v>177</v>
      </c>
      <c r="D50" s="19"/>
      <c r="E50" s="19"/>
      <c r="F50" s="19"/>
      <c r="G50" s="19"/>
      <c r="H50" s="19"/>
      <c r="I50" s="19"/>
      <c r="J50" s="19"/>
      <c r="K50" s="19"/>
      <c r="L50" s="19"/>
    </row>
    <row r="51" spans="2:12" s="1" customFormat="1" ht="12.75">
      <c r="B51" s="19" t="s">
        <v>241</v>
      </c>
      <c r="C51" s="19" t="s">
        <v>227</v>
      </c>
      <c r="D51" s="19"/>
      <c r="E51" s="19"/>
      <c r="F51" s="19"/>
      <c r="G51" s="19"/>
      <c r="H51" s="19"/>
      <c r="I51" s="19"/>
      <c r="J51" s="19"/>
      <c r="K51" s="19"/>
      <c r="L51" s="19"/>
    </row>
    <row r="52" spans="2:12" s="1" customFormat="1" ht="12.75"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</row>
    <row r="53" spans="2:12" s="1" customFormat="1" ht="12.75">
      <c r="B53" s="8" t="s">
        <v>207</v>
      </c>
      <c r="C53" s="19"/>
      <c r="D53" s="19"/>
      <c r="E53" s="19"/>
      <c r="F53" s="19"/>
      <c r="G53" s="19"/>
      <c r="H53" s="19"/>
      <c r="I53" s="19"/>
      <c r="J53" s="19"/>
      <c r="K53" s="19"/>
      <c r="L53" s="19"/>
    </row>
    <row r="54" spans="2:12" s="1" customFormat="1" ht="12.75"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</row>
    <row r="55" spans="2:12" s="59" customFormat="1" ht="25.5">
      <c r="B55" s="68" t="s">
        <v>236</v>
      </c>
      <c r="C55" s="58" t="s">
        <v>209</v>
      </c>
      <c r="D55" s="58"/>
      <c r="E55" s="58"/>
      <c r="F55" s="58"/>
      <c r="G55" s="58"/>
      <c r="H55" s="58"/>
      <c r="I55" s="58"/>
      <c r="J55" s="58"/>
      <c r="K55" s="58"/>
      <c r="L55" s="58"/>
    </row>
    <row r="56" spans="2:12" s="1" customFormat="1" ht="12.75">
      <c r="B56" s="19" t="s">
        <v>237</v>
      </c>
      <c r="C56" s="19" t="s">
        <v>208</v>
      </c>
      <c r="D56" s="19"/>
      <c r="E56" s="19"/>
      <c r="F56" s="19"/>
      <c r="G56" s="19"/>
      <c r="H56" s="19"/>
      <c r="I56" s="19"/>
      <c r="J56" s="19"/>
      <c r="K56" s="19"/>
      <c r="L56" s="19"/>
    </row>
    <row r="57" spans="2:12" s="1" customFormat="1" ht="12.75">
      <c r="B57" s="19" t="s">
        <v>238</v>
      </c>
      <c r="C57" s="19" t="s">
        <v>213</v>
      </c>
      <c r="D57" s="19"/>
      <c r="E57" s="19"/>
      <c r="F57" s="19"/>
      <c r="G57" s="19"/>
      <c r="H57" s="19"/>
      <c r="I57" s="19"/>
      <c r="J57" s="19"/>
      <c r="K57" s="19"/>
      <c r="L57" s="19"/>
    </row>
    <row r="58" spans="2:12" s="1" customFormat="1" ht="12.75">
      <c r="B58" s="19" t="s">
        <v>239</v>
      </c>
      <c r="C58" s="22" t="s">
        <v>211</v>
      </c>
      <c r="D58" s="19"/>
      <c r="E58" s="19"/>
      <c r="F58" s="19"/>
      <c r="G58" s="19"/>
      <c r="H58" s="19"/>
      <c r="I58" s="19"/>
      <c r="J58" s="19"/>
      <c r="K58" s="19"/>
      <c r="L58" s="19"/>
    </row>
    <row r="59" spans="2:12" s="1" customFormat="1" ht="12.75">
      <c r="B59" s="19" t="s">
        <v>252</v>
      </c>
      <c r="C59" s="78">
        <v>35309</v>
      </c>
      <c r="D59" s="19"/>
      <c r="E59" s="19"/>
      <c r="F59" s="19"/>
      <c r="G59" s="19"/>
      <c r="H59" s="19"/>
      <c r="I59" s="19"/>
      <c r="J59" s="19"/>
      <c r="K59" s="19"/>
      <c r="L59" s="19"/>
    </row>
    <row r="60" spans="2:12" s="1" customFormat="1" ht="12.75">
      <c r="B60" s="19" t="s">
        <v>240</v>
      </c>
      <c r="C60" s="63" t="s">
        <v>177</v>
      </c>
      <c r="D60" s="19"/>
      <c r="E60" s="19"/>
      <c r="F60" s="19"/>
      <c r="G60" s="19"/>
      <c r="H60" s="19"/>
      <c r="I60" s="19"/>
      <c r="J60" s="19"/>
      <c r="K60" s="19"/>
      <c r="L60" s="19"/>
    </row>
    <row r="61" spans="2:12" s="1" customFormat="1" ht="12.75">
      <c r="B61" s="19" t="s">
        <v>241</v>
      </c>
      <c r="C61" s="19" t="s">
        <v>228</v>
      </c>
      <c r="D61" s="19"/>
      <c r="E61" s="19"/>
      <c r="F61" s="19"/>
      <c r="G61" s="19"/>
      <c r="H61" s="19"/>
      <c r="I61" s="19"/>
      <c r="J61" s="19"/>
      <c r="K61" s="19"/>
      <c r="L61" s="19"/>
    </row>
    <row r="62" spans="2:12" s="1" customFormat="1" ht="12.75"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</row>
    <row r="63" spans="2:12" s="1" customFormat="1" ht="12.75">
      <c r="B63" s="8" t="s">
        <v>188</v>
      </c>
      <c r="C63" s="19"/>
      <c r="D63" s="19"/>
      <c r="E63" s="19"/>
      <c r="F63" s="19"/>
      <c r="G63" s="19"/>
      <c r="H63" s="19"/>
      <c r="I63" s="19"/>
      <c r="J63" s="19"/>
      <c r="K63" s="19"/>
      <c r="L63" s="19"/>
    </row>
    <row r="64" spans="2:12" s="1" customFormat="1" ht="12.75"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</row>
    <row r="65" spans="2:12" s="59" customFormat="1" ht="38.25">
      <c r="B65" s="68" t="s">
        <v>236</v>
      </c>
      <c r="C65" s="58" t="s">
        <v>186</v>
      </c>
      <c r="D65" s="58"/>
      <c r="E65" s="58"/>
      <c r="F65" s="58"/>
      <c r="G65" s="58"/>
      <c r="H65" s="58"/>
      <c r="I65" s="58"/>
      <c r="J65" s="58"/>
      <c r="K65" s="58"/>
      <c r="L65" s="58"/>
    </row>
    <row r="66" spans="2:12" s="1" customFormat="1" ht="12.75">
      <c r="B66" s="19" t="s">
        <v>237</v>
      </c>
      <c r="C66" s="19" t="s">
        <v>187</v>
      </c>
      <c r="D66" s="19"/>
      <c r="E66" s="19"/>
      <c r="F66" s="19"/>
      <c r="G66" s="19"/>
      <c r="H66" s="19"/>
      <c r="I66" s="19"/>
      <c r="J66" s="19"/>
      <c r="K66" s="19"/>
      <c r="L66" s="19"/>
    </row>
    <row r="67" spans="2:12" s="1" customFormat="1" ht="12.75">
      <c r="B67" s="19" t="s">
        <v>238</v>
      </c>
      <c r="C67" s="19" t="s">
        <v>187</v>
      </c>
      <c r="D67" s="19"/>
      <c r="E67" s="19"/>
      <c r="F67" s="19"/>
      <c r="G67" s="19"/>
      <c r="H67" s="19"/>
      <c r="I67" s="19"/>
      <c r="J67" s="19"/>
      <c r="K67" s="19"/>
      <c r="L67" s="19"/>
    </row>
    <row r="68" spans="2:12" s="1" customFormat="1" ht="12.75">
      <c r="B68" s="19" t="s">
        <v>239</v>
      </c>
      <c r="C68" s="22" t="s">
        <v>163</v>
      </c>
      <c r="D68" s="19"/>
      <c r="E68" s="19"/>
      <c r="F68" s="19"/>
      <c r="G68" s="19"/>
      <c r="H68" s="19"/>
      <c r="I68" s="19"/>
      <c r="J68" s="19"/>
      <c r="K68" s="19"/>
      <c r="L68" s="19"/>
    </row>
    <row r="69" spans="2:12" s="1" customFormat="1" ht="12.75">
      <c r="B69" s="19" t="s">
        <v>252</v>
      </c>
      <c r="C69" s="78">
        <v>35674</v>
      </c>
      <c r="D69" s="19"/>
      <c r="E69" s="19"/>
      <c r="F69" s="19"/>
      <c r="G69" s="19"/>
      <c r="H69" s="19"/>
      <c r="I69" s="19"/>
      <c r="J69" s="19"/>
      <c r="K69" s="19"/>
      <c r="L69" s="19"/>
    </row>
    <row r="70" spans="2:12" s="1" customFormat="1" ht="12.75">
      <c r="B70" s="19" t="s">
        <v>240</v>
      </c>
      <c r="C70" s="63" t="s">
        <v>177</v>
      </c>
      <c r="D70" s="19"/>
      <c r="E70" s="19"/>
      <c r="F70" s="19"/>
      <c r="G70" s="19"/>
      <c r="H70" s="19"/>
      <c r="I70" s="19"/>
      <c r="J70" s="19"/>
      <c r="K70" s="19"/>
      <c r="L70" s="19"/>
    </row>
    <row r="71" spans="2:12" s="1" customFormat="1" ht="12.75">
      <c r="B71" s="19" t="s">
        <v>241</v>
      </c>
      <c r="C71" s="19" t="s">
        <v>229</v>
      </c>
      <c r="D71" s="19"/>
      <c r="E71" s="19"/>
      <c r="F71" s="19"/>
      <c r="G71" s="19"/>
      <c r="H71" s="19"/>
      <c r="I71" s="19"/>
      <c r="J71" s="19"/>
      <c r="K71" s="19"/>
      <c r="L71" s="19"/>
    </row>
    <row r="72" spans="2:12" s="1" customFormat="1" ht="12.75"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</row>
    <row r="73" spans="2:12" s="1" customFormat="1" ht="12.75">
      <c r="B73" s="8" t="s">
        <v>185</v>
      </c>
      <c r="C73" s="19"/>
      <c r="D73" s="19"/>
      <c r="E73" s="19"/>
      <c r="F73" s="19"/>
      <c r="G73" s="19"/>
      <c r="H73" s="19"/>
      <c r="I73" s="19"/>
      <c r="J73" s="19"/>
      <c r="K73" s="19"/>
      <c r="L73" s="19"/>
    </row>
    <row r="74" spans="2:12" s="1" customFormat="1" ht="12.75"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</row>
    <row r="75" spans="2:12" s="76" customFormat="1" ht="25.5">
      <c r="B75" s="68" t="s">
        <v>236</v>
      </c>
      <c r="C75" s="75" t="s">
        <v>176</v>
      </c>
      <c r="D75" s="68"/>
      <c r="E75" s="68"/>
      <c r="F75" s="68"/>
      <c r="G75" s="68"/>
      <c r="H75" s="68"/>
      <c r="I75" s="68"/>
      <c r="J75" s="68"/>
      <c r="K75" s="68"/>
      <c r="L75" s="68"/>
    </row>
    <row r="76" spans="2:12" s="1" customFormat="1" ht="12.75">
      <c r="B76" s="19" t="s">
        <v>237</v>
      </c>
      <c r="C76" s="19" t="s">
        <v>174</v>
      </c>
      <c r="D76" s="19"/>
      <c r="E76" s="19"/>
      <c r="F76" s="19"/>
      <c r="G76" s="19"/>
      <c r="H76" s="19"/>
      <c r="I76" s="19"/>
      <c r="J76" s="19"/>
      <c r="K76" s="19"/>
      <c r="L76" s="19"/>
    </row>
    <row r="77" spans="2:12" s="1" customFormat="1" ht="12.75">
      <c r="B77" s="19" t="s">
        <v>238</v>
      </c>
      <c r="C77" s="19" t="s">
        <v>174</v>
      </c>
      <c r="D77" s="19"/>
      <c r="E77" s="19"/>
      <c r="F77" s="19"/>
      <c r="G77" s="19"/>
      <c r="H77" s="19"/>
      <c r="I77" s="19"/>
      <c r="J77" s="19"/>
      <c r="K77" s="19"/>
      <c r="L77" s="19"/>
    </row>
    <row r="78" spans="2:12" s="1" customFormat="1" ht="12.75">
      <c r="B78" s="19" t="s">
        <v>239</v>
      </c>
      <c r="C78" s="22" t="s">
        <v>175</v>
      </c>
      <c r="D78" s="19"/>
      <c r="E78" s="19"/>
      <c r="F78" s="19"/>
      <c r="G78" s="19"/>
      <c r="H78" s="19"/>
      <c r="I78" s="19"/>
      <c r="J78" s="19"/>
      <c r="K78" s="19"/>
      <c r="L78" s="19"/>
    </row>
    <row r="79" spans="2:12" s="1" customFormat="1" ht="12.75">
      <c r="B79" s="19" t="s">
        <v>252</v>
      </c>
      <c r="C79" s="78">
        <v>36465</v>
      </c>
      <c r="D79" s="19"/>
      <c r="E79" s="19"/>
      <c r="F79" s="19"/>
      <c r="G79" s="19"/>
      <c r="H79" s="19"/>
      <c r="I79" s="19"/>
      <c r="J79" s="19"/>
      <c r="K79" s="19"/>
      <c r="L79" s="19"/>
    </row>
    <row r="80" spans="2:12" s="1" customFormat="1" ht="12.75">
      <c r="B80" s="19" t="s">
        <v>240</v>
      </c>
      <c r="C80" s="63" t="s">
        <v>177</v>
      </c>
      <c r="D80" s="19"/>
      <c r="E80" s="19"/>
      <c r="F80" s="19"/>
      <c r="G80" s="19"/>
      <c r="H80" s="19"/>
      <c r="I80" s="19"/>
      <c r="J80" s="19"/>
      <c r="K80" s="19"/>
      <c r="L80" s="19"/>
    </row>
    <row r="81" spans="2:12" s="1" customFormat="1" ht="12.75">
      <c r="B81" s="19" t="s">
        <v>241</v>
      </c>
      <c r="C81" s="19" t="s">
        <v>178</v>
      </c>
      <c r="D81" s="19"/>
      <c r="E81" s="19"/>
      <c r="F81" s="19"/>
      <c r="G81" s="19"/>
      <c r="H81" s="19"/>
      <c r="I81" s="19"/>
      <c r="J81" s="19"/>
      <c r="K81" s="19"/>
      <c r="L81" s="19"/>
    </row>
    <row r="82" spans="2:12" s="1" customFormat="1" ht="12.75"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</row>
    <row r="83" spans="2:12" s="1" customFormat="1" ht="12.75">
      <c r="B83" s="8" t="s">
        <v>199</v>
      </c>
      <c r="C83" s="19"/>
      <c r="D83" s="19"/>
      <c r="E83" s="19"/>
      <c r="F83" s="19"/>
      <c r="G83" s="19"/>
      <c r="H83" s="19"/>
      <c r="I83" s="19"/>
      <c r="J83" s="19"/>
      <c r="K83" s="19"/>
      <c r="L83" s="19"/>
    </row>
    <row r="84" spans="2:12" s="1" customFormat="1" ht="12.75"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</row>
    <row r="85" spans="2:12" s="76" customFormat="1" ht="38.25">
      <c r="B85" s="68" t="s">
        <v>236</v>
      </c>
      <c r="C85" s="75" t="s">
        <v>191</v>
      </c>
      <c r="D85" s="68"/>
      <c r="E85" s="68"/>
      <c r="F85" s="68"/>
      <c r="G85" s="68"/>
      <c r="H85" s="68"/>
      <c r="I85" s="68"/>
      <c r="J85" s="68"/>
      <c r="K85" s="68"/>
      <c r="L85" s="68"/>
    </row>
    <row r="86" spans="2:12" s="1" customFormat="1" ht="12.75">
      <c r="B86" s="19" t="s">
        <v>237</v>
      </c>
      <c r="C86" s="19" t="s">
        <v>174</v>
      </c>
      <c r="D86" s="19"/>
      <c r="E86" s="19"/>
      <c r="F86" s="19"/>
      <c r="G86" s="19"/>
      <c r="H86" s="19"/>
      <c r="I86" s="19"/>
      <c r="J86" s="19"/>
      <c r="K86" s="19"/>
      <c r="L86" s="19"/>
    </row>
    <row r="87" spans="2:12" s="1" customFormat="1" ht="12.75">
      <c r="B87" s="19" t="s">
        <v>238</v>
      </c>
      <c r="C87" s="19" t="s">
        <v>174</v>
      </c>
      <c r="D87" s="19"/>
      <c r="E87" s="19"/>
      <c r="F87" s="19"/>
      <c r="G87" s="19"/>
      <c r="H87" s="19"/>
      <c r="I87" s="19"/>
      <c r="J87" s="19"/>
      <c r="K87" s="19"/>
      <c r="L87" s="19"/>
    </row>
    <row r="88" spans="2:12" s="1" customFormat="1" ht="12.75">
      <c r="B88" s="19" t="s">
        <v>239</v>
      </c>
      <c r="C88" s="22" t="s">
        <v>193</v>
      </c>
      <c r="D88" s="19"/>
      <c r="E88" s="19"/>
      <c r="F88" s="19"/>
      <c r="G88" s="19"/>
      <c r="H88" s="19"/>
      <c r="I88" s="19"/>
      <c r="J88" s="19"/>
      <c r="K88" s="19"/>
      <c r="L88" s="19"/>
    </row>
    <row r="89" spans="2:12" s="1" customFormat="1" ht="12.75">
      <c r="B89" s="19" t="s">
        <v>252</v>
      </c>
      <c r="C89" s="78">
        <v>36831</v>
      </c>
      <c r="D89" s="19"/>
      <c r="E89" s="19"/>
      <c r="F89" s="19"/>
      <c r="G89" s="19"/>
      <c r="H89" s="19"/>
      <c r="I89" s="19"/>
      <c r="J89" s="19"/>
      <c r="K89" s="19"/>
      <c r="L89" s="19"/>
    </row>
    <row r="90" spans="2:12" s="1" customFormat="1" ht="12.75">
      <c r="B90" s="19" t="s">
        <v>240</v>
      </c>
      <c r="C90" s="63" t="s">
        <v>192</v>
      </c>
      <c r="D90" s="19"/>
      <c r="E90" s="19"/>
      <c r="F90" s="19"/>
      <c r="G90" s="19"/>
      <c r="H90" s="19"/>
      <c r="I90" s="19"/>
      <c r="J90" s="19"/>
      <c r="K90" s="19"/>
      <c r="L90" s="19"/>
    </row>
    <row r="91" spans="2:12" s="1" customFormat="1" ht="12.75">
      <c r="B91" s="19" t="s">
        <v>241</v>
      </c>
      <c r="C91" s="19" t="s">
        <v>194</v>
      </c>
      <c r="D91" s="19"/>
      <c r="E91" s="19"/>
      <c r="F91" s="19"/>
      <c r="G91" s="19"/>
      <c r="H91" s="19"/>
      <c r="I91" s="19"/>
      <c r="J91" s="19"/>
      <c r="K91" s="19"/>
      <c r="L91" s="19"/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512"/>
  <sheetViews>
    <sheetView tabSelected="1" workbookViewId="0" topLeftCell="B410">
      <selection activeCell="Q429" sqref="Q429"/>
    </sheetView>
  </sheetViews>
  <sheetFormatPr defaultColWidth="9.140625" defaultRowHeight="12.75"/>
  <cols>
    <col min="1" max="1" width="6.00390625" style="24" hidden="1" customWidth="1"/>
    <col min="2" max="2" width="21.140625" style="24" customWidth="1"/>
    <col min="3" max="3" width="6.57421875" style="24" customWidth="1"/>
    <col min="4" max="4" width="8.8515625" style="9" customWidth="1"/>
    <col min="5" max="5" width="6.140625" style="9" customWidth="1"/>
    <col min="6" max="6" width="3.140625" style="9" customWidth="1"/>
    <col min="7" max="7" width="10.00390625" style="24" customWidth="1"/>
    <col min="8" max="8" width="2.7109375" style="24" customWidth="1"/>
    <col min="9" max="9" width="9.7109375" style="25" customWidth="1"/>
    <col min="10" max="10" width="2.8515625" style="24" customWidth="1"/>
    <col min="11" max="11" width="12.28125" style="24" customWidth="1"/>
    <col min="12" max="12" width="4.00390625" style="24" customWidth="1"/>
    <col min="13" max="13" width="10.28125" style="24" customWidth="1"/>
    <col min="14" max="14" width="2.140625" style="24" customWidth="1"/>
    <col min="15" max="16384" width="8.8515625" style="24" customWidth="1"/>
  </cols>
  <sheetData>
    <row r="1" spans="2:3" ht="12.75">
      <c r="B1" s="23" t="s">
        <v>242</v>
      </c>
      <c r="C1" s="23"/>
    </row>
    <row r="2" spans="2:12" ht="12.75">
      <c r="B2" s="26"/>
      <c r="C2" s="26"/>
      <c r="G2" s="26"/>
      <c r="H2" s="26"/>
      <c r="I2" s="27"/>
      <c r="J2" s="26"/>
      <c r="K2" s="26"/>
      <c r="L2" s="26"/>
    </row>
    <row r="3" spans="2:5" ht="12.75">
      <c r="B3" s="19"/>
      <c r="C3" s="19" t="s">
        <v>102</v>
      </c>
      <c r="D3" s="9" t="s">
        <v>12</v>
      </c>
      <c r="E3" s="9" t="s">
        <v>74</v>
      </c>
    </row>
    <row r="4" spans="2:12" ht="12.75">
      <c r="B4" s="19"/>
      <c r="C4" s="19"/>
      <c r="G4" s="26"/>
      <c r="H4" s="26"/>
      <c r="I4" s="27"/>
      <c r="J4" s="26"/>
      <c r="K4" s="26"/>
      <c r="L4" s="26"/>
    </row>
    <row r="5" spans="2:12" ht="12.75">
      <c r="B5" s="19"/>
      <c r="C5" s="19"/>
      <c r="G5" s="26"/>
      <c r="H5" s="26"/>
      <c r="I5" s="27"/>
      <c r="J5" s="26"/>
      <c r="K5" s="26"/>
      <c r="L5" s="26"/>
    </row>
    <row r="6" spans="1:13" ht="12.75">
      <c r="A6" s="24">
        <v>10</v>
      </c>
      <c r="B6" s="28" t="s">
        <v>203</v>
      </c>
      <c r="C6" s="28" t="s">
        <v>182</v>
      </c>
      <c r="G6" s="26" t="s">
        <v>220</v>
      </c>
      <c r="H6" s="26"/>
      <c r="I6" s="27" t="s">
        <v>221</v>
      </c>
      <c r="J6" s="26"/>
      <c r="K6" s="26" t="s">
        <v>222</v>
      </c>
      <c r="L6" s="26"/>
      <c r="M6" s="26" t="s">
        <v>223</v>
      </c>
    </row>
    <row r="7" spans="2:12" ht="12.75">
      <c r="B7" s="9"/>
      <c r="C7" s="9"/>
      <c r="D7" s="19"/>
      <c r="E7" s="19"/>
      <c r="F7" s="19"/>
      <c r="G7" s="19"/>
      <c r="H7" s="19"/>
      <c r="I7" s="29"/>
      <c r="J7" s="19"/>
      <c r="K7" s="19"/>
      <c r="L7" s="26"/>
    </row>
    <row r="8" spans="2:13" ht="12.75">
      <c r="B8" s="9" t="s">
        <v>13</v>
      </c>
      <c r="C8" s="9" t="s">
        <v>245</v>
      </c>
      <c r="D8" s="9" t="s">
        <v>14</v>
      </c>
      <c r="E8" s="9" t="s">
        <v>15</v>
      </c>
      <c r="G8" s="19">
        <v>0.0036</v>
      </c>
      <c r="H8" s="19"/>
      <c r="I8" s="29">
        <v>0.0014</v>
      </c>
      <c r="J8" s="19"/>
      <c r="K8" s="19">
        <v>0.0032</v>
      </c>
      <c r="L8" s="26"/>
      <c r="M8" s="30">
        <f>AVERAGE(K8,I8,G8)</f>
        <v>0.002733333333333333</v>
      </c>
    </row>
    <row r="9" spans="2:13" ht="12.75">
      <c r="B9" s="9" t="s">
        <v>127</v>
      </c>
      <c r="C9" s="9" t="s">
        <v>245</v>
      </c>
      <c r="D9" s="9" t="s">
        <v>16</v>
      </c>
      <c r="E9" s="9" t="s">
        <v>15</v>
      </c>
      <c r="G9" s="32"/>
      <c r="H9" s="32"/>
      <c r="I9" s="33"/>
      <c r="J9" s="32"/>
      <c r="K9" s="32"/>
      <c r="L9" s="26"/>
      <c r="M9" s="31">
        <v>55.6</v>
      </c>
    </row>
    <row r="10" spans="2:13" ht="12.75">
      <c r="B10" s="9" t="s">
        <v>130</v>
      </c>
      <c r="C10" s="9" t="s">
        <v>245</v>
      </c>
      <c r="D10" s="9" t="s">
        <v>16</v>
      </c>
      <c r="E10" s="9" t="s">
        <v>15</v>
      </c>
      <c r="G10" s="32"/>
      <c r="H10" s="32"/>
      <c r="I10" s="33"/>
      <c r="J10" s="32"/>
      <c r="K10" s="32"/>
      <c r="L10" s="26"/>
      <c r="M10" s="31">
        <v>2.2</v>
      </c>
    </row>
    <row r="11" spans="2:13" ht="12.75">
      <c r="B11" s="9" t="s">
        <v>122</v>
      </c>
      <c r="C11" s="9" t="s">
        <v>246</v>
      </c>
      <c r="D11" s="9" t="s">
        <v>16</v>
      </c>
      <c r="E11" s="9" t="s">
        <v>15</v>
      </c>
      <c r="G11" s="32"/>
      <c r="H11" s="32"/>
      <c r="I11" s="33"/>
      <c r="J11" s="32"/>
      <c r="K11" s="32"/>
      <c r="L11" s="26"/>
      <c r="M11" s="34">
        <v>288</v>
      </c>
    </row>
    <row r="12" spans="2:13" ht="12.75">
      <c r="B12" s="9" t="s">
        <v>147</v>
      </c>
      <c r="C12" s="9" t="s">
        <v>246</v>
      </c>
      <c r="D12" s="9" t="s">
        <v>16</v>
      </c>
      <c r="E12" s="9" t="s">
        <v>15</v>
      </c>
      <c r="G12" s="32"/>
      <c r="H12" s="32"/>
      <c r="I12" s="33"/>
      <c r="J12" s="32"/>
      <c r="K12" s="32"/>
      <c r="L12" s="26"/>
      <c r="M12" s="31">
        <v>1.2</v>
      </c>
    </row>
    <row r="13" spans="2:13" ht="12.75">
      <c r="B13" s="9"/>
      <c r="C13" s="9"/>
      <c r="G13" s="32"/>
      <c r="H13" s="32"/>
      <c r="I13" s="33"/>
      <c r="J13" s="32"/>
      <c r="K13" s="32"/>
      <c r="L13" s="26"/>
      <c r="M13" s="31"/>
    </row>
    <row r="14" spans="2:13" ht="12.75">
      <c r="B14" s="9" t="s">
        <v>52</v>
      </c>
      <c r="C14" s="9"/>
      <c r="D14" s="9" t="s">
        <v>55</v>
      </c>
      <c r="G14" s="32">
        <v>0.1387</v>
      </c>
      <c r="H14" s="32"/>
      <c r="I14" s="33">
        <v>0.1391</v>
      </c>
      <c r="J14" s="32"/>
      <c r="K14" s="32">
        <v>0.138</v>
      </c>
      <c r="L14" s="26"/>
      <c r="M14" s="31"/>
    </row>
    <row r="15" spans="2:13" ht="12.75">
      <c r="B15" s="9" t="s">
        <v>52</v>
      </c>
      <c r="C15" s="9" t="s">
        <v>245</v>
      </c>
      <c r="D15" s="9" t="s">
        <v>16</v>
      </c>
      <c r="E15" s="9" t="s">
        <v>15</v>
      </c>
      <c r="G15" s="10">
        <f>G14*454/60/G38/0.0283*(21-7)/(21-G39)*667.8</f>
        <v>2.5622937290394017</v>
      </c>
      <c r="H15" s="10"/>
      <c r="I15" s="10">
        <f>I14*454/60/I38/0.0283*(21-7)/(21-I39)*667.8</f>
        <v>2.613551019224355</v>
      </c>
      <c r="J15" s="10"/>
      <c r="K15" s="10">
        <f>K14*454/60/K38/0.0283*(21-7)/(21-K39)*667.8</f>
        <v>2.3711392936555007</v>
      </c>
      <c r="L15" s="10"/>
      <c r="M15" s="35">
        <f>AVERAGE(G15,I15,K15)</f>
        <v>2.5156613473064193</v>
      </c>
    </row>
    <row r="16" spans="2:13" ht="12.75">
      <c r="B16" s="9"/>
      <c r="C16" s="9"/>
      <c r="G16" s="32"/>
      <c r="H16" s="32"/>
      <c r="I16" s="33"/>
      <c r="J16" s="32"/>
      <c r="K16" s="32"/>
      <c r="M16" s="35"/>
    </row>
    <row r="17" spans="2:13" ht="12.75">
      <c r="B17" s="9" t="s">
        <v>80</v>
      </c>
      <c r="C17" s="24" t="s">
        <v>121</v>
      </c>
      <c r="I17" s="24"/>
      <c r="M17" s="35"/>
    </row>
    <row r="18" spans="2:13" ht="12.75">
      <c r="B18" s="9" t="s">
        <v>104</v>
      </c>
      <c r="C18" s="9"/>
      <c r="D18" s="9" t="s">
        <v>55</v>
      </c>
      <c r="G18" s="32">
        <v>76.37</v>
      </c>
      <c r="H18" s="32"/>
      <c r="I18" s="33">
        <v>124.9</v>
      </c>
      <c r="J18" s="32"/>
      <c r="K18" s="32">
        <v>55.75</v>
      </c>
      <c r="M18" s="35"/>
    </row>
    <row r="19" spans="2:13" ht="12.75">
      <c r="B19" s="9" t="s">
        <v>120</v>
      </c>
      <c r="C19" s="9" t="s">
        <v>246</v>
      </c>
      <c r="D19" s="9" t="s">
        <v>55</v>
      </c>
      <c r="G19" s="36">
        <v>0.00068401</v>
      </c>
      <c r="H19" s="32"/>
      <c r="I19" s="36">
        <v>0.000661</v>
      </c>
      <c r="J19" s="32"/>
      <c r="K19" s="36">
        <f>(0.000644+0.000733+0.000545)/3</f>
        <v>0.0006406666666666667</v>
      </c>
      <c r="M19" s="72"/>
    </row>
    <row r="20" spans="2:13" ht="12.75">
      <c r="B20" s="9" t="s">
        <v>54</v>
      </c>
      <c r="C20" s="9" t="s">
        <v>246</v>
      </c>
      <c r="D20" s="9" t="s">
        <v>18</v>
      </c>
      <c r="G20" s="32">
        <v>99.99914</v>
      </c>
      <c r="H20" s="32"/>
      <c r="I20" s="33">
        <v>99.99947</v>
      </c>
      <c r="J20" s="32"/>
      <c r="K20" s="32">
        <v>99.999287</v>
      </c>
      <c r="M20" s="35"/>
    </row>
    <row r="21" spans="2:13" ht="12.75">
      <c r="B21" s="9"/>
      <c r="C21" s="9"/>
      <c r="G21" s="32"/>
      <c r="H21" s="32"/>
      <c r="I21" s="33"/>
      <c r="J21" s="32"/>
      <c r="K21" s="32"/>
      <c r="M21" s="35"/>
    </row>
    <row r="22" spans="2:13" ht="12.75">
      <c r="B22" s="9" t="s">
        <v>80</v>
      </c>
      <c r="C22" s="9" t="s">
        <v>143</v>
      </c>
      <c r="G22" s="32"/>
      <c r="H22" s="32"/>
      <c r="I22" s="33"/>
      <c r="J22" s="32"/>
      <c r="K22" s="32"/>
      <c r="M22" s="35"/>
    </row>
    <row r="23" spans="2:13" ht="12.75">
      <c r="B23" s="9" t="s">
        <v>104</v>
      </c>
      <c r="C23" s="9"/>
      <c r="D23" s="9" t="s">
        <v>55</v>
      </c>
      <c r="G23" s="32">
        <v>70.88</v>
      </c>
      <c r="H23" s="32"/>
      <c r="I23" s="33">
        <v>104.28</v>
      </c>
      <c r="J23" s="32"/>
      <c r="K23" s="32">
        <v>81.11</v>
      </c>
      <c r="M23" s="35"/>
    </row>
    <row r="24" spans="2:13" ht="12.75">
      <c r="B24" s="9" t="s">
        <v>120</v>
      </c>
      <c r="C24" s="9" t="s">
        <v>246</v>
      </c>
      <c r="D24" s="9" t="s">
        <v>55</v>
      </c>
      <c r="G24" s="36">
        <v>0.00065191</v>
      </c>
      <c r="H24" s="32"/>
      <c r="I24" s="36">
        <v>0.00074421</v>
      </c>
      <c r="J24" s="32"/>
      <c r="K24" s="36">
        <v>0.00065591</v>
      </c>
      <c r="M24" s="35"/>
    </row>
    <row r="25" spans="2:13" ht="12.75">
      <c r="B25" s="9" t="s">
        <v>54</v>
      </c>
      <c r="C25" s="9" t="s">
        <v>246</v>
      </c>
      <c r="D25" s="9" t="s">
        <v>18</v>
      </c>
      <c r="G25" s="32">
        <v>99.9990213</v>
      </c>
      <c r="H25" s="32"/>
      <c r="I25" s="33">
        <v>99.9994286</v>
      </c>
      <c r="J25" s="32"/>
      <c r="K25" s="32">
        <v>999.999211</v>
      </c>
      <c r="M25" s="35"/>
    </row>
    <row r="26" spans="2:13" ht="12.75">
      <c r="B26" s="9"/>
      <c r="C26" s="9"/>
      <c r="G26" s="32"/>
      <c r="H26" s="32"/>
      <c r="I26" s="33"/>
      <c r="J26" s="32"/>
      <c r="K26" s="32"/>
      <c r="M26" s="35"/>
    </row>
    <row r="27" spans="2:13" ht="12.75">
      <c r="B27" s="9" t="s">
        <v>80</v>
      </c>
      <c r="C27" s="24" t="s">
        <v>144</v>
      </c>
      <c r="I27" s="24"/>
      <c r="M27" s="35"/>
    </row>
    <row r="28" spans="2:13" ht="12.75">
      <c r="B28" s="9" t="s">
        <v>104</v>
      </c>
      <c r="C28" s="9"/>
      <c r="D28" s="9" t="s">
        <v>55</v>
      </c>
      <c r="G28" s="11">
        <f>19936/454</f>
        <v>43.91189427312775</v>
      </c>
      <c r="H28" s="11"/>
      <c r="I28" s="11">
        <f>20063/454</f>
        <v>44.191629955947135</v>
      </c>
      <c r="J28" s="11"/>
      <c r="K28" s="11">
        <f>20067/454</f>
        <v>44.20044052863436</v>
      </c>
      <c r="M28" s="35"/>
    </row>
    <row r="29" spans="2:13" ht="12.75">
      <c r="B29" s="9" t="s">
        <v>120</v>
      </c>
      <c r="C29" s="9" t="s">
        <v>246</v>
      </c>
      <c r="D29" s="9" t="s">
        <v>55</v>
      </c>
      <c r="G29" s="36">
        <f>0.0249/454</f>
        <v>5.484581497797356E-05</v>
      </c>
      <c r="H29" s="32"/>
      <c r="I29" s="36">
        <f>0.025/454</f>
        <v>5.506607929515419E-05</v>
      </c>
      <c r="J29" s="32"/>
      <c r="K29" s="36">
        <f>0.046/454</f>
        <v>0.0001013215859030837</v>
      </c>
      <c r="M29" s="35"/>
    </row>
    <row r="30" spans="2:13" ht="12.75">
      <c r="B30" s="9" t="s">
        <v>54</v>
      </c>
      <c r="C30" s="9" t="s">
        <v>246</v>
      </c>
      <c r="D30" s="9" t="s">
        <v>18</v>
      </c>
      <c r="G30" s="32">
        <v>99.9999</v>
      </c>
      <c r="H30" s="32"/>
      <c r="I30" s="33">
        <v>99.9999</v>
      </c>
      <c r="J30" s="32"/>
      <c r="K30" s="32">
        <v>99.9998</v>
      </c>
      <c r="M30" s="35"/>
    </row>
    <row r="31" spans="2:13" ht="12.75">
      <c r="B31" s="9"/>
      <c r="C31" s="9"/>
      <c r="G31" s="32"/>
      <c r="H31" s="32"/>
      <c r="I31" s="33"/>
      <c r="J31" s="32"/>
      <c r="K31" s="32"/>
      <c r="M31" s="35"/>
    </row>
    <row r="32" spans="2:13" ht="12.75">
      <c r="B32" s="9" t="s">
        <v>80</v>
      </c>
      <c r="C32" s="9" t="s">
        <v>145</v>
      </c>
      <c r="G32" s="32"/>
      <c r="H32" s="32"/>
      <c r="I32" s="33"/>
      <c r="J32" s="32"/>
      <c r="K32" s="32"/>
      <c r="M32" s="35"/>
    </row>
    <row r="33" spans="2:13" ht="12.75">
      <c r="B33" s="9" t="s">
        <v>104</v>
      </c>
      <c r="C33" s="9"/>
      <c r="D33" s="9" t="s">
        <v>55</v>
      </c>
      <c r="G33" s="11">
        <f>25228/454</f>
        <v>55.56828193832599</v>
      </c>
      <c r="H33" s="11"/>
      <c r="I33" s="11">
        <f>25382/454</f>
        <v>55.90748898678414</v>
      </c>
      <c r="J33" s="11"/>
      <c r="K33" s="11">
        <f>27196/454</f>
        <v>59.903083700440526</v>
      </c>
      <c r="M33" s="35"/>
    </row>
    <row r="34" spans="2:13" ht="12.75">
      <c r="B34" s="9" t="s">
        <v>120</v>
      </c>
      <c r="C34" s="9" t="s">
        <v>246</v>
      </c>
      <c r="D34" s="9" t="s">
        <v>55</v>
      </c>
      <c r="G34" s="36">
        <f>0.0249/454</f>
        <v>5.484581497797356E-05</v>
      </c>
      <c r="H34" s="32"/>
      <c r="I34" s="36">
        <f>0.025/454</f>
        <v>5.506607929515419E-05</v>
      </c>
      <c r="J34" s="32"/>
      <c r="K34" s="36">
        <f>0.046/454</f>
        <v>0.0001013215859030837</v>
      </c>
      <c r="M34" s="35"/>
    </row>
    <row r="35" spans="2:13" ht="12.75">
      <c r="B35" s="9" t="s">
        <v>54</v>
      </c>
      <c r="C35" s="9" t="s">
        <v>246</v>
      </c>
      <c r="D35" s="9" t="s">
        <v>18</v>
      </c>
      <c r="G35" s="24">
        <v>99.999901</v>
      </c>
      <c r="I35" s="24">
        <v>99.9999</v>
      </c>
      <c r="K35" s="24">
        <v>99.9998</v>
      </c>
      <c r="M35" s="35"/>
    </row>
    <row r="36" spans="2:13" ht="12.75">
      <c r="B36" s="9"/>
      <c r="C36" s="9"/>
      <c r="G36" s="32"/>
      <c r="H36" s="32"/>
      <c r="I36" s="33"/>
      <c r="J36" s="32"/>
      <c r="K36" s="32"/>
      <c r="L36" s="26"/>
      <c r="M36" s="34"/>
    </row>
    <row r="37" spans="2:13" ht="12.75">
      <c r="B37" s="9" t="s">
        <v>107</v>
      </c>
      <c r="C37" s="9" t="s">
        <v>146</v>
      </c>
      <c r="D37" s="9" t="s">
        <v>245</v>
      </c>
      <c r="L37" s="26"/>
      <c r="M37" s="35"/>
    </row>
    <row r="38" spans="2:13" ht="12.75">
      <c r="B38" s="9" t="s">
        <v>90</v>
      </c>
      <c r="C38" s="9"/>
      <c r="D38" s="9" t="s">
        <v>17</v>
      </c>
      <c r="G38" s="32">
        <v>20502</v>
      </c>
      <c r="H38" s="32"/>
      <c r="I38" s="33">
        <v>20468</v>
      </c>
      <c r="J38" s="13"/>
      <c r="K38" s="32">
        <v>21714</v>
      </c>
      <c r="L38" s="26"/>
      <c r="M38" s="35">
        <f>AVERAGE(G38,I38,K38)</f>
        <v>20894.666666666668</v>
      </c>
    </row>
    <row r="39" spans="2:13" ht="12.75">
      <c r="B39" s="9" t="s">
        <v>105</v>
      </c>
      <c r="C39" s="9"/>
      <c r="D39" s="9" t="s">
        <v>18</v>
      </c>
      <c r="G39" s="32">
        <v>14.4</v>
      </c>
      <c r="H39" s="32"/>
      <c r="I39" s="33">
        <v>14.5</v>
      </c>
      <c r="J39" s="32"/>
      <c r="K39" s="32">
        <v>14.3</v>
      </c>
      <c r="M39" s="35">
        <f>AVERAGE(G39,I39,K39)</f>
        <v>14.4</v>
      </c>
    </row>
    <row r="40" spans="2:13" ht="12.75">
      <c r="B40" s="9" t="s">
        <v>106</v>
      </c>
      <c r="C40" s="9"/>
      <c r="D40" s="9" t="s">
        <v>18</v>
      </c>
      <c r="G40" s="32">
        <v>30.9</v>
      </c>
      <c r="H40" s="32"/>
      <c r="I40" s="33">
        <v>30.3</v>
      </c>
      <c r="J40" s="32"/>
      <c r="K40" s="32">
        <v>30.8</v>
      </c>
      <c r="M40" s="35">
        <f>AVERAGE(G40,I40,K40)</f>
        <v>30.666666666666668</v>
      </c>
    </row>
    <row r="41" spans="2:13" ht="12.75">
      <c r="B41" s="9" t="s">
        <v>89</v>
      </c>
      <c r="C41" s="9"/>
      <c r="D41" s="9" t="s">
        <v>19</v>
      </c>
      <c r="G41" s="32">
        <v>284</v>
      </c>
      <c r="H41" s="32"/>
      <c r="I41" s="33">
        <v>291</v>
      </c>
      <c r="J41" s="32"/>
      <c r="K41" s="32">
        <v>291</v>
      </c>
      <c r="M41" s="35">
        <f>AVERAGE(G41,I41,K41)</f>
        <v>288.6666666666667</v>
      </c>
    </row>
    <row r="42" spans="2:13" ht="12.75">
      <c r="B42" s="9"/>
      <c r="C42" s="9"/>
      <c r="G42" s="32"/>
      <c r="H42" s="32"/>
      <c r="I42" s="33"/>
      <c r="J42" s="32"/>
      <c r="K42" s="32"/>
      <c r="M42" s="35"/>
    </row>
    <row r="43" spans="2:13" ht="12.75">
      <c r="B43" s="9" t="s">
        <v>107</v>
      </c>
      <c r="C43" s="9" t="s">
        <v>128</v>
      </c>
      <c r="D43" s="9" t="s">
        <v>246</v>
      </c>
      <c r="G43" s="32"/>
      <c r="H43" s="32"/>
      <c r="I43" s="33"/>
      <c r="J43" s="32"/>
      <c r="K43" s="32"/>
      <c r="M43" s="35"/>
    </row>
    <row r="44" spans="2:13" ht="12.75">
      <c r="B44" s="9" t="s">
        <v>90</v>
      </c>
      <c r="C44" s="9"/>
      <c r="D44" s="9" t="s">
        <v>17</v>
      </c>
      <c r="G44" s="32">
        <v>21236</v>
      </c>
      <c r="H44" s="32"/>
      <c r="I44" s="33">
        <v>21236</v>
      </c>
      <c r="J44" s="32"/>
      <c r="K44" s="32">
        <v>21236</v>
      </c>
      <c r="M44" s="35">
        <f>AVERAGE(G44,I44,K44)</f>
        <v>21236</v>
      </c>
    </row>
    <row r="45" spans="2:13" ht="12.75">
      <c r="B45" s="9" t="s">
        <v>105</v>
      </c>
      <c r="C45" s="9"/>
      <c r="D45" s="9" t="s">
        <v>18</v>
      </c>
      <c r="G45" s="32"/>
      <c r="H45" s="32"/>
      <c r="I45" s="33"/>
      <c r="J45" s="32"/>
      <c r="K45" s="32"/>
      <c r="M45" s="35"/>
    </row>
    <row r="46" spans="2:13" ht="12.75">
      <c r="B46" s="9" t="s">
        <v>106</v>
      </c>
      <c r="C46" s="9"/>
      <c r="D46" s="9" t="s">
        <v>18</v>
      </c>
      <c r="G46" s="32"/>
      <c r="H46" s="32"/>
      <c r="I46" s="33"/>
      <c r="J46" s="32"/>
      <c r="K46" s="32"/>
      <c r="M46" s="35"/>
    </row>
    <row r="47" spans="2:13" ht="12.75">
      <c r="B47" s="9" t="s">
        <v>89</v>
      </c>
      <c r="C47" s="9"/>
      <c r="D47" s="9" t="s">
        <v>19</v>
      </c>
      <c r="G47" s="32"/>
      <c r="H47" s="32"/>
      <c r="I47" s="33"/>
      <c r="J47" s="32"/>
      <c r="K47" s="32"/>
      <c r="M47" s="35"/>
    </row>
    <row r="48" spans="2:13" ht="12.75">
      <c r="B48" s="9"/>
      <c r="C48" s="9"/>
      <c r="G48" s="32"/>
      <c r="H48" s="32"/>
      <c r="I48" s="33"/>
      <c r="J48" s="32"/>
      <c r="K48" s="32"/>
      <c r="M48" s="35"/>
    </row>
    <row r="49" spans="2:13" ht="12.75">
      <c r="B49" s="9" t="s">
        <v>107</v>
      </c>
      <c r="C49" s="9" t="s">
        <v>124</v>
      </c>
      <c r="D49" s="9" t="s">
        <v>247</v>
      </c>
      <c r="G49" s="32"/>
      <c r="H49" s="32"/>
      <c r="I49" s="33"/>
      <c r="J49" s="32"/>
      <c r="K49" s="32"/>
      <c r="M49" s="35"/>
    </row>
    <row r="50" spans="2:13" ht="12.75">
      <c r="B50" s="9" t="s">
        <v>90</v>
      </c>
      <c r="C50" s="9"/>
      <c r="D50" s="9" t="s">
        <v>17</v>
      </c>
      <c r="G50" s="32">
        <v>21236</v>
      </c>
      <c r="H50" s="32"/>
      <c r="I50" s="33">
        <v>21460</v>
      </c>
      <c r="J50" s="32"/>
      <c r="K50" s="32">
        <v>21276</v>
      </c>
      <c r="M50" s="35">
        <f>AVERAGE(G50,I50,K50)</f>
        <v>21324</v>
      </c>
    </row>
    <row r="51" spans="2:13" ht="12.75">
      <c r="B51" s="9" t="s">
        <v>105</v>
      </c>
      <c r="C51" s="9"/>
      <c r="D51" s="9" t="s">
        <v>18</v>
      </c>
      <c r="G51" s="32">
        <v>14.4</v>
      </c>
      <c r="H51" s="32"/>
      <c r="I51" s="33">
        <v>14.5</v>
      </c>
      <c r="J51" s="32"/>
      <c r="K51" s="32">
        <v>14.3</v>
      </c>
      <c r="M51" s="35">
        <f>AVERAGE(G51,I51,K51)</f>
        <v>14.4</v>
      </c>
    </row>
    <row r="52" spans="2:13" ht="12.75">
      <c r="B52" s="9" t="s">
        <v>106</v>
      </c>
      <c r="C52" s="9"/>
      <c r="D52" s="9" t="s">
        <v>18</v>
      </c>
      <c r="G52" s="32">
        <v>29.3</v>
      </c>
      <c r="H52" s="32"/>
      <c r="I52" s="33">
        <v>29.1</v>
      </c>
      <c r="J52" s="32"/>
      <c r="K52" s="32">
        <v>30.2</v>
      </c>
      <c r="M52" s="35">
        <f>AVERAGE(G52,I52,K52)</f>
        <v>29.533333333333335</v>
      </c>
    </row>
    <row r="53" spans="2:13" ht="12.75">
      <c r="B53" s="9" t="s">
        <v>89</v>
      </c>
      <c r="C53" s="9"/>
      <c r="D53" s="9" t="s">
        <v>19</v>
      </c>
      <c r="G53" s="32">
        <v>289</v>
      </c>
      <c r="H53" s="32"/>
      <c r="I53" s="33">
        <v>285</v>
      </c>
      <c r="J53" s="32"/>
      <c r="K53" s="32">
        <v>290</v>
      </c>
      <c r="M53" s="35">
        <f>AVERAGE(G53,I53,K53)</f>
        <v>288</v>
      </c>
    </row>
    <row r="54" spans="2:13" ht="12.75">
      <c r="B54" s="9"/>
      <c r="C54" s="9"/>
      <c r="G54" s="32"/>
      <c r="H54" s="32"/>
      <c r="I54" s="33"/>
      <c r="J54" s="32"/>
      <c r="K54" s="32"/>
      <c r="M54" s="35"/>
    </row>
    <row r="55" spans="2:13" ht="12.75">
      <c r="B55" s="9" t="s">
        <v>107</v>
      </c>
      <c r="C55" s="9" t="s">
        <v>151</v>
      </c>
      <c r="D55" s="9" t="s">
        <v>248</v>
      </c>
      <c r="G55" s="32"/>
      <c r="H55" s="32"/>
      <c r="I55" s="33"/>
      <c r="J55" s="32"/>
      <c r="K55" s="32"/>
      <c r="M55" s="35"/>
    </row>
    <row r="56" spans="2:13" ht="12.75">
      <c r="B56" s="9" t="s">
        <v>90</v>
      </c>
      <c r="C56" s="9"/>
      <c r="D56" s="9" t="s">
        <v>17</v>
      </c>
      <c r="G56" s="32">
        <v>21010</v>
      </c>
      <c r="H56" s="32"/>
      <c r="I56" s="33">
        <v>20868</v>
      </c>
      <c r="J56" s="32"/>
      <c r="K56" s="32">
        <v>21379</v>
      </c>
      <c r="M56" s="35">
        <f>AVERAGE(G56,I56,K56)</f>
        <v>21085.666666666668</v>
      </c>
    </row>
    <row r="57" spans="2:13" ht="12.75">
      <c r="B57" s="9" t="s">
        <v>105</v>
      </c>
      <c r="C57" s="9"/>
      <c r="D57" s="9" t="s">
        <v>18</v>
      </c>
      <c r="G57" s="32">
        <v>14.4</v>
      </c>
      <c r="H57" s="32"/>
      <c r="I57" s="33">
        <v>14.3</v>
      </c>
      <c r="J57" s="32"/>
      <c r="K57" s="32">
        <v>14.3</v>
      </c>
      <c r="M57" s="35">
        <f>AVERAGE(G57,I57,K57)</f>
        <v>14.333333333333334</v>
      </c>
    </row>
    <row r="58" spans="2:13" ht="12.75">
      <c r="B58" s="9" t="s">
        <v>106</v>
      </c>
      <c r="C58" s="9"/>
      <c r="D58" s="9" t="s">
        <v>18</v>
      </c>
      <c r="G58" s="32">
        <v>30.2</v>
      </c>
      <c r="H58" s="32"/>
      <c r="I58" s="33">
        <v>30.2</v>
      </c>
      <c r="J58" s="32"/>
      <c r="K58" s="32">
        <v>30.7</v>
      </c>
      <c r="M58" s="35">
        <f>AVERAGE(G58,I58,K58)</f>
        <v>30.366666666666664</v>
      </c>
    </row>
    <row r="59" spans="2:13" ht="12.75">
      <c r="B59" s="9" t="s">
        <v>89</v>
      </c>
      <c r="C59" s="9"/>
      <c r="D59" s="9" t="s">
        <v>19</v>
      </c>
      <c r="G59" s="32">
        <v>281</v>
      </c>
      <c r="H59" s="32"/>
      <c r="I59" s="33">
        <v>282</v>
      </c>
      <c r="J59" s="32"/>
      <c r="K59" s="32">
        <v>287</v>
      </c>
      <c r="M59" s="35">
        <f>AVERAGE(G59,I59,K59)</f>
        <v>283.3333333333333</v>
      </c>
    </row>
    <row r="60" spans="2:13" ht="12.75">
      <c r="B60" s="9"/>
      <c r="C60" s="9"/>
      <c r="G60" s="32"/>
      <c r="H60" s="32"/>
      <c r="I60" s="33"/>
      <c r="J60" s="32"/>
      <c r="K60" s="32"/>
      <c r="M60" s="35"/>
    </row>
    <row r="61" spans="1:13" ht="12.75">
      <c r="A61" s="24">
        <v>11</v>
      </c>
      <c r="B61" s="28" t="s">
        <v>202</v>
      </c>
      <c r="C61" s="28" t="s">
        <v>182</v>
      </c>
      <c r="G61" s="26" t="s">
        <v>220</v>
      </c>
      <c r="H61" s="26"/>
      <c r="I61" s="27" t="s">
        <v>221</v>
      </c>
      <c r="J61" s="26"/>
      <c r="K61" s="26" t="s">
        <v>222</v>
      </c>
      <c r="L61" s="26"/>
      <c r="M61" s="26" t="s">
        <v>223</v>
      </c>
    </row>
    <row r="62" spans="2:13" ht="12.75">
      <c r="B62" s="9"/>
      <c r="C62" s="9"/>
      <c r="G62" s="32"/>
      <c r="H62" s="32"/>
      <c r="I62" s="33"/>
      <c r="J62" s="32"/>
      <c r="K62" s="32"/>
      <c r="M62" s="35"/>
    </row>
    <row r="63" spans="2:13" ht="12.75">
      <c r="B63" s="9" t="s">
        <v>13</v>
      </c>
      <c r="C63" s="9" t="s">
        <v>245</v>
      </c>
      <c r="D63" s="9" t="s">
        <v>14</v>
      </c>
      <c r="E63" s="9" t="s">
        <v>15</v>
      </c>
      <c r="G63" s="19">
        <v>0.0078</v>
      </c>
      <c r="H63" s="19"/>
      <c r="I63" s="29">
        <v>0.001</v>
      </c>
      <c r="J63" s="19"/>
      <c r="K63" s="19">
        <v>0.0017</v>
      </c>
      <c r="L63" s="26"/>
      <c r="M63" s="30">
        <f>AVERAGE(K63,I63,G63)</f>
        <v>0.0034999999999999996</v>
      </c>
    </row>
    <row r="64" spans="2:13" ht="12.75">
      <c r="B64" s="9" t="s">
        <v>129</v>
      </c>
      <c r="C64" s="9" t="s">
        <v>245</v>
      </c>
      <c r="D64" s="9" t="s">
        <v>16</v>
      </c>
      <c r="E64" s="9" t="s">
        <v>15</v>
      </c>
      <c r="G64" s="32"/>
      <c r="H64" s="32"/>
      <c r="I64" s="33"/>
      <c r="J64" s="32"/>
      <c r="K64" s="32"/>
      <c r="L64" s="26"/>
      <c r="M64" s="31">
        <v>13.6</v>
      </c>
    </row>
    <row r="65" spans="2:13" ht="12.75">
      <c r="B65" s="9" t="s">
        <v>130</v>
      </c>
      <c r="C65" s="9" t="s">
        <v>245</v>
      </c>
      <c r="D65" s="9" t="s">
        <v>16</v>
      </c>
      <c r="E65" s="9" t="s">
        <v>15</v>
      </c>
      <c r="G65" s="32"/>
      <c r="H65" s="32"/>
      <c r="I65" s="33"/>
      <c r="J65" s="32"/>
      <c r="K65" s="32"/>
      <c r="L65" s="26"/>
      <c r="M65" s="31">
        <v>1.2</v>
      </c>
    </row>
    <row r="66" spans="2:13" ht="12.75">
      <c r="B66" s="9" t="s">
        <v>122</v>
      </c>
      <c r="C66" s="9" t="s">
        <v>246</v>
      </c>
      <c r="D66" s="9" t="s">
        <v>16</v>
      </c>
      <c r="E66" s="9" t="s">
        <v>15</v>
      </c>
      <c r="G66" s="32"/>
      <c r="H66" s="32"/>
      <c r="I66" s="33"/>
      <c r="J66" s="32"/>
      <c r="K66" s="32"/>
      <c r="L66" s="26"/>
      <c r="M66" s="31">
        <v>109.2</v>
      </c>
    </row>
    <row r="67" spans="2:13" ht="12.75">
      <c r="B67" s="9" t="s">
        <v>147</v>
      </c>
      <c r="C67" s="9"/>
      <c r="G67" s="32"/>
      <c r="H67" s="32"/>
      <c r="I67" s="33"/>
      <c r="J67" s="32"/>
      <c r="K67" s="32"/>
      <c r="L67" s="26"/>
      <c r="M67" s="31">
        <v>0.1</v>
      </c>
    </row>
    <row r="68" spans="2:13" ht="12.75">
      <c r="B68" s="9"/>
      <c r="C68" s="9"/>
      <c r="G68" s="32"/>
      <c r="H68" s="32"/>
      <c r="I68" s="33"/>
      <c r="J68" s="32"/>
      <c r="K68" s="32"/>
      <c r="L68" s="26"/>
      <c r="M68" s="34"/>
    </row>
    <row r="69" spans="2:13" ht="12.75">
      <c r="B69" s="9" t="s">
        <v>52</v>
      </c>
      <c r="C69" s="9"/>
      <c r="D69" s="9" t="s">
        <v>55</v>
      </c>
      <c r="G69" s="32">
        <v>0.132</v>
      </c>
      <c r="H69" s="32"/>
      <c r="I69" s="33">
        <v>0.142</v>
      </c>
      <c r="J69" s="32"/>
      <c r="K69" s="32">
        <v>0.396</v>
      </c>
      <c r="L69" s="26"/>
      <c r="M69" s="31"/>
    </row>
    <row r="70" spans="2:13" ht="12.75">
      <c r="B70" s="9" t="s">
        <v>52</v>
      </c>
      <c r="C70" s="9" t="s">
        <v>245</v>
      </c>
      <c r="D70" s="9" t="s">
        <v>16</v>
      </c>
      <c r="E70" s="9" t="s">
        <v>15</v>
      </c>
      <c r="G70" s="10">
        <f>G69*454/60/0.0283/G93*(21-7)/(21-G94)*667.8</f>
        <v>2.627231531488295</v>
      </c>
      <c r="H70" s="10"/>
      <c r="I70" s="10">
        <f>I69*454/60/0.0283/I93*(21-7)/(21-I94)*667.8</f>
        <v>2.267502967905519</v>
      </c>
      <c r="J70" s="10"/>
      <c r="K70" s="10">
        <f>K69*454/60/0.0283/K93*(21-7)/(21-K94)*667.8</f>
        <v>6.466150414880197</v>
      </c>
      <c r="L70" s="10"/>
      <c r="M70" s="10">
        <f>AVERAGE(G70,I70,K70)</f>
        <v>3.7869616380913365</v>
      </c>
    </row>
    <row r="71" spans="2:13" ht="12.75">
      <c r="B71" s="9"/>
      <c r="C71" s="9"/>
      <c r="D71" s="19"/>
      <c r="H71" s="32"/>
      <c r="I71" s="24"/>
      <c r="J71" s="32"/>
      <c r="M71" s="35"/>
    </row>
    <row r="72" spans="2:13" ht="12.75">
      <c r="B72" s="9" t="s">
        <v>80</v>
      </c>
      <c r="C72" s="9" t="s">
        <v>121</v>
      </c>
      <c r="G72" s="32"/>
      <c r="H72" s="32"/>
      <c r="I72" s="33"/>
      <c r="J72" s="32"/>
      <c r="K72" s="32"/>
      <c r="M72" s="35"/>
    </row>
    <row r="73" spans="2:13" ht="12.75">
      <c r="B73" s="9" t="s">
        <v>104</v>
      </c>
      <c r="C73" s="9"/>
      <c r="D73" s="9" t="s">
        <v>55</v>
      </c>
      <c r="G73" s="32">
        <v>55.75</v>
      </c>
      <c r="I73" s="33">
        <v>55.75</v>
      </c>
      <c r="K73" s="32">
        <v>43.95</v>
      </c>
      <c r="M73" s="35"/>
    </row>
    <row r="74" spans="2:13" ht="12.75">
      <c r="B74" s="9" t="s">
        <v>120</v>
      </c>
      <c r="C74" s="9" t="s">
        <v>246</v>
      </c>
      <c r="D74" s="9" t="s">
        <v>55</v>
      </c>
      <c r="G74" s="36">
        <v>0.00086432</v>
      </c>
      <c r="H74" s="32"/>
      <c r="I74" s="36">
        <v>0.00090892</v>
      </c>
      <c r="J74" s="32"/>
      <c r="K74" s="36">
        <v>0.00071701</v>
      </c>
      <c r="M74" s="35"/>
    </row>
    <row r="75" spans="2:13" ht="12.75">
      <c r="B75" s="9" t="s">
        <v>54</v>
      </c>
      <c r="C75" s="9" t="s">
        <v>246</v>
      </c>
      <c r="D75" s="9" t="s">
        <v>18</v>
      </c>
      <c r="G75" s="32">
        <v>99.9984496</v>
      </c>
      <c r="H75" s="32"/>
      <c r="I75" s="33">
        <v>99.9983697</v>
      </c>
      <c r="J75" s="32"/>
      <c r="K75" s="32">
        <v>99.9987139</v>
      </c>
      <c r="M75" s="35"/>
    </row>
    <row r="76" spans="2:13" ht="12.75">
      <c r="B76" s="9"/>
      <c r="C76" s="9"/>
      <c r="G76" s="32"/>
      <c r="H76" s="32"/>
      <c r="I76" s="33"/>
      <c r="J76" s="32"/>
      <c r="K76" s="32"/>
      <c r="M76" s="35"/>
    </row>
    <row r="77" spans="2:13" ht="12.75">
      <c r="B77" s="9" t="s">
        <v>80</v>
      </c>
      <c r="C77" s="9" t="s">
        <v>143</v>
      </c>
      <c r="G77" s="32"/>
      <c r="H77" s="32"/>
      <c r="I77" s="33"/>
      <c r="J77" s="32"/>
      <c r="K77" s="32"/>
      <c r="M77" s="35"/>
    </row>
    <row r="78" spans="2:11" ht="12.75">
      <c r="B78" s="9" t="s">
        <v>104</v>
      </c>
      <c r="C78" s="9"/>
      <c r="D78" s="9" t="s">
        <v>55</v>
      </c>
      <c r="G78" s="32">
        <v>42.17</v>
      </c>
      <c r="I78" s="33">
        <v>42.17</v>
      </c>
      <c r="K78" s="32">
        <v>32.39</v>
      </c>
    </row>
    <row r="79" spans="2:11" ht="12.75">
      <c r="B79" s="9" t="s">
        <v>120</v>
      </c>
      <c r="C79" s="9" t="s">
        <v>246</v>
      </c>
      <c r="D79" s="9" t="s">
        <v>55</v>
      </c>
      <c r="G79" s="37">
        <v>0.00073596</v>
      </c>
      <c r="I79" s="36">
        <v>0.00067098</v>
      </c>
      <c r="K79" s="37">
        <v>0.00052931</v>
      </c>
    </row>
    <row r="80" spans="2:11" ht="12.75">
      <c r="B80" s="9" t="s">
        <v>54</v>
      </c>
      <c r="C80" s="9" t="s">
        <v>246</v>
      </c>
      <c r="D80" s="9" t="s">
        <v>18</v>
      </c>
      <c r="G80" s="32">
        <v>99.9982548</v>
      </c>
      <c r="I80" s="33">
        <v>99.9984089</v>
      </c>
      <c r="K80" s="32">
        <v>99.9979422</v>
      </c>
    </row>
    <row r="81" spans="2:13" ht="12.75">
      <c r="B81" s="9"/>
      <c r="C81" s="9"/>
      <c r="G81" s="32"/>
      <c r="H81" s="32"/>
      <c r="I81" s="33"/>
      <c r="J81" s="32"/>
      <c r="K81" s="32"/>
      <c r="M81" s="35"/>
    </row>
    <row r="82" spans="2:13" ht="12.75">
      <c r="B82" s="9" t="s">
        <v>80</v>
      </c>
      <c r="C82" s="24" t="s">
        <v>144</v>
      </c>
      <c r="I82" s="24"/>
      <c r="M82" s="35"/>
    </row>
    <row r="83" spans="2:13" ht="12.75">
      <c r="B83" s="9" t="s">
        <v>104</v>
      </c>
      <c r="C83" s="9"/>
      <c r="D83" s="9" t="s">
        <v>55</v>
      </c>
      <c r="G83" s="11">
        <f>31092/454</f>
        <v>68.48458149779735</v>
      </c>
      <c r="H83" s="11"/>
      <c r="I83" s="11">
        <f>24475/454</f>
        <v>53.909691629955944</v>
      </c>
      <c r="J83" s="11"/>
      <c r="K83" s="11">
        <f>30820/454</f>
        <v>67.88546255506608</v>
      </c>
      <c r="M83" s="35"/>
    </row>
    <row r="84" spans="2:13" ht="12.75">
      <c r="B84" s="9" t="s">
        <v>120</v>
      </c>
      <c r="C84" s="9" t="s">
        <v>246</v>
      </c>
      <c r="D84" s="9" t="s">
        <v>55</v>
      </c>
      <c r="G84" s="36">
        <f>0.025/454</f>
        <v>5.506607929515419E-05</v>
      </c>
      <c r="H84" s="32"/>
      <c r="I84" s="36">
        <f>0.025/454</f>
        <v>5.506607929515419E-05</v>
      </c>
      <c r="J84" s="32"/>
      <c r="K84" s="36">
        <f>0.046/454</f>
        <v>0.0001013215859030837</v>
      </c>
      <c r="M84" s="35"/>
    </row>
    <row r="85" spans="2:13" ht="12.75">
      <c r="B85" s="9" t="s">
        <v>54</v>
      </c>
      <c r="C85" s="9" t="s">
        <v>246</v>
      </c>
      <c r="D85" s="9" t="s">
        <v>18</v>
      </c>
      <c r="G85" s="32">
        <v>99.9999</v>
      </c>
      <c r="H85" s="32"/>
      <c r="I85" s="33">
        <v>99.9999</v>
      </c>
      <c r="J85" s="32"/>
      <c r="K85" s="32">
        <v>99.9999</v>
      </c>
      <c r="M85" s="35"/>
    </row>
    <row r="86" spans="2:13" ht="12.75">
      <c r="B86" s="9"/>
      <c r="C86" s="9"/>
      <c r="G86" s="32"/>
      <c r="H86" s="32"/>
      <c r="I86" s="33"/>
      <c r="J86" s="32"/>
      <c r="K86" s="32"/>
      <c r="M86" s="35"/>
    </row>
    <row r="87" spans="2:13" ht="12.75">
      <c r="B87" s="9" t="s">
        <v>80</v>
      </c>
      <c r="C87" s="9" t="s">
        <v>145</v>
      </c>
      <c r="G87" s="32"/>
      <c r="H87" s="32"/>
      <c r="I87" s="33"/>
      <c r="J87" s="32"/>
      <c r="K87" s="32"/>
      <c r="M87" s="35"/>
    </row>
    <row r="88" spans="2:13" ht="12.75">
      <c r="B88" s="9" t="s">
        <v>104</v>
      </c>
      <c r="C88" s="9"/>
      <c r="D88" s="9" t="s">
        <v>55</v>
      </c>
      <c r="G88" s="11">
        <f>25228/454</f>
        <v>55.56828193832599</v>
      </c>
      <c r="H88" s="11"/>
      <c r="I88" s="11">
        <f>25382/454</f>
        <v>55.90748898678414</v>
      </c>
      <c r="J88" s="11"/>
      <c r="K88" s="11">
        <f>27196/454</f>
        <v>59.903083700440526</v>
      </c>
      <c r="M88" s="35"/>
    </row>
    <row r="89" spans="2:13" ht="12.75">
      <c r="B89" s="9" t="s">
        <v>120</v>
      </c>
      <c r="C89" s="9" t="s">
        <v>246</v>
      </c>
      <c r="D89" s="9" t="s">
        <v>55</v>
      </c>
      <c r="G89" s="36">
        <f>0.025/454</f>
        <v>5.506607929515419E-05</v>
      </c>
      <c r="H89" s="32"/>
      <c r="I89" s="36">
        <f>0.025/454</f>
        <v>5.506607929515419E-05</v>
      </c>
      <c r="J89" s="32"/>
      <c r="K89" s="36">
        <f>0.046/454</f>
        <v>0.0001013215859030837</v>
      </c>
      <c r="M89" s="35"/>
    </row>
    <row r="90" spans="2:13" ht="12.75">
      <c r="B90" s="9" t="s">
        <v>54</v>
      </c>
      <c r="C90" s="9" t="s">
        <v>246</v>
      </c>
      <c r="D90" s="9" t="s">
        <v>18</v>
      </c>
      <c r="G90" s="32">
        <v>99.9999</v>
      </c>
      <c r="H90" s="32"/>
      <c r="I90" s="33">
        <v>99.9999</v>
      </c>
      <c r="J90" s="32"/>
      <c r="K90" s="32">
        <v>99.9999</v>
      </c>
      <c r="M90" s="35"/>
    </row>
    <row r="91" spans="2:13" ht="12.75">
      <c r="B91" s="9"/>
      <c r="C91" s="9"/>
      <c r="G91" s="32"/>
      <c r="H91" s="32"/>
      <c r="I91" s="33"/>
      <c r="J91" s="32"/>
      <c r="K91" s="32"/>
      <c r="M91" s="35"/>
    </row>
    <row r="92" spans="2:13" ht="12.75">
      <c r="B92" s="9" t="s">
        <v>107</v>
      </c>
      <c r="C92" s="9" t="s">
        <v>146</v>
      </c>
      <c r="D92" s="9" t="s">
        <v>245</v>
      </c>
      <c r="L92" s="26"/>
      <c r="M92" s="35"/>
    </row>
    <row r="93" spans="2:13" ht="12.75">
      <c r="B93" s="9" t="s">
        <v>90</v>
      </c>
      <c r="C93" s="9"/>
      <c r="D93" s="9" t="s">
        <v>17</v>
      </c>
      <c r="G93" s="32">
        <v>18202</v>
      </c>
      <c r="H93" s="32"/>
      <c r="I93" s="33">
        <v>23021</v>
      </c>
      <c r="J93" s="13"/>
      <c r="K93" s="32">
        <v>22849</v>
      </c>
      <c r="L93" s="26"/>
      <c r="M93" s="35">
        <f>AVERAGE(G93,I93,K93)</f>
        <v>21357.333333333332</v>
      </c>
    </row>
    <row r="94" spans="2:13" ht="12.75">
      <c r="B94" s="9" t="s">
        <v>105</v>
      </c>
      <c r="C94" s="9"/>
      <c r="D94" s="9" t="s">
        <v>18</v>
      </c>
      <c r="G94" s="32">
        <v>14.1</v>
      </c>
      <c r="H94" s="32"/>
      <c r="I94" s="33">
        <v>14.2</v>
      </c>
      <c r="J94" s="32"/>
      <c r="K94" s="32">
        <v>14.3</v>
      </c>
      <c r="M94" s="35">
        <f>AVERAGE(G94,I94,K94)</f>
        <v>14.199999999999998</v>
      </c>
    </row>
    <row r="95" spans="2:13" ht="12.75">
      <c r="B95" s="9" t="s">
        <v>106</v>
      </c>
      <c r="C95" s="9"/>
      <c r="D95" s="9" t="s">
        <v>18</v>
      </c>
      <c r="G95" s="32">
        <v>38.2</v>
      </c>
      <c r="H95" s="32"/>
      <c r="I95" s="33">
        <v>32.1</v>
      </c>
      <c r="J95" s="32"/>
      <c r="K95" s="32">
        <v>32</v>
      </c>
      <c r="M95" s="35">
        <f>AVERAGE(G95,I95,K95)</f>
        <v>34.1</v>
      </c>
    </row>
    <row r="96" spans="2:13" ht="12.75">
      <c r="B96" s="9" t="s">
        <v>89</v>
      </c>
      <c r="C96" s="9"/>
      <c r="D96" s="9" t="s">
        <v>19</v>
      </c>
      <c r="G96" s="32">
        <v>282</v>
      </c>
      <c r="H96" s="32"/>
      <c r="I96" s="33">
        <v>283</v>
      </c>
      <c r="J96" s="32"/>
      <c r="K96" s="32">
        <v>283</v>
      </c>
      <c r="M96" s="35">
        <f>AVERAGE(G96,I96,K96)</f>
        <v>282.6666666666667</v>
      </c>
    </row>
    <row r="97" spans="2:13" ht="12.75">
      <c r="B97" s="9"/>
      <c r="C97" s="9"/>
      <c r="G97" s="32"/>
      <c r="H97" s="32"/>
      <c r="I97" s="33"/>
      <c r="J97" s="32"/>
      <c r="K97" s="32"/>
      <c r="M97" s="35"/>
    </row>
    <row r="98" spans="2:13" ht="12.75">
      <c r="B98" s="9" t="s">
        <v>107</v>
      </c>
      <c r="C98" s="9" t="s">
        <v>123</v>
      </c>
      <c r="D98" s="9" t="s">
        <v>246</v>
      </c>
      <c r="G98" s="32"/>
      <c r="H98" s="32"/>
      <c r="I98" s="33"/>
      <c r="J98" s="32"/>
      <c r="K98" s="32"/>
      <c r="M98" s="35"/>
    </row>
    <row r="99" spans="2:13" ht="12.75">
      <c r="B99" s="9" t="s">
        <v>90</v>
      </c>
      <c r="C99" s="9"/>
      <c r="D99" s="9" t="s">
        <v>17</v>
      </c>
      <c r="G99" s="32">
        <v>22655</v>
      </c>
      <c r="H99" s="32"/>
      <c r="I99" s="33">
        <v>22655</v>
      </c>
      <c r="J99" s="32"/>
      <c r="K99" s="32">
        <v>22655</v>
      </c>
      <c r="M99" s="35">
        <f>AVERAGE(G99,I99,K99)</f>
        <v>22655</v>
      </c>
    </row>
    <row r="100" spans="2:13" ht="12.75">
      <c r="B100" s="9" t="s">
        <v>105</v>
      </c>
      <c r="C100" s="9"/>
      <c r="D100" s="9" t="s">
        <v>18</v>
      </c>
      <c r="G100" s="32"/>
      <c r="H100" s="32"/>
      <c r="I100" s="33"/>
      <c r="J100" s="32"/>
      <c r="K100" s="32"/>
      <c r="M100" s="35"/>
    </row>
    <row r="101" spans="2:13" ht="12.75">
      <c r="B101" s="9" t="s">
        <v>106</v>
      </c>
      <c r="C101" s="9"/>
      <c r="D101" s="9" t="s">
        <v>18</v>
      </c>
      <c r="G101" s="32"/>
      <c r="H101" s="32"/>
      <c r="I101" s="33"/>
      <c r="J101" s="32"/>
      <c r="K101" s="32"/>
      <c r="M101" s="35"/>
    </row>
    <row r="102" spans="2:13" ht="12.75">
      <c r="B102" s="9" t="s">
        <v>89</v>
      </c>
      <c r="C102" s="9"/>
      <c r="D102" s="9" t="s">
        <v>19</v>
      </c>
      <c r="G102" s="32"/>
      <c r="H102" s="32"/>
      <c r="I102" s="33"/>
      <c r="J102" s="32"/>
      <c r="K102" s="32"/>
      <c r="M102" s="35"/>
    </row>
    <row r="103" spans="2:13" ht="12.75">
      <c r="B103" s="9"/>
      <c r="C103" s="9"/>
      <c r="G103" s="32"/>
      <c r="H103" s="32"/>
      <c r="I103" s="33"/>
      <c r="J103" s="32"/>
      <c r="K103" s="32"/>
      <c r="M103" s="35"/>
    </row>
    <row r="104" spans="2:13" ht="12.75">
      <c r="B104" s="9" t="s">
        <v>107</v>
      </c>
      <c r="C104" s="9" t="s">
        <v>151</v>
      </c>
      <c r="D104" s="9" t="s">
        <v>247</v>
      </c>
      <c r="G104" s="32"/>
      <c r="H104" s="32"/>
      <c r="I104" s="33"/>
      <c r="J104" s="32"/>
      <c r="K104" s="32"/>
      <c r="M104" s="35"/>
    </row>
    <row r="105" spans="2:13" ht="12.75">
      <c r="B105" s="9" t="s">
        <v>90</v>
      </c>
      <c r="C105" s="9"/>
      <c r="D105" s="9" t="s">
        <v>17</v>
      </c>
      <c r="G105" s="32">
        <v>20194</v>
      </c>
      <c r="H105" s="32"/>
      <c r="I105" s="33">
        <v>22884</v>
      </c>
      <c r="J105" s="32"/>
      <c r="K105" s="32">
        <v>23948</v>
      </c>
      <c r="M105" s="35">
        <f>AVERAGE(G105,I105,K105)</f>
        <v>22342</v>
      </c>
    </row>
    <row r="106" spans="2:13" ht="12.75">
      <c r="B106" s="9" t="s">
        <v>105</v>
      </c>
      <c r="C106" s="9"/>
      <c r="D106" s="9" t="s">
        <v>18</v>
      </c>
      <c r="G106" s="32">
        <v>14.1</v>
      </c>
      <c r="H106" s="32"/>
      <c r="I106" s="33">
        <v>14.2</v>
      </c>
      <c r="J106" s="32"/>
      <c r="K106" s="32">
        <v>14.3</v>
      </c>
      <c r="M106" s="35">
        <f>AVERAGE(G106,I106,K106)</f>
        <v>14.199999999999998</v>
      </c>
    </row>
    <row r="107" spans="2:13" ht="12.75">
      <c r="B107" s="9" t="s">
        <v>106</v>
      </c>
      <c r="C107" s="9"/>
      <c r="D107" s="9" t="s">
        <v>18</v>
      </c>
      <c r="G107" s="32">
        <v>32.2</v>
      </c>
      <c r="H107" s="32"/>
      <c r="I107" s="33">
        <v>31.9</v>
      </c>
      <c r="J107" s="32"/>
      <c r="K107" s="32">
        <v>31</v>
      </c>
      <c r="M107" s="35">
        <f>AVERAGE(G107,I107,K107)</f>
        <v>31.7</v>
      </c>
    </row>
    <row r="108" spans="2:13" ht="12.75">
      <c r="B108" s="9" t="s">
        <v>89</v>
      </c>
      <c r="C108" s="9"/>
      <c r="D108" s="9" t="s">
        <v>19</v>
      </c>
      <c r="G108" s="32">
        <v>284</v>
      </c>
      <c r="H108" s="32"/>
      <c r="I108" s="33">
        <v>291</v>
      </c>
      <c r="J108" s="32"/>
      <c r="K108" s="32">
        <v>285</v>
      </c>
      <c r="M108" s="35">
        <f>AVERAGE(G108,I108,K108)</f>
        <v>286.6666666666667</v>
      </c>
    </row>
    <row r="109" spans="2:13" ht="12.75">
      <c r="B109" s="9"/>
      <c r="C109" s="9"/>
      <c r="G109" s="13"/>
      <c r="H109" s="13"/>
      <c r="I109" s="13"/>
      <c r="J109" s="13"/>
      <c r="K109" s="13"/>
      <c r="L109" s="13"/>
      <c r="M109" s="34"/>
    </row>
    <row r="110" spans="2:15" ht="12.75">
      <c r="B110" s="9"/>
      <c r="C110" s="9"/>
      <c r="D110" s="19"/>
      <c r="G110" s="11"/>
      <c r="H110" s="13"/>
      <c r="I110" s="11"/>
      <c r="J110" s="13"/>
      <c r="K110" s="11"/>
      <c r="L110" s="13"/>
      <c r="M110" s="11"/>
      <c r="O110" s="35"/>
    </row>
    <row r="111" spans="1:13" ht="12.75">
      <c r="A111" s="24">
        <v>12</v>
      </c>
      <c r="B111" s="28" t="s">
        <v>204</v>
      </c>
      <c r="C111" s="28" t="s">
        <v>182</v>
      </c>
      <c r="G111" s="26" t="s">
        <v>220</v>
      </c>
      <c r="H111" s="26"/>
      <c r="I111" s="27" t="s">
        <v>221</v>
      </c>
      <c r="J111" s="26"/>
      <c r="K111" s="26" t="s">
        <v>222</v>
      </c>
      <c r="L111" s="26"/>
      <c r="M111" s="26" t="s">
        <v>223</v>
      </c>
    </row>
    <row r="112" spans="2:13" ht="12.75">
      <c r="B112" s="9"/>
      <c r="C112" s="9"/>
      <c r="G112" s="11"/>
      <c r="H112" s="32"/>
      <c r="I112" s="33"/>
      <c r="J112" s="32"/>
      <c r="K112" s="32"/>
      <c r="L112" s="32"/>
      <c r="M112" s="35"/>
    </row>
    <row r="113" spans="2:13" ht="12.75">
      <c r="B113" s="9" t="s">
        <v>13</v>
      </c>
      <c r="C113" s="9" t="s">
        <v>245</v>
      </c>
      <c r="D113" s="9" t="s">
        <v>14</v>
      </c>
      <c r="E113" s="9" t="s">
        <v>15</v>
      </c>
      <c r="G113" s="19">
        <v>0.0042</v>
      </c>
      <c r="H113" s="19"/>
      <c r="I113" s="29">
        <v>0.0048</v>
      </c>
      <c r="J113" s="19"/>
      <c r="K113" s="19">
        <v>0.0036</v>
      </c>
      <c r="L113" s="26"/>
      <c r="M113" s="12">
        <f>AVERAGE(G113,I113,K113)</f>
        <v>0.0042</v>
      </c>
    </row>
    <row r="114" spans="2:13" ht="12.75">
      <c r="B114" s="9" t="s">
        <v>127</v>
      </c>
      <c r="C114" s="9" t="s">
        <v>245</v>
      </c>
      <c r="D114" s="9" t="s">
        <v>16</v>
      </c>
      <c r="E114" s="9" t="s">
        <v>15</v>
      </c>
      <c r="G114" s="32"/>
      <c r="H114" s="32"/>
      <c r="I114" s="33"/>
      <c r="J114" s="32"/>
      <c r="K114" s="32"/>
      <c r="L114" s="26"/>
      <c r="M114" s="11">
        <v>25.6</v>
      </c>
    </row>
    <row r="115" spans="2:13" ht="12.75">
      <c r="B115" s="9" t="s">
        <v>130</v>
      </c>
      <c r="C115" s="9" t="s">
        <v>245</v>
      </c>
      <c r="D115" s="9" t="s">
        <v>16</v>
      </c>
      <c r="E115" s="9" t="s">
        <v>15</v>
      </c>
      <c r="G115" s="32"/>
      <c r="H115" s="32"/>
      <c r="I115" s="33"/>
      <c r="J115" s="32"/>
      <c r="K115" s="32"/>
      <c r="L115" s="26"/>
      <c r="M115" s="11">
        <v>1.6</v>
      </c>
    </row>
    <row r="116" spans="2:13" ht="12.75">
      <c r="B116" s="9" t="s">
        <v>122</v>
      </c>
      <c r="C116" s="9" t="s">
        <v>246</v>
      </c>
      <c r="D116" s="9" t="s">
        <v>16</v>
      </c>
      <c r="E116" s="9" t="s">
        <v>15</v>
      </c>
      <c r="G116" s="32"/>
      <c r="H116" s="32"/>
      <c r="I116" s="33"/>
      <c r="J116" s="32"/>
      <c r="K116" s="32"/>
      <c r="L116" s="26"/>
      <c r="M116" s="31">
        <v>113.1</v>
      </c>
    </row>
    <row r="117" spans="2:13" ht="12.75">
      <c r="B117" s="9" t="s">
        <v>147</v>
      </c>
      <c r="C117" s="9" t="s">
        <v>246</v>
      </c>
      <c r="D117" s="9" t="s">
        <v>16</v>
      </c>
      <c r="E117" s="9" t="s">
        <v>15</v>
      </c>
      <c r="G117" s="32"/>
      <c r="H117" s="32"/>
      <c r="I117" s="33"/>
      <c r="J117" s="32"/>
      <c r="K117" s="32"/>
      <c r="L117" s="26"/>
      <c r="M117" s="31">
        <v>0.9</v>
      </c>
    </row>
    <row r="118" spans="2:13" ht="12.75">
      <c r="B118" s="9"/>
      <c r="C118" s="9"/>
      <c r="G118" s="32"/>
      <c r="H118" s="32"/>
      <c r="I118" s="33"/>
      <c r="J118" s="32"/>
      <c r="K118" s="32"/>
      <c r="L118" s="26"/>
      <c r="M118" s="31"/>
    </row>
    <row r="119" spans="2:13" ht="12.75">
      <c r="B119" s="9" t="s">
        <v>52</v>
      </c>
      <c r="C119" s="9"/>
      <c r="D119" s="9" t="s">
        <v>55</v>
      </c>
      <c r="E119" s="9" t="s">
        <v>82</v>
      </c>
      <c r="G119" s="32">
        <v>0.135</v>
      </c>
      <c r="H119" s="32"/>
      <c r="I119" s="33">
        <v>0.173</v>
      </c>
      <c r="J119" s="32"/>
      <c r="K119" s="32">
        <v>0.286</v>
      </c>
      <c r="L119" s="26"/>
      <c r="M119" s="31"/>
    </row>
    <row r="120" spans="2:13" ht="12.75">
      <c r="B120" s="9" t="s">
        <v>52</v>
      </c>
      <c r="C120" s="9" t="s">
        <v>245</v>
      </c>
      <c r="D120" s="9" t="s">
        <v>16</v>
      </c>
      <c r="E120" s="9" t="s">
        <v>15</v>
      </c>
      <c r="G120" s="10">
        <f>G119*454/60/0.0283/G143*(21-7)/(21-G144)*667.8</f>
        <v>2.2861964591920296</v>
      </c>
      <c r="H120" s="10"/>
      <c r="I120" s="10">
        <f>I119*454/60/0.0283/I143*(21-7)/(21-I144)*667.8</f>
        <v>2.951086507778328</v>
      </c>
      <c r="J120" s="10"/>
      <c r="K120" s="10">
        <f>K119*454/60/0.0283/K143*(21-7)/(21-K144)*667.8</f>
        <v>4.762336674829747</v>
      </c>
      <c r="L120" s="10"/>
      <c r="M120" s="10">
        <f>AVERAGE(G120,I120,K120)</f>
        <v>3.333206547266702</v>
      </c>
    </row>
    <row r="121" spans="2:13" ht="12.75">
      <c r="B121" s="9"/>
      <c r="C121" s="9"/>
      <c r="G121" s="32"/>
      <c r="H121" s="32"/>
      <c r="I121" s="33"/>
      <c r="J121" s="32"/>
      <c r="K121" s="32"/>
      <c r="L121" s="26"/>
      <c r="M121" s="34"/>
    </row>
    <row r="122" spans="2:13" ht="12.75">
      <c r="B122" s="9" t="s">
        <v>80</v>
      </c>
      <c r="C122" s="9" t="s">
        <v>121</v>
      </c>
      <c r="G122" s="32"/>
      <c r="H122" s="32"/>
      <c r="I122" s="33"/>
      <c r="J122" s="32"/>
      <c r="K122" s="32"/>
      <c r="M122" s="35"/>
    </row>
    <row r="123" spans="2:13" ht="12.75">
      <c r="B123" s="9" t="s">
        <v>104</v>
      </c>
      <c r="C123" s="9"/>
      <c r="D123" s="9" t="s">
        <v>55</v>
      </c>
      <c r="G123" s="32">
        <v>524.92</v>
      </c>
      <c r="I123" s="33">
        <v>625.74</v>
      </c>
      <c r="K123" s="32">
        <v>564.51</v>
      </c>
      <c r="M123" s="35"/>
    </row>
    <row r="124" spans="2:13" ht="12.75">
      <c r="B124" s="9" t="s">
        <v>120</v>
      </c>
      <c r="C124" s="9" t="s">
        <v>246</v>
      </c>
      <c r="D124" s="9" t="s">
        <v>55</v>
      </c>
      <c r="G124" s="36">
        <v>0.0005917366666666667</v>
      </c>
      <c r="H124" s="32"/>
      <c r="I124" s="36">
        <f>(0.00063601+0.0005903+0.00070981)/3</f>
        <v>0.0006453733333333334</v>
      </c>
      <c r="J124" s="32"/>
      <c r="K124" s="36">
        <f>(0.00062998+0.00065219+0.0007222)/3</f>
        <v>0.0006681233333333333</v>
      </c>
      <c r="M124" s="72"/>
    </row>
    <row r="125" spans="2:13" ht="12.75">
      <c r="B125" s="9" t="s">
        <v>54</v>
      </c>
      <c r="C125" s="9" t="s">
        <v>246</v>
      </c>
      <c r="D125" s="9" t="s">
        <v>18</v>
      </c>
      <c r="G125" s="32">
        <v>99.99988753333332</v>
      </c>
      <c r="H125" s="32"/>
      <c r="I125" s="33">
        <f>(99.9998984+99.9999057+99.9998866)/3</f>
        <v>99.9998969</v>
      </c>
      <c r="J125" s="32"/>
      <c r="K125" s="32">
        <f>(99.9998884+99.9998845+99.9998721)/3</f>
        <v>99.99988166666667</v>
      </c>
      <c r="M125" s="35"/>
    </row>
    <row r="126" spans="2:13" ht="12.75">
      <c r="B126" s="9"/>
      <c r="C126" s="9"/>
      <c r="G126" s="32"/>
      <c r="H126" s="32"/>
      <c r="I126" s="33"/>
      <c r="J126" s="32"/>
      <c r="K126" s="32"/>
      <c r="M126" s="35"/>
    </row>
    <row r="127" spans="2:13" ht="12.75">
      <c r="B127" s="9" t="s">
        <v>80</v>
      </c>
      <c r="C127" s="9" t="s">
        <v>143</v>
      </c>
      <c r="G127" s="32"/>
      <c r="H127" s="32"/>
      <c r="I127" s="33"/>
      <c r="J127" s="32"/>
      <c r="K127" s="32"/>
      <c r="M127" s="35"/>
    </row>
    <row r="128" spans="2:11" ht="12.75">
      <c r="B128" s="9" t="s">
        <v>104</v>
      </c>
      <c r="C128" s="9"/>
      <c r="D128" s="9" t="s">
        <v>55</v>
      </c>
      <c r="G128" s="32">
        <v>88.48</v>
      </c>
      <c r="I128" s="33">
        <v>84.27</v>
      </c>
      <c r="K128" s="32">
        <v>88.49</v>
      </c>
    </row>
    <row r="129" spans="2:13" ht="12.75">
      <c r="B129" s="9" t="s">
        <v>120</v>
      </c>
      <c r="C129" s="9" t="s">
        <v>246</v>
      </c>
      <c r="D129" s="9" t="s">
        <v>55</v>
      </c>
      <c r="G129" s="37">
        <v>0.0005917366666666667</v>
      </c>
      <c r="I129" s="36">
        <f>AVERAGE(0.0006155,0.00056669,0.00070981)</f>
        <v>0.0006306666666666666</v>
      </c>
      <c r="K129" s="37">
        <f>AVERAGE(0.00062998,0.00062138,0.0006824)</f>
        <v>0.0006445866666666667</v>
      </c>
      <c r="M129" s="37"/>
    </row>
    <row r="130" spans="2:11" ht="12.75">
      <c r="B130" s="9" t="s">
        <v>54</v>
      </c>
      <c r="C130" s="9" t="s">
        <v>246</v>
      </c>
      <c r="D130" s="9" t="s">
        <v>18</v>
      </c>
      <c r="G130" s="32">
        <v>99.99933119999999</v>
      </c>
      <c r="I130" s="33">
        <f>AVERAGE(99.9992696,99.9993275,99.9991577)</f>
        <v>99.9992516</v>
      </c>
      <c r="K130" s="32">
        <f>AVERAGE(99.9992881,99.9992978,99.9992288)</f>
        <v>99.99927156666666</v>
      </c>
    </row>
    <row r="131" spans="2:13" ht="12.75">
      <c r="B131" s="9"/>
      <c r="C131" s="9"/>
      <c r="G131" s="32"/>
      <c r="H131" s="32"/>
      <c r="I131" s="33"/>
      <c r="J131" s="32"/>
      <c r="K131" s="32"/>
      <c r="M131" s="35"/>
    </row>
    <row r="132" spans="2:13" ht="12.75">
      <c r="B132" s="9" t="s">
        <v>80</v>
      </c>
      <c r="C132" s="24" t="s">
        <v>144</v>
      </c>
      <c r="I132" s="24"/>
      <c r="M132" s="35"/>
    </row>
    <row r="133" spans="2:13" ht="12.75">
      <c r="B133" s="9" t="s">
        <v>104</v>
      </c>
      <c r="C133" s="9"/>
      <c r="D133" s="9" t="s">
        <v>55</v>
      </c>
      <c r="G133" s="11">
        <f>22512/454</f>
        <v>49.585903083700444</v>
      </c>
      <c r="H133" s="11"/>
      <c r="I133" s="11">
        <f>25845/454</f>
        <v>56.9273127753304</v>
      </c>
      <c r="J133" s="11"/>
      <c r="K133" s="11">
        <f>23197/454</f>
        <v>51.09471365638767</v>
      </c>
      <c r="M133" s="35"/>
    </row>
    <row r="134" spans="2:13" ht="12.75">
      <c r="B134" s="9" t="s">
        <v>120</v>
      </c>
      <c r="C134" s="9" t="s">
        <v>246</v>
      </c>
      <c r="D134" s="9" t="s">
        <v>55</v>
      </c>
      <c r="G134" s="36">
        <f>0.025/454</f>
        <v>5.506607929515419E-05</v>
      </c>
      <c r="H134" s="32"/>
      <c r="I134" s="36">
        <f>0.025/454</f>
        <v>5.506607929515419E-05</v>
      </c>
      <c r="J134" s="32"/>
      <c r="K134" s="36">
        <f>0.046/454</f>
        <v>0.0001013215859030837</v>
      </c>
      <c r="M134" s="35"/>
    </row>
    <row r="135" spans="2:13" ht="12.75">
      <c r="B135" s="9" t="s">
        <v>54</v>
      </c>
      <c r="C135" s="9" t="s">
        <v>246</v>
      </c>
      <c r="D135" s="9" t="s">
        <v>18</v>
      </c>
      <c r="G135" s="32">
        <v>99.9999</v>
      </c>
      <c r="H135" s="32"/>
      <c r="I135" s="33">
        <v>99.9999</v>
      </c>
      <c r="J135" s="32"/>
      <c r="K135" s="32">
        <v>99.9999</v>
      </c>
      <c r="M135" s="35"/>
    </row>
    <row r="136" spans="2:13" ht="12.75">
      <c r="B136" s="9"/>
      <c r="C136" s="9"/>
      <c r="G136" s="32"/>
      <c r="H136" s="32"/>
      <c r="I136" s="33"/>
      <c r="J136" s="32"/>
      <c r="K136" s="32"/>
      <c r="M136" s="35"/>
    </row>
    <row r="137" spans="2:13" ht="12.75">
      <c r="B137" s="9" t="s">
        <v>80</v>
      </c>
      <c r="C137" s="9" t="s">
        <v>145</v>
      </c>
      <c r="G137" s="32"/>
      <c r="H137" s="32"/>
      <c r="I137" s="33"/>
      <c r="J137" s="32"/>
      <c r="K137" s="32"/>
      <c r="M137" s="35"/>
    </row>
    <row r="138" spans="2:13" ht="12.75">
      <c r="B138" s="9" t="s">
        <v>104</v>
      </c>
      <c r="C138" s="9"/>
      <c r="D138" s="9" t="s">
        <v>55</v>
      </c>
      <c r="G138" s="11">
        <f>29464/454</f>
        <v>64.89867841409692</v>
      </c>
      <c r="H138" s="11"/>
      <c r="I138" s="11">
        <f>31731/454</f>
        <v>69.8920704845815</v>
      </c>
      <c r="J138" s="11"/>
      <c r="K138" s="11">
        <f>31731/454</f>
        <v>69.8920704845815</v>
      </c>
      <c r="M138" s="35"/>
    </row>
    <row r="139" spans="2:13" ht="12.75">
      <c r="B139" s="9" t="s">
        <v>120</v>
      </c>
      <c r="C139" s="9" t="s">
        <v>246</v>
      </c>
      <c r="D139" s="9" t="s">
        <v>55</v>
      </c>
      <c r="G139" s="36">
        <f>0.025/454</f>
        <v>5.506607929515419E-05</v>
      </c>
      <c r="H139" s="32"/>
      <c r="I139" s="36">
        <f>0.025/454</f>
        <v>5.506607929515419E-05</v>
      </c>
      <c r="J139" s="32"/>
      <c r="K139" s="36">
        <f>0.046/454</f>
        <v>0.0001013215859030837</v>
      </c>
      <c r="M139" s="35"/>
    </row>
    <row r="140" spans="2:13" ht="12.75">
      <c r="B140" s="9" t="s">
        <v>54</v>
      </c>
      <c r="C140" s="9" t="s">
        <v>246</v>
      </c>
      <c r="D140" s="9" t="s">
        <v>18</v>
      </c>
      <c r="G140" s="32">
        <v>99.9999</v>
      </c>
      <c r="H140" s="32"/>
      <c r="I140" s="33">
        <v>99.9999</v>
      </c>
      <c r="J140" s="32"/>
      <c r="K140" s="32">
        <v>99.9999</v>
      </c>
      <c r="M140" s="35"/>
    </row>
    <row r="141" spans="2:11" ht="12.75">
      <c r="B141" s="9"/>
      <c r="C141" s="9"/>
      <c r="G141" s="32"/>
      <c r="I141" s="33"/>
      <c r="K141" s="32"/>
    </row>
    <row r="142" spans="2:13" ht="12.75">
      <c r="B142" s="9" t="s">
        <v>107</v>
      </c>
      <c r="C142" s="9" t="s">
        <v>173</v>
      </c>
      <c r="D142" s="9" t="s">
        <v>245</v>
      </c>
      <c r="L142" s="26"/>
      <c r="M142" s="35"/>
    </row>
    <row r="143" spans="2:13" ht="12.75">
      <c r="B143" s="9" t="s">
        <v>90</v>
      </c>
      <c r="C143" s="9"/>
      <c r="D143" s="9" t="s">
        <v>17</v>
      </c>
      <c r="G143" s="32">
        <v>21087</v>
      </c>
      <c r="H143" s="32"/>
      <c r="I143" s="33">
        <v>20074</v>
      </c>
      <c r="J143" s="13"/>
      <c r="K143" s="32">
        <v>20850</v>
      </c>
      <c r="L143" s="26"/>
      <c r="M143" s="35">
        <f>AVERAGE(G143,I143,K143)</f>
        <v>20670.333333333332</v>
      </c>
    </row>
    <row r="144" spans="2:13" ht="12.75">
      <c r="B144" s="9" t="s">
        <v>105</v>
      </c>
      <c r="C144" s="9"/>
      <c r="D144" s="9" t="s">
        <v>18</v>
      </c>
      <c r="G144" s="32">
        <v>14</v>
      </c>
      <c r="H144" s="32"/>
      <c r="I144" s="33">
        <v>13.7</v>
      </c>
      <c r="J144" s="32"/>
      <c r="K144" s="32">
        <v>13.8</v>
      </c>
      <c r="M144" s="35">
        <f>AVERAGE(G144,I144,K144)</f>
        <v>13.833333333333334</v>
      </c>
    </row>
    <row r="145" spans="2:13" ht="12.75">
      <c r="B145" s="9" t="s">
        <v>106</v>
      </c>
      <c r="C145" s="9"/>
      <c r="D145" s="9" t="s">
        <v>18</v>
      </c>
      <c r="G145" s="32">
        <v>35.5</v>
      </c>
      <c r="H145" s="32"/>
      <c r="I145" s="33">
        <v>37.1</v>
      </c>
      <c r="J145" s="32"/>
      <c r="K145" s="32">
        <v>36.5</v>
      </c>
      <c r="M145" s="35">
        <f>AVERAGE(G145,I145,K145)</f>
        <v>36.36666666666667</v>
      </c>
    </row>
    <row r="146" spans="2:13" ht="12.75">
      <c r="B146" s="9" t="s">
        <v>89</v>
      </c>
      <c r="C146" s="9"/>
      <c r="D146" s="9" t="s">
        <v>19</v>
      </c>
      <c r="G146" s="32">
        <v>297</v>
      </c>
      <c r="H146" s="32"/>
      <c r="I146" s="33">
        <v>303</v>
      </c>
      <c r="J146" s="32"/>
      <c r="K146" s="32">
        <v>300</v>
      </c>
      <c r="M146" s="35">
        <f>AVERAGE(G146,I146,K146)</f>
        <v>300</v>
      </c>
    </row>
    <row r="147" spans="2:13" ht="12.75">
      <c r="B147" s="9"/>
      <c r="C147" s="9"/>
      <c r="G147" s="32"/>
      <c r="H147" s="32"/>
      <c r="I147" s="33"/>
      <c r="J147" s="32"/>
      <c r="K147" s="32"/>
      <c r="M147" s="35"/>
    </row>
    <row r="148" spans="2:13" ht="12.75">
      <c r="B148" s="9" t="s">
        <v>107</v>
      </c>
      <c r="C148" s="9" t="s">
        <v>171</v>
      </c>
      <c r="D148" s="9" t="s">
        <v>246</v>
      </c>
      <c r="G148" s="32"/>
      <c r="H148" s="32"/>
      <c r="I148" s="33"/>
      <c r="J148" s="32"/>
      <c r="K148" s="32"/>
      <c r="M148" s="35"/>
    </row>
    <row r="149" spans="2:13" ht="12.75">
      <c r="B149" s="9" t="s">
        <v>90</v>
      </c>
      <c r="C149" s="9"/>
      <c r="D149" s="9" t="s">
        <v>17</v>
      </c>
      <c r="G149" s="32">
        <v>21061</v>
      </c>
      <c r="H149" s="32"/>
      <c r="I149" s="33">
        <v>21061</v>
      </c>
      <c r="J149" s="32"/>
      <c r="K149" s="32">
        <v>21061</v>
      </c>
      <c r="M149" s="35">
        <f>AVERAGE(G149,I149,K149)</f>
        <v>21061</v>
      </c>
    </row>
    <row r="150" spans="2:13" ht="12.75">
      <c r="B150" s="9" t="s">
        <v>105</v>
      </c>
      <c r="C150" s="9"/>
      <c r="D150" s="9" t="s">
        <v>18</v>
      </c>
      <c r="G150" s="32"/>
      <c r="H150" s="32"/>
      <c r="I150" s="33"/>
      <c r="J150" s="32"/>
      <c r="K150" s="32"/>
      <c r="M150" s="35"/>
    </row>
    <row r="151" spans="2:13" ht="12.75">
      <c r="B151" s="9" t="s">
        <v>106</v>
      </c>
      <c r="C151" s="9"/>
      <c r="D151" s="9" t="s">
        <v>18</v>
      </c>
      <c r="G151" s="32"/>
      <c r="H151" s="32"/>
      <c r="I151" s="33"/>
      <c r="J151" s="32"/>
      <c r="K151" s="32"/>
      <c r="M151" s="35"/>
    </row>
    <row r="152" spans="2:13" ht="12.75">
      <c r="B152" s="9" t="s">
        <v>89</v>
      </c>
      <c r="C152" s="9"/>
      <c r="D152" s="9" t="s">
        <v>19</v>
      </c>
      <c r="G152" s="32"/>
      <c r="H152" s="32"/>
      <c r="I152" s="33"/>
      <c r="J152" s="32"/>
      <c r="K152" s="32"/>
      <c r="M152" s="35"/>
    </row>
    <row r="153" spans="2:13" ht="12.75">
      <c r="B153" s="9"/>
      <c r="C153" s="9"/>
      <c r="G153" s="32"/>
      <c r="H153" s="32"/>
      <c r="I153" s="33"/>
      <c r="J153" s="32"/>
      <c r="K153" s="32"/>
      <c r="M153" s="35"/>
    </row>
    <row r="154" spans="2:13" ht="12.75">
      <c r="B154" s="9" t="s">
        <v>107</v>
      </c>
      <c r="C154" s="9" t="s">
        <v>124</v>
      </c>
      <c r="D154" s="9" t="s">
        <v>247</v>
      </c>
      <c r="G154" s="32"/>
      <c r="H154" s="32"/>
      <c r="I154" s="33"/>
      <c r="J154" s="32"/>
      <c r="K154" s="32"/>
      <c r="M154" s="35"/>
    </row>
    <row r="155" spans="2:13" ht="12.75">
      <c r="B155" s="9" t="s">
        <v>90</v>
      </c>
      <c r="C155" s="9"/>
      <c r="D155" s="9" t="s">
        <v>17</v>
      </c>
      <c r="G155" s="32">
        <v>21134</v>
      </c>
      <c r="H155" s="32"/>
      <c r="I155" s="33">
        <v>21393</v>
      </c>
      <c r="J155" s="32"/>
      <c r="K155" s="32">
        <v>20966</v>
      </c>
      <c r="M155" s="35">
        <f>AVERAGE(G155,I155,K155)</f>
        <v>21164.333333333332</v>
      </c>
    </row>
    <row r="156" spans="2:13" ht="12.75">
      <c r="B156" s="9" t="s">
        <v>105</v>
      </c>
      <c r="C156" s="9"/>
      <c r="D156" s="9" t="s">
        <v>18</v>
      </c>
      <c r="G156" s="32">
        <v>14</v>
      </c>
      <c r="I156" s="33">
        <v>13.7</v>
      </c>
      <c r="K156" s="32">
        <v>13.8</v>
      </c>
      <c r="M156" s="35">
        <f>AVERAGE(G156,I156,K156)</f>
        <v>13.833333333333334</v>
      </c>
    </row>
    <row r="157" spans="2:13" ht="12.75">
      <c r="B157" s="9" t="s">
        <v>106</v>
      </c>
      <c r="C157" s="9"/>
      <c r="D157" s="9" t="s">
        <v>18</v>
      </c>
      <c r="G157" s="32">
        <v>35.4</v>
      </c>
      <c r="H157" s="32"/>
      <c r="I157" s="33">
        <v>36.5</v>
      </c>
      <c r="J157" s="32"/>
      <c r="K157" s="32">
        <v>36.7</v>
      </c>
      <c r="M157" s="35">
        <f>AVERAGE(G157,I157,K157)</f>
        <v>36.2</v>
      </c>
    </row>
    <row r="158" spans="2:13" ht="12.75">
      <c r="B158" s="9" t="s">
        <v>89</v>
      </c>
      <c r="C158" s="9"/>
      <c r="D158" s="9" t="s">
        <v>19</v>
      </c>
      <c r="G158" s="32">
        <v>298</v>
      </c>
      <c r="H158" s="32"/>
      <c r="I158" s="33">
        <v>297</v>
      </c>
      <c r="J158" s="32"/>
      <c r="K158" s="32">
        <v>300</v>
      </c>
      <c r="M158" s="35">
        <f>AVERAGE(G158,I158,K158)</f>
        <v>298.3333333333333</v>
      </c>
    </row>
    <row r="159" spans="2:13" ht="12.75">
      <c r="B159" s="9"/>
      <c r="C159" s="9"/>
      <c r="G159" s="32"/>
      <c r="H159" s="32"/>
      <c r="I159" s="33"/>
      <c r="J159" s="32"/>
      <c r="K159" s="32"/>
      <c r="M159" s="35"/>
    </row>
    <row r="160" spans="2:13" ht="12.75">
      <c r="B160" s="9" t="s">
        <v>107</v>
      </c>
      <c r="C160" s="9" t="s">
        <v>151</v>
      </c>
      <c r="D160" s="9" t="s">
        <v>248</v>
      </c>
      <c r="G160" s="32"/>
      <c r="H160" s="32"/>
      <c r="I160" s="33"/>
      <c r="J160" s="32"/>
      <c r="K160" s="32"/>
      <c r="M160" s="35"/>
    </row>
    <row r="161" spans="2:13" ht="12.75">
      <c r="B161" s="9" t="s">
        <v>90</v>
      </c>
      <c r="C161" s="9"/>
      <c r="D161" s="9" t="s">
        <v>17</v>
      </c>
      <c r="G161" s="32">
        <v>21089</v>
      </c>
      <c r="H161" s="32"/>
      <c r="I161" s="33">
        <v>20568</v>
      </c>
      <c r="J161" s="32"/>
      <c r="K161" s="32">
        <v>21069</v>
      </c>
      <c r="M161" s="35">
        <f>AVERAGE(G161,I161,K161)</f>
        <v>20908.666666666668</v>
      </c>
    </row>
    <row r="162" spans="2:13" ht="12.75">
      <c r="B162" s="9" t="s">
        <v>105</v>
      </c>
      <c r="C162" s="9"/>
      <c r="D162" s="9" t="s">
        <v>18</v>
      </c>
      <c r="G162" s="32">
        <v>14</v>
      </c>
      <c r="H162" s="32"/>
      <c r="I162" s="33">
        <v>13.7</v>
      </c>
      <c r="J162" s="32"/>
      <c r="K162" s="32">
        <v>13.8</v>
      </c>
      <c r="M162" s="35">
        <f>AVERAGE(G162,I162,K162)</f>
        <v>13.833333333333334</v>
      </c>
    </row>
    <row r="163" spans="2:13" ht="12.75">
      <c r="B163" s="9" t="s">
        <v>106</v>
      </c>
      <c r="C163" s="9"/>
      <c r="D163" s="9" t="s">
        <v>18</v>
      </c>
      <c r="G163" s="32">
        <v>35.6</v>
      </c>
      <c r="H163" s="32"/>
      <c r="I163" s="33">
        <v>37.2</v>
      </c>
      <c r="J163" s="32"/>
      <c r="K163" s="32">
        <v>36.7</v>
      </c>
      <c r="M163" s="35">
        <f>AVERAGE(G163,I163,K163)</f>
        <v>36.50000000000001</v>
      </c>
    </row>
    <row r="164" spans="2:13" ht="12.75">
      <c r="B164" s="9" t="s">
        <v>89</v>
      </c>
      <c r="C164" s="9"/>
      <c r="D164" s="9" t="s">
        <v>19</v>
      </c>
      <c r="G164" s="32">
        <v>290</v>
      </c>
      <c r="H164" s="32"/>
      <c r="I164" s="33">
        <v>300</v>
      </c>
      <c r="J164" s="32"/>
      <c r="K164" s="32">
        <v>293</v>
      </c>
      <c r="M164" s="35">
        <f>AVERAGE(G164,I164,K164)</f>
        <v>294.3333333333333</v>
      </c>
    </row>
    <row r="165" spans="2:13" ht="12.75">
      <c r="B165" s="9"/>
      <c r="C165" s="9"/>
      <c r="G165" s="32"/>
      <c r="H165" s="32"/>
      <c r="I165" s="33"/>
      <c r="J165" s="32"/>
      <c r="K165" s="32"/>
      <c r="M165" s="35"/>
    </row>
    <row r="166" spans="2:13" ht="12.75">
      <c r="B166" s="9"/>
      <c r="C166" s="9"/>
      <c r="G166" s="32"/>
      <c r="H166" s="32"/>
      <c r="I166" s="33"/>
      <c r="J166" s="32"/>
      <c r="K166" s="32"/>
      <c r="M166" s="35"/>
    </row>
    <row r="167" spans="1:13" ht="12.75">
      <c r="A167" s="24">
        <v>13</v>
      </c>
      <c r="B167" s="28" t="s">
        <v>205</v>
      </c>
      <c r="C167" s="28" t="s">
        <v>182</v>
      </c>
      <c r="G167" s="26" t="s">
        <v>220</v>
      </c>
      <c r="H167" s="26"/>
      <c r="I167" s="27" t="s">
        <v>221</v>
      </c>
      <c r="J167" s="26"/>
      <c r="K167" s="26" t="s">
        <v>222</v>
      </c>
      <c r="L167" s="26"/>
      <c r="M167" s="26" t="s">
        <v>223</v>
      </c>
    </row>
    <row r="168" spans="2:13" ht="12.75">
      <c r="B168" s="28"/>
      <c r="C168" s="28"/>
      <c r="G168" s="32"/>
      <c r="H168" s="32"/>
      <c r="I168" s="33"/>
      <c r="J168" s="32"/>
      <c r="K168" s="32"/>
      <c r="M168" s="35"/>
    </row>
    <row r="169" spans="2:13" ht="12.75">
      <c r="B169" s="9" t="s">
        <v>13</v>
      </c>
      <c r="C169" s="9" t="s">
        <v>245</v>
      </c>
      <c r="D169" s="9" t="s">
        <v>14</v>
      </c>
      <c r="E169" s="9" t="s">
        <v>15</v>
      </c>
      <c r="G169" s="32">
        <v>0.0037</v>
      </c>
      <c r="H169" s="32"/>
      <c r="I169" s="33">
        <v>0.0024</v>
      </c>
      <c r="J169" s="32"/>
      <c r="K169" s="32">
        <v>0.0024</v>
      </c>
      <c r="M169" s="12">
        <f>AVERAGE(G169,I169,K169)</f>
        <v>0.002833333333333333</v>
      </c>
    </row>
    <row r="170" spans="2:13" ht="12.75">
      <c r="B170" s="9" t="s">
        <v>127</v>
      </c>
      <c r="C170" s="9" t="s">
        <v>245</v>
      </c>
      <c r="D170" s="9" t="s">
        <v>16</v>
      </c>
      <c r="E170" s="9" t="s">
        <v>15</v>
      </c>
      <c r="G170" s="32"/>
      <c r="H170" s="32"/>
      <c r="I170" s="33"/>
      <c r="J170" s="32"/>
      <c r="K170" s="32"/>
      <c r="M170" s="10">
        <v>6.5</v>
      </c>
    </row>
    <row r="171" spans="2:13" ht="12.75">
      <c r="B171" s="9" t="s">
        <v>72</v>
      </c>
      <c r="C171" s="9" t="s">
        <v>245</v>
      </c>
      <c r="D171" s="9" t="s">
        <v>16</v>
      </c>
      <c r="E171" s="9" t="s">
        <v>15</v>
      </c>
      <c r="G171" s="32"/>
      <c r="H171" s="32"/>
      <c r="I171" s="33"/>
      <c r="J171" s="32"/>
      <c r="K171" s="32"/>
      <c r="M171" s="10">
        <v>1.8</v>
      </c>
    </row>
    <row r="172" spans="2:13" ht="12.75">
      <c r="B172" s="9" t="s">
        <v>122</v>
      </c>
      <c r="C172" s="9" t="s">
        <v>245</v>
      </c>
      <c r="D172" s="9" t="s">
        <v>16</v>
      </c>
      <c r="E172" s="9" t="s">
        <v>15</v>
      </c>
      <c r="G172" s="32"/>
      <c r="H172" s="32"/>
      <c r="I172" s="33"/>
      <c r="J172" s="32"/>
      <c r="K172" s="32"/>
      <c r="M172" s="10">
        <v>223.3</v>
      </c>
    </row>
    <row r="173" spans="2:13" ht="12.75">
      <c r="B173" s="9" t="s">
        <v>147</v>
      </c>
      <c r="C173" s="9" t="s">
        <v>245</v>
      </c>
      <c r="D173" s="9" t="s">
        <v>16</v>
      </c>
      <c r="E173" s="9" t="s">
        <v>15</v>
      </c>
      <c r="G173" s="38"/>
      <c r="H173" s="38"/>
      <c r="I173" s="39"/>
      <c r="J173" s="38"/>
      <c r="K173" s="38"/>
      <c r="M173" s="10">
        <v>1.2</v>
      </c>
    </row>
    <row r="174" spans="2:13" ht="12.75">
      <c r="B174" s="9"/>
      <c r="C174" s="9"/>
      <c r="G174" s="38"/>
      <c r="H174" s="38"/>
      <c r="I174" s="39"/>
      <c r="J174" s="38"/>
      <c r="K174" s="38"/>
      <c r="M174" s="35"/>
    </row>
    <row r="175" spans="2:13" ht="12.75">
      <c r="B175" s="9" t="s">
        <v>52</v>
      </c>
      <c r="C175" s="9"/>
      <c r="D175" s="9" t="s">
        <v>55</v>
      </c>
      <c r="E175" s="9" t="s">
        <v>82</v>
      </c>
      <c r="G175" s="33">
        <v>0.759</v>
      </c>
      <c r="H175" s="32"/>
      <c r="I175" s="32">
        <v>0.523</v>
      </c>
      <c r="K175" s="24">
        <v>0.331</v>
      </c>
      <c r="M175" s="35"/>
    </row>
    <row r="176" spans="2:13" ht="12.75">
      <c r="B176" s="9" t="s">
        <v>52</v>
      </c>
      <c r="C176" s="9" t="s">
        <v>245</v>
      </c>
      <c r="D176" s="9" t="s">
        <v>16</v>
      </c>
      <c r="E176" s="9" t="s">
        <v>15</v>
      </c>
      <c r="G176" s="66">
        <f>G175*454/60/0.0283/G194*(21-7)/(21-G195)*667.8</f>
        <v>12.87281257878376</v>
      </c>
      <c r="H176" s="66"/>
      <c r="I176" s="66">
        <f>I175*454/60/0.0283/I194*(21-7)/(21-I195)*667.8</f>
        <v>8.950088518233034</v>
      </c>
      <c r="J176" s="66"/>
      <c r="K176" s="66">
        <f>K175*454/60/0.0283/K194*(21-7)/(21-K195)*667.8</f>
        <v>6.051501565202938</v>
      </c>
      <c r="L176" s="35"/>
      <c r="M176" s="66">
        <f>AVERAGE(G176,I176,K176)</f>
        <v>9.291467554073245</v>
      </c>
    </row>
    <row r="177" spans="2:13" ht="12.75">
      <c r="B177" s="9"/>
      <c r="C177" s="9"/>
      <c r="G177" s="38"/>
      <c r="H177" s="38"/>
      <c r="I177" s="39"/>
      <c r="J177" s="38"/>
      <c r="K177" s="38"/>
      <c r="M177" s="35"/>
    </row>
    <row r="178" spans="2:13" ht="12.75">
      <c r="B178" s="9" t="s">
        <v>92</v>
      </c>
      <c r="C178" s="9"/>
      <c r="D178" s="9" t="s">
        <v>55</v>
      </c>
      <c r="G178" s="69">
        <v>0.000899</v>
      </c>
      <c r="H178" s="38"/>
      <c r="I178" s="69">
        <v>0.000898</v>
      </c>
      <c r="J178" s="38"/>
      <c r="K178" s="69">
        <v>0.000872</v>
      </c>
      <c r="M178" s="35"/>
    </row>
    <row r="179" spans="2:13" ht="12.75">
      <c r="B179" s="9" t="s">
        <v>93</v>
      </c>
      <c r="C179" s="9"/>
      <c r="D179" s="9" t="s">
        <v>55</v>
      </c>
      <c r="G179" s="69">
        <v>7.47E-05</v>
      </c>
      <c r="H179" s="38"/>
      <c r="I179" s="69">
        <v>7.45E-05</v>
      </c>
      <c r="J179" s="38"/>
      <c r="K179" s="69">
        <v>7.21E-05</v>
      </c>
      <c r="M179" s="35"/>
    </row>
    <row r="180" spans="2:13" ht="12.75">
      <c r="B180" s="9" t="s">
        <v>94</v>
      </c>
      <c r="C180" s="9"/>
      <c r="D180" s="9" t="s">
        <v>55</v>
      </c>
      <c r="G180" s="69">
        <v>0.000162</v>
      </c>
      <c r="H180" s="38"/>
      <c r="I180" s="69">
        <v>0.000207</v>
      </c>
      <c r="J180" s="38"/>
      <c r="K180" s="69">
        <v>0.000201</v>
      </c>
      <c r="M180" s="35"/>
    </row>
    <row r="181" spans="2:13" ht="12.75">
      <c r="B181" s="9" t="s">
        <v>95</v>
      </c>
      <c r="C181" s="9"/>
      <c r="D181" s="9" t="s">
        <v>55</v>
      </c>
      <c r="G181" s="69">
        <v>2.99E-05</v>
      </c>
      <c r="H181" s="38"/>
      <c r="I181" s="69">
        <v>2.98E-05</v>
      </c>
      <c r="J181" s="38"/>
      <c r="K181" s="69">
        <v>2.92E-05</v>
      </c>
      <c r="M181" s="35"/>
    </row>
    <row r="182" spans="2:13" ht="12.75">
      <c r="B182" s="9" t="s">
        <v>96</v>
      </c>
      <c r="C182" s="9"/>
      <c r="D182" s="9" t="s">
        <v>55</v>
      </c>
      <c r="G182" s="69">
        <v>8.11E-05</v>
      </c>
      <c r="H182" s="38"/>
      <c r="I182" s="69">
        <v>0.00045</v>
      </c>
      <c r="J182" s="38"/>
      <c r="K182" s="69">
        <v>7.52E-05</v>
      </c>
      <c r="M182" s="35"/>
    </row>
    <row r="183" spans="2:13" ht="12.75">
      <c r="B183" s="9" t="s">
        <v>131</v>
      </c>
      <c r="C183" s="9"/>
      <c r="D183" s="9" t="s">
        <v>55</v>
      </c>
      <c r="G183" s="69">
        <v>0.000214</v>
      </c>
      <c r="H183" s="38"/>
      <c r="I183" s="69">
        <v>0.000246</v>
      </c>
      <c r="J183" s="38"/>
      <c r="K183" s="69">
        <v>0.000194</v>
      </c>
      <c r="M183" s="35"/>
    </row>
    <row r="184" spans="2:13" ht="12.75">
      <c r="B184" s="77" t="s">
        <v>249</v>
      </c>
      <c r="C184" s="9"/>
      <c r="D184" s="9" t="s">
        <v>55</v>
      </c>
      <c r="G184" s="69">
        <v>2.5E-05</v>
      </c>
      <c r="H184" s="38"/>
      <c r="I184" s="69">
        <v>0.000156</v>
      </c>
      <c r="J184" s="38"/>
      <c r="K184" s="69">
        <v>7.97E-05</v>
      </c>
      <c r="M184" s="35"/>
    </row>
    <row r="185" spans="2:13" ht="12.75">
      <c r="B185" s="9" t="s">
        <v>91</v>
      </c>
      <c r="C185" s="9"/>
      <c r="D185" s="9" t="s">
        <v>55</v>
      </c>
      <c r="G185" s="69">
        <v>0.000935</v>
      </c>
      <c r="H185" s="38"/>
      <c r="I185" s="69">
        <v>0.00125</v>
      </c>
      <c r="J185" s="38"/>
      <c r="K185" s="69">
        <v>0.00117</v>
      </c>
      <c r="M185" s="35"/>
    </row>
    <row r="186" spans="2:13" ht="12.75">
      <c r="B186" s="9" t="s">
        <v>97</v>
      </c>
      <c r="C186" s="9"/>
      <c r="D186" s="9" t="s">
        <v>55</v>
      </c>
      <c r="G186" s="69">
        <v>0.115</v>
      </c>
      <c r="H186" s="38"/>
      <c r="I186" s="69">
        <v>0.0225</v>
      </c>
      <c r="J186" s="38"/>
      <c r="K186" s="69">
        <v>0.0245</v>
      </c>
      <c r="M186" s="35"/>
    </row>
    <row r="187" spans="2:13" ht="12.75">
      <c r="B187" s="9" t="s">
        <v>98</v>
      </c>
      <c r="C187" s="9"/>
      <c r="D187" s="9" t="s">
        <v>55</v>
      </c>
      <c r="G187" s="69">
        <v>0.0006</v>
      </c>
      <c r="H187" s="38"/>
      <c r="I187" s="69">
        <v>0.000599</v>
      </c>
      <c r="J187" s="38"/>
      <c r="K187" s="69">
        <v>0.00058</v>
      </c>
      <c r="M187" s="35"/>
    </row>
    <row r="188" spans="2:13" ht="12.75">
      <c r="B188" s="9" t="s">
        <v>99</v>
      </c>
      <c r="C188" s="9"/>
      <c r="D188" s="9" t="s">
        <v>55</v>
      </c>
      <c r="G188" s="69">
        <v>7.47E-05</v>
      </c>
      <c r="H188" s="38"/>
      <c r="I188" s="69">
        <v>7.45E-05</v>
      </c>
      <c r="J188" s="38"/>
      <c r="K188" s="69">
        <v>7.21E-05</v>
      </c>
      <c r="M188" s="35"/>
    </row>
    <row r="189" spans="2:13" ht="12.75">
      <c r="B189" s="9" t="s">
        <v>100</v>
      </c>
      <c r="C189" s="9"/>
      <c r="D189" s="9" t="s">
        <v>55</v>
      </c>
      <c r="G189" s="69">
        <v>0.000149</v>
      </c>
      <c r="H189" s="38"/>
      <c r="I189" s="69">
        <v>0.000149</v>
      </c>
      <c r="J189" s="38"/>
      <c r="K189" s="69">
        <v>0.000144</v>
      </c>
      <c r="M189" s="35"/>
    </row>
    <row r="190" spans="2:13" ht="12.75">
      <c r="B190" s="9" t="s">
        <v>101</v>
      </c>
      <c r="C190" s="9"/>
      <c r="D190" s="9" t="s">
        <v>55</v>
      </c>
      <c r="G190" s="69">
        <v>7.47E-05</v>
      </c>
      <c r="H190" s="38"/>
      <c r="I190" s="69">
        <v>7.45E-05</v>
      </c>
      <c r="J190" s="38"/>
      <c r="K190" s="69">
        <v>7.21E-05</v>
      </c>
      <c r="M190" s="35"/>
    </row>
    <row r="191" spans="2:13" ht="12.75">
      <c r="B191" s="9"/>
      <c r="C191" s="9"/>
      <c r="G191" s="38"/>
      <c r="H191" s="38"/>
      <c r="I191" s="39"/>
      <c r="J191" s="38"/>
      <c r="K191" s="38"/>
      <c r="M191" s="35"/>
    </row>
    <row r="192" spans="2:13" ht="12.75">
      <c r="B192" s="9"/>
      <c r="C192" s="9"/>
      <c r="G192" s="38"/>
      <c r="H192" s="38"/>
      <c r="I192" s="39"/>
      <c r="J192" s="38"/>
      <c r="K192" s="38"/>
      <c r="M192" s="35"/>
    </row>
    <row r="193" spans="2:13" ht="12.75">
      <c r="B193" s="9" t="s">
        <v>107</v>
      </c>
      <c r="C193" s="9" t="s">
        <v>146</v>
      </c>
      <c r="D193" s="9" t="s">
        <v>245</v>
      </c>
      <c r="G193" s="38"/>
      <c r="H193" s="38"/>
      <c r="I193" s="39"/>
      <c r="J193" s="38"/>
      <c r="K193" s="38"/>
      <c r="M193" s="35"/>
    </row>
    <row r="194" spans="2:13" ht="12.75">
      <c r="B194" s="9" t="s">
        <v>90</v>
      </c>
      <c r="C194" s="9"/>
      <c r="D194" s="9" t="s">
        <v>17</v>
      </c>
      <c r="G194" s="38">
        <v>18196</v>
      </c>
      <c r="H194" s="38"/>
      <c r="I194" s="39">
        <v>18259</v>
      </c>
      <c r="J194" s="38"/>
      <c r="K194" s="38">
        <v>17091</v>
      </c>
      <c r="M194" s="10">
        <f>AVERAGE(G194,I194,K194)</f>
        <v>17848.666666666668</v>
      </c>
    </row>
    <row r="195" spans="2:13" ht="12.75">
      <c r="B195" s="9" t="s">
        <v>105</v>
      </c>
      <c r="C195" s="9"/>
      <c r="D195" s="9" t="s">
        <v>18</v>
      </c>
      <c r="G195" s="38">
        <v>12.9</v>
      </c>
      <c r="H195" s="38"/>
      <c r="I195" s="39">
        <v>13</v>
      </c>
      <c r="J195" s="38"/>
      <c r="K195" s="38">
        <v>13</v>
      </c>
      <c r="M195" s="10">
        <f>AVERAGE(G195,I195,K195)</f>
        <v>12.966666666666667</v>
      </c>
    </row>
    <row r="196" spans="2:13" ht="12.75">
      <c r="B196" s="9" t="s">
        <v>106</v>
      </c>
      <c r="C196" s="9"/>
      <c r="D196" s="9" t="s">
        <v>18</v>
      </c>
      <c r="G196" s="38">
        <v>40.1</v>
      </c>
      <c r="H196" s="38"/>
      <c r="I196" s="39">
        <v>38.2</v>
      </c>
      <c r="J196" s="38"/>
      <c r="K196" s="38">
        <v>36.1</v>
      </c>
      <c r="M196" s="10">
        <f>AVERAGE(G196,I196,K196)</f>
        <v>38.13333333333333</v>
      </c>
    </row>
    <row r="197" spans="2:13" ht="12.75">
      <c r="B197" s="9" t="s">
        <v>89</v>
      </c>
      <c r="C197" s="9"/>
      <c r="D197" s="9" t="s">
        <v>19</v>
      </c>
      <c r="G197" s="38">
        <v>302</v>
      </c>
      <c r="H197" s="38"/>
      <c r="I197" s="39">
        <v>291</v>
      </c>
      <c r="J197" s="38"/>
      <c r="K197" s="38">
        <v>279</v>
      </c>
      <c r="M197" s="10">
        <f>AVERAGE(G197,I197,K197)</f>
        <v>290.6666666666667</v>
      </c>
    </row>
    <row r="198" spans="2:13" ht="12.75">
      <c r="B198" s="9"/>
      <c r="C198" s="9"/>
      <c r="G198" s="32"/>
      <c r="H198" s="32"/>
      <c r="I198" s="33"/>
      <c r="J198" s="32"/>
      <c r="K198" s="32"/>
      <c r="M198" s="35"/>
    </row>
    <row r="199" spans="2:13" ht="12.75">
      <c r="B199" s="9" t="s">
        <v>107</v>
      </c>
      <c r="C199" s="9" t="s">
        <v>125</v>
      </c>
      <c r="D199" s="9" t="s">
        <v>246</v>
      </c>
      <c r="G199" s="32"/>
      <c r="H199" s="32"/>
      <c r="I199" s="33"/>
      <c r="J199" s="32"/>
      <c r="K199" s="32"/>
      <c r="M199" s="35"/>
    </row>
    <row r="200" spans="2:13" ht="12.75">
      <c r="B200" s="9" t="s">
        <v>90</v>
      </c>
      <c r="C200" s="9"/>
      <c r="D200" s="9" t="s">
        <v>17</v>
      </c>
      <c r="G200" s="32">
        <v>19657</v>
      </c>
      <c r="H200" s="32"/>
      <c r="I200" s="33">
        <v>18846</v>
      </c>
      <c r="J200" s="32"/>
      <c r="K200" s="32">
        <v>18002</v>
      </c>
      <c r="M200" s="35">
        <f>AVERAGE(G200,I200,K200)</f>
        <v>18835</v>
      </c>
    </row>
    <row r="201" spans="2:13" ht="12.75">
      <c r="B201" s="9" t="s">
        <v>105</v>
      </c>
      <c r="C201" s="9"/>
      <c r="D201" s="9" t="s">
        <v>18</v>
      </c>
      <c r="G201" s="32">
        <v>14</v>
      </c>
      <c r="H201" s="32"/>
      <c r="I201" s="33">
        <v>13.7</v>
      </c>
      <c r="J201" s="32"/>
      <c r="K201" s="32">
        <v>13.8</v>
      </c>
      <c r="M201" s="35">
        <f>AVERAGE(G201,I201,K201)</f>
        <v>13.833333333333334</v>
      </c>
    </row>
    <row r="202" spans="2:13" ht="12.75">
      <c r="B202" s="9" t="s">
        <v>106</v>
      </c>
      <c r="C202" s="9"/>
      <c r="D202" s="9" t="s">
        <v>18</v>
      </c>
      <c r="G202" s="11">
        <v>35.6</v>
      </c>
      <c r="H202" s="32"/>
      <c r="I202" s="33">
        <v>37.2</v>
      </c>
      <c r="J202" s="32"/>
      <c r="K202" s="32">
        <v>36.7</v>
      </c>
      <c r="L202" s="32"/>
      <c r="M202" s="35">
        <f>AVERAGE(G202,I202,K202)</f>
        <v>36.50000000000001</v>
      </c>
    </row>
    <row r="203" spans="2:13" ht="12.75">
      <c r="B203" s="9" t="s">
        <v>89</v>
      </c>
      <c r="C203" s="9"/>
      <c r="D203" s="9" t="s">
        <v>19</v>
      </c>
      <c r="G203" s="13">
        <v>294</v>
      </c>
      <c r="H203" s="13"/>
      <c r="I203" s="13">
        <v>284</v>
      </c>
      <c r="J203" s="13"/>
      <c r="K203" s="13">
        <v>288</v>
      </c>
      <c r="L203" s="13"/>
      <c r="M203" s="35">
        <f>AVERAGE(G203,I203,K203)</f>
        <v>288.6666666666667</v>
      </c>
    </row>
    <row r="204" spans="2:13" ht="12.75">
      <c r="B204" s="9"/>
      <c r="C204" s="9"/>
      <c r="G204" s="38"/>
      <c r="H204" s="38"/>
      <c r="I204" s="39"/>
      <c r="J204" s="38"/>
      <c r="K204" s="38"/>
      <c r="M204" s="35"/>
    </row>
    <row r="205" spans="2:13" ht="12.75">
      <c r="B205" s="9" t="s">
        <v>107</v>
      </c>
      <c r="C205" s="9" t="s">
        <v>103</v>
      </c>
      <c r="D205" s="9" t="s">
        <v>247</v>
      </c>
      <c r="G205" s="38"/>
      <c r="H205" s="38"/>
      <c r="I205" s="39"/>
      <c r="J205" s="38"/>
      <c r="K205" s="38"/>
      <c r="M205" s="35"/>
    </row>
    <row r="206" spans="2:13" ht="12.75">
      <c r="B206" s="9" t="s">
        <v>90</v>
      </c>
      <c r="C206" s="9"/>
      <c r="D206" s="9" t="s">
        <v>17</v>
      </c>
      <c r="G206" s="38">
        <v>19134</v>
      </c>
      <c r="H206" s="38"/>
      <c r="I206" s="39">
        <v>18611</v>
      </c>
      <c r="J206" s="38"/>
      <c r="K206" s="38">
        <v>18168</v>
      </c>
      <c r="M206" s="35">
        <f>AVERAGE(G206,I206,K206)</f>
        <v>18637.666666666668</v>
      </c>
    </row>
    <row r="207" spans="2:13" ht="12.75">
      <c r="B207" s="9" t="s">
        <v>105</v>
      </c>
      <c r="C207" s="9"/>
      <c r="D207" s="9" t="s">
        <v>18</v>
      </c>
      <c r="G207" s="38">
        <v>12.9</v>
      </c>
      <c r="H207" s="38"/>
      <c r="I207" s="39">
        <v>12.9</v>
      </c>
      <c r="J207" s="38"/>
      <c r="K207" s="38">
        <v>12.9</v>
      </c>
      <c r="M207" s="35">
        <f>AVERAGE(G207,I207,K207)</f>
        <v>12.9</v>
      </c>
    </row>
    <row r="208" spans="2:13" ht="12.75">
      <c r="B208" s="9" t="s">
        <v>106</v>
      </c>
      <c r="C208" s="9"/>
      <c r="D208" s="9" t="s">
        <v>18</v>
      </c>
      <c r="G208" s="38">
        <v>40.3</v>
      </c>
      <c r="H208" s="38"/>
      <c r="I208" s="39">
        <v>40.1</v>
      </c>
      <c r="J208" s="38"/>
      <c r="K208" s="38">
        <v>40.4</v>
      </c>
      <c r="M208" s="35">
        <f>AVERAGE(G208,I208,K208)</f>
        <v>40.26666666666667</v>
      </c>
    </row>
    <row r="209" spans="2:13" ht="12.75">
      <c r="B209" s="9" t="s">
        <v>89</v>
      </c>
      <c r="C209" s="9"/>
      <c r="D209" s="9" t="s">
        <v>19</v>
      </c>
      <c r="G209" s="38">
        <v>296</v>
      </c>
      <c r="H209" s="38"/>
      <c r="I209" s="39">
        <v>289</v>
      </c>
      <c r="J209" s="38"/>
      <c r="K209" s="38">
        <v>290</v>
      </c>
      <c r="M209" s="35">
        <f>AVERAGE(G209,I209,K209)</f>
        <v>291.6666666666667</v>
      </c>
    </row>
    <row r="210" spans="2:13" ht="12.75">
      <c r="B210" s="9"/>
      <c r="C210" s="9"/>
      <c r="G210" s="32"/>
      <c r="H210" s="32"/>
      <c r="I210" s="33"/>
      <c r="J210" s="32"/>
      <c r="K210" s="32"/>
      <c r="M210" s="35"/>
    </row>
    <row r="211" spans="2:13" ht="12.75">
      <c r="B211" s="9" t="s">
        <v>107</v>
      </c>
      <c r="C211" s="9" t="s">
        <v>124</v>
      </c>
      <c r="D211" s="9" t="s">
        <v>248</v>
      </c>
      <c r="G211" s="32"/>
      <c r="H211" s="32"/>
      <c r="I211" s="33"/>
      <c r="J211" s="32"/>
      <c r="K211" s="32"/>
      <c r="M211" s="35"/>
    </row>
    <row r="212" spans="2:13" ht="12.75">
      <c r="B212" s="9" t="s">
        <v>90</v>
      </c>
      <c r="C212" s="9"/>
      <c r="D212" s="9" t="s">
        <v>17</v>
      </c>
      <c r="G212" s="32">
        <v>18547</v>
      </c>
      <c r="H212" s="32"/>
      <c r="I212" s="33">
        <v>17632</v>
      </c>
      <c r="J212" s="32"/>
      <c r="K212" s="32">
        <v>17254</v>
      </c>
      <c r="M212" s="35">
        <f>AVERAGE(G212,I212,K212)</f>
        <v>17811</v>
      </c>
    </row>
    <row r="213" spans="2:13" ht="12.75">
      <c r="B213" s="9" t="s">
        <v>105</v>
      </c>
      <c r="C213" s="9"/>
      <c r="D213" s="9" t="s">
        <v>18</v>
      </c>
      <c r="G213" s="32">
        <v>12.9</v>
      </c>
      <c r="I213" s="33">
        <v>13</v>
      </c>
      <c r="K213" s="32">
        <v>13.6</v>
      </c>
      <c r="M213" s="35">
        <f>AVERAGE(G213,I213,K213)</f>
        <v>13.166666666666666</v>
      </c>
    </row>
    <row r="214" spans="2:13" ht="12.75">
      <c r="B214" s="9" t="s">
        <v>106</v>
      </c>
      <c r="C214" s="9"/>
      <c r="D214" s="9" t="s">
        <v>18</v>
      </c>
      <c r="G214" s="32">
        <v>38.4</v>
      </c>
      <c r="H214" s="32"/>
      <c r="I214" s="33">
        <v>35.6</v>
      </c>
      <c r="J214" s="32"/>
      <c r="K214" s="32">
        <v>36.3</v>
      </c>
      <c r="M214" s="35">
        <f>AVERAGE(G214,I214,K214)</f>
        <v>36.766666666666666</v>
      </c>
    </row>
    <row r="215" spans="2:13" ht="12.75">
      <c r="B215" s="9" t="s">
        <v>89</v>
      </c>
      <c r="C215" s="9"/>
      <c r="D215" s="9" t="s">
        <v>19</v>
      </c>
      <c r="G215" s="32">
        <v>294</v>
      </c>
      <c r="H215" s="32"/>
      <c r="I215" s="33">
        <v>274</v>
      </c>
      <c r="J215" s="32"/>
      <c r="K215" s="32">
        <v>271</v>
      </c>
      <c r="M215" s="35">
        <f>AVERAGE(G215,I215,K215)</f>
        <v>279.6666666666667</v>
      </c>
    </row>
    <row r="216" spans="2:13" ht="12.75">
      <c r="B216" s="9"/>
      <c r="C216" s="9"/>
      <c r="G216" s="38"/>
      <c r="H216" s="38"/>
      <c r="I216" s="39"/>
      <c r="J216" s="38"/>
      <c r="K216" s="38"/>
      <c r="M216" s="35"/>
    </row>
    <row r="217" spans="2:13" ht="12.75">
      <c r="B217" s="9" t="s">
        <v>92</v>
      </c>
      <c r="C217" s="9" t="s">
        <v>246</v>
      </c>
      <c r="D217" s="19" t="s">
        <v>63</v>
      </c>
      <c r="E217" s="9" t="s">
        <v>15</v>
      </c>
      <c r="G217" s="70">
        <f aca="true" t="shared" si="0" ref="G217:G222">G178*454/60/0.0283/G$200*(21-7)/(21-G$201)*1000000</f>
        <v>24.456292315447858</v>
      </c>
      <c r="H217" s="38"/>
      <c r="I217" s="70">
        <f aca="true" t="shared" si="1" ref="I217:I222">I178*454/60/0.0283/I$200*(21-7)/(21-I$201)*1000000</f>
        <v>24.43320801323375</v>
      </c>
      <c r="J217" s="38"/>
      <c r="K217" s="70">
        <f aca="true" t="shared" si="2" ref="K217:K222">K178*454/60/0.0283/K$200*(21-7)/(21-K$201)*1000000</f>
        <v>25.18311413318368</v>
      </c>
      <c r="L217"/>
      <c r="M217" s="35">
        <f aca="true" t="shared" si="3" ref="M217:M224">AVERAGE(G217,I217,K217)</f>
        <v>24.69087148728843</v>
      </c>
    </row>
    <row r="218" spans="2:13" ht="12.75">
      <c r="B218" s="9" t="s">
        <v>93</v>
      </c>
      <c r="C218" s="9" t="s">
        <v>246</v>
      </c>
      <c r="D218" s="19" t="s">
        <v>63</v>
      </c>
      <c r="E218" s="9" t="s">
        <v>15</v>
      </c>
      <c r="G218" s="70">
        <f t="shared" si="0"/>
        <v>2.032130184609516</v>
      </c>
      <c r="H218" s="38"/>
      <c r="I218" s="70">
        <f t="shared" si="1"/>
        <v>2.0270311770444476</v>
      </c>
      <c r="J218" s="9"/>
      <c r="K218" s="70">
        <f t="shared" si="2"/>
        <v>2.082227670874477</v>
      </c>
      <c r="L218"/>
      <c r="M218" s="35">
        <f t="shared" si="3"/>
        <v>2.04712967750948</v>
      </c>
    </row>
    <row r="219" spans="2:13" ht="12.75">
      <c r="B219" s="9" t="s">
        <v>94</v>
      </c>
      <c r="C219" s="9" t="s">
        <v>246</v>
      </c>
      <c r="D219" s="19" t="s">
        <v>63</v>
      </c>
      <c r="E219" s="9" t="s">
        <v>15</v>
      </c>
      <c r="G219" s="70">
        <f t="shared" si="0"/>
        <v>4.407029316020638</v>
      </c>
      <c r="H219" s="38"/>
      <c r="I219" s="70">
        <f t="shared" si="1"/>
        <v>5.632153740244304</v>
      </c>
      <c r="J219" s="9"/>
      <c r="K219" s="70">
        <f t="shared" si="2"/>
        <v>5.804823326571009</v>
      </c>
      <c r="L219"/>
      <c r="M219" s="35">
        <f t="shared" si="3"/>
        <v>5.281335460945317</v>
      </c>
    </row>
    <row r="220" spans="2:13" ht="12.75">
      <c r="B220" s="9" t="s">
        <v>95</v>
      </c>
      <c r="C220" s="9" t="s">
        <v>246</v>
      </c>
      <c r="D220" s="19" t="s">
        <v>63</v>
      </c>
      <c r="E220" s="9" t="s">
        <v>15</v>
      </c>
      <c r="G220" s="70">
        <f t="shared" si="0"/>
        <v>0.8133961515371422</v>
      </c>
      <c r="H220" s="38"/>
      <c r="I220" s="70">
        <f t="shared" si="1"/>
        <v>0.8108124708177792</v>
      </c>
      <c r="J220" s="9"/>
      <c r="K220" s="70">
        <f t="shared" si="2"/>
        <v>0.8432877668451417</v>
      </c>
      <c r="L220"/>
      <c r="M220" s="35">
        <f t="shared" si="3"/>
        <v>0.822498796400021</v>
      </c>
    </row>
    <row r="221" spans="2:13" ht="12.75">
      <c r="B221" s="9" t="s">
        <v>96</v>
      </c>
      <c r="C221" s="9" t="s">
        <v>246</v>
      </c>
      <c r="D221" s="19" t="s">
        <v>63</v>
      </c>
      <c r="E221" s="9" t="s">
        <v>15</v>
      </c>
      <c r="G221" s="70">
        <f t="shared" si="0"/>
        <v>2.2062350464769986</v>
      </c>
      <c r="H221" s="38"/>
      <c r="I221" s="70">
        <f t="shared" si="1"/>
        <v>12.243812478791966</v>
      </c>
      <c r="J221" s="9"/>
      <c r="K221" s="70">
        <f t="shared" si="2"/>
        <v>2.171754796806666</v>
      </c>
      <c r="L221"/>
      <c r="M221" s="35">
        <f t="shared" si="3"/>
        <v>5.540600774025211</v>
      </c>
    </row>
    <row r="222" spans="2:13" ht="12.75">
      <c r="B222" s="9" t="s">
        <v>131</v>
      </c>
      <c r="C222" s="9" t="s">
        <v>246</v>
      </c>
      <c r="D222" s="19" t="s">
        <v>63</v>
      </c>
      <c r="E222" s="9" t="s">
        <v>15</v>
      </c>
      <c r="G222" s="70">
        <f t="shared" si="0"/>
        <v>5.821631318693928</v>
      </c>
      <c r="H222" s="38"/>
      <c r="I222" s="70">
        <f t="shared" si="1"/>
        <v>6.693284155072942</v>
      </c>
      <c r="J222" s="9"/>
      <c r="K222" s="70">
        <f t="shared" si="2"/>
        <v>5.602665300272517</v>
      </c>
      <c r="L222"/>
      <c r="M222" s="35">
        <f t="shared" si="3"/>
        <v>6.039193591346462</v>
      </c>
    </row>
    <row r="223" spans="2:13" ht="12.75">
      <c r="B223" s="77" t="s">
        <v>249</v>
      </c>
      <c r="C223" s="9" t="s">
        <v>247</v>
      </c>
      <c r="D223" s="19" t="s">
        <v>63</v>
      </c>
      <c r="E223" s="9" t="s">
        <v>15</v>
      </c>
      <c r="G223" s="66">
        <f>G184*454/60/0.0283/G206*(21-7)/(21-G207)*1000000</f>
        <v>0.6038032173137269</v>
      </c>
      <c r="H223" s="66"/>
      <c r="I223" s="66">
        <f>I184*454/60/0.0283/I206*(21-7)/(21-I207)*1000000</f>
        <v>3.8736116029716046</v>
      </c>
      <c r="J223" s="66"/>
      <c r="K223" s="66">
        <f>K184*454/60/0.0283/K206*(21-7)/(21-K207)*1000000</f>
        <v>2.027273689076275</v>
      </c>
      <c r="M223" s="35">
        <f t="shared" si="3"/>
        <v>2.1682295031205356</v>
      </c>
    </row>
    <row r="224" spans="2:13" ht="12.75">
      <c r="B224" s="9" t="s">
        <v>91</v>
      </c>
      <c r="C224" s="9" t="s">
        <v>246</v>
      </c>
      <c r="D224" s="19" t="s">
        <v>63</v>
      </c>
      <c r="E224" s="9" t="s">
        <v>15</v>
      </c>
      <c r="G224" s="70">
        <f aca="true" t="shared" si="4" ref="G224:G229">G185*454/60/0.0283/G$200*(21-7)/(21-G$201)*1000000</f>
        <v>25.435632163452443</v>
      </c>
      <c r="H224" s="38"/>
      <c r="I224" s="70">
        <f aca="true" t="shared" si="5" ref="I224:I229">I185*454/60/0.0283/I$200*(21-7)/(21-I$201)*1000000</f>
        <v>34.010590218866575</v>
      </c>
      <c r="J224" s="9"/>
      <c r="K224" s="70">
        <f aca="true" t="shared" si="6" ref="K224:K229">K185*454/60/0.0283/K$200*(21-7)/(21-K$201)*1000000</f>
        <v>33.78927010989095</v>
      </c>
      <c r="L224"/>
      <c r="M224" s="35">
        <f t="shared" si="3"/>
        <v>31.078497497403323</v>
      </c>
    </row>
    <row r="225" spans="2:13" ht="12.75">
      <c r="B225" s="9" t="s">
        <v>97</v>
      </c>
      <c r="C225" s="9" t="s">
        <v>246</v>
      </c>
      <c r="D225" s="19" t="s">
        <v>63</v>
      </c>
      <c r="E225" s="9" t="s">
        <v>15</v>
      </c>
      <c r="G225" s="70">
        <f t="shared" si="4"/>
        <v>3128.4467366813165</v>
      </c>
      <c r="H225" s="38"/>
      <c r="I225" s="70">
        <f t="shared" si="5"/>
        <v>612.1906239395985</v>
      </c>
      <c r="J225" s="9"/>
      <c r="K225" s="70">
        <f t="shared" si="6"/>
        <v>707.553092044725</v>
      </c>
      <c r="L225"/>
      <c r="M225" s="35">
        <f aca="true" t="shared" si="7" ref="M225:M231">AVERAGE(G225,I225,K225)</f>
        <v>1482.7301508885466</v>
      </c>
    </row>
    <row r="226" spans="2:13" ht="12.75">
      <c r="B226" s="9" t="s">
        <v>98</v>
      </c>
      <c r="C226" s="9" t="s">
        <v>246</v>
      </c>
      <c r="D226" s="19" t="s">
        <v>63</v>
      </c>
      <c r="E226" s="9" t="s">
        <v>15</v>
      </c>
      <c r="G226" s="70">
        <f t="shared" si="4"/>
        <v>16.322330800076436</v>
      </c>
      <c r="H226" s="38"/>
      <c r="I226" s="70">
        <f t="shared" si="5"/>
        <v>16.29787483288087</v>
      </c>
      <c r="J226" s="9"/>
      <c r="K226" s="70">
        <f t="shared" si="6"/>
        <v>16.750236464732268</v>
      </c>
      <c r="L226"/>
      <c r="M226" s="35">
        <f t="shared" si="7"/>
        <v>16.45681403256319</v>
      </c>
    </row>
    <row r="227" spans="2:13" ht="12.75">
      <c r="B227" s="9" t="s">
        <v>99</v>
      </c>
      <c r="C227" s="9" t="s">
        <v>246</v>
      </c>
      <c r="D227" s="19" t="s">
        <v>63</v>
      </c>
      <c r="E227" s="9" t="s">
        <v>15</v>
      </c>
      <c r="G227" s="70">
        <f t="shared" si="4"/>
        <v>2.032130184609516</v>
      </c>
      <c r="H227" s="38"/>
      <c r="I227" s="70">
        <f t="shared" si="5"/>
        <v>2.0270311770444476</v>
      </c>
      <c r="J227" s="9"/>
      <c r="K227" s="70">
        <f t="shared" si="6"/>
        <v>2.082227670874477</v>
      </c>
      <c r="L227"/>
      <c r="M227" s="35">
        <f t="shared" si="7"/>
        <v>2.04712967750948</v>
      </c>
    </row>
    <row r="228" spans="2:13" ht="12.75">
      <c r="B228" s="9" t="s">
        <v>100</v>
      </c>
      <c r="C228" s="9" t="s">
        <v>246</v>
      </c>
      <c r="D228" s="19" t="s">
        <v>63</v>
      </c>
      <c r="E228" s="9" t="s">
        <v>15</v>
      </c>
      <c r="G228" s="70">
        <f t="shared" si="4"/>
        <v>4.053378815352315</v>
      </c>
      <c r="H228" s="38"/>
      <c r="I228" s="70">
        <f t="shared" si="5"/>
        <v>4.054062354088895</v>
      </c>
      <c r="J228" s="9"/>
      <c r="K228" s="70">
        <f t="shared" si="6"/>
        <v>4.158679398140425</v>
      </c>
      <c r="L228"/>
      <c r="M228" s="35">
        <f t="shared" si="7"/>
        <v>4.088706855860544</v>
      </c>
    </row>
    <row r="229" spans="2:13" ht="12.75">
      <c r="B229" s="9" t="s">
        <v>101</v>
      </c>
      <c r="C229" s="9" t="s">
        <v>246</v>
      </c>
      <c r="D229" s="19" t="s">
        <v>63</v>
      </c>
      <c r="E229" s="9" t="s">
        <v>15</v>
      </c>
      <c r="G229" s="70">
        <f t="shared" si="4"/>
        <v>2.032130184609516</v>
      </c>
      <c r="H229" s="38"/>
      <c r="I229" s="70">
        <f t="shared" si="5"/>
        <v>2.0270311770444476</v>
      </c>
      <c r="J229" s="9"/>
      <c r="K229" s="70">
        <f t="shared" si="6"/>
        <v>2.082227670874477</v>
      </c>
      <c r="L229"/>
      <c r="M229" s="35">
        <f t="shared" si="7"/>
        <v>2.04712967750948</v>
      </c>
    </row>
    <row r="230" spans="2:13" ht="12.75">
      <c r="B230" s="9" t="s">
        <v>64</v>
      </c>
      <c r="C230" s="9" t="s">
        <v>246</v>
      </c>
      <c r="D230" s="19" t="s">
        <v>63</v>
      </c>
      <c r="E230" s="9" t="s">
        <v>15</v>
      </c>
      <c r="G230" s="70">
        <f>G224+G221</f>
        <v>27.64186720992944</v>
      </c>
      <c r="H230" s="38"/>
      <c r="I230" s="70">
        <f>I224+I221</f>
        <v>46.25440269765854</v>
      </c>
      <c r="J230" s="38"/>
      <c r="K230" s="70">
        <f>K224+K221</f>
        <v>35.96102490669762</v>
      </c>
      <c r="M230" s="35">
        <f t="shared" si="7"/>
        <v>36.619098271428534</v>
      </c>
    </row>
    <row r="231" spans="2:13" ht="12.75">
      <c r="B231" s="9" t="s">
        <v>65</v>
      </c>
      <c r="C231" s="9" t="s">
        <v>246</v>
      </c>
      <c r="D231" s="19" t="s">
        <v>63</v>
      </c>
      <c r="E231" s="9" t="s">
        <v>15</v>
      </c>
      <c r="G231" s="70">
        <f>G218+G220+G222</f>
        <v>8.667157654840587</v>
      </c>
      <c r="H231" s="38"/>
      <c r="I231" s="70">
        <f>I218+I220+I222</f>
        <v>9.531127802935169</v>
      </c>
      <c r="J231" s="38"/>
      <c r="K231" s="70">
        <f>K218+K220+K222</f>
        <v>8.528180737992136</v>
      </c>
      <c r="M231" s="35">
        <f t="shared" si="7"/>
        <v>8.908822065255963</v>
      </c>
    </row>
    <row r="232" spans="2:13" ht="12.75">
      <c r="B232" s="9"/>
      <c r="C232" s="9"/>
      <c r="G232" s="38"/>
      <c r="H232" s="38"/>
      <c r="I232" s="39"/>
      <c r="J232" s="38"/>
      <c r="K232" s="38"/>
      <c r="M232" s="35"/>
    </row>
    <row r="233" spans="1:13" ht="12.75">
      <c r="A233" s="24">
        <v>14</v>
      </c>
      <c r="B233" s="28" t="s">
        <v>206</v>
      </c>
      <c r="C233" s="28" t="s">
        <v>181</v>
      </c>
      <c r="G233" s="26" t="s">
        <v>220</v>
      </c>
      <c r="H233" s="26"/>
      <c r="I233" s="27" t="s">
        <v>221</v>
      </c>
      <c r="J233" s="26"/>
      <c r="K233" s="26" t="s">
        <v>222</v>
      </c>
      <c r="L233" s="26"/>
      <c r="M233" s="26" t="s">
        <v>223</v>
      </c>
    </row>
    <row r="234" spans="2:13" ht="12.75">
      <c r="B234" s="9"/>
      <c r="C234" s="9"/>
      <c r="G234" s="38"/>
      <c r="H234" s="38"/>
      <c r="I234" s="39"/>
      <c r="J234" s="38"/>
      <c r="K234" s="38"/>
      <c r="M234" s="35"/>
    </row>
    <row r="235" spans="2:13" ht="12.75">
      <c r="B235" s="9" t="s">
        <v>13</v>
      </c>
      <c r="C235" s="9" t="s">
        <v>245</v>
      </c>
      <c r="D235" s="9" t="s">
        <v>14</v>
      </c>
      <c r="E235" s="9" t="s">
        <v>15</v>
      </c>
      <c r="G235" s="19">
        <v>0.00261</v>
      </c>
      <c r="H235" s="19"/>
      <c r="I235" s="29">
        <v>0.00391</v>
      </c>
      <c r="J235" s="19"/>
      <c r="K235" s="19">
        <v>0.00294</v>
      </c>
      <c r="L235" s="26"/>
      <c r="M235" s="72">
        <f>AVERAGE(K235,I235,G235)</f>
        <v>0.003153333333333333</v>
      </c>
    </row>
    <row r="236" spans="2:13" ht="12.75">
      <c r="B236" s="9" t="s">
        <v>127</v>
      </c>
      <c r="C236" s="9" t="s">
        <v>245</v>
      </c>
      <c r="D236" s="9" t="s">
        <v>16</v>
      </c>
      <c r="E236" s="9" t="s">
        <v>15</v>
      </c>
      <c r="G236" s="32">
        <v>47</v>
      </c>
      <c r="H236" s="32"/>
      <c r="I236" s="33">
        <v>21.6</v>
      </c>
      <c r="J236" s="32"/>
      <c r="K236" s="32">
        <v>55.2</v>
      </c>
      <c r="L236" s="26"/>
      <c r="M236" s="30">
        <f>AVERAGE(K236,I236,G236)</f>
        <v>41.26666666666667</v>
      </c>
    </row>
    <row r="237" spans="2:13" ht="12.75">
      <c r="B237" s="9" t="s">
        <v>122</v>
      </c>
      <c r="C237" s="9"/>
      <c r="D237" s="9" t="s">
        <v>55</v>
      </c>
      <c r="G237" s="32">
        <v>5.8</v>
      </c>
      <c r="H237" s="32"/>
      <c r="I237" s="33">
        <v>6.2</v>
      </c>
      <c r="J237" s="32"/>
      <c r="K237" s="32">
        <v>7.3</v>
      </c>
      <c r="L237" s="26"/>
      <c r="M237" s="30"/>
    </row>
    <row r="238" spans="2:13" ht="12.75">
      <c r="B238" s="9" t="s">
        <v>147</v>
      </c>
      <c r="C238" s="9"/>
      <c r="D238" s="9" t="s">
        <v>55</v>
      </c>
      <c r="G238" s="32">
        <v>6.6</v>
      </c>
      <c r="H238" s="32"/>
      <c r="I238" s="33"/>
      <c r="J238" s="32"/>
      <c r="K238" s="32"/>
      <c r="L238" s="26"/>
      <c r="M238" s="30"/>
    </row>
    <row r="239" spans="2:13" ht="12.75">
      <c r="B239" s="9" t="s">
        <v>122</v>
      </c>
      <c r="C239" s="9" t="s">
        <v>245</v>
      </c>
      <c r="D239" s="9" t="s">
        <v>16</v>
      </c>
      <c r="E239" s="9" t="s">
        <v>15</v>
      </c>
      <c r="G239" s="10">
        <f>G237*454/60/0.0283/G$277*(21-7)/(21-G$278)*1231.56</f>
        <v>186.1916539565551</v>
      </c>
      <c r="H239" s="10"/>
      <c r="I239" s="10">
        <f>I237*454/60/0.0283/I277*(21-7)/(21-I278)*1231.56</f>
        <v>203.06822747124818</v>
      </c>
      <c r="J239" s="10"/>
      <c r="K239" s="10">
        <f>K237*454/60/0.0283/K277*(21-7)/(21-K278)*1231.56</f>
        <v>226.78582475356177</v>
      </c>
      <c r="M239" s="35">
        <f>AVERAGE(G239,I239,K239)</f>
        <v>205.3485687271217</v>
      </c>
    </row>
    <row r="240" spans="2:13" ht="12.75">
      <c r="B240" s="9" t="s">
        <v>147</v>
      </c>
      <c r="C240" s="9" t="s">
        <v>245</v>
      </c>
      <c r="D240" s="9" t="s">
        <v>16</v>
      </c>
      <c r="E240" s="9" t="s">
        <v>15</v>
      </c>
      <c r="G240" s="10">
        <f>G238*454/60/0.0283/G$277*(21-7)/(21-G$278)*2.77</f>
        <v>0.47654108129103134</v>
      </c>
      <c r="H240" s="32"/>
      <c r="I240" s="32"/>
      <c r="J240" s="32"/>
      <c r="K240" s="32"/>
      <c r="M240" s="10"/>
    </row>
    <row r="241" spans="2:13" ht="12.75">
      <c r="B241" s="9"/>
      <c r="C241" s="9"/>
      <c r="G241" s="32"/>
      <c r="H241" s="32"/>
      <c r="I241" s="33"/>
      <c r="J241" s="32"/>
      <c r="K241" s="32"/>
      <c r="L241" s="26"/>
      <c r="M241" s="31"/>
    </row>
    <row r="242" spans="2:13" ht="12.75">
      <c r="B242" s="9" t="s">
        <v>52</v>
      </c>
      <c r="C242" s="9"/>
      <c r="D242" s="9" t="s">
        <v>55</v>
      </c>
      <c r="G242" s="32">
        <v>1.03</v>
      </c>
      <c r="H242" s="32"/>
      <c r="I242" s="33">
        <v>0.83</v>
      </c>
      <c r="J242" s="32"/>
      <c r="K242" s="32">
        <v>0.92</v>
      </c>
      <c r="L242" s="26"/>
      <c r="M242" s="31"/>
    </row>
    <row r="243" spans="2:13" ht="12.75">
      <c r="B243" s="9" t="s">
        <v>53</v>
      </c>
      <c r="C243" s="9"/>
      <c r="D243" s="9" t="s">
        <v>55</v>
      </c>
      <c r="G243" s="32">
        <v>0.08</v>
      </c>
      <c r="H243" s="32"/>
      <c r="I243" s="33">
        <v>0.116</v>
      </c>
      <c r="J243" s="32"/>
      <c r="K243" s="32">
        <v>0.136</v>
      </c>
      <c r="L243" s="26"/>
      <c r="M243" s="31"/>
    </row>
    <row r="244" spans="2:13" ht="12.75">
      <c r="B244" s="9" t="s">
        <v>52</v>
      </c>
      <c r="C244" s="9" t="s">
        <v>245</v>
      </c>
      <c r="D244" s="9" t="s">
        <v>16</v>
      </c>
      <c r="E244" s="9" t="s">
        <v>15</v>
      </c>
      <c r="G244" s="66">
        <f>G242*454/60/0.0283/G$277*(21-7)/(21-G$278)*667.8</f>
        <v>17.92917394752956</v>
      </c>
      <c r="H244" s="10"/>
      <c r="I244" s="66">
        <f>I242*454/60/0.0283/I$277*(21-7)/(21-I$278)*667.8</f>
        <v>14.740737778338122</v>
      </c>
      <c r="J244" s="10"/>
      <c r="K244" s="66">
        <f>K242*454/60/0.0283/K$277*(21-7)/(21-K$278)*667.8</f>
        <v>15.497859254661119</v>
      </c>
      <c r="L244" s="10"/>
      <c r="M244" s="31">
        <f>AVERAGE(K244,I244,G244)</f>
        <v>16.055923660176266</v>
      </c>
    </row>
    <row r="245" spans="2:13" ht="12.75">
      <c r="B245" s="9" t="s">
        <v>53</v>
      </c>
      <c r="C245" s="9" t="s">
        <v>245</v>
      </c>
      <c r="D245" s="9" t="s">
        <v>16</v>
      </c>
      <c r="E245" s="9" t="s">
        <v>15</v>
      </c>
      <c r="G245" s="66">
        <f>G243*454/60/0.0283/G$277*(21-7)/(21-G$278)*667.8</f>
        <v>1.3925571998081212</v>
      </c>
      <c r="H245" s="32"/>
      <c r="I245" s="66">
        <f>I243*454/60/0.0283/I$277*(21-7)/(21-I$278)*667.8</f>
        <v>2.060151303960509</v>
      </c>
      <c r="J245" s="32"/>
      <c r="K245" s="66">
        <f>K243*454/60/0.0283/K$277*(21-7)/(21-K$278)*667.8</f>
        <v>2.2909878898194704</v>
      </c>
      <c r="M245" s="31">
        <f>AVERAGE(K245,I245,G245)</f>
        <v>1.9145654645293668</v>
      </c>
    </row>
    <row r="246" spans="2:13" ht="12.75">
      <c r="B246" s="9" t="s">
        <v>250</v>
      </c>
      <c r="C246" s="9" t="s">
        <v>245</v>
      </c>
      <c r="D246" s="9" t="s">
        <v>16</v>
      </c>
      <c r="E246" s="9" t="s">
        <v>15</v>
      </c>
      <c r="G246" s="10">
        <f>G245*2+G244</f>
        <v>20.714288347145803</v>
      </c>
      <c r="H246" s="10"/>
      <c r="I246" s="10">
        <f>I245*2+I244</f>
        <v>18.86104038625914</v>
      </c>
      <c r="J246" s="10"/>
      <c r="K246" s="10">
        <f>K245*2+K244</f>
        <v>20.07983503430006</v>
      </c>
      <c r="M246" s="31">
        <f>AVERAGE(K246,I246,G246)</f>
        <v>19.885054589235</v>
      </c>
    </row>
    <row r="247" spans="2:13" ht="12.75">
      <c r="B247" s="9"/>
      <c r="C247" s="9"/>
      <c r="G247" s="32"/>
      <c r="H247" s="32"/>
      <c r="I247" s="33"/>
      <c r="J247" s="32"/>
      <c r="K247" s="32"/>
      <c r="L247" s="26"/>
      <c r="M247" s="31"/>
    </row>
    <row r="248" spans="2:13" ht="12.75">
      <c r="B248" s="9" t="s">
        <v>97</v>
      </c>
      <c r="C248" s="9"/>
      <c r="D248" s="9" t="s">
        <v>55</v>
      </c>
      <c r="G248" s="32">
        <v>0.44</v>
      </c>
      <c r="H248" s="32"/>
      <c r="I248" s="33">
        <v>0.487</v>
      </c>
      <c r="J248" s="32"/>
      <c r="K248" s="32">
        <v>0.659</v>
      </c>
      <c r="L248" s="26"/>
      <c r="M248" s="31"/>
    </row>
    <row r="249" spans="2:13" ht="12.75">
      <c r="B249" s="9" t="s">
        <v>97</v>
      </c>
      <c r="C249" s="9" t="s">
        <v>246</v>
      </c>
      <c r="D249" s="9" t="s">
        <v>63</v>
      </c>
      <c r="E249" s="9" t="s">
        <v>15</v>
      </c>
      <c r="G249" s="10">
        <f>G248*454/60/0.0283/G283*(21-7)/(21-G284)*1000000</f>
        <v>12036.417382780648</v>
      </c>
      <c r="H249" s="10"/>
      <c r="I249" s="10">
        <f>I248*454/60/0.0283/I283*(21-7)/(21-I284)*1000000</f>
        <v>13493.590618128206</v>
      </c>
      <c r="J249" s="10"/>
      <c r="K249" s="10">
        <f>K248*454/60/0.0283/K283*(21-7)/(21-K284)*1000000</f>
        <v>17320.155733448926</v>
      </c>
      <c r="L249" s="31"/>
      <c r="M249" s="31">
        <f>AVERAGE(K249,I249,G249)</f>
        <v>14283.387911452592</v>
      </c>
    </row>
    <row r="250" spans="2:13" ht="12.75">
      <c r="B250" s="9"/>
      <c r="C250" s="9"/>
      <c r="G250" s="32"/>
      <c r="H250" s="32"/>
      <c r="I250" s="33"/>
      <c r="J250" s="32"/>
      <c r="K250" s="32"/>
      <c r="M250" s="35"/>
    </row>
    <row r="251" spans="2:13" ht="12.75">
      <c r="B251" s="9" t="s">
        <v>80</v>
      </c>
      <c r="C251" s="24" t="s">
        <v>161</v>
      </c>
      <c r="I251" s="24"/>
      <c r="M251" s="35"/>
    </row>
    <row r="252" spans="2:13" ht="12.75">
      <c r="B252" s="9" t="s">
        <v>104</v>
      </c>
      <c r="C252" s="9"/>
      <c r="D252" s="9" t="s">
        <v>55</v>
      </c>
      <c r="G252" s="32">
        <v>128.1</v>
      </c>
      <c r="H252" s="32"/>
      <c r="I252" s="33">
        <v>130</v>
      </c>
      <c r="J252" s="32"/>
      <c r="K252" s="32">
        <v>129.4</v>
      </c>
      <c r="M252" s="35"/>
    </row>
    <row r="253" spans="2:13" ht="12.75">
      <c r="B253" s="9" t="s">
        <v>120</v>
      </c>
      <c r="C253" s="9" t="s">
        <v>247</v>
      </c>
      <c r="D253" s="9" t="s">
        <v>55</v>
      </c>
      <c r="G253" s="36">
        <f>(0.000476+0.000519+0.000598)/3</f>
        <v>0.000531</v>
      </c>
      <c r="H253" s="32"/>
      <c r="I253" s="36">
        <f>(0.00107+0.00165+0.000563)/3</f>
        <v>0.0010943333333333334</v>
      </c>
      <c r="J253" s="32"/>
      <c r="K253" s="36">
        <f>(0.000498+0.000614+0.000624)/3</f>
        <v>0.0005786666666666667</v>
      </c>
      <c r="M253" s="35"/>
    </row>
    <row r="254" spans="2:13" ht="12.75">
      <c r="B254" s="9" t="s">
        <v>54</v>
      </c>
      <c r="C254" s="9" t="s">
        <v>247</v>
      </c>
      <c r="D254" s="9" t="s">
        <v>18</v>
      </c>
      <c r="G254" s="32">
        <v>99.9996</v>
      </c>
      <c r="H254" s="32"/>
      <c r="I254" s="33">
        <v>99.9992</v>
      </c>
      <c r="J254" s="32"/>
      <c r="K254" s="32">
        <v>99.9996</v>
      </c>
      <c r="M254" s="35"/>
    </row>
    <row r="255" spans="2:13" ht="12.75">
      <c r="B255" s="9"/>
      <c r="C255" s="9"/>
      <c r="G255" s="32"/>
      <c r="H255" s="32"/>
      <c r="I255" s="33"/>
      <c r="J255" s="32"/>
      <c r="K255" s="32"/>
      <c r="M255" s="35"/>
    </row>
    <row r="256" spans="2:13" ht="12.75">
      <c r="B256" s="9" t="s">
        <v>80</v>
      </c>
      <c r="C256" s="9" t="s">
        <v>160</v>
      </c>
      <c r="G256" s="32"/>
      <c r="H256" s="32"/>
      <c r="I256" s="33"/>
      <c r="J256" s="32"/>
      <c r="K256" s="32"/>
      <c r="M256" s="35"/>
    </row>
    <row r="257" spans="2:13" ht="12.75">
      <c r="B257" s="9" t="s">
        <v>104</v>
      </c>
      <c r="C257" s="9"/>
      <c r="D257" s="9" t="s">
        <v>55</v>
      </c>
      <c r="G257" s="32">
        <v>1116</v>
      </c>
      <c r="H257" s="32"/>
      <c r="I257" s="33">
        <v>997</v>
      </c>
      <c r="J257" s="32"/>
      <c r="K257" s="32">
        <v>923.6</v>
      </c>
      <c r="M257" s="35"/>
    </row>
    <row r="258" spans="2:13" ht="12.75">
      <c r="B258" s="9" t="s">
        <v>120</v>
      </c>
      <c r="C258" s="9" t="s">
        <v>247</v>
      </c>
      <c r="D258" s="9" t="s">
        <v>55</v>
      </c>
      <c r="G258" s="36">
        <f>(0.000563+0.000588+0.000598)/3</f>
        <v>0.0005830000000000001</v>
      </c>
      <c r="H258" s="32"/>
      <c r="I258" s="36">
        <f>(0.000802+0.00112+0.000685)/3</f>
        <v>0.000869</v>
      </c>
      <c r="J258" s="32"/>
      <c r="K258" s="36">
        <f>(0.000572+0.000701+0.000692)/3</f>
        <v>0.0006550000000000001</v>
      </c>
      <c r="M258" s="35"/>
    </row>
    <row r="259" spans="2:13" ht="12.75">
      <c r="B259" s="9" t="s">
        <v>54</v>
      </c>
      <c r="C259" s="9" t="s">
        <v>247</v>
      </c>
      <c r="D259" s="9" t="s">
        <v>18</v>
      </c>
      <c r="G259" s="32">
        <v>99.9999</v>
      </c>
      <c r="H259" s="32"/>
      <c r="I259" s="33">
        <v>99.9999</v>
      </c>
      <c r="J259" s="32"/>
      <c r="K259" s="32">
        <v>99.9999</v>
      </c>
      <c r="M259" s="35"/>
    </row>
    <row r="260" spans="2:13" ht="12.75">
      <c r="B260" s="9"/>
      <c r="C260" s="9"/>
      <c r="G260" s="32"/>
      <c r="H260" s="32"/>
      <c r="I260" s="33"/>
      <c r="J260" s="32"/>
      <c r="K260" s="32"/>
      <c r="M260" s="35"/>
    </row>
    <row r="261" spans="2:13" ht="12.75">
      <c r="B261" s="9" t="s">
        <v>80</v>
      </c>
      <c r="C261" s="24" t="s">
        <v>144</v>
      </c>
      <c r="I261" s="24"/>
      <c r="M261" s="35"/>
    </row>
    <row r="262" spans="2:13" ht="12.75">
      <c r="B262" s="9" t="s">
        <v>104</v>
      </c>
      <c r="C262" s="9"/>
      <c r="D262" s="9" t="s">
        <v>55</v>
      </c>
      <c r="G262" s="11"/>
      <c r="H262" s="11"/>
      <c r="I262" s="11"/>
      <c r="J262" s="11"/>
      <c r="K262" s="11"/>
      <c r="M262" s="35"/>
    </row>
    <row r="263" spans="2:13" ht="12.75">
      <c r="B263" s="9" t="s">
        <v>120</v>
      </c>
      <c r="C263" s="9"/>
      <c r="D263" s="9" t="s">
        <v>55</v>
      </c>
      <c r="G263" s="36">
        <v>0.000555</v>
      </c>
      <c r="H263" s="32"/>
      <c r="I263" s="36">
        <v>0.000713</v>
      </c>
      <c r="J263" s="32"/>
      <c r="K263" s="36">
        <v>0.000561</v>
      </c>
      <c r="M263" s="35"/>
    </row>
    <row r="264" spans="2:13" ht="12.75">
      <c r="B264" s="9" t="s">
        <v>54</v>
      </c>
      <c r="C264" s="9"/>
      <c r="D264" s="9" t="s">
        <v>18</v>
      </c>
      <c r="G264" s="32">
        <v>99.99995</v>
      </c>
      <c r="H264" s="32"/>
      <c r="I264" s="33">
        <v>99.999928</v>
      </c>
      <c r="J264" s="32"/>
      <c r="K264" s="32">
        <v>99.999939</v>
      </c>
      <c r="M264" s="35"/>
    </row>
    <row r="265" spans="2:13" ht="12.75">
      <c r="B265" s="9"/>
      <c r="C265" s="9"/>
      <c r="G265" s="32"/>
      <c r="H265" s="32"/>
      <c r="I265" s="33"/>
      <c r="J265" s="32"/>
      <c r="K265" s="32"/>
      <c r="M265" s="35"/>
    </row>
    <row r="266" spans="2:13" ht="12.75">
      <c r="B266" s="9" t="s">
        <v>80</v>
      </c>
      <c r="C266" s="9" t="s">
        <v>145</v>
      </c>
      <c r="G266" s="32"/>
      <c r="H266" s="32"/>
      <c r="I266" s="33"/>
      <c r="J266" s="32"/>
      <c r="K266" s="32"/>
      <c r="M266" s="35"/>
    </row>
    <row r="267" spans="2:13" ht="12.75">
      <c r="B267" s="9" t="s">
        <v>104</v>
      </c>
      <c r="C267" s="9"/>
      <c r="D267" s="9" t="s">
        <v>55</v>
      </c>
      <c r="G267" s="11">
        <f>29518/454</f>
        <v>65.01762114537445</v>
      </c>
      <c r="H267" s="11"/>
      <c r="I267" s="11">
        <f>29899/454</f>
        <v>65.8568281938326</v>
      </c>
      <c r="J267" s="11"/>
      <c r="K267" s="11">
        <f>29890/454</f>
        <v>65.83700440528635</v>
      </c>
      <c r="M267" s="35"/>
    </row>
    <row r="268" spans="2:13" ht="12.75">
      <c r="B268" s="9" t="s">
        <v>120</v>
      </c>
      <c r="C268" s="9" t="s">
        <v>247</v>
      </c>
      <c r="D268" s="9" t="s">
        <v>55</v>
      </c>
      <c r="G268" s="36">
        <v>2.23E-05</v>
      </c>
      <c r="H268" s="32"/>
      <c r="I268" s="36">
        <v>2.26E-05</v>
      </c>
      <c r="J268" s="32"/>
      <c r="K268" s="36">
        <v>3.01E-05</v>
      </c>
      <c r="M268" s="35"/>
    </row>
    <row r="269" spans="2:13" ht="12.75">
      <c r="B269" s="9" t="s">
        <v>54</v>
      </c>
      <c r="C269" s="9" t="s">
        <v>247</v>
      </c>
      <c r="D269" s="9" t="s">
        <v>18</v>
      </c>
      <c r="G269" s="24">
        <v>99.999966</v>
      </c>
      <c r="I269" s="24">
        <v>99.999966</v>
      </c>
      <c r="K269" s="24">
        <v>99.999954</v>
      </c>
      <c r="M269" s="35"/>
    </row>
    <row r="270" spans="2:13" ht="12.75">
      <c r="B270" s="9"/>
      <c r="C270" s="9"/>
      <c r="G270" s="32"/>
      <c r="H270" s="32"/>
      <c r="I270" s="33"/>
      <c r="J270" s="32"/>
      <c r="K270" s="32"/>
      <c r="M270" s="35"/>
    </row>
    <row r="271" spans="2:13" ht="12.75">
      <c r="B271" s="9" t="s">
        <v>80</v>
      </c>
      <c r="C271" s="9" t="s">
        <v>157</v>
      </c>
      <c r="G271" s="32"/>
      <c r="H271" s="32"/>
      <c r="I271" s="33"/>
      <c r="J271" s="32"/>
      <c r="K271" s="32"/>
      <c r="M271" s="35"/>
    </row>
    <row r="272" spans="2:13" ht="12.75">
      <c r="B272" s="9" t="s">
        <v>104</v>
      </c>
      <c r="C272" s="9"/>
      <c r="D272" s="9" t="s">
        <v>55</v>
      </c>
      <c r="G272" s="11"/>
      <c r="H272" s="11"/>
      <c r="I272" s="11"/>
      <c r="J272" s="11"/>
      <c r="K272" s="11"/>
      <c r="M272" s="35"/>
    </row>
    <row r="273" spans="2:13" ht="12.75">
      <c r="B273" s="9" t="s">
        <v>120</v>
      </c>
      <c r="C273" s="9" t="s">
        <v>247</v>
      </c>
      <c r="D273" s="9" t="s">
        <v>55</v>
      </c>
      <c r="G273" s="36">
        <v>0.000483</v>
      </c>
      <c r="H273" s="32"/>
      <c r="I273" s="36">
        <v>0.000893</v>
      </c>
      <c r="J273" s="32"/>
      <c r="K273" s="36">
        <v>0.000496</v>
      </c>
      <c r="M273" s="35"/>
    </row>
    <row r="274" spans="2:13" ht="12.75">
      <c r="B274" s="9" t="s">
        <v>54</v>
      </c>
      <c r="C274" s="9" t="s">
        <v>247</v>
      </c>
      <c r="D274" s="9" t="s">
        <v>18</v>
      </c>
      <c r="G274" s="24">
        <v>99.999623</v>
      </c>
      <c r="I274" s="24">
        <v>99.999213</v>
      </c>
      <c r="K274" s="24">
        <v>99.999617</v>
      </c>
      <c r="M274" s="35"/>
    </row>
    <row r="275" spans="2:13" ht="12.75">
      <c r="B275" s="9"/>
      <c r="C275" s="9"/>
      <c r="G275" s="32"/>
      <c r="H275" s="32"/>
      <c r="I275" s="33"/>
      <c r="J275" s="32"/>
      <c r="K275" s="32"/>
      <c r="L275" s="26"/>
      <c r="M275" s="34"/>
    </row>
    <row r="276" spans="2:13" ht="12.75">
      <c r="B276" s="9" t="s">
        <v>107</v>
      </c>
      <c r="C276" s="9" t="s">
        <v>158</v>
      </c>
      <c r="D276" s="9" t="s">
        <v>245</v>
      </c>
      <c r="L276" s="26"/>
      <c r="M276" s="35"/>
    </row>
    <row r="277" spans="2:13" ht="12.75">
      <c r="B277" s="9" t="s">
        <v>90</v>
      </c>
      <c r="C277" s="9"/>
      <c r="D277" s="9" t="s">
        <v>17</v>
      </c>
      <c r="G277" s="32">
        <v>20515</v>
      </c>
      <c r="H277" s="32"/>
      <c r="I277" s="33">
        <v>21654</v>
      </c>
      <c r="J277" s="13"/>
      <c r="K277" s="32">
        <v>21506</v>
      </c>
      <c r="L277" s="26"/>
      <c r="M277" s="35">
        <f>AVERAGE(G277,I277,K277)</f>
        <v>21225</v>
      </c>
    </row>
    <row r="278" spans="2:13" ht="12.75">
      <c r="B278" s="9" t="s">
        <v>105</v>
      </c>
      <c r="C278" s="9"/>
      <c r="D278" s="9" t="s">
        <v>18</v>
      </c>
      <c r="G278" s="32">
        <v>14</v>
      </c>
      <c r="H278" s="32"/>
      <c r="I278" s="33">
        <v>14.5</v>
      </c>
      <c r="J278" s="32"/>
      <c r="K278" s="32">
        <v>14.1</v>
      </c>
      <c r="M278" s="35">
        <f>AVERAGE(G278,I278,K278)</f>
        <v>14.200000000000001</v>
      </c>
    </row>
    <row r="279" spans="2:13" ht="12.75">
      <c r="B279" s="9" t="s">
        <v>106</v>
      </c>
      <c r="C279" s="9"/>
      <c r="D279" s="9" t="s">
        <v>18</v>
      </c>
      <c r="G279" s="32">
        <v>36.6</v>
      </c>
      <c r="H279" s="32"/>
      <c r="I279" s="33">
        <v>35.4</v>
      </c>
      <c r="J279" s="32"/>
      <c r="K279" s="32">
        <v>35.6</v>
      </c>
      <c r="M279" s="35">
        <f>AVERAGE(G279,I279,K279)</f>
        <v>35.86666666666667</v>
      </c>
    </row>
    <row r="280" spans="2:13" ht="12.75">
      <c r="B280" s="9" t="s">
        <v>89</v>
      </c>
      <c r="C280" s="9"/>
      <c r="D280" s="9" t="s">
        <v>19</v>
      </c>
      <c r="G280" s="32">
        <v>291</v>
      </c>
      <c r="H280" s="32"/>
      <c r="I280" s="33">
        <v>289</v>
      </c>
      <c r="J280" s="32"/>
      <c r="K280" s="32">
        <v>288</v>
      </c>
      <c r="M280" s="35">
        <f>AVERAGE(G280,I280,K280)</f>
        <v>289.3333333333333</v>
      </c>
    </row>
    <row r="281" spans="2:13" ht="12.75">
      <c r="B281" s="9"/>
      <c r="C281" s="9"/>
      <c r="G281" s="32"/>
      <c r="H281" s="32"/>
      <c r="I281" s="33"/>
      <c r="J281" s="32"/>
      <c r="K281" s="32"/>
      <c r="M281" s="35"/>
    </row>
    <row r="282" spans="2:13" ht="12.75">
      <c r="B282" s="9" t="s">
        <v>107</v>
      </c>
      <c r="C282" s="9" t="s">
        <v>20</v>
      </c>
      <c r="D282" s="9" t="s">
        <v>246</v>
      </c>
      <c r="G282" s="32"/>
      <c r="H282" s="32"/>
      <c r="I282" s="33"/>
      <c r="J282" s="32"/>
      <c r="K282" s="32"/>
      <c r="M282" s="35"/>
    </row>
    <row r="283" spans="2:13" ht="12.75">
      <c r="B283" s="9" t="s">
        <v>90</v>
      </c>
      <c r="C283" s="9"/>
      <c r="D283" s="9" t="s">
        <v>17</v>
      </c>
      <c r="G283" s="32">
        <v>20123</v>
      </c>
      <c r="H283" s="32"/>
      <c r="I283" s="33">
        <v>21109</v>
      </c>
      <c r="J283" s="32"/>
      <c r="K283" s="32">
        <v>20641</v>
      </c>
      <c r="M283" s="35">
        <f>AVERAGE(G283,I283,K283)</f>
        <v>20624.333333333332</v>
      </c>
    </row>
    <row r="284" spans="2:13" ht="12.75">
      <c r="B284" s="9" t="s">
        <v>105</v>
      </c>
      <c r="C284" s="9"/>
      <c r="D284" s="9" t="s">
        <v>18</v>
      </c>
      <c r="G284" s="32">
        <v>14.2</v>
      </c>
      <c r="H284" s="32"/>
      <c r="I284" s="33">
        <v>14.6</v>
      </c>
      <c r="J284" s="32"/>
      <c r="K284" s="32">
        <v>14.1</v>
      </c>
      <c r="M284" s="35">
        <f>AVERAGE(G284,I284,K284)</f>
        <v>14.299999999999999</v>
      </c>
    </row>
    <row r="285" spans="2:13" ht="12.75">
      <c r="B285" s="9" t="s">
        <v>106</v>
      </c>
      <c r="C285" s="9"/>
      <c r="D285" s="9" t="s">
        <v>18</v>
      </c>
      <c r="G285" s="32">
        <v>36.4</v>
      </c>
      <c r="H285" s="32"/>
      <c r="I285" s="33">
        <v>36</v>
      </c>
      <c r="J285" s="32"/>
      <c r="K285" s="32">
        <v>36.1</v>
      </c>
      <c r="M285" s="35">
        <f>AVERAGE(G285,I285,K285)</f>
        <v>36.166666666666664</v>
      </c>
    </row>
    <row r="286" spans="2:13" ht="12.75">
      <c r="B286" s="9" t="s">
        <v>89</v>
      </c>
      <c r="C286" s="9"/>
      <c r="D286" s="9" t="s">
        <v>19</v>
      </c>
      <c r="G286" s="32">
        <v>293</v>
      </c>
      <c r="H286" s="32"/>
      <c r="I286" s="33">
        <v>291</v>
      </c>
      <c r="J286" s="32"/>
      <c r="K286" s="32">
        <v>285</v>
      </c>
      <c r="M286" s="35">
        <f>AVERAGE(G286,I286,K286)</f>
        <v>289.6666666666667</v>
      </c>
    </row>
    <row r="287" spans="2:13" ht="12.75">
      <c r="B287" s="9"/>
      <c r="C287" s="9"/>
      <c r="G287" s="32"/>
      <c r="H287" s="32"/>
      <c r="I287" s="33"/>
      <c r="J287" s="32"/>
      <c r="K287" s="32"/>
      <c r="M287" s="35"/>
    </row>
    <row r="288" spans="2:13" ht="12.75">
      <c r="B288" s="9" t="s">
        <v>107</v>
      </c>
      <c r="C288" s="9" t="s">
        <v>162</v>
      </c>
      <c r="D288" s="9" t="s">
        <v>247</v>
      </c>
      <c r="G288" s="32"/>
      <c r="H288" s="32"/>
      <c r="I288" s="33"/>
      <c r="J288" s="32"/>
      <c r="K288" s="32"/>
      <c r="M288" s="35"/>
    </row>
    <row r="289" spans="2:13" ht="12.75">
      <c r="B289" s="9" t="s">
        <v>90</v>
      </c>
      <c r="C289" s="9"/>
      <c r="D289" s="9" t="s">
        <v>17</v>
      </c>
      <c r="G289" s="32">
        <v>21365</v>
      </c>
      <c r="H289" s="32"/>
      <c r="I289" s="33">
        <v>21568</v>
      </c>
      <c r="J289" s="32"/>
      <c r="K289" s="32">
        <v>21045</v>
      </c>
      <c r="M289" s="35">
        <f>AVERAGE(G289,I289,K289)</f>
        <v>21326</v>
      </c>
    </row>
    <row r="290" spans="2:13" ht="12.75">
      <c r="B290" s="9" t="s">
        <v>105</v>
      </c>
      <c r="C290" s="9"/>
      <c r="D290" s="9" t="s">
        <v>18</v>
      </c>
      <c r="G290" s="32">
        <v>14.2</v>
      </c>
      <c r="H290" s="32"/>
      <c r="I290" s="33">
        <v>14.6</v>
      </c>
      <c r="J290" s="32"/>
      <c r="K290" s="32">
        <v>14.1</v>
      </c>
      <c r="M290" s="35">
        <f>AVERAGE(G290,I290,K290)</f>
        <v>14.299999999999999</v>
      </c>
    </row>
    <row r="291" spans="2:13" ht="12.75">
      <c r="B291" s="9" t="s">
        <v>106</v>
      </c>
      <c r="C291" s="9"/>
      <c r="D291" s="9" t="s">
        <v>18</v>
      </c>
      <c r="G291" s="32">
        <v>36.5</v>
      </c>
      <c r="H291" s="32"/>
      <c r="I291" s="33">
        <v>36.2</v>
      </c>
      <c r="J291" s="32"/>
      <c r="K291" s="32">
        <v>36.5</v>
      </c>
      <c r="M291" s="35">
        <f>AVERAGE(G291,I291,K291)</f>
        <v>36.4</v>
      </c>
    </row>
    <row r="292" spans="2:13" ht="12.75">
      <c r="B292" s="9" t="s">
        <v>89</v>
      </c>
      <c r="C292" s="9"/>
      <c r="D292" s="9" t="s">
        <v>19</v>
      </c>
      <c r="G292" s="32">
        <v>290</v>
      </c>
      <c r="H292" s="32"/>
      <c r="I292" s="33">
        <v>290</v>
      </c>
      <c r="J292" s="32"/>
      <c r="K292" s="32">
        <v>285</v>
      </c>
      <c r="M292" s="35">
        <f>AVERAGE(G292,I292,K292)</f>
        <v>288.3333333333333</v>
      </c>
    </row>
    <row r="293" spans="2:13" ht="12.75">
      <c r="B293" s="9"/>
      <c r="C293" s="9"/>
      <c r="G293" s="32"/>
      <c r="H293" s="32"/>
      <c r="I293" s="33"/>
      <c r="J293" s="32"/>
      <c r="K293" s="32"/>
      <c r="M293" s="35"/>
    </row>
    <row r="294" spans="2:11" ht="12.75">
      <c r="B294" s="9"/>
      <c r="C294" s="9"/>
      <c r="G294" s="32"/>
      <c r="H294" s="32"/>
      <c r="I294" s="33"/>
      <c r="J294" s="32"/>
      <c r="K294" s="32"/>
    </row>
    <row r="295" spans="1:13" ht="12.75">
      <c r="A295" s="24">
        <v>15</v>
      </c>
      <c r="B295" s="28" t="s">
        <v>207</v>
      </c>
      <c r="C295" s="28" t="s">
        <v>180</v>
      </c>
      <c r="G295" s="26" t="s">
        <v>220</v>
      </c>
      <c r="H295" s="26"/>
      <c r="I295" s="27" t="s">
        <v>221</v>
      </c>
      <c r="J295" s="26"/>
      <c r="K295" s="26" t="s">
        <v>222</v>
      </c>
      <c r="L295" s="26"/>
      <c r="M295" s="26" t="s">
        <v>223</v>
      </c>
    </row>
    <row r="296" spans="2:13" ht="12.75">
      <c r="B296" s="28"/>
      <c r="C296" s="28"/>
      <c r="G296" s="32"/>
      <c r="H296" s="32"/>
      <c r="I296" s="33"/>
      <c r="J296" s="32"/>
      <c r="K296" s="32"/>
      <c r="M296" s="35"/>
    </row>
    <row r="297" spans="2:13" ht="12.75">
      <c r="B297" s="9" t="s">
        <v>13</v>
      </c>
      <c r="C297" s="9" t="s">
        <v>245</v>
      </c>
      <c r="D297" s="9" t="s">
        <v>14</v>
      </c>
      <c r="E297" s="9" t="s">
        <v>15</v>
      </c>
      <c r="G297">
        <v>0.004</v>
      </c>
      <c r="H297"/>
      <c r="I297">
        <v>0.0046</v>
      </c>
      <c r="J297"/>
      <c r="K297">
        <v>0.001</v>
      </c>
      <c r="M297" s="74">
        <f>AVERAGE(G297,I297,K297)</f>
        <v>0.0032</v>
      </c>
    </row>
    <row r="298" spans="2:13" ht="12.75">
      <c r="B298" s="9" t="s">
        <v>127</v>
      </c>
      <c r="C298" s="9" t="s">
        <v>245</v>
      </c>
      <c r="D298" s="9" t="s">
        <v>16</v>
      </c>
      <c r="E298" s="9" t="s">
        <v>15</v>
      </c>
      <c r="G298">
        <v>5.3</v>
      </c>
      <c r="H298"/>
      <c r="I298">
        <v>6</v>
      </c>
      <c r="J298"/>
      <c r="K298">
        <v>6.8</v>
      </c>
      <c r="M298" s="10">
        <f>AVERAGE(G298,I298,K298)</f>
        <v>6.033333333333334</v>
      </c>
    </row>
    <row r="299" spans="2:13" ht="12.75">
      <c r="B299" s="9" t="s">
        <v>130</v>
      </c>
      <c r="C299" s="9" t="s">
        <v>245</v>
      </c>
      <c r="D299" s="9" t="s">
        <v>16</v>
      </c>
      <c r="E299" s="9" t="s">
        <v>15</v>
      </c>
      <c r="G299">
        <v>1.5</v>
      </c>
      <c r="H299"/>
      <c r="I299">
        <v>1.5</v>
      </c>
      <c r="J299"/>
      <c r="K299">
        <v>0.3</v>
      </c>
      <c r="M299" s="10">
        <f>AVERAGE(G299,I299,K299)</f>
        <v>1.0999999999999999</v>
      </c>
    </row>
    <row r="300" spans="2:13" ht="12.75">
      <c r="B300" s="9" t="s">
        <v>52</v>
      </c>
      <c r="C300" s="9"/>
      <c r="D300" s="9" t="s">
        <v>55</v>
      </c>
      <c r="E300" s="9" t="s">
        <v>82</v>
      </c>
      <c r="G300">
        <v>1.99</v>
      </c>
      <c r="H300"/>
      <c r="I300">
        <v>1.08</v>
      </c>
      <c r="J300"/>
      <c r="K300">
        <v>2.62</v>
      </c>
      <c r="M300" s="35"/>
    </row>
    <row r="301" spans="2:13" ht="12.75">
      <c r="B301" s="9" t="s">
        <v>52</v>
      </c>
      <c r="C301" s="9" t="s">
        <v>245</v>
      </c>
      <c r="D301" s="9" t="s">
        <v>16</v>
      </c>
      <c r="E301" s="9" t="s">
        <v>15</v>
      </c>
      <c r="G301" s="66">
        <f>G300*454/60/0.0283/G328*(21-7)/(21-G329)*667.8</f>
        <v>33.525594588727984</v>
      </c>
      <c r="H301" s="66"/>
      <c r="I301" s="66">
        <f>I300*454/60/0.0283/I328*(21-7)/(21-I329)*667.8</f>
        <v>18.256756562123595</v>
      </c>
      <c r="J301" s="66"/>
      <c r="K301" s="66">
        <f>K300*454/60/0.0283/K328*(21-7)/(21-K329)*667.8</f>
        <v>42.431524664787645</v>
      </c>
      <c r="L301" s="35"/>
      <c r="M301" s="10">
        <f>AVERAGE(G301,I301,K301)</f>
        <v>31.40462527187974</v>
      </c>
    </row>
    <row r="302" spans="2:13" ht="12.75">
      <c r="B302" s="9"/>
      <c r="C302" s="9"/>
      <c r="G302" s="38"/>
      <c r="H302" s="38"/>
      <c r="I302" s="39"/>
      <c r="J302" s="38"/>
      <c r="K302" s="38"/>
      <c r="M302" s="35"/>
    </row>
    <row r="303" spans="2:13" ht="12.75">
      <c r="B303" s="9" t="s">
        <v>92</v>
      </c>
      <c r="C303" s="9"/>
      <c r="D303" s="9" t="s">
        <v>55</v>
      </c>
      <c r="F303"/>
      <c r="G303" s="73">
        <v>0.00054</v>
      </c>
      <c r="H303"/>
      <c r="I303" s="73">
        <v>0.000647</v>
      </c>
      <c r="J303"/>
      <c r="K303" s="73">
        <v>0.000658</v>
      </c>
      <c r="M303" s="35"/>
    </row>
    <row r="304" spans="2:13" ht="12.75">
      <c r="B304" s="9" t="s">
        <v>93</v>
      </c>
      <c r="C304" s="9"/>
      <c r="D304" s="9" t="s">
        <v>55</v>
      </c>
      <c r="F304"/>
      <c r="G304" s="73">
        <v>0.000301</v>
      </c>
      <c r="H304"/>
      <c r="I304" s="73">
        <v>0.000297</v>
      </c>
      <c r="J304"/>
      <c r="K304" s="73">
        <v>0.000296</v>
      </c>
      <c r="M304" s="35"/>
    </row>
    <row r="305" spans="2:13" ht="12.75">
      <c r="B305" s="9" t="s">
        <v>94</v>
      </c>
      <c r="C305" s="9"/>
      <c r="D305" s="9" t="s">
        <v>55</v>
      </c>
      <c r="F305"/>
      <c r="G305">
        <v>0.004</v>
      </c>
      <c r="H305"/>
      <c r="I305">
        <v>0.003</v>
      </c>
      <c r="J305"/>
      <c r="K305">
        <v>0.004</v>
      </c>
      <c r="M305" s="35"/>
    </row>
    <row r="306" spans="2:13" ht="12.75">
      <c r="B306" s="9" t="s">
        <v>95</v>
      </c>
      <c r="C306" s="9"/>
      <c r="D306" s="9" t="s">
        <v>55</v>
      </c>
      <c r="F306"/>
      <c r="G306" s="73">
        <v>4.42E-06</v>
      </c>
      <c r="H306"/>
      <c r="I306" s="73">
        <v>3.5E-06</v>
      </c>
      <c r="J306"/>
      <c r="K306" s="73">
        <v>4.36E-06</v>
      </c>
      <c r="M306" s="35"/>
    </row>
    <row r="307" spans="2:13" ht="12.75">
      <c r="B307" s="9" t="s">
        <v>96</v>
      </c>
      <c r="C307" s="9"/>
      <c r="D307" s="9" t="s">
        <v>55</v>
      </c>
      <c r="F307"/>
      <c r="G307" s="73">
        <v>7.08E-05</v>
      </c>
      <c r="H307"/>
      <c r="I307" s="73">
        <v>3.85E-05</v>
      </c>
      <c r="J307"/>
      <c r="K307" s="73">
        <v>2.62E-05</v>
      </c>
      <c r="M307" s="35"/>
    </row>
    <row r="308" spans="2:13" ht="12.75">
      <c r="B308" s="9" t="s">
        <v>131</v>
      </c>
      <c r="C308" s="9"/>
      <c r="D308" s="9" t="s">
        <v>55</v>
      </c>
      <c r="F308"/>
      <c r="G308" s="73">
        <v>6.19E-05</v>
      </c>
      <c r="H308"/>
      <c r="I308" s="73">
        <v>0.000105</v>
      </c>
      <c r="J308"/>
      <c r="K308" s="73">
        <v>3.05E-05</v>
      </c>
      <c r="M308" s="35"/>
    </row>
    <row r="309" spans="2:13" ht="12.75">
      <c r="B309" s="77" t="s">
        <v>249</v>
      </c>
      <c r="C309" s="9"/>
      <c r="D309" s="9" t="s">
        <v>55</v>
      </c>
      <c r="G309" s="69">
        <v>0.000212</v>
      </c>
      <c r="H309" s="38"/>
      <c r="I309" s="69">
        <v>4.5E-05</v>
      </c>
      <c r="J309" s="38"/>
      <c r="K309" s="69">
        <v>0.000155</v>
      </c>
      <c r="M309" s="35"/>
    </row>
    <row r="310" spans="2:13" ht="12.75">
      <c r="B310" s="9" t="s">
        <v>91</v>
      </c>
      <c r="C310" s="9"/>
      <c r="D310" s="9" t="s">
        <v>55</v>
      </c>
      <c r="F310"/>
      <c r="G310" s="73">
        <v>0.000429</v>
      </c>
      <c r="H310"/>
      <c r="I310" s="73">
        <v>0.000157</v>
      </c>
      <c r="J310"/>
      <c r="K310" s="73">
        <v>8.72E-06</v>
      </c>
      <c r="M310" s="35"/>
    </row>
    <row r="311" spans="2:13" ht="12.75">
      <c r="B311" s="9" t="s">
        <v>97</v>
      </c>
      <c r="C311" s="9"/>
      <c r="D311" s="9" t="s">
        <v>55</v>
      </c>
      <c r="F311"/>
      <c r="G311" s="73">
        <v>0.000535</v>
      </c>
      <c r="H311"/>
      <c r="I311">
        <v>0.002</v>
      </c>
      <c r="J311"/>
      <c r="K311">
        <v>0.002</v>
      </c>
      <c r="M311" s="35"/>
    </row>
    <row r="312" spans="2:13" ht="12.75">
      <c r="B312" s="9" t="s">
        <v>98</v>
      </c>
      <c r="C312" s="9"/>
      <c r="D312" s="9" t="s">
        <v>55</v>
      </c>
      <c r="F312"/>
      <c r="G312" s="73">
        <v>3.54E-05</v>
      </c>
      <c r="H312"/>
      <c r="I312" s="73">
        <v>0.000127</v>
      </c>
      <c r="J312"/>
      <c r="K312" s="73">
        <v>3.49E-05</v>
      </c>
      <c r="M312" s="35"/>
    </row>
    <row r="313" spans="2:13" ht="12.75">
      <c r="B313" s="9" t="s">
        <v>99</v>
      </c>
      <c r="C313" s="9"/>
      <c r="D313" s="9" t="s">
        <v>55</v>
      </c>
      <c r="F313"/>
      <c r="G313" s="73">
        <v>0.00038</v>
      </c>
      <c r="H313"/>
      <c r="I313" s="73">
        <v>0.000376</v>
      </c>
      <c r="J313"/>
      <c r="K313" s="73">
        <v>0.000375</v>
      </c>
      <c r="M313" s="35"/>
    </row>
    <row r="314" spans="2:13" ht="12.75">
      <c r="B314" s="9" t="s">
        <v>100</v>
      </c>
      <c r="C314" s="9"/>
      <c r="D314" s="9" t="s">
        <v>55</v>
      </c>
      <c r="F314"/>
      <c r="G314" s="73">
        <v>2.12E-05</v>
      </c>
      <c r="H314"/>
      <c r="I314" s="73">
        <v>2.1E-05</v>
      </c>
      <c r="J314"/>
      <c r="K314" s="73">
        <v>2.09E-05</v>
      </c>
      <c r="M314" s="35"/>
    </row>
    <row r="315" spans="2:13" ht="12.75">
      <c r="B315" s="9" t="s">
        <v>101</v>
      </c>
      <c r="C315" s="9"/>
      <c r="D315" s="9" t="s">
        <v>55</v>
      </c>
      <c r="F315"/>
      <c r="G315" s="73">
        <v>5.53E-05</v>
      </c>
      <c r="H315"/>
      <c r="I315" s="73">
        <v>5.47E-05</v>
      </c>
      <c r="J315"/>
      <c r="K315" s="73">
        <v>5.45E-05</v>
      </c>
      <c r="M315" s="35"/>
    </row>
    <row r="316" spans="2:13" ht="12.75">
      <c r="B316" s="9"/>
      <c r="C316" s="9"/>
      <c r="G316" s="69"/>
      <c r="H316" s="38"/>
      <c r="I316" s="69"/>
      <c r="J316" s="38"/>
      <c r="K316" s="69"/>
      <c r="M316" s="35"/>
    </row>
    <row r="317" spans="2:13" ht="12.75">
      <c r="B317" s="9" t="s">
        <v>80</v>
      </c>
      <c r="C317" s="9" t="s">
        <v>121</v>
      </c>
      <c r="G317" s="32"/>
      <c r="H317" s="32"/>
      <c r="I317" s="33"/>
      <c r="J317" s="32"/>
      <c r="K317" s="32"/>
      <c r="M317" s="35"/>
    </row>
    <row r="318" spans="2:13" ht="12.75">
      <c r="B318" s="9" t="s">
        <v>104</v>
      </c>
      <c r="C318" s="9"/>
      <c r="D318" s="9" t="s">
        <v>55</v>
      </c>
      <c r="F318" s="24"/>
      <c r="G318" s="24">
        <v>422</v>
      </c>
      <c r="I318" s="24">
        <v>395</v>
      </c>
      <c r="K318" s="24">
        <v>575</v>
      </c>
      <c r="M318" s="35"/>
    </row>
    <row r="319" spans="2:13" ht="12.75">
      <c r="B319" s="9" t="s">
        <v>120</v>
      </c>
      <c r="C319" s="9" t="s">
        <v>247</v>
      </c>
      <c r="D319" s="9" t="s">
        <v>55</v>
      </c>
      <c r="F319" s="9" t="s">
        <v>159</v>
      </c>
      <c r="G319">
        <v>0.001</v>
      </c>
      <c r="H319" t="s">
        <v>159</v>
      </c>
      <c r="I319">
        <v>0.001</v>
      </c>
      <c r="J319" t="s">
        <v>159</v>
      </c>
      <c r="K319">
        <v>0.001</v>
      </c>
      <c r="M319" s="35"/>
    </row>
    <row r="320" spans="2:13" ht="12.75">
      <c r="B320" s="9" t="s">
        <v>54</v>
      </c>
      <c r="C320" s="9" t="s">
        <v>247</v>
      </c>
      <c r="D320" s="9" t="s">
        <v>18</v>
      </c>
      <c r="F320" s="9" t="s">
        <v>214</v>
      </c>
      <c r="G320">
        <f>(G318-G319)/G318*100</f>
        <v>99.99976303317536</v>
      </c>
      <c r="H320" t="s">
        <v>214</v>
      </c>
      <c r="I320">
        <f>(I318-I319)/I318*100</f>
        <v>99.99974683544305</v>
      </c>
      <c r="J320" t="s">
        <v>214</v>
      </c>
      <c r="K320">
        <f>(K318-K319)/K318*100</f>
        <v>99.99982608695652</v>
      </c>
      <c r="M320" s="35"/>
    </row>
    <row r="321" spans="2:13" ht="12.75">
      <c r="B321" s="9"/>
      <c r="C321" s="9"/>
      <c r="G321"/>
      <c r="H321"/>
      <c r="I321"/>
      <c r="J321"/>
      <c r="K321"/>
      <c r="M321" s="35"/>
    </row>
    <row r="322" spans="2:13" ht="12.75">
      <c r="B322" s="9" t="s">
        <v>80</v>
      </c>
      <c r="C322" s="9" t="s">
        <v>212</v>
      </c>
      <c r="G322" s="32"/>
      <c r="H322" s="32"/>
      <c r="I322" s="33"/>
      <c r="J322" s="32"/>
      <c r="K322" s="32"/>
      <c r="M322" s="35"/>
    </row>
    <row r="323" spans="2:13" ht="12.75">
      <c r="B323" s="9" t="s">
        <v>104</v>
      </c>
      <c r="C323" s="9"/>
      <c r="D323" s="9" t="s">
        <v>55</v>
      </c>
      <c r="F323" s="24"/>
      <c r="G323" s="24">
        <v>82.5</v>
      </c>
      <c r="I323" s="24">
        <v>81</v>
      </c>
      <c r="K323" s="24">
        <v>82</v>
      </c>
      <c r="M323" s="35"/>
    </row>
    <row r="324" spans="2:13" ht="12.75">
      <c r="B324" s="9" t="s">
        <v>120</v>
      </c>
      <c r="C324" s="9" t="s">
        <v>247</v>
      </c>
      <c r="D324" s="9" t="s">
        <v>55</v>
      </c>
      <c r="F324" s="9" t="s">
        <v>159</v>
      </c>
      <c r="G324" s="73">
        <v>2.25E-05</v>
      </c>
      <c r="H324" t="s">
        <v>159</v>
      </c>
      <c r="I324" s="73">
        <v>2.51E-05</v>
      </c>
      <c r="J324" t="s">
        <v>159</v>
      </c>
      <c r="K324" s="73">
        <v>2.56E-05</v>
      </c>
      <c r="M324" s="35"/>
    </row>
    <row r="325" spans="2:13" ht="12.75">
      <c r="B325" s="9" t="s">
        <v>54</v>
      </c>
      <c r="C325" s="9" t="s">
        <v>247</v>
      </c>
      <c r="D325" s="9" t="s">
        <v>18</v>
      </c>
      <c r="F325" s="9" t="s">
        <v>214</v>
      </c>
      <c r="G325">
        <f>(G323-G324)/G323*100</f>
        <v>99.99997272727272</v>
      </c>
      <c r="H325" t="s">
        <v>214</v>
      </c>
      <c r="I325">
        <f>(I323-I324)/I323*100</f>
        <v>99.99996901234567</v>
      </c>
      <c r="J325" t="s">
        <v>214</v>
      </c>
      <c r="K325">
        <f>(K323-K324)/K323*100</f>
        <v>99.9999687804878</v>
      </c>
      <c r="M325" s="35"/>
    </row>
    <row r="326" spans="2:13" ht="12.75">
      <c r="B326" s="9"/>
      <c r="C326" s="9"/>
      <c r="G326"/>
      <c r="H326"/>
      <c r="I326"/>
      <c r="J326"/>
      <c r="K326"/>
      <c r="M326" s="35"/>
    </row>
    <row r="327" spans="2:13" ht="12.75">
      <c r="B327" s="9" t="s">
        <v>107</v>
      </c>
      <c r="C327" s="9" t="s">
        <v>146</v>
      </c>
      <c r="D327" s="9" t="s">
        <v>245</v>
      </c>
      <c r="G327"/>
      <c r="H327"/>
      <c r="I327"/>
      <c r="J327"/>
      <c r="K327"/>
      <c r="M327" s="35"/>
    </row>
    <row r="328" spans="2:13" ht="12.75">
      <c r="B328" s="9" t="s">
        <v>90</v>
      </c>
      <c r="C328" s="9"/>
      <c r="D328" s="9" t="s">
        <v>17</v>
      </c>
      <c r="G328" s="6">
        <f>10.0685/0.0285*60</f>
        <v>21196.84210526316</v>
      </c>
      <c r="H328"/>
      <c r="I328" s="6">
        <f>9.893/0.0285*60</f>
        <v>20827.368421052633</v>
      </c>
      <c r="J328"/>
      <c r="K328" s="6">
        <f>10.3262/0.0285*60</f>
        <v>21739.36842105263</v>
      </c>
      <c r="M328" s="10">
        <f>AVERAGE(G328,I328,K328)</f>
        <v>21254.526315789477</v>
      </c>
    </row>
    <row r="329" spans="2:13" ht="12.75">
      <c r="B329" s="9" t="s">
        <v>105</v>
      </c>
      <c r="C329" s="9"/>
      <c r="D329" s="9" t="s">
        <v>18</v>
      </c>
      <c r="G329">
        <v>14</v>
      </c>
      <c r="H329"/>
      <c r="I329">
        <v>13.9</v>
      </c>
      <c r="J329"/>
      <c r="K329">
        <v>13.9</v>
      </c>
      <c r="M329" s="10">
        <f>AVERAGE(G329,I329,K329)</f>
        <v>13.933333333333332</v>
      </c>
    </row>
    <row r="330" spans="2:13" ht="12.75">
      <c r="B330" s="9" t="s">
        <v>106</v>
      </c>
      <c r="C330" s="9"/>
      <c r="D330" s="9" t="s">
        <v>18</v>
      </c>
      <c r="G330"/>
      <c r="H330"/>
      <c r="I330"/>
      <c r="J330"/>
      <c r="K330"/>
      <c r="M330" s="10" t="e">
        <f>AVERAGE(G330,I330,K330)</f>
        <v>#DIV/0!</v>
      </c>
    </row>
    <row r="331" spans="2:13" ht="12.75">
      <c r="B331" s="9" t="s">
        <v>89</v>
      </c>
      <c r="C331" s="9"/>
      <c r="D331" s="9" t="s">
        <v>19</v>
      </c>
      <c r="G331"/>
      <c r="H331"/>
      <c r="I331"/>
      <c r="J331"/>
      <c r="K331"/>
      <c r="M331" s="10" t="e">
        <f>AVERAGE(G331,I331,K331)</f>
        <v>#DIV/0!</v>
      </c>
    </row>
    <row r="332" spans="2:13" ht="12.75">
      <c r="B332" s="9"/>
      <c r="C332" s="9"/>
      <c r="G332"/>
      <c r="H332"/>
      <c r="I332"/>
      <c r="J332"/>
      <c r="K332"/>
      <c r="M332" s="35"/>
    </row>
    <row r="333" spans="2:13" ht="12.75">
      <c r="B333" s="9" t="s">
        <v>107</v>
      </c>
      <c r="C333" s="9" t="s">
        <v>124</v>
      </c>
      <c r="D333" s="9" t="s">
        <v>247</v>
      </c>
      <c r="G333"/>
      <c r="H333"/>
      <c r="I333"/>
      <c r="J333"/>
      <c r="K333"/>
      <c r="M333" s="35"/>
    </row>
    <row r="334" spans="2:13" ht="12.75">
      <c r="B334" s="9" t="s">
        <v>90</v>
      </c>
      <c r="C334" s="9"/>
      <c r="D334" s="9" t="s">
        <v>17</v>
      </c>
      <c r="G334" s="6">
        <f>10.0685/0.0285*60</f>
        <v>21196.84210526316</v>
      </c>
      <c r="H334"/>
      <c r="I334" s="6">
        <f>9.893/0.0285*60</f>
        <v>20827.368421052633</v>
      </c>
      <c r="J334"/>
      <c r="K334" s="6">
        <f>10.3262/0.0285*60</f>
        <v>21739.36842105263</v>
      </c>
      <c r="M334" s="35">
        <f>AVERAGE(G334,I334,K334)</f>
        <v>21254.526315789477</v>
      </c>
    </row>
    <row r="335" spans="2:13" ht="12.75">
      <c r="B335" s="9" t="s">
        <v>105</v>
      </c>
      <c r="C335" s="9"/>
      <c r="D335" s="9" t="s">
        <v>18</v>
      </c>
      <c r="G335">
        <v>14</v>
      </c>
      <c r="H335"/>
      <c r="I335">
        <v>13.9</v>
      </c>
      <c r="J335"/>
      <c r="K335">
        <v>13.9</v>
      </c>
      <c r="M335" s="35">
        <f>AVERAGE(G335,I335,K335)</f>
        <v>13.933333333333332</v>
      </c>
    </row>
    <row r="336" spans="2:13" ht="12.75">
      <c r="B336" s="9" t="s">
        <v>106</v>
      </c>
      <c r="C336" s="9"/>
      <c r="D336" s="9" t="s">
        <v>18</v>
      </c>
      <c r="G336"/>
      <c r="H336"/>
      <c r="I336"/>
      <c r="J336"/>
      <c r="K336"/>
      <c r="M336" s="35" t="e">
        <f>AVERAGE(G336,I336,K336)</f>
        <v>#DIV/0!</v>
      </c>
    </row>
    <row r="337" spans="2:13" ht="12.75">
      <c r="B337" s="9" t="s">
        <v>89</v>
      </c>
      <c r="C337" s="9"/>
      <c r="D337" s="9" t="s">
        <v>19</v>
      </c>
      <c r="G337"/>
      <c r="H337"/>
      <c r="I337"/>
      <c r="J337"/>
      <c r="K337"/>
      <c r="M337" s="35" t="e">
        <f>AVERAGE(G337,I337,K337)</f>
        <v>#DIV/0!</v>
      </c>
    </row>
    <row r="338" spans="2:13" ht="12.75">
      <c r="B338" s="9"/>
      <c r="C338" s="9"/>
      <c r="G338"/>
      <c r="H338"/>
      <c r="I338"/>
      <c r="J338"/>
      <c r="K338"/>
      <c r="M338" s="35"/>
    </row>
    <row r="339" spans="2:13" ht="12.75">
      <c r="B339" s="9" t="s">
        <v>107</v>
      </c>
      <c r="C339" s="9" t="s">
        <v>125</v>
      </c>
      <c r="D339" s="9" t="s">
        <v>246</v>
      </c>
      <c r="G339"/>
      <c r="H339"/>
      <c r="I339"/>
      <c r="J339"/>
      <c r="K339"/>
      <c r="M339" s="35"/>
    </row>
    <row r="340" spans="2:13" ht="12.75">
      <c r="B340" s="9" t="s">
        <v>90</v>
      </c>
      <c r="C340" s="9"/>
      <c r="D340" s="9" t="s">
        <v>17</v>
      </c>
      <c r="G340" s="6">
        <f>10.0685/0.0285*60</f>
        <v>21196.84210526316</v>
      </c>
      <c r="H340"/>
      <c r="I340" s="6">
        <f>9.893/0.0285*60</f>
        <v>20827.368421052633</v>
      </c>
      <c r="J340"/>
      <c r="K340" s="6">
        <f>10.3262/0.0285*60</f>
        <v>21739.36842105263</v>
      </c>
      <c r="M340" s="35">
        <f>AVERAGE(G340,I340,K340)</f>
        <v>21254.526315789477</v>
      </c>
    </row>
    <row r="341" spans="2:13" ht="12.75">
      <c r="B341" s="9" t="s">
        <v>105</v>
      </c>
      <c r="C341" s="9"/>
      <c r="D341" s="9" t="s">
        <v>18</v>
      </c>
      <c r="G341">
        <v>14</v>
      </c>
      <c r="H341"/>
      <c r="I341">
        <v>13.9</v>
      </c>
      <c r="J341"/>
      <c r="K341">
        <v>13.9</v>
      </c>
      <c r="M341" s="35">
        <f>AVERAGE(G341,I341,K341)</f>
        <v>13.933333333333332</v>
      </c>
    </row>
    <row r="342" spans="2:13" ht="12.75">
      <c r="B342" s="9" t="s">
        <v>106</v>
      </c>
      <c r="C342" s="9"/>
      <c r="D342" s="9" t="s">
        <v>18</v>
      </c>
      <c r="G342"/>
      <c r="H342"/>
      <c r="I342"/>
      <c r="J342"/>
      <c r="K342"/>
      <c r="L342" s="32"/>
      <c r="M342" s="35" t="e">
        <f>AVERAGE(G342,I342,K342)</f>
        <v>#DIV/0!</v>
      </c>
    </row>
    <row r="343" spans="2:13" ht="12.75">
      <c r="B343" s="9" t="s">
        <v>89</v>
      </c>
      <c r="C343" s="9"/>
      <c r="D343" s="9" t="s">
        <v>19</v>
      </c>
      <c r="G343"/>
      <c r="H343"/>
      <c r="I343"/>
      <c r="J343"/>
      <c r="K343"/>
      <c r="L343" s="13"/>
      <c r="M343" s="35" t="e">
        <f>AVERAGE(G343,I343,K343)</f>
        <v>#DIV/0!</v>
      </c>
    </row>
    <row r="344" spans="2:13" ht="12.75">
      <c r="B344" s="9"/>
      <c r="C344" s="9"/>
      <c r="G344" s="38"/>
      <c r="H344" s="38"/>
      <c r="I344" s="39"/>
      <c r="J344" s="38"/>
      <c r="K344" s="38"/>
      <c r="M344" s="35"/>
    </row>
    <row r="345" spans="2:13" ht="12.75">
      <c r="B345" s="9" t="s">
        <v>92</v>
      </c>
      <c r="C345" s="9" t="s">
        <v>246</v>
      </c>
      <c r="D345" s="19" t="s">
        <v>63</v>
      </c>
      <c r="E345" s="9" t="s">
        <v>15</v>
      </c>
      <c r="G345" s="70">
        <f aca="true" t="shared" si="8" ref="G345:G350">G303*454/60/0.0283/G$340*(21-7)/(21-G$341)*1000000</f>
        <v>13.622937296480242</v>
      </c>
      <c r="H345" s="9"/>
      <c r="I345" s="70">
        <f aca="true" t="shared" si="9" ref="I345:I350">I303*454/60/0.0283/I$340*(21-7)/(21-I$341)*1000000</f>
        <v>16.377881900344363</v>
      </c>
      <c r="J345" s="9"/>
      <c r="K345" s="70">
        <f aca="true" t="shared" si="10" ref="K345:K350">K303*454/60/0.0283/K$340*(21-7)/(21-K$341)*1000000</f>
        <v>15.95757244902955</v>
      </c>
      <c r="L345"/>
      <c r="M345" s="35">
        <f aca="true" t="shared" si="11" ref="M345:M352">AVERAGE(G345,I345,K345)</f>
        <v>15.319463881951386</v>
      </c>
    </row>
    <row r="346" spans="2:13" ht="12.75">
      <c r="B346" s="9" t="s">
        <v>93</v>
      </c>
      <c r="C346" s="9" t="s">
        <v>246</v>
      </c>
      <c r="D346" s="19" t="s">
        <v>63</v>
      </c>
      <c r="E346" s="9" t="s">
        <v>15</v>
      </c>
      <c r="G346" s="70">
        <f t="shared" si="8"/>
        <v>7.5935261597047266</v>
      </c>
      <c r="H346" s="9"/>
      <c r="I346" s="70">
        <f t="shared" si="9"/>
        <v>7.518131258736133</v>
      </c>
      <c r="J346" s="9"/>
      <c r="K346" s="70">
        <f t="shared" si="10"/>
        <v>7.178482439077123</v>
      </c>
      <c r="L346"/>
      <c r="M346" s="35">
        <f t="shared" si="11"/>
        <v>7.430046619172661</v>
      </c>
    </row>
    <row r="347" spans="2:13" ht="12.75">
      <c r="B347" s="9" t="s">
        <v>94</v>
      </c>
      <c r="C347" s="9" t="s">
        <v>246</v>
      </c>
      <c r="D347" s="19" t="s">
        <v>63</v>
      </c>
      <c r="E347" s="9" t="s">
        <v>15</v>
      </c>
      <c r="G347" s="70">
        <f t="shared" si="8"/>
        <v>100.91064664059436</v>
      </c>
      <c r="H347" s="9"/>
      <c r="I347" s="70">
        <f t="shared" si="9"/>
        <v>75.94071978521346</v>
      </c>
      <c r="J347" s="9"/>
      <c r="K347" s="70">
        <f t="shared" si="10"/>
        <v>97.00651944698815</v>
      </c>
      <c r="L347"/>
      <c r="M347" s="35">
        <f t="shared" si="11"/>
        <v>91.28596195759866</v>
      </c>
    </row>
    <row r="348" spans="2:13" ht="12.75">
      <c r="B348" s="9" t="s">
        <v>95</v>
      </c>
      <c r="C348" s="9" t="s">
        <v>246</v>
      </c>
      <c r="D348" s="19" t="s">
        <v>63</v>
      </c>
      <c r="E348" s="9" t="s">
        <v>15</v>
      </c>
      <c r="G348" s="70">
        <f t="shared" si="8"/>
        <v>0.11150626453785677</v>
      </c>
      <c r="H348" s="9"/>
      <c r="I348" s="70">
        <f t="shared" si="9"/>
        <v>0.08859750641608234</v>
      </c>
      <c r="J348" s="9"/>
      <c r="K348" s="70">
        <f t="shared" si="10"/>
        <v>0.10573710619721707</v>
      </c>
      <c r="L348"/>
      <c r="M348" s="35">
        <f t="shared" si="11"/>
        <v>0.10194695905038538</v>
      </c>
    </row>
    <row r="349" spans="2:13" ht="12.75">
      <c r="B349" s="9" t="s">
        <v>96</v>
      </c>
      <c r="C349" s="9" t="s">
        <v>246</v>
      </c>
      <c r="D349" s="19" t="s">
        <v>63</v>
      </c>
      <c r="E349" s="9" t="s">
        <v>15</v>
      </c>
      <c r="G349" s="70">
        <f t="shared" si="8"/>
        <v>1.7861184455385202</v>
      </c>
      <c r="H349" s="9"/>
      <c r="I349" s="70">
        <f t="shared" si="9"/>
        <v>0.9745725705769063</v>
      </c>
      <c r="J349" s="9"/>
      <c r="K349" s="70">
        <f t="shared" si="10"/>
        <v>0.6353927023777725</v>
      </c>
      <c r="L349"/>
      <c r="M349" s="35">
        <f t="shared" si="11"/>
        <v>1.1320279061643996</v>
      </c>
    </row>
    <row r="350" spans="2:13" ht="12.75">
      <c r="B350" s="9" t="s">
        <v>131</v>
      </c>
      <c r="C350" s="9" t="s">
        <v>246</v>
      </c>
      <c r="D350" s="19" t="s">
        <v>63</v>
      </c>
      <c r="E350" s="9" t="s">
        <v>15</v>
      </c>
      <c r="G350" s="70">
        <f t="shared" si="8"/>
        <v>1.5615922567631977</v>
      </c>
      <c r="H350" s="9"/>
      <c r="I350" s="70">
        <f t="shared" si="9"/>
        <v>2.657925192482471</v>
      </c>
      <c r="J350" s="9"/>
      <c r="K350" s="70">
        <f t="shared" si="10"/>
        <v>0.7396747107832846</v>
      </c>
      <c r="L350"/>
      <c r="M350" s="35">
        <f t="shared" si="11"/>
        <v>1.6530640533429846</v>
      </c>
    </row>
    <row r="351" spans="2:13" ht="12.75">
      <c r="B351" s="77" t="s">
        <v>249</v>
      </c>
      <c r="C351" s="9" t="s">
        <v>246</v>
      </c>
      <c r="D351" s="19" t="s">
        <v>63</v>
      </c>
      <c r="E351" s="9" t="s">
        <v>15</v>
      </c>
      <c r="G351" s="70">
        <f aca="true" t="shared" si="12" ref="G351:G357">G309*454/60/0.0283/G$340*(21-7)/(21-G$341)*1000000</f>
        <v>5.348264271951502</v>
      </c>
      <c r="H351" s="66"/>
      <c r="I351" s="70">
        <f aca="true" t="shared" si="13" ref="I351:I357">I309*454/60/0.0283/I$340*(21-7)/(21-I$341)*1000000</f>
        <v>1.1391107967782017</v>
      </c>
      <c r="J351" s="66"/>
      <c r="K351" s="70">
        <f aca="true" t="shared" si="14" ref="K351:K357">K309*454/60/0.0283/K$340*(21-7)/(21-K$341)*1000000</f>
        <v>3.7590026285707916</v>
      </c>
      <c r="M351" s="35">
        <f t="shared" si="11"/>
        <v>3.4154592324334985</v>
      </c>
    </row>
    <row r="352" spans="2:13" ht="12.75">
      <c r="B352" s="9" t="s">
        <v>91</v>
      </c>
      <c r="C352" s="9" t="s">
        <v>246</v>
      </c>
      <c r="D352" s="19" t="s">
        <v>63</v>
      </c>
      <c r="E352" s="9" t="s">
        <v>15</v>
      </c>
      <c r="G352" s="70">
        <f t="shared" si="12"/>
        <v>10.82266685220375</v>
      </c>
      <c r="H352" s="9"/>
      <c r="I352" s="70">
        <f t="shared" si="13"/>
        <v>3.974231002092837</v>
      </c>
      <c r="J352" s="9"/>
      <c r="K352" s="70">
        <f t="shared" si="14"/>
        <v>0.21147421239443415</v>
      </c>
      <c r="L352"/>
      <c r="M352" s="35">
        <f t="shared" si="11"/>
        <v>5.002790688897007</v>
      </c>
    </row>
    <row r="353" spans="2:13" ht="12.75">
      <c r="B353" s="9" t="s">
        <v>97</v>
      </c>
      <c r="C353" s="9" t="s">
        <v>246</v>
      </c>
      <c r="D353" s="19" t="s">
        <v>63</v>
      </c>
      <c r="E353" s="9" t="s">
        <v>15</v>
      </c>
      <c r="G353" s="70">
        <f t="shared" si="12"/>
        <v>13.496798988179497</v>
      </c>
      <c r="H353" s="9"/>
      <c r="I353" s="70">
        <f t="shared" si="13"/>
        <v>50.62714652347564</v>
      </c>
      <c r="J353" s="9"/>
      <c r="K353" s="70">
        <f t="shared" si="14"/>
        <v>48.503259723494075</v>
      </c>
      <c r="L353"/>
      <c r="M353" s="35">
        <f aca="true" t="shared" si="15" ref="M353:M359">AVERAGE(G353,I353,K353)</f>
        <v>37.54240174504974</v>
      </c>
    </row>
    <row r="354" spans="2:13" ht="12.75">
      <c r="B354" s="9" t="s">
        <v>98</v>
      </c>
      <c r="C354" s="9" t="s">
        <v>246</v>
      </c>
      <c r="D354" s="19" t="s">
        <v>63</v>
      </c>
      <c r="E354" s="9" t="s">
        <v>15</v>
      </c>
      <c r="G354" s="70">
        <f t="shared" si="12"/>
        <v>0.8930592227692601</v>
      </c>
      <c r="H354" s="9"/>
      <c r="I354" s="70">
        <f t="shared" si="13"/>
        <v>3.2148238042407025</v>
      </c>
      <c r="J354" s="9"/>
      <c r="K354" s="70">
        <f t="shared" si="14"/>
        <v>0.8463818821749717</v>
      </c>
      <c r="L354"/>
      <c r="M354" s="35">
        <f t="shared" si="15"/>
        <v>1.6514216363949779</v>
      </c>
    </row>
    <row r="355" spans="2:13" ht="12.75">
      <c r="B355" s="9" t="s">
        <v>99</v>
      </c>
      <c r="C355" s="9" t="s">
        <v>246</v>
      </c>
      <c r="D355" s="19" t="s">
        <v>63</v>
      </c>
      <c r="E355" s="9" t="s">
        <v>15</v>
      </c>
      <c r="G355" s="70">
        <f t="shared" si="12"/>
        <v>9.586511430856463</v>
      </c>
      <c r="H355" s="9"/>
      <c r="I355" s="70">
        <f t="shared" si="13"/>
        <v>9.517903546413418</v>
      </c>
      <c r="J355" s="9"/>
      <c r="K355" s="70">
        <f t="shared" si="14"/>
        <v>9.09436119815514</v>
      </c>
      <c r="L355"/>
      <c r="M355" s="35">
        <f t="shared" si="15"/>
        <v>9.399592058475008</v>
      </c>
    </row>
    <row r="356" spans="2:13" ht="12.75">
      <c r="B356" s="9" t="s">
        <v>100</v>
      </c>
      <c r="C356" s="9" t="s">
        <v>246</v>
      </c>
      <c r="D356" s="19" t="s">
        <v>63</v>
      </c>
      <c r="E356" s="9" t="s">
        <v>15</v>
      </c>
      <c r="G356" s="70">
        <f t="shared" si="12"/>
        <v>0.5348264271951503</v>
      </c>
      <c r="H356" s="9"/>
      <c r="I356" s="70">
        <f t="shared" si="13"/>
        <v>0.5315850384964942</v>
      </c>
      <c r="J356" s="9"/>
      <c r="K356" s="70">
        <f t="shared" si="14"/>
        <v>0.5068590641105132</v>
      </c>
      <c r="L356"/>
      <c r="M356" s="35">
        <f t="shared" si="15"/>
        <v>0.5244235099340525</v>
      </c>
    </row>
    <row r="357" spans="2:13" ht="12.75">
      <c r="B357" s="9" t="s">
        <v>101</v>
      </c>
      <c r="C357" s="9" t="s">
        <v>246</v>
      </c>
      <c r="D357" s="19" t="s">
        <v>63</v>
      </c>
      <c r="E357" s="9" t="s">
        <v>15</v>
      </c>
      <c r="G357" s="70">
        <f t="shared" si="12"/>
        <v>1.3950896898062173</v>
      </c>
      <c r="H357" s="9"/>
      <c r="I357" s="70">
        <f t="shared" si="13"/>
        <v>1.3846524574170587</v>
      </c>
      <c r="J357" s="9"/>
      <c r="K357" s="70">
        <f t="shared" si="14"/>
        <v>1.3217138274652138</v>
      </c>
      <c r="L357"/>
      <c r="M357" s="35">
        <f t="shared" si="15"/>
        <v>1.3671519915628298</v>
      </c>
    </row>
    <row r="358" spans="2:13" ht="12.75">
      <c r="B358" s="9" t="s">
        <v>64</v>
      </c>
      <c r="C358" s="9" t="s">
        <v>246</v>
      </c>
      <c r="D358" s="19" t="s">
        <v>63</v>
      </c>
      <c r="E358" s="9" t="s">
        <v>15</v>
      </c>
      <c r="G358" s="70">
        <f>G352+G349</f>
        <v>12.60878529774227</v>
      </c>
      <c r="H358" s="38"/>
      <c r="I358" s="70">
        <f>I352+I349</f>
        <v>4.9488035726697435</v>
      </c>
      <c r="J358" s="38"/>
      <c r="K358" s="70">
        <f>K352+K349</f>
        <v>0.8468669147722065</v>
      </c>
      <c r="M358" s="35">
        <f t="shared" si="15"/>
        <v>6.1348185950614065</v>
      </c>
    </row>
    <row r="359" spans="2:13" ht="12.75">
      <c r="B359" s="9" t="s">
        <v>65</v>
      </c>
      <c r="C359" s="9" t="s">
        <v>246</v>
      </c>
      <c r="D359" s="19" t="s">
        <v>63</v>
      </c>
      <c r="E359" s="9" t="s">
        <v>15</v>
      </c>
      <c r="G359" s="70">
        <f>G346+G348+G350</f>
        <v>9.266624681005782</v>
      </c>
      <c r="H359" s="38"/>
      <c r="I359" s="70">
        <f>I346+I348+I350</f>
        <v>10.264653957634687</v>
      </c>
      <c r="J359" s="38"/>
      <c r="K359" s="70">
        <f>K346+K348+K350</f>
        <v>8.023894256057623</v>
      </c>
      <c r="M359" s="35">
        <f t="shared" si="15"/>
        <v>9.18505763156603</v>
      </c>
    </row>
    <row r="360" spans="7:11" ht="12.75">
      <c r="G360" s="37"/>
      <c r="K360" s="37"/>
    </row>
    <row r="361" spans="7:11" ht="12.75">
      <c r="G361" s="37"/>
      <c r="K361" s="37"/>
    </row>
    <row r="362" spans="1:13" ht="12.75">
      <c r="A362" s="24">
        <v>16</v>
      </c>
      <c r="B362" s="28" t="s">
        <v>188</v>
      </c>
      <c r="C362" s="28" t="s">
        <v>179</v>
      </c>
      <c r="G362" s="26" t="s">
        <v>220</v>
      </c>
      <c r="H362" s="26"/>
      <c r="I362" s="27" t="s">
        <v>221</v>
      </c>
      <c r="J362" s="26"/>
      <c r="K362" s="26" t="s">
        <v>222</v>
      </c>
      <c r="L362" s="26"/>
      <c r="M362" s="26" t="s">
        <v>223</v>
      </c>
    </row>
    <row r="363" spans="2:13" ht="12.75">
      <c r="B363" s="28"/>
      <c r="C363" s="28"/>
      <c r="G363" s="32"/>
      <c r="H363" s="32"/>
      <c r="I363" s="33"/>
      <c r="J363" s="32"/>
      <c r="K363" s="32"/>
      <c r="M363" s="35"/>
    </row>
    <row r="364" spans="2:13" ht="12.75">
      <c r="B364" s="9" t="s">
        <v>13</v>
      </c>
      <c r="C364" s="9" t="s">
        <v>245</v>
      </c>
      <c r="D364" s="9" t="s">
        <v>14</v>
      </c>
      <c r="E364" s="9" t="s">
        <v>15</v>
      </c>
      <c r="G364" s="32">
        <v>0.0019</v>
      </c>
      <c r="H364" s="32"/>
      <c r="I364" s="33">
        <v>0.0009</v>
      </c>
      <c r="J364" s="32"/>
      <c r="K364" s="32">
        <v>0.0019</v>
      </c>
      <c r="M364" s="12">
        <f>AVERAGE(G364,I364,K364)</f>
        <v>0.0015666666666666667</v>
      </c>
    </row>
    <row r="365" spans="2:13" ht="12.75">
      <c r="B365" s="9" t="s">
        <v>130</v>
      </c>
      <c r="C365" s="9" t="s">
        <v>245</v>
      </c>
      <c r="D365" s="9" t="s">
        <v>16</v>
      </c>
      <c r="E365" s="9" t="s">
        <v>15</v>
      </c>
      <c r="G365" s="38">
        <v>2.03</v>
      </c>
      <c r="H365" s="38"/>
      <c r="I365" s="39">
        <v>0.75</v>
      </c>
      <c r="J365" s="38"/>
      <c r="K365" s="38">
        <v>0.6</v>
      </c>
      <c r="M365" s="10">
        <f>AVERAGE(G365,I365,K365)</f>
        <v>1.1266666666666667</v>
      </c>
    </row>
    <row r="366" spans="2:13" ht="12.75">
      <c r="B366" s="9" t="s">
        <v>52</v>
      </c>
      <c r="C366" s="9"/>
      <c r="D366" s="9" t="s">
        <v>55</v>
      </c>
      <c r="E366" s="9" t="s">
        <v>82</v>
      </c>
      <c r="G366" s="33">
        <v>5.17</v>
      </c>
      <c r="H366" s="32"/>
      <c r="I366" s="32">
        <v>3.55</v>
      </c>
      <c r="K366" s="24">
        <v>2.2</v>
      </c>
      <c r="M366" s="35"/>
    </row>
    <row r="367" spans="2:13" ht="12.75">
      <c r="B367" s="9" t="s">
        <v>52</v>
      </c>
      <c r="C367" s="9" t="s">
        <v>245</v>
      </c>
      <c r="D367" s="9" t="s">
        <v>16</v>
      </c>
      <c r="E367" s="9" t="s">
        <v>15</v>
      </c>
      <c r="G367" s="66">
        <f>G366*454/60/0.0283/G390*(21-7)/(21-G391)*667.8</f>
        <v>73.84030736829294</v>
      </c>
      <c r="H367" s="66"/>
      <c r="I367" s="66">
        <f>I366*454/60/0.0283/I390*(21-7)/(21-I391)*667.8</f>
        <v>53.98092115252571</v>
      </c>
      <c r="J367" s="66"/>
      <c r="K367" s="66">
        <f>K366*454/60/0.0283/K390*(21-7)/(21-K391)*667.8</f>
        <v>31.626103346160995</v>
      </c>
      <c r="L367" s="35"/>
      <c r="M367" s="66">
        <f>AVERAGE(G367:K367)</f>
        <v>53.14911062232655</v>
      </c>
    </row>
    <row r="368" spans="2:13" ht="12.75">
      <c r="B368" s="9"/>
      <c r="C368" s="9"/>
      <c r="G368" s="38"/>
      <c r="H368" s="38"/>
      <c r="I368" s="39"/>
      <c r="J368" s="38"/>
      <c r="K368" s="38"/>
      <c r="M368" s="35"/>
    </row>
    <row r="369" spans="2:13" ht="12.75">
      <c r="B369" s="9" t="s">
        <v>92</v>
      </c>
      <c r="C369" s="9"/>
      <c r="D369" s="9" t="s">
        <v>63</v>
      </c>
      <c r="E369" s="9" t="s">
        <v>82</v>
      </c>
      <c r="F369" s="9" t="s">
        <v>159</v>
      </c>
      <c r="G369" s="69">
        <v>0.241</v>
      </c>
      <c r="H369" s="9" t="s">
        <v>159</v>
      </c>
      <c r="I369" s="69">
        <v>0.231</v>
      </c>
      <c r="J369" s="9" t="s">
        <v>159</v>
      </c>
      <c r="K369" s="69">
        <v>0.249</v>
      </c>
      <c r="M369" s="35"/>
    </row>
    <row r="370" spans="2:13" ht="12.75">
      <c r="B370" s="9" t="s">
        <v>93</v>
      </c>
      <c r="C370" s="9"/>
      <c r="D370" s="9" t="s">
        <v>63</v>
      </c>
      <c r="E370" s="9" t="s">
        <v>82</v>
      </c>
      <c r="F370" s="9" t="s">
        <v>159</v>
      </c>
      <c r="G370" s="69">
        <v>0.241</v>
      </c>
      <c r="H370" s="9" t="s">
        <v>159</v>
      </c>
      <c r="I370" s="69">
        <v>0.231</v>
      </c>
      <c r="J370" s="9" t="s">
        <v>159</v>
      </c>
      <c r="K370" s="69">
        <v>0.249</v>
      </c>
      <c r="M370" s="35"/>
    </row>
    <row r="371" spans="2:13" ht="12.75">
      <c r="B371" s="9" t="s">
        <v>94</v>
      </c>
      <c r="C371" s="9"/>
      <c r="D371" s="9" t="s">
        <v>63</v>
      </c>
      <c r="E371" s="9" t="s">
        <v>82</v>
      </c>
      <c r="G371" s="69">
        <v>11.852</v>
      </c>
      <c r="H371" s="9"/>
      <c r="I371" s="69">
        <v>11.003</v>
      </c>
      <c r="J371" s="9"/>
      <c r="K371" s="69">
        <v>11.414</v>
      </c>
      <c r="M371" s="35"/>
    </row>
    <row r="372" spans="2:13" ht="12.75">
      <c r="B372" s="9" t="s">
        <v>95</v>
      </c>
      <c r="C372" s="9"/>
      <c r="D372" s="9" t="s">
        <v>63</v>
      </c>
      <c r="E372" s="9" t="s">
        <v>82</v>
      </c>
      <c r="F372" s="9" t="s">
        <v>159</v>
      </c>
      <c r="G372" s="69">
        <v>0.122</v>
      </c>
      <c r="H372" s="9" t="s">
        <v>159</v>
      </c>
      <c r="I372" s="69">
        <v>0.118</v>
      </c>
      <c r="J372" s="9" t="s">
        <v>159</v>
      </c>
      <c r="K372" s="69">
        <v>0.126</v>
      </c>
      <c r="M372" s="35"/>
    </row>
    <row r="373" spans="2:13" ht="12.75">
      <c r="B373" s="9" t="s">
        <v>96</v>
      </c>
      <c r="C373" s="9"/>
      <c r="D373" s="9" t="s">
        <v>63</v>
      </c>
      <c r="E373" s="9" t="s">
        <v>82</v>
      </c>
      <c r="G373" s="37">
        <v>0.233</v>
      </c>
      <c r="I373" s="37">
        <v>0.144</v>
      </c>
      <c r="K373" s="37">
        <v>0.571</v>
      </c>
      <c r="M373" s="35"/>
    </row>
    <row r="374" spans="2:13" ht="12.75">
      <c r="B374" s="9" t="s">
        <v>131</v>
      </c>
      <c r="C374" s="9"/>
      <c r="D374" s="9" t="s">
        <v>63</v>
      </c>
      <c r="E374" s="9" t="s">
        <v>82</v>
      </c>
      <c r="G374" s="69">
        <v>1.225</v>
      </c>
      <c r="H374" s="38"/>
      <c r="I374" s="69">
        <v>1.024</v>
      </c>
      <c r="J374" s="38"/>
      <c r="K374" s="69">
        <v>1.386</v>
      </c>
      <c r="M374" s="35"/>
    </row>
    <row r="375" spans="2:13" ht="12.75">
      <c r="B375" s="77" t="s">
        <v>249</v>
      </c>
      <c r="C375" s="9"/>
      <c r="D375" s="9" t="s">
        <v>63</v>
      </c>
      <c r="E375" s="9" t="s">
        <v>82</v>
      </c>
      <c r="G375" s="69">
        <v>0.961</v>
      </c>
      <c r="H375" s="38"/>
      <c r="I375" s="69">
        <v>0.785</v>
      </c>
      <c r="J375" s="38"/>
      <c r="K375" s="69">
        <v>0.65</v>
      </c>
      <c r="M375" s="35"/>
    </row>
    <row r="376" spans="2:13" ht="12.75">
      <c r="B376" s="9" t="s">
        <v>91</v>
      </c>
      <c r="C376" s="9"/>
      <c r="D376" s="9" t="s">
        <v>63</v>
      </c>
      <c r="E376" s="9" t="s">
        <v>82</v>
      </c>
      <c r="G376" s="69">
        <v>9.482</v>
      </c>
      <c r="H376" s="38"/>
      <c r="I376" s="69">
        <v>0.721</v>
      </c>
      <c r="J376" s="38"/>
      <c r="K376" s="69">
        <v>8.968</v>
      </c>
      <c r="M376" s="35"/>
    </row>
    <row r="377" spans="2:13" ht="12.75">
      <c r="B377" s="9" t="s">
        <v>97</v>
      </c>
      <c r="C377" s="9"/>
      <c r="D377" s="9" t="s">
        <v>63</v>
      </c>
      <c r="E377" s="9" t="s">
        <v>82</v>
      </c>
      <c r="G377" s="69">
        <v>7.206</v>
      </c>
      <c r="H377" s="38"/>
      <c r="I377" s="69">
        <v>3.308</v>
      </c>
      <c r="J377" s="38"/>
      <c r="K377" s="69">
        <v>2.148</v>
      </c>
      <c r="M377" s="35"/>
    </row>
    <row r="378" spans="2:13" ht="12.75">
      <c r="B378" s="9" t="s">
        <v>98</v>
      </c>
      <c r="C378" s="9"/>
      <c r="D378" s="9" t="s">
        <v>63</v>
      </c>
      <c r="E378" s="9" t="s">
        <v>82</v>
      </c>
      <c r="G378" s="69">
        <v>1.857</v>
      </c>
      <c r="H378" s="38"/>
      <c r="I378" s="69">
        <v>1.48</v>
      </c>
      <c r="J378" s="38"/>
      <c r="K378" s="69">
        <v>1.671</v>
      </c>
      <c r="M378" s="35"/>
    </row>
    <row r="379" spans="2:13" ht="12.75">
      <c r="B379" s="9" t="s">
        <v>99</v>
      </c>
      <c r="C379" s="9"/>
      <c r="D379" s="9" t="s">
        <v>63</v>
      </c>
      <c r="E379" s="9" t="s">
        <v>82</v>
      </c>
      <c r="F379" s="9" t="s">
        <v>159</v>
      </c>
      <c r="G379" s="69">
        <v>0.593</v>
      </c>
      <c r="H379" s="38" t="s">
        <v>159</v>
      </c>
      <c r="I379" s="69">
        <v>0.569</v>
      </c>
      <c r="J379" s="38" t="s">
        <v>159</v>
      </c>
      <c r="K379" s="69">
        <v>0.611</v>
      </c>
      <c r="M379" s="35"/>
    </row>
    <row r="380" spans="2:13" ht="12.75">
      <c r="B380" s="9" t="s">
        <v>100</v>
      </c>
      <c r="C380" s="9"/>
      <c r="D380" s="9" t="s">
        <v>63</v>
      </c>
      <c r="E380" s="9" t="s">
        <v>82</v>
      </c>
      <c r="G380" s="69">
        <v>0.316</v>
      </c>
      <c r="H380" s="38"/>
      <c r="I380" s="69">
        <v>0.243</v>
      </c>
      <c r="J380" s="38"/>
      <c r="K380" s="69">
        <v>0.241</v>
      </c>
      <c r="M380" s="35"/>
    </row>
    <row r="381" spans="2:13" ht="12.75">
      <c r="B381" s="9" t="s">
        <v>101</v>
      </c>
      <c r="C381" s="9"/>
      <c r="D381" s="9" t="s">
        <v>63</v>
      </c>
      <c r="E381" s="9" t="s">
        <v>82</v>
      </c>
      <c r="F381" s="9" t="s">
        <v>159</v>
      </c>
      <c r="G381" s="69">
        <v>0.122</v>
      </c>
      <c r="H381" s="38" t="s">
        <v>159</v>
      </c>
      <c r="I381" s="69">
        <v>0.118</v>
      </c>
      <c r="J381" s="38" t="s">
        <v>159</v>
      </c>
      <c r="K381" s="69">
        <v>0.1216</v>
      </c>
      <c r="M381" s="35"/>
    </row>
    <row r="382" spans="2:13" ht="12.75">
      <c r="B382" s="9"/>
      <c r="C382" s="9"/>
      <c r="G382" s="38"/>
      <c r="H382" s="38"/>
      <c r="I382" s="39"/>
      <c r="J382" s="38"/>
      <c r="K382" s="38"/>
      <c r="M382" s="35"/>
    </row>
    <row r="383" spans="2:13" ht="12.75">
      <c r="B383" s="9"/>
      <c r="C383" s="9"/>
      <c r="G383" s="69"/>
      <c r="H383" s="38"/>
      <c r="I383" s="69"/>
      <c r="J383" s="38"/>
      <c r="K383" s="69"/>
      <c r="M383" s="35"/>
    </row>
    <row r="384" spans="2:13" ht="12.75">
      <c r="B384" s="9" t="s">
        <v>80</v>
      </c>
      <c r="C384" s="9" t="s">
        <v>190</v>
      </c>
      <c r="G384" s="32"/>
      <c r="H384" s="32"/>
      <c r="I384" s="33"/>
      <c r="J384" s="32"/>
      <c r="K384" s="32"/>
      <c r="M384" s="35"/>
    </row>
    <row r="385" spans="2:13" ht="12.75">
      <c r="B385" s="9" t="s">
        <v>104</v>
      </c>
      <c r="C385" s="9"/>
      <c r="D385" s="9" t="s">
        <v>55</v>
      </c>
      <c r="G385" s="32">
        <v>153</v>
      </c>
      <c r="I385" s="33">
        <v>144.1</v>
      </c>
      <c r="K385" s="32">
        <v>167.2</v>
      </c>
      <c r="M385" s="35"/>
    </row>
    <row r="386" spans="2:13" ht="12.75">
      <c r="B386" s="9" t="s">
        <v>120</v>
      </c>
      <c r="C386" s="9" t="s">
        <v>248</v>
      </c>
      <c r="D386" s="9" t="s">
        <v>55</v>
      </c>
      <c r="G386" s="36">
        <v>0.000204</v>
      </c>
      <c r="H386" s="32"/>
      <c r="I386" s="36">
        <v>0.000478</v>
      </c>
      <c r="J386" s="32"/>
      <c r="K386" s="36">
        <v>0.00122</v>
      </c>
      <c r="M386" s="35"/>
    </row>
    <row r="387" spans="2:13" ht="12.75">
      <c r="B387" s="9" t="s">
        <v>54</v>
      </c>
      <c r="C387" s="9" t="s">
        <v>248</v>
      </c>
      <c r="D387" s="9" t="s">
        <v>18</v>
      </c>
      <c r="G387" s="32">
        <v>99.99986</v>
      </c>
      <c r="H387" s="32"/>
      <c r="I387" s="33">
        <v>99.99967</v>
      </c>
      <c r="J387" s="32"/>
      <c r="K387" s="32">
        <v>99.99927</v>
      </c>
      <c r="M387" s="35"/>
    </row>
    <row r="388" spans="2:13" ht="12.75">
      <c r="B388" s="9"/>
      <c r="C388" s="9"/>
      <c r="G388" s="38"/>
      <c r="H388" s="38"/>
      <c r="I388" s="39"/>
      <c r="J388" s="38"/>
      <c r="K388" s="38"/>
      <c r="M388" s="35"/>
    </row>
    <row r="389" spans="2:13" ht="12.75">
      <c r="B389" s="9" t="s">
        <v>107</v>
      </c>
      <c r="C389" s="9" t="s">
        <v>146</v>
      </c>
      <c r="D389" s="9" t="s">
        <v>245</v>
      </c>
      <c r="G389" s="38"/>
      <c r="H389" s="38"/>
      <c r="I389" s="39"/>
      <c r="J389" s="38"/>
      <c r="K389" s="38"/>
      <c r="M389" s="35"/>
    </row>
    <row r="390" spans="2:13" ht="12.75">
      <c r="B390" s="9" t="s">
        <v>90</v>
      </c>
      <c r="C390" s="9"/>
      <c r="D390" s="9" t="s">
        <v>17</v>
      </c>
      <c r="G390" s="38">
        <f>1280640/60</f>
        <v>21344</v>
      </c>
      <c r="H390" s="38"/>
      <c r="I390" s="39">
        <f>1232940/60</f>
        <v>20549</v>
      </c>
      <c r="J390" s="38"/>
      <c r="K390" s="38">
        <f>1185600/60</f>
        <v>19760</v>
      </c>
      <c r="M390" s="10">
        <f>AVERAGE(G390,I390,K390)</f>
        <v>20551</v>
      </c>
    </row>
    <row r="391" spans="2:13" ht="12.75">
      <c r="B391" s="9" t="s">
        <v>105</v>
      </c>
      <c r="C391" s="9"/>
      <c r="D391" s="9" t="s">
        <v>18</v>
      </c>
      <c r="G391" s="38">
        <v>12.8</v>
      </c>
      <c r="H391" s="38"/>
      <c r="I391" s="39">
        <v>13</v>
      </c>
      <c r="J391" s="38"/>
      <c r="K391" s="38">
        <v>12.2</v>
      </c>
      <c r="M391" s="10">
        <f>AVERAGE(G391,I391,K391)</f>
        <v>12.666666666666666</v>
      </c>
    </row>
    <row r="392" spans="2:13" ht="12.75">
      <c r="B392" s="9" t="s">
        <v>106</v>
      </c>
      <c r="C392" s="9"/>
      <c r="D392" s="9" t="s">
        <v>18</v>
      </c>
      <c r="G392" s="38">
        <v>36.1</v>
      </c>
      <c r="H392" s="38"/>
      <c r="I392" s="39">
        <v>40.2</v>
      </c>
      <c r="J392" s="38"/>
      <c r="K392" s="38">
        <v>38.9</v>
      </c>
      <c r="M392" s="10">
        <f>AVERAGE(G392,I392,K392)</f>
        <v>38.400000000000006</v>
      </c>
    </row>
    <row r="393" spans="2:13" ht="12.75">
      <c r="B393" s="9" t="s">
        <v>89</v>
      </c>
      <c r="C393" s="9"/>
      <c r="D393" s="9" t="s">
        <v>19</v>
      </c>
      <c r="G393" s="38">
        <v>329</v>
      </c>
      <c r="H393" s="38"/>
      <c r="I393" s="39">
        <v>334</v>
      </c>
      <c r="J393" s="38"/>
      <c r="K393" s="38">
        <v>329</v>
      </c>
      <c r="M393" s="10">
        <f>AVERAGE(G393,I393,K393)</f>
        <v>330.6666666666667</v>
      </c>
    </row>
    <row r="394" spans="2:13" ht="12.75">
      <c r="B394" s="9"/>
      <c r="C394" s="9"/>
      <c r="G394" s="32"/>
      <c r="H394" s="32"/>
      <c r="I394" s="33"/>
      <c r="J394" s="32"/>
      <c r="K394" s="32"/>
      <c r="M394" s="35"/>
    </row>
    <row r="395" spans="2:13" ht="12.75">
      <c r="B395" s="9" t="s">
        <v>107</v>
      </c>
      <c r="C395" s="9" t="s">
        <v>125</v>
      </c>
      <c r="D395" s="9" t="s">
        <v>246</v>
      </c>
      <c r="G395" s="32"/>
      <c r="H395" s="32"/>
      <c r="I395" s="33"/>
      <c r="J395" s="32"/>
      <c r="K395" s="32"/>
      <c r="M395" s="35"/>
    </row>
    <row r="396" spans="2:13" ht="12.75">
      <c r="B396" s="9" t="s">
        <v>90</v>
      </c>
      <c r="C396" s="9"/>
      <c r="D396" s="9" t="s">
        <v>17</v>
      </c>
      <c r="G396" s="32">
        <v>20909</v>
      </c>
      <c r="H396" s="32"/>
      <c r="I396" s="33">
        <v>21394</v>
      </c>
      <c r="J396" s="32"/>
      <c r="K396" s="32">
        <v>19550</v>
      </c>
      <c r="M396" s="35">
        <f>AVERAGE(G396,I396,K396)</f>
        <v>20617.666666666668</v>
      </c>
    </row>
    <row r="397" spans="2:13" ht="12.75">
      <c r="B397" s="9" t="s">
        <v>105</v>
      </c>
      <c r="C397" s="9"/>
      <c r="D397" s="9" t="s">
        <v>18</v>
      </c>
      <c r="G397" s="32">
        <v>12.8</v>
      </c>
      <c r="H397" s="32"/>
      <c r="I397" s="33">
        <v>13</v>
      </c>
      <c r="J397" s="32"/>
      <c r="K397" s="32">
        <v>12.2</v>
      </c>
      <c r="M397" s="35">
        <f>AVERAGE(G397,I397,K397)</f>
        <v>12.666666666666666</v>
      </c>
    </row>
    <row r="398" spans="2:13" ht="12.75">
      <c r="B398" s="9" t="s">
        <v>106</v>
      </c>
      <c r="C398" s="9"/>
      <c r="D398" s="9" t="s">
        <v>18</v>
      </c>
      <c r="G398" s="11">
        <v>37.1</v>
      </c>
      <c r="H398" s="32"/>
      <c r="I398" s="33">
        <v>39.3</v>
      </c>
      <c r="J398" s="32"/>
      <c r="K398" s="32">
        <v>39</v>
      </c>
      <c r="L398" s="32"/>
      <c r="M398" s="35">
        <f>AVERAGE(G398,I398,K398)</f>
        <v>38.46666666666667</v>
      </c>
    </row>
    <row r="399" spans="2:13" ht="12.75">
      <c r="B399" s="9" t="s">
        <v>89</v>
      </c>
      <c r="C399" s="9"/>
      <c r="D399" s="9" t="s">
        <v>19</v>
      </c>
      <c r="G399" s="13">
        <v>330</v>
      </c>
      <c r="H399" s="13"/>
      <c r="I399" s="13">
        <v>333</v>
      </c>
      <c r="J399" s="13"/>
      <c r="K399" s="13">
        <v>330</v>
      </c>
      <c r="L399" s="13"/>
      <c r="M399" s="35">
        <f>AVERAGE(G399,I399,K399)</f>
        <v>331</v>
      </c>
    </row>
    <row r="400" spans="2:13" ht="12.75">
      <c r="B400" s="9"/>
      <c r="C400" s="9"/>
      <c r="G400" s="38"/>
      <c r="H400" s="38"/>
      <c r="I400" s="39"/>
      <c r="J400" s="38"/>
      <c r="K400" s="38"/>
      <c r="M400" s="35"/>
    </row>
    <row r="401" spans="2:13" ht="12.75">
      <c r="B401" s="9" t="s">
        <v>107</v>
      </c>
      <c r="C401" s="9" t="s">
        <v>103</v>
      </c>
      <c r="D401" s="9" t="s">
        <v>247</v>
      </c>
      <c r="G401" s="38"/>
      <c r="H401" s="38"/>
      <c r="I401" s="39"/>
      <c r="J401" s="38"/>
      <c r="K401" s="38"/>
      <c r="M401" s="35"/>
    </row>
    <row r="402" spans="2:13" ht="12.75">
      <c r="B402" s="9" t="s">
        <v>90</v>
      </c>
      <c r="C402" s="9"/>
      <c r="D402" s="9" t="s">
        <v>17</v>
      </c>
      <c r="G402" s="38">
        <v>24430</v>
      </c>
      <c r="H402" s="38"/>
      <c r="I402" s="39">
        <v>25364</v>
      </c>
      <c r="J402" s="38"/>
      <c r="K402" s="38">
        <v>23303</v>
      </c>
      <c r="M402" s="35">
        <f>AVERAGE(G402,I402,K402)</f>
        <v>24365.666666666668</v>
      </c>
    </row>
    <row r="403" spans="2:13" ht="12.75">
      <c r="B403" s="9" t="s">
        <v>105</v>
      </c>
      <c r="C403" s="9"/>
      <c r="D403" s="9" t="s">
        <v>18</v>
      </c>
      <c r="G403" s="38">
        <v>12.8</v>
      </c>
      <c r="H403" s="38"/>
      <c r="I403" s="39">
        <v>13</v>
      </c>
      <c r="J403" s="38"/>
      <c r="K403" s="38">
        <v>12.2</v>
      </c>
      <c r="M403" s="35">
        <f>AVERAGE(G403,I403,K403)</f>
        <v>12.666666666666666</v>
      </c>
    </row>
    <row r="404" spans="2:13" ht="12.75">
      <c r="B404" s="9" t="s">
        <v>106</v>
      </c>
      <c r="C404" s="9"/>
      <c r="D404" s="9" t="s">
        <v>18</v>
      </c>
      <c r="G404" s="38">
        <v>33</v>
      </c>
      <c r="H404" s="38"/>
      <c r="I404" s="39">
        <v>34.6</v>
      </c>
      <c r="J404" s="38"/>
      <c r="K404" s="38">
        <v>33.2</v>
      </c>
      <c r="M404" s="35">
        <f>AVERAGE(G404,I404,K404)</f>
        <v>33.6</v>
      </c>
    </row>
    <row r="405" spans="2:13" ht="12.75">
      <c r="B405" s="9" t="s">
        <v>89</v>
      </c>
      <c r="C405" s="9"/>
      <c r="D405" s="9" t="s">
        <v>19</v>
      </c>
      <c r="G405" s="38">
        <v>326</v>
      </c>
      <c r="H405" s="38"/>
      <c r="I405" s="39">
        <v>330</v>
      </c>
      <c r="J405" s="38"/>
      <c r="K405" s="38">
        <v>330</v>
      </c>
      <c r="M405" s="35">
        <f>AVERAGE(G405,I405,K405)</f>
        <v>328.6666666666667</v>
      </c>
    </row>
    <row r="406" spans="2:13" ht="12.75">
      <c r="B406" s="9"/>
      <c r="C406" s="9"/>
      <c r="G406" s="38"/>
      <c r="H406" s="38"/>
      <c r="I406" s="39"/>
      <c r="J406" s="38"/>
      <c r="K406" s="38"/>
      <c r="M406" s="35"/>
    </row>
    <row r="407" spans="2:13" ht="12.75">
      <c r="B407" s="9" t="s">
        <v>107</v>
      </c>
      <c r="C407" s="9" t="s">
        <v>54</v>
      </c>
      <c r="D407" s="9" t="s">
        <v>248</v>
      </c>
      <c r="G407" s="38"/>
      <c r="H407" s="38"/>
      <c r="I407" s="39"/>
      <c r="J407" s="38"/>
      <c r="K407" s="38"/>
      <c r="M407" s="35"/>
    </row>
    <row r="408" spans="2:13" ht="12.75">
      <c r="B408" s="9" t="s">
        <v>90</v>
      </c>
      <c r="C408" s="9"/>
      <c r="D408" s="9" t="s">
        <v>17</v>
      </c>
      <c r="G408" s="38">
        <v>18043</v>
      </c>
      <c r="H408" s="38"/>
      <c r="I408" s="39">
        <v>17749</v>
      </c>
      <c r="J408" s="38"/>
      <c r="K408" s="38">
        <v>16130</v>
      </c>
      <c r="M408" s="35">
        <f>AVERAGE(G408,I408,K408)</f>
        <v>17307.333333333332</v>
      </c>
    </row>
    <row r="409" spans="2:13" ht="12.75">
      <c r="B409" s="9" t="s">
        <v>105</v>
      </c>
      <c r="C409" s="9"/>
      <c r="D409" s="9" t="s">
        <v>18</v>
      </c>
      <c r="G409" s="38"/>
      <c r="H409" s="38"/>
      <c r="I409" s="39"/>
      <c r="J409" s="38"/>
      <c r="K409" s="38"/>
      <c r="M409" s="35"/>
    </row>
    <row r="410" spans="2:13" ht="12.75">
      <c r="B410" s="9" t="s">
        <v>106</v>
      </c>
      <c r="C410" s="9"/>
      <c r="D410" s="9" t="s">
        <v>18</v>
      </c>
      <c r="G410" s="38"/>
      <c r="H410" s="38"/>
      <c r="I410" s="39"/>
      <c r="J410" s="38"/>
      <c r="K410" s="38"/>
      <c r="M410" s="35"/>
    </row>
    <row r="411" spans="2:13" ht="12.75">
      <c r="B411" s="9" t="s">
        <v>89</v>
      </c>
      <c r="C411" s="9"/>
      <c r="D411" s="9" t="s">
        <v>19</v>
      </c>
      <c r="G411" s="38"/>
      <c r="H411" s="38"/>
      <c r="I411" s="39"/>
      <c r="J411" s="38"/>
      <c r="K411" s="38"/>
      <c r="M411" s="35"/>
    </row>
    <row r="412" spans="2:13" ht="12.75">
      <c r="B412" s="9"/>
      <c r="C412" s="9"/>
      <c r="G412" s="32"/>
      <c r="H412" s="32"/>
      <c r="I412" s="33"/>
      <c r="J412" s="32"/>
      <c r="K412" s="32"/>
      <c r="M412" s="35"/>
    </row>
    <row r="413" spans="2:13" ht="12.75">
      <c r="B413" s="9" t="s">
        <v>107</v>
      </c>
      <c r="C413" s="9" t="s">
        <v>124</v>
      </c>
      <c r="D413" s="9" t="s">
        <v>251</v>
      </c>
      <c r="G413" s="32"/>
      <c r="H413" s="32"/>
      <c r="I413" s="33"/>
      <c r="J413" s="32"/>
      <c r="K413" s="32"/>
      <c r="M413" s="35"/>
    </row>
    <row r="414" spans="2:13" ht="12.75">
      <c r="B414" s="9" t="s">
        <v>90</v>
      </c>
      <c r="C414" s="9"/>
      <c r="D414" s="9" t="s">
        <v>17</v>
      </c>
      <c r="G414" s="32">
        <v>22296</v>
      </c>
      <c r="H414" s="32"/>
      <c r="I414" s="33">
        <v>24424</v>
      </c>
      <c r="J414" s="32"/>
      <c r="K414" s="32">
        <v>21789</v>
      </c>
      <c r="M414" s="35">
        <f>AVERAGE(G414,I414,K414)</f>
        <v>22836.333333333332</v>
      </c>
    </row>
    <row r="415" spans="2:13" ht="12.75">
      <c r="B415" s="9" t="s">
        <v>105</v>
      </c>
      <c r="C415" s="9"/>
      <c r="D415" s="9" t="s">
        <v>18</v>
      </c>
      <c r="G415" s="32">
        <v>12.8</v>
      </c>
      <c r="I415" s="33">
        <v>13</v>
      </c>
      <c r="K415" s="32">
        <v>12.2</v>
      </c>
      <c r="M415" s="35">
        <f>AVERAGE(G415,I415,K415)</f>
        <v>12.666666666666666</v>
      </c>
    </row>
    <row r="416" spans="2:13" ht="12.75">
      <c r="B416" s="9" t="s">
        <v>106</v>
      </c>
      <c r="C416" s="9"/>
      <c r="D416" s="9" t="s">
        <v>18</v>
      </c>
      <c r="G416" s="32">
        <v>37.9</v>
      </c>
      <c r="H416" s="32"/>
      <c r="I416" s="33">
        <v>37.3</v>
      </c>
      <c r="J416" s="32"/>
      <c r="K416" s="32">
        <v>39.9</v>
      </c>
      <c r="M416" s="35">
        <f>AVERAGE(G416,I416,K416)</f>
        <v>38.36666666666667</v>
      </c>
    </row>
    <row r="417" spans="2:13" ht="12.75">
      <c r="B417" s="9" t="s">
        <v>89</v>
      </c>
      <c r="C417" s="9"/>
      <c r="D417" s="9" t="s">
        <v>19</v>
      </c>
      <c r="G417" s="32">
        <v>329</v>
      </c>
      <c r="H417" s="32"/>
      <c r="I417" s="33">
        <v>331</v>
      </c>
      <c r="J417" s="32"/>
      <c r="K417" s="32">
        <v>328</v>
      </c>
      <c r="M417" s="35">
        <f>AVERAGE(G417,I417,K417)</f>
        <v>329.3333333333333</v>
      </c>
    </row>
    <row r="418" spans="2:13" ht="12.75">
      <c r="B418" s="9"/>
      <c r="C418" s="9"/>
      <c r="G418" s="38"/>
      <c r="H418" s="38"/>
      <c r="I418" s="39"/>
      <c r="J418" s="38"/>
      <c r="K418" s="38"/>
      <c r="M418" s="35"/>
    </row>
    <row r="419" spans="2:13" ht="12.75">
      <c r="B419" s="9" t="s">
        <v>92</v>
      </c>
      <c r="C419" s="9" t="s">
        <v>246</v>
      </c>
      <c r="D419" s="19" t="s">
        <v>63</v>
      </c>
      <c r="E419" s="9" t="s">
        <v>15</v>
      </c>
      <c r="F419" s="9" t="s">
        <v>159</v>
      </c>
      <c r="G419" s="70">
        <f aca="true" t="shared" si="16" ref="G419:G431">G369*(21-7)/(21-G$397)</f>
        <v>0.4114634146341463</v>
      </c>
      <c r="H419" s="9" t="s">
        <v>159</v>
      </c>
      <c r="I419" s="70">
        <f aca="true" t="shared" si="17" ref="I419:I431">I369*(21-7)/(21-I$397)</f>
        <v>0.40425</v>
      </c>
      <c r="J419" s="9" t="s">
        <v>159</v>
      </c>
      <c r="K419" s="70">
        <f aca="true" t="shared" si="18" ref="K419:K431">K369*(21-7)/(21-K$397)</f>
        <v>0.39613636363636356</v>
      </c>
      <c r="L419">
        <v>100</v>
      </c>
      <c r="M419" s="35">
        <f aca="true" t="shared" si="19" ref="M419:M426">AVERAGE(G419,I419,K419)</f>
        <v>0.40394992609016994</v>
      </c>
    </row>
    <row r="420" spans="2:13" ht="12.75">
      <c r="B420" s="9" t="s">
        <v>93</v>
      </c>
      <c r="C420" s="9" t="s">
        <v>246</v>
      </c>
      <c r="D420" s="19" t="s">
        <v>63</v>
      </c>
      <c r="E420" s="9" t="s">
        <v>15</v>
      </c>
      <c r="F420" s="9" t="s">
        <v>159</v>
      </c>
      <c r="G420" s="70">
        <f t="shared" si="16"/>
        <v>0.4114634146341463</v>
      </c>
      <c r="H420" s="9" t="s">
        <v>159</v>
      </c>
      <c r="I420" s="70">
        <f t="shared" si="17"/>
        <v>0.40425</v>
      </c>
      <c r="J420" s="9" t="s">
        <v>159</v>
      </c>
      <c r="K420" s="70">
        <f t="shared" si="18"/>
        <v>0.39613636363636356</v>
      </c>
      <c r="L420">
        <v>100</v>
      </c>
      <c r="M420" s="35">
        <f t="shared" si="19"/>
        <v>0.40394992609016994</v>
      </c>
    </row>
    <row r="421" spans="2:13" ht="12.75">
      <c r="B421" s="9" t="s">
        <v>94</v>
      </c>
      <c r="C421" s="9" t="s">
        <v>246</v>
      </c>
      <c r="D421" s="19" t="s">
        <v>63</v>
      </c>
      <c r="E421" s="9" t="s">
        <v>15</v>
      </c>
      <c r="G421" s="70">
        <f t="shared" si="16"/>
        <v>20.235121951219515</v>
      </c>
      <c r="H421" s="9"/>
      <c r="I421" s="70">
        <f t="shared" si="17"/>
        <v>19.25525</v>
      </c>
      <c r="J421" s="9"/>
      <c r="K421" s="70">
        <f t="shared" si="18"/>
        <v>18.15863636363636</v>
      </c>
      <c r="L421"/>
      <c r="M421" s="35">
        <f t="shared" si="19"/>
        <v>19.21633610495196</v>
      </c>
    </row>
    <row r="422" spans="2:13" ht="12.75">
      <c r="B422" s="9" t="s">
        <v>95</v>
      </c>
      <c r="C422" s="9" t="s">
        <v>246</v>
      </c>
      <c r="D422" s="19" t="s">
        <v>63</v>
      </c>
      <c r="E422" s="9" t="s">
        <v>15</v>
      </c>
      <c r="F422" s="9" t="s">
        <v>159</v>
      </c>
      <c r="G422" s="70">
        <f t="shared" si="16"/>
        <v>0.2082926829268293</v>
      </c>
      <c r="H422" s="9" t="s">
        <v>159</v>
      </c>
      <c r="I422" s="70">
        <f t="shared" si="17"/>
        <v>0.2065</v>
      </c>
      <c r="J422" s="9" t="s">
        <v>159</v>
      </c>
      <c r="K422" s="70">
        <f t="shared" si="18"/>
        <v>0.20045454545454544</v>
      </c>
      <c r="L422">
        <v>100</v>
      </c>
      <c r="M422" s="35">
        <f t="shared" si="19"/>
        <v>0.20508240946045822</v>
      </c>
    </row>
    <row r="423" spans="2:13" ht="12.75">
      <c r="B423" s="9" t="s">
        <v>96</v>
      </c>
      <c r="C423" s="9" t="s">
        <v>246</v>
      </c>
      <c r="D423" s="19" t="s">
        <v>63</v>
      </c>
      <c r="E423" s="9" t="s">
        <v>15</v>
      </c>
      <c r="G423" s="70">
        <f t="shared" si="16"/>
        <v>0.3978048780487805</v>
      </c>
      <c r="H423" s="9"/>
      <c r="I423" s="70">
        <f t="shared" si="17"/>
        <v>0.252</v>
      </c>
      <c r="J423" s="9"/>
      <c r="K423" s="70">
        <f t="shared" si="18"/>
        <v>0.9084090909090908</v>
      </c>
      <c r="L423"/>
      <c r="M423" s="35">
        <f t="shared" si="19"/>
        <v>0.5194046563192904</v>
      </c>
    </row>
    <row r="424" spans="2:13" ht="12.75">
      <c r="B424" s="9" t="s">
        <v>131</v>
      </c>
      <c r="C424" s="9" t="s">
        <v>246</v>
      </c>
      <c r="D424" s="19" t="s">
        <v>63</v>
      </c>
      <c r="E424" s="9" t="s">
        <v>15</v>
      </c>
      <c r="G424" s="70">
        <f t="shared" si="16"/>
        <v>2.0914634146341466</v>
      </c>
      <c r="H424" s="9"/>
      <c r="I424" s="70">
        <f t="shared" si="17"/>
        <v>1.792</v>
      </c>
      <c r="J424" s="9"/>
      <c r="K424" s="70">
        <f t="shared" si="18"/>
        <v>2.2049999999999996</v>
      </c>
      <c r="L424"/>
      <c r="M424" s="35">
        <f t="shared" si="19"/>
        <v>2.0294878048780487</v>
      </c>
    </row>
    <row r="425" spans="2:13" ht="12.75">
      <c r="B425" s="77" t="s">
        <v>249</v>
      </c>
      <c r="C425" s="9" t="s">
        <v>247</v>
      </c>
      <c r="D425" s="19" t="s">
        <v>63</v>
      </c>
      <c r="E425" s="9" t="s">
        <v>15</v>
      </c>
      <c r="G425" s="70">
        <f t="shared" si="16"/>
        <v>1.640731707317073</v>
      </c>
      <c r="H425" s="66"/>
      <c r="I425" s="70">
        <f t="shared" si="17"/>
        <v>1.37375</v>
      </c>
      <c r="J425" s="66"/>
      <c r="K425" s="70">
        <f t="shared" si="18"/>
        <v>1.034090909090909</v>
      </c>
      <c r="M425" s="35">
        <f t="shared" si="19"/>
        <v>1.3495242054693275</v>
      </c>
    </row>
    <row r="426" spans="2:13" ht="12.75">
      <c r="B426" s="9" t="s">
        <v>91</v>
      </c>
      <c r="C426" s="9" t="s">
        <v>246</v>
      </c>
      <c r="D426" s="19" t="s">
        <v>63</v>
      </c>
      <c r="E426" s="9" t="s">
        <v>15</v>
      </c>
      <c r="G426" s="70">
        <f t="shared" si="16"/>
        <v>16.188780487804877</v>
      </c>
      <c r="H426" s="9"/>
      <c r="I426" s="70">
        <f t="shared" si="17"/>
        <v>1.26175</v>
      </c>
      <c r="J426" s="9"/>
      <c r="K426" s="70">
        <f t="shared" si="18"/>
        <v>14.267272727272726</v>
      </c>
      <c r="L426"/>
      <c r="M426" s="35">
        <f t="shared" si="19"/>
        <v>10.572601071692533</v>
      </c>
    </row>
    <row r="427" spans="2:13" ht="12.75">
      <c r="B427" s="9" t="s">
        <v>97</v>
      </c>
      <c r="C427" s="9" t="s">
        <v>246</v>
      </c>
      <c r="D427" s="19" t="s">
        <v>63</v>
      </c>
      <c r="E427" s="9" t="s">
        <v>15</v>
      </c>
      <c r="G427" s="70">
        <f t="shared" si="16"/>
        <v>12.302926829268294</v>
      </c>
      <c r="H427" s="9"/>
      <c r="I427" s="70">
        <f t="shared" si="17"/>
        <v>5.789</v>
      </c>
      <c r="J427" s="9"/>
      <c r="K427" s="70">
        <f t="shared" si="18"/>
        <v>3.4172727272727275</v>
      </c>
      <c r="L427"/>
      <c r="M427" s="35">
        <f aca="true" t="shared" si="20" ref="M427:M433">AVERAGE(G427,I427,K427)</f>
        <v>7.169733185513675</v>
      </c>
    </row>
    <row r="428" spans="2:13" ht="12.75">
      <c r="B428" s="9" t="s">
        <v>98</v>
      </c>
      <c r="C428" s="9" t="s">
        <v>246</v>
      </c>
      <c r="D428" s="19" t="s">
        <v>63</v>
      </c>
      <c r="E428" s="9" t="s">
        <v>15</v>
      </c>
      <c r="G428" s="70">
        <f t="shared" si="16"/>
        <v>3.170487804878049</v>
      </c>
      <c r="H428" s="9"/>
      <c r="I428" s="70">
        <f t="shared" si="17"/>
        <v>2.59</v>
      </c>
      <c r="J428" s="9"/>
      <c r="K428" s="70">
        <f t="shared" si="18"/>
        <v>2.6584090909090907</v>
      </c>
      <c r="L428"/>
      <c r="M428" s="35">
        <f t="shared" si="20"/>
        <v>2.8062989652623798</v>
      </c>
    </row>
    <row r="429" spans="2:13" ht="12.75">
      <c r="B429" s="9" t="s">
        <v>99</v>
      </c>
      <c r="C429" s="9" t="s">
        <v>246</v>
      </c>
      <c r="D429" s="19" t="s">
        <v>63</v>
      </c>
      <c r="E429" s="9" t="s">
        <v>15</v>
      </c>
      <c r="F429" s="9" t="s">
        <v>159</v>
      </c>
      <c r="G429" s="70">
        <f t="shared" si="16"/>
        <v>1.012439024390244</v>
      </c>
      <c r="H429" s="9" t="s">
        <v>159</v>
      </c>
      <c r="I429" s="70">
        <f t="shared" si="17"/>
        <v>0.9957499999999999</v>
      </c>
      <c r="J429" s="9" t="s">
        <v>159</v>
      </c>
      <c r="K429" s="70">
        <f t="shared" si="18"/>
        <v>0.9720454545454545</v>
      </c>
      <c r="L429">
        <v>100</v>
      </c>
      <c r="M429" s="35">
        <f t="shared" si="20"/>
        <v>0.9934114929785661</v>
      </c>
    </row>
    <row r="430" spans="2:13" ht="12.75">
      <c r="B430" s="9" t="s">
        <v>100</v>
      </c>
      <c r="C430" s="9" t="s">
        <v>246</v>
      </c>
      <c r="D430" s="19" t="s">
        <v>63</v>
      </c>
      <c r="E430" s="9" t="s">
        <v>15</v>
      </c>
      <c r="G430" s="70">
        <f t="shared" si="16"/>
        <v>0.5395121951219514</v>
      </c>
      <c r="H430" s="9"/>
      <c r="I430" s="70">
        <f t="shared" si="17"/>
        <v>0.42525</v>
      </c>
      <c r="J430" s="9"/>
      <c r="K430" s="70">
        <f t="shared" si="18"/>
        <v>0.38340909090909087</v>
      </c>
      <c r="L430"/>
      <c r="M430" s="35">
        <f t="shared" si="20"/>
        <v>0.44939042867701406</v>
      </c>
    </row>
    <row r="431" spans="2:13" ht="12.75">
      <c r="B431" s="9" t="s">
        <v>101</v>
      </c>
      <c r="C431" s="9" t="s">
        <v>246</v>
      </c>
      <c r="D431" s="19" t="s">
        <v>63</v>
      </c>
      <c r="E431" s="9" t="s">
        <v>15</v>
      </c>
      <c r="F431" s="9" t="s">
        <v>159</v>
      </c>
      <c r="G431" s="70">
        <f t="shared" si="16"/>
        <v>0.2082926829268293</v>
      </c>
      <c r="H431" s="9" t="s">
        <v>159</v>
      </c>
      <c r="I431" s="70">
        <f t="shared" si="17"/>
        <v>0.2065</v>
      </c>
      <c r="J431" s="9" t="s">
        <v>159</v>
      </c>
      <c r="K431" s="70">
        <f t="shared" si="18"/>
        <v>0.19345454545454543</v>
      </c>
      <c r="L431">
        <v>100</v>
      </c>
      <c r="M431" s="35">
        <f t="shared" si="20"/>
        <v>0.2027490761271249</v>
      </c>
    </row>
    <row r="432" spans="2:13" ht="12.75">
      <c r="B432" s="9" t="s">
        <v>64</v>
      </c>
      <c r="C432" s="9" t="s">
        <v>246</v>
      </c>
      <c r="D432" s="19" t="s">
        <v>63</v>
      </c>
      <c r="E432" s="9" t="s">
        <v>15</v>
      </c>
      <c r="G432" s="70">
        <f>G426+G423</f>
        <v>16.586585365853658</v>
      </c>
      <c r="H432" s="38"/>
      <c r="I432" s="70">
        <f>I426+I423</f>
        <v>1.51375</v>
      </c>
      <c r="J432" s="38"/>
      <c r="K432" s="70">
        <f>K426+K423</f>
        <v>15.175681818181816</v>
      </c>
      <c r="M432" s="35">
        <f t="shared" si="20"/>
        <v>11.092005728011825</v>
      </c>
    </row>
    <row r="433" spans="2:13" ht="12.75">
      <c r="B433" s="9" t="s">
        <v>65</v>
      </c>
      <c r="C433" s="9" t="s">
        <v>246</v>
      </c>
      <c r="D433" s="19" t="s">
        <v>63</v>
      </c>
      <c r="E433" s="9" t="s">
        <v>15</v>
      </c>
      <c r="F433" s="9">
        <v>22.9</v>
      </c>
      <c r="G433" s="70">
        <f>G420+G422+G424</f>
        <v>2.711219512195122</v>
      </c>
      <c r="H433" s="38">
        <v>25.4</v>
      </c>
      <c r="I433" s="70">
        <f>I420+I422+I424</f>
        <v>2.40275</v>
      </c>
      <c r="J433" s="38">
        <v>21.3</v>
      </c>
      <c r="K433" s="70">
        <f>K420+K422+K424</f>
        <v>2.8015909090909084</v>
      </c>
      <c r="L433" s="24">
        <v>23.1</v>
      </c>
      <c r="M433" s="35">
        <f t="shared" si="20"/>
        <v>2.638520140428677</v>
      </c>
    </row>
    <row r="434" spans="7:11" ht="12.75">
      <c r="G434" s="37"/>
      <c r="K434" s="37"/>
    </row>
    <row r="435" spans="7:11" ht="12.75">
      <c r="G435" s="37"/>
      <c r="K435" s="37"/>
    </row>
    <row r="436" spans="1:13" ht="12.75">
      <c r="A436" s="24">
        <v>17</v>
      </c>
      <c r="B436" s="28" t="s">
        <v>185</v>
      </c>
      <c r="C436" s="28" t="s">
        <v>183</v>
      </c>
      <c r="G436" s="26" t="s">
        <v>220</v>
      </c>
      <c r="H436" s="26"/>
      <c r="I436" s="27" t="s">
        <v>221</v>
      </c>
      <c r="J436" s="26"/>
      <c r="K436" s="26" t="s">
        <v>222</v>
      </c>
      <c r="L436" s="26"/>
      <c r="M436" s="26" t="s">
        <v>223</v>
      </c>
    </row>
    <row r="437" spans="2:13" ht="12.75">
      <c r="B437" s="28"/>
      <c r="C437" s="28"/>
      <c r="G437" s="32"/>
      <c r="H437" s="32"/>
      <c r="I437" s="33"/>
      <c r="J437" s="32"/>
      <c r="K437" s="32"/>
      <c r="M437" s="35"/>
    </row>
    <row r="438" spans="2:13" ht="12.75">
      <c r="B438" s="9" t="s">
        <v>13</v>
      </c>
      <c r="C438" s="9" t="s">
        <v>245</v>
      </c>
      <c r="D438" s="9" t="s">
        <v>14</v>
      </c>
      <c r="E438" s="9" t="s">
        <v>15</v>
      </c>
      <c r="G438" s="32">
        <v>0.0017</v>
      </c>
      <c r="H438" s="32"/>
      <c r="I438" s="33">
        <v>0.0019</v>
      </c>
      <c r="J438" s="32"/>
      <c r="K438" s="32">
        <v>0.005</v>
      </c>
      <c r="M438" s="12">
        <f>AVERAGE(G438,I438,K438)</f>
        <v>0.0028666666666666667</v>
      </c>
    </row>
    <row r="439" spans="2:13" ht="12.75">
      <c r="B439" s="9" t="s">
        <v>52</v>
      </c>
      <c r="C439" s="9"/>
      <c r="D439" s="9" t="s">
        <v>16</v>
      </c>
      <c r="E439" s="9" t="s">
        <v>82</v>
      </c>
      <c r="G439" s="33">
        <v>2.1</v>
      </c>
      <c r="H439" s="32"/>
      <c r="I439" s="32">
        <v>3.1</v>
      </c>
      <c r="K439" s="24">
        <v>2.9</v>
      </c>
      <c r="M439" s="31"/>
    </row>
    <row r="440" spans="2:13" ht="12.75">
      <c r="B440" s="9" t="s">
        <v>52</v>
      </c>
      <c r="C440" s="9" t="s">
        <v>245</v>
      </c>
      <c r="D440" s="9" t="s">
        <v>16</v>
      </c>
      <c r="E440" s="9" t="s">
        <v>15</v>
      </c>
      <c r="G440" s="66">
        <f>G439*(21-7)/(21-G444)</f>
        <v>3.5</v>
      </c>
      <c r="H440" s="66"/>
      <c r="I440" s="66">
        <f>I439*(21-7)/(21-I444)</f>
        <v>5.425</v>
      </c>
      <c r="J440" s="66"/>
      <c r="K440" s="66">
        <f>K439*(21-7)/(21-K444)</f>
        <v>4.951219512195123</v>
      </c>
      <c r="L440" s="35"/>
      <c r="M440" s="31">
        <f>AVERAGE(G440,I440,K440)</f>
        <v>4.625406504065041</v>
      </c>
    </row>
    <row r="441" spans="2:13" ht="12.75">
      <c r="B441" s="9"/>
      <c r="C441" s="9"/>
      <c r="G441" s="33"/>
      <c r="H441" s="32"/>
      <c r="I441" s="32"/>
      <c r="M441" s="35"/>
    </row>
    <row r="442" spans="2:13" ht="12.75">
      <c r="B442" s="9" t="s">
        <v>107</v>
      </c>
      <c r="C442" s="9" t="s">
        <v>146</v>
      </c>
      <c r="D442" s="9" t="s">
        <v>245</v>
      </c>
      <c r="G442" s="38"/>
      <c r="H442" s="38"/>
      <c r="I442" s="39"/>
      <c r="J442" s="38"/>
      <c r="K442" s="38"/>
      <c r="M442" s="35"/>
    </row>
    <row r="443" spans="2:13" ht="12.75">
      <c r="B443" s="9" t="s">
        <v>90</v>
      </c>
      <c r="C443" s="9"/>
      <c r="D443" s="9" t="s">
        <v>17</v>
      </c>
      <c r="G443">
        <v>26083</v>
      </c>
      <c r="H443"/>
      <c r="I443">
        <v>26483</v>
      </c>
      <c r="J443"/>
      <c r="K443">
        <v>23226</v>
      </c>
      <c r="M443" s="10">
        <f>AVERAGE(G443,I443,K443)</f>
        <v>25264</v>
      </c>
    </row>
    <row r="444" spans="2:13" ht="12.75">
      <c r="B444" s="9" t="s">
        <v>105</v>
      </c>
      <c r="C444" s="9"/>
      <c r="D444" s="9" t="s">
        <v>18</v>
      </c>
      <c r="G444">
        <v>12.6</v>
      </c>
      <c r="H444"/>
      <c r="I444">
        <v>13</v>
      </c>
      <c r="J444"/>
      <c r="K444">
        <v>12.8</v>
      </c>
      <c r="M444" s="10">
        <f>AVERAGE(G444,I444,K444)</f>
        <v>12.800000000000002</v>
      </c>
    </row>
    <row r="445" spans="2:13" ht="12.75">
      <c r="B445" s="9" t="s">
        <v>106</v>
      </c>
      <c r="C445" s="9"/>
      <c r="D445" s="9" t="s">
        <v>18</v>
      </c>
      <c r="G445">
        <v>38.1</v>
      </c>
      <c r="H445"/>
      <c r="I445">
        <v>34.6</v>
      </c>
      <c r="J445"/>
      <c r="K445">
        <v>36.5</v>
      </c>
      <c r="M445" s="10">
        <f>AVERAGE(G445,I445,K445)</f>
        <v>36.4</v>
      </c>
    </row>
    <row r="446" spans="2:13" ht="12.75">
      <c r="B446" s="9" t="s">
        <v>89</v>
      </c>
      <c r="C446" s="9"/>
      <c r="D446" s="9" t="s">
        <v>19</v>
      </c>
      <c r="G446">
        <v>320</v>
      </c>
      <c r="H446"/>
      <c r="I446">
        <v>321</v>
      </c>
      <c r="J446"/>
      <c r="K446">
        <v>321</v>
      </c>
      <c r="M446" s="10">
        <f>AVERAGE(G446,I446,K446)</f>
        <v>320.6666666666667</v>
      </c>
    </row>
    <row r="447" spans="2:13" ht="12.75">
      <c r="B447" s="9"/>
      <c r="C447" s="9"/>
      <c r="G447"/>
      <c r="H447"/>
      <c r="I447"/>
      <c r="J447"/>
      <c r="K447"/>
      <c r="M447" s="35"/>
    </row>
    <row r="448" spans="2:13" ht="12.75">
      <c r="B448" s="9" t="s">
        <v>107</v>
      </c>
      <c r="C448" s="9" t="s">
        <v>124</v>
      </c>
      <c r="D448" s="9" t="s">
        <v>246</v>
      </c>
      <c r="G448"/>
      <c r="H448"/>
      <c r="I448"/>
      <c r="J448"/>
      <c r="K448"/>
      <c r="M448" s="35"/>
    </row>
    <row r="449" spans="2:13" ht="12.75">
      <c r="B449" s="9" t="s">
        <v>90</v>
      </c>
      <c r="C449" s="9"/>
      <c r="D449" s="9" t="s">
        <v>17</v>
      </c>
      <c r="G449">
        <v>26071</v>
      </c>
      <c r="H449"/>
      <c r="I449">
        <v>23757</v>
      </c>
      <c r="J449"/>
      <c r="K449">
        <v>19186</v>
      </c>
      <c r="M449" s="35">
        <f>AVERAGE(G449,I449,K449)</f>
        <v>23004.666666666668</v>
      </c>
    </row>
    <row r="450" spans="2:13" ht="12.75">
      <c r="B450" s="9" t="s">
        <v>105</v>
      </c>
      <c r="C450" s="9"/>
      <c r="D450" s="9" t="s">
        <v>18</v>
      </c>
      <c r="G450">
        <v>12.6</v>
      </c>
      <c r="H450"/>
      <c r="I450">
        <v>12.6</v>
      </c>
      <c r="J450"/>
      <c r="K450">
        <v>12.9</v>
      </c>
      <c r="M450" s="35">
        <f>AVERAGE(G450,I450,K450)</f>
        <v>12.700000000000001</v>
      </c>
    </row>
    <row r="451" spans="2:13" ht="12.75">
      <c r="B451" s="9" t="s">
        <v>106</v>
      </c>
      <c r="C451" s="9"/>
      <c r="D451" s="9" t="s">
        <v>18</v>
      </c>
      <c r="G451">
        <v>38.1</v>
      </c>
      <c r="H451"/>
      <c r="I451">
        <v>36.1</v>
      </c>
      <c r="J451"/>
      <c r="K451">
        <v>38.8</v>
      </c>
      <c r="M451" s="35">
        <f>AVERAGE(G451,I451,K451)</f>
        <v>37.666666666666664</v>
      </c>
    </row>
    <row r="452" spans="2:13" ht="12.75">
      <c r="B452" s="9" t="s">
        <v>89</v>
      </c>
      <c r="C452" s="9"/>
      <c r="D452" s="9" t="s">
        <v>19</v>
      </c>
      <c r="G452">
        <v>320</v>
      </c>
      <c r="H452"/>
      <c r="I452">
        <v>319</v>
      </c>
      <c r="J452"/>
      <c r="K452">
        <v>317</v>
      </c>
      <c r="M452" s="35">
        <f>AVERAGE(G452,I452,K452)</f>
        <v>318.6666666666667</v>
      </c>
    </row>
    <row r="453" spans="2:13" ht="12.75">
      <c r="B453" s="9"/>
      <c r="C453" s="9"/>
      <c r="G453" s="32"/>
      <c r="H453" s="32"/>
      <c r="I453" s="33"/>
      <c r="J453" s="32"/>
      <c r="K453" s="32"/>
      <c r="M453" s="35"/>
    </row>
    <row r="454" spans="1:13" ht="12.75">
      <c r="A454" s="24">
        <v>18</v>
      </c>
      <c r="B454" s="28" t="s">
        <v>199</v>
      </c>
      <c r="C454" s="28" t="s">
        <v>195</v>
      </c>
      <c r="G454" s="26" t="s">
        <v>220</v>
      </c>
      <c r="H454" s="26"/>
      <c r="I454" s="27" t="s">
        <v>221</v>
      </c>
      <c r="J454" s="26"/>
      <c r="K454" s="26" t="s">
        <v>222</v>
      </c>
      <c r="L454" s="26"/>
      <c r="M454" s="26" t="s">
        <v>223</v>
      </c>
    </row>
    <row r="455" spans="2:13" ht="12.75">
      <c r="B455" s="28"/>
      <c r="C455" s="28"/>
      <c r="G455" s="32"/>
      <c r="H455" s="32"/>
      <c r="I455" s="33"/>
      <c r="J455" s="32"/>
      <c r="K455" s="32"/>
      <c r="M455" s="35"/>
    </row>
    <row r="456" spans="2:13" ht="12.75">
      <c r="B456" s="9" t="s">
        <v>13</v>
      </c>
      <c r="C456" s="9" t="s">
        <v>245</v>
      </c>
      <c r="D456" s="9" t="s">
        <v>14</v>
      </c>
      <c r="E456" s="9" t="s">
        <v>15</v>
      </c>
      <c r="G456">
        <v>0.0007</v>
      </c>
      <c r="H456"/>
      <c r="I456">
        <v>0.0007</v>
      </c>
      <c r="J456"/>
      <c r="K456">
        <v>0.0009</v>
      </c>
      <c r="M456" s="12">
        <f>AVERAGE(G456,I456,K456)</f>
        <v>0.0007666666666666667</v>
      </c>
    </row>
    <row r="457" spans="2:13" ht="12.75">
      <c r="B457" s="9" t="s">
        <v>52</v>
      </c>
      <c r="C457" s="9"/>
      <c r="D457" s="9" t="s">
        <v>55</v>
      </c>
      <c r="E457" s="9" t="s">
        <v>82</v>
      </c>
      <c r="G457">
        <v>0.2</v>
      </c>
      <c r="H457"/>
      <c r="I457">
        <v>0.53</v>
      </c>
      <c r="J457"/>
      <c r="K457">
        <v>0.27</v>
      </c>
      <c r="M457" s="35"/>
    </row>
    <row r="458" spans="2:13" ht="12.75">
      <c r="B458" s="9" t="s">
        <v>52</v>
      </c>
      <c r="C458" s="9" t="s">
        <v>245</v>
      </c>
      <c r="D458" s="9" t="s">
        <v>16</v>
      </c>
      <c r="E458" s="9" t="s">
        <v>15</v>
      </c>
      <c r="G458" s="66">
        <f>G457*454/60/0.0283/G477*(21-7)/(21-G478)*667.8</f>
        <v>3.751274197016759</v>
      </c>
      <c r="H458" s="66"/>
      <c r="I458" s="66">
        <f>I457*454/60/0.0283/I477*(21-7)/(21-I478)*667.8</f>
        <v>6.741937393871341</v>
      </c>
      <c r="J458" s="66"/>
      <c r="K458" s="66">
        <f>K457*454/60/0.0283/K477*(21-7)/(21-K478)*667.8</f>
        <v>4.393004962943417</v>
      </c>
      <c r="L458" s="35"/>
      <c r="M458" s="10">
        <f>AVERAGE(G458,I458,K458)</f>
        <v>4.962072184610506</v>
      </c>
    </row>
    <row r="459" spans="2:13" ht="12.75">
      <c r="B459" s="9"/>
      <c r="C459" s="9"/>
      <c r="G459" s="38"/>
      <c r="H459" s="38"/>
      <c r="I459" s="39"/>
      <c r="J459" s="38"/>
      <c r="K459" s="38"/>
      <c r="M459" s="35"/>
    </row>
    <row r="460" spans="2:13" ht="12.75">
      <c r="B460" s="9" t="s">
        <v>92</v>
      </c>
      <c r="C460" s="9"/>
      <c r="D460" s="9" t="s">
        <v>196</v>
      </c>
      <c r="F460"/>
      <c r="G460">
        <v>1</v>
      </c>
      <c r="H460"/>
      <c r="I460">
        <v>0.85</v>
      </c>
      <c r="J460"/>
      <c r="K460">
        <v>0.56</v>
      </c>
      <c r="M460" s="35"/>
    </row>
    <row r="461" spans="2:13" ht="12.75">
      <c r="B461" s="9" t="s">
        <v>93</v>
      </c>
      <c r="C461" s="9"/>
      <c r="D461" s="9" t="s">
        <v>196</v>
      </c>
      <c r="F461"/>
      <c r="G461" s="73">
        <v>2.1</v>
      </c>
      <c r="H461"/>
      <c r="I461">
        <v>1</v>
      </c>
      <c r="J461"/>
      <c r="K461">
        <v>0.71</v>
      </c>
      <c r="M461" s="35"/>
    </row>
    <row r="462" spans="2:13" ht="12.75">
      <c r="B462" s="9" t="s">
        <v>94</v>
      </c>
      <c r="C462" s="9"/>
      <c r="D462" s="9" t="s">
        <v>196</v>
      </c>
      <c r="F462"/>
      <c r="G462" s="73">
        <v>4.2</v>
      </c>
      <c r="H462"/>
      <c r="I462" s="73">
        <v>3.9</v>
      </c>
      <c r="J462"/>
      <c r="K462" s="73">
        <v>3.4</v>
      </c>
      <c r="M462" s="35"/>
    </row>
    <row r="463" spans="2:13" ht="12.75">
      <c r="B463" s="9" t="s">
        <v>95</v>
      </c>
      <c r="C463" s="9"/>
      <c r="D463" s="9" t="s">
        <v>196</v>
      </c>
      <c r="F463"/>
      <c r="G463">
        <v>0.31</v>
      </c>
      <c r="H463"/>
      <c r="I463">
        <v>0.31</v>
      </c>
      <c r="J463"/>
      <c r="K463">
        <v>0.31</v>
      </c>
      <c r="M463" s="35"/>
    </row>
    <row r="464" spans="2:13" ht="12.75">
      <c r="B464" s="9" t="s">
        <v>96</v>
      </c>
      <c r="C464" s="9"/>
      <c r="D464" s="9" t="s">
        <v>196</v>
      </c>
      <c r="F464"/>
      <c r="G464">
        <v>3.4</v>
      </c>
      <c r="H464"/>
      <c r="I464">
        <v>0.84</v>
      </c>
      <c r="J464"/>
      <c r="K464">
        <v>0.77</v>
      </c>
      <c r="M464" s="35"/>
    </row>
    <row r="465" spans="2:13" ht="12.75">
      <c r="B465" s="9" t="s">
        <v>131</v>
      </c>
      <c r="C465" s="9"/>
      <c r="D465" s="9" t="s">
        <v>196</v>
      </c>
      <c r="F465"/>
      <c r="G465">
        <v>5.8</v>
      </c>
      <c r="H465"/>
      <c r="I465">
        <v>3.1</v>
      </c>
      <c r="J465"/>
      <c r="K465">
        <v>3.4</v>
      </c>
      <c r="M465" s="35"/>
    </row>
    <row r="466" spans="2:13" ht="12.75">
      <c r="B466" s="9" t="s">
        <v>91</v>
      </c>
      <c r="C466" s="9"/>
      <c r="D466" s="9" t="s">
        <v>196</v>
      </c>
      <c r="F466"/>
      <c r="G466">
        <v>51.9</v>
      </c>
      <c r="H466"/>
      <c r="I466">
        <v>17</v>
      </c>
      <c r="J466"/>
      <c r="K466">
        <v>16.1</v>
      </c>
      <c r="M466" s="35"/>
    </row>
    <row r="467" spans="2:13" ht="12.75">
      <c r="B467" s="9" t="s">
        <v>97</v>
      </c>
      <c r="C467" s="9"/>
      <c r="D467" s="9" t="s">
        <v>196</v>
      </c>
      <c r="F467"/>
      <c r="G467">
        <v>18.02</v>
      </c>
      <c r="H467"/>
      <c r="I467">
        <v>28.01</v>
      </c>
      <c r="J467"/>
      <c r="K467">
        <v>15.79</v>
      </c>
      <c r="M467" s="35"/>
    </row>
    <row r="468" spans="2:13" ht="12.75">
      <c r="B468" s="9" t="s">
        <v>98</v>
      </c>
      <c r="C468" s="9"/>
      <c r="D468" s="9" t="s">
        <v>196</v>
      </c>
      <c r="F468"/>
      <c r="G468">
        <v>7.5</v>
      </c>
      <c r="H468"/>
      <c r="I468">
        <v>3.7</v>
      </c>
      <c r="J468"/>
      <c r="K468">
        <v>4.5</v>
      </c>
      <c r="M468" s="35"/>
    </row>
    <row r="469" spans="2:13" ht="12.75">
      <c r="B469" s="9" t="s">
        <v>99</v>
      </c>
      <c r="C469" s="9"/>
      <c r="D469" s="9" t="s">
        <v>196</v>
      </c>
      <c r="F469"/>
      <c r="G469">
        <v>1</v>
      </c>
      <c r="H469"/>
      <c r="I469">
        <v>0.34</v>
      </c>
      <c r="J469"/>
      <c r="K469">
        <v>0.61</v>
      </c>
      <c r="M469" s="35"/>
    </row>
    <row r="470" spans="2:13" ht="12.75">
      <c r="B470" s="9" t="s">
        <v>100</v>
      </c>
      <c r="C470" s="9"/>
      <c r="D470" s="9" t="s">
        <v>196</v>
      </c>
      <c r="F470"/>
      <c r="G470">
        <v>0.46</v>
      </c>
      <c r="H470"/>
      <c r="I470">
        <v>0.59</v>
      </c>
      <c r="J470"/>
      <c r="K470">
        <v>1.4</v>
      </c>
      <c r="M470" s="35"/>
    </row>
    <row r="471" spans="2:13" ht="12.75">
      <c r="B471" s="9" t="s">
        <v>101</v>
      </c>
      <c r="C471" s="9"/>
      <c r="D471" s="9" t="s">
        <v>196</v>
      </c>
      <c r="F471"/>
      <c r="G471">
        <v>0.66</v>
      </c>
      <c r="H471"/>
      <c r="I471">
        <v>0.31</v>
      </c>
      <c r="J471"/>
      <c r="K471">
        <v>0.23</v>
      </c>
      <c r="M471" s="35"/>
    </row>
    <row r="472" spans="2:13" ht="12.75">
      <c r="B472" s="77" t="s">
        <v>249</v>
      </c>
      <c r="C472" s="9"/>
      <c r="D472" s="9" t="s">
        <v>196</v>
      </c>
      <c r="F472"/>
      <c r="G472">
        <v>0.8</v>
      </c>
      <c r="H472"/>
      <c r="I472">
        <v>0.96</v>
      </c>
      <c r="J472"/>
      <c r="K472">
        <v>0.96</v>
      </c>
      <c r="M472" s="35"/>
    </row>
    <row r="473" spans="2:13" ht="12.75">
      <c r="B473" s="9"/>
      <c r="C473" s="9"/>
      <c r="F473"/>
      <c r="G473"/>
      <c r="H473"/>
      <c r="I473"/>
      <c r="J473"/>
      <c r="K473"/>
      <c r="M473" s="35"/>
    </row>
    <row r="474" spans="2:13" ht="12.75">
      <c r="B474" s="9" t="s">
        <v>197</v>
      </c>
      <c r="C474" s="9"/>
      <c r="D474" s="9" t="s">
        <v>198</v>
      </c>
      <c r="F474"/>
      <c r="G474">
        <v>74.24</v>
      </c>
      <c r="H474"/>
      <c r="I474">
        <v>75.62</v>
      </c>
      <c r="J474"/>
      <c r="K474">
        <v>89.38</v>
      </c>
      <c r="M474" s="35"/>
    </row>
    <row r="475" spans="2:13" ht="12.75">
      <c r="B475" s="9"/>
      <c r="C475" s="9"/>
      <c r="G475" s="69"/>
      <c r="H475" s="38"/>
      <c r="I475" s="69"/>
      <c r="J475" s="38"/>
      <c r="K475" s="69"/>
      <c r="M475" s="35"/>
    </row>
    <row r="476" spans="2:13" ht="12.75">
      <c r="B476" s="9" t="s">
        <v>107</v>
      </c>
      <c r="C476" s="9" t="s">
        <v>146</v>
      </c>
      <c r="D476" s="9" t="s">
        <v>245</v>
      </c>
      <c r="G476" s="38"/>
      <c r="H476" s="38"/>
      <c r="I476" s="39"/>
      <c r="J476" s="38"/>
      <c r="K476" s="38"/>
      <c r="M476" s="35"/>
    </row>
    <row r="477" spans="2:13" ht="12.75">
      <c r="B477" s="9" t="s">
        <v>90</v>
      </c>
      <c r="C477" s="9"/>
      <c r="D477" s="9" t="s">
        <v>17</v>
      </c>
      <c r="G477">
        <v>19315</v>
      </c>
      <c r="H477"/>
      <c r="I477">
        <v>20052</v>
      </c>
      <c r="J477"/>
      <c r="K477">
        <v>19697</v>
      </c>
      <c r="M477" s="10">
        <f>AVERAGE(G477,I477,K477)</f>
        <v>19688</v>
      </c>
    </row>
    <row r="478" spans="2:13" ht="12.75">
      <c r="B478" s="9" t="s">
        <v>105</v>
      </c>
      <c r="C478" s="9"/>
      <c r="D478" s="9" t="s">
        <v>18</v>
      </c>
      <c r="G478">
        <v>14.1</v>
      </c>
      <c r="H478"/>
      <c r="I478">
        <v>11.2</v>
      </c>
      <c r="J478"/>
      <c r="K478">
        <v>13.2</v>
      </c>
      <c r="M478" s="10">
        <f>AVERAGE(G478,I478,K478)</f>
        <v>12.833333333333334</v>
      </c>
    </row>
    <row r="479" spans="2:13" ht="12.75">
      <c r="B479" s="9" t="s">
        <v>106</v>
      </c>
      <c r="C479" s="9"/>
      <c r="D479" s="9" t="s">
        <v>18</v>
      </c>
      <c r="G479">
        <v>37</v>
      </c>
      <c r="H479"/>
      <c r="I479">
        <v>35.9</v>
      </c>
      <c r="J479"/>
      <c r="K479">
        <v>36.9</v>
      </c>
      <c r="M479" s="10">
        <f>AVERAGE(G479,I479,K479)</f>
        <v>36.6</v>
      </c>
    </row>
    <row r="480" spans="2:13" ht="12.75">
      <c r="B480" s="9" t="s">
        <v>89</v>
      </c>
      <c r="C480" s="9"/>
      <c r="D480" s="9" t="s">
        <v>19</v>
      </c>
      <c r="G480">
        <v>320</v>
      </c>
      <c r="H480"/>
      <c r="I480">
        <v>319</v>
      </c>
      <c r="J480"/>
      <c r="K480">
        <v>322</v>
      </c>
      <c r="M480" s="10">
        <f>AVERAGE(G480,I480,K480)</f>
        <v>320.3333333333333</v>
      </c>
    </row>
    <row r="481" spans="2:13" ht="12.75">
      <c r="B481" s="9"/>
      <c r="C481" s="9"/>
      <c r="G481" s="32"/>
      <c r="H481" s="32"/>
      <c r="I481" s="33"/>
      <c r="J481" s="32"/>
      <c r="K481" s="32"/>
      <c r="M481" s="35"/>
    </row>
    <row r="482" spans="2:13" ht="12.75">
      <c r="B482" s="9" t="s">
        <v>107</v>
      </c>
      <c r="C482" s="9" t="s">
        <v>124</v>
      </c>
      <c r="D482" s="9" t="s">
        <v>247</v>
      </c>
      <c r="G482" s="32"/>
      <c r="H482" s="32"/>
      <c r="I482" s="33"/>
      <c r="J482" s="32"/>
      <c r="K482" s="32"/>
      <c r="M482" s="35"/>
    </row>
    <row r="483" spans="2:13" ht="12.75">
      <c r="B483" s="9" t="s">
        <v>90</v>
      </c>
      <c r="C483" s="9"/>
      <c r="D483" s="9" t="s">
        <v>17</v>
      </c>
      <c r="G483">
        <v>19933</v>
      </c>
      <c r="H483"/>
      <c r="I483">
        <v>20023</v>
      </c>
      <c r="J483"/>
      <c r="K483">
        <v>19588</v>
      </c>
      <c r="M483" s="35">
        <f>AVERAGE(G483,I483,K483)</f>
        <v>19848</v>
      </c>
    </row>
    <row r="484" spans="2:13" ht="12.75">
      <c r="B484" s="9" t="s">
        <v>105</v>
      </c>
      <c r="C484" s="9"/>
      <c r="D484" s="9" t="s">
        <v>18</v>
      </c>
      <c r="G484">
        <v>14.1</v>
      </c>
      <c r="H484"/>
      <c r="I484">
        <v>11.2</v>
      </c>
      <c r="J484"/>
      <c r="K484">
        <v>13.2</v>
      </c>
      <c r="M484" s="35">
        <f>AVERAGE(G484,I484,K484)</f>
        <v>12.833333333333334</v>
      </c>
    </row>
    <row r="485" spans="2:13" ht="12.75">
      <c r="B485" s="9" t="s">
        <v>106</v>
      </c>
      <c r="C485" s="9"/>
      <c r="D485" s="9" t="s">
        <v>18</v>
      </c>
      <c r="G485">
        <v>36.3</v>
      </c>
      <c r="H485"/>
      <c r="I485">
        <v>37.5</v>
      </c>
      <c r="J485"/>
      <c r="K485">
        <v>36.9</v>
      </c>
      <c r="M485" s="35">
        <f>AVERAGE(G485,I485,K485)</f>
        <v>36.9</v>
      </c>
    </row>
    <row r="486" spans="2:13" ht="12.75">
      <c r="B486" s="9" t="s">
        <v>89</v>
      </c>
      <c r="C486" s="9"/>
      <c r="D486" s="9" t="s">
        <v>19</v>
      </c>
      <c r="G486">
        <v>320</v>
      </c>
      <c r="H486"/>
      <c r="I486">
        <v>314</v>
      </c>
      <c r="J486"/>
      <c r="K486">
        <v>316</v>
      </c>
      <c r="M486" s="35">
        <f>AVERAGE(G486,I486,K486)</f>
        <v>316.6666666666667</v>
      </c>
    </row>
    <row r="487" spans="2:13" ht="12.75">
      <c r="B487" s="9"/>
      <c r="C487" s="9"/>
      <c r="G487"/>
      <c r="H487"/>
      <c r="I487"/>
      <c r="J487"/>
      <c r="K487"/>
      <c r="M487" s="35"/>
    </row>
    <row r="488" spans="2:13" ht="12.75">
      <c r="B488" s="9" t="s">
        <v>107</v>
      </c>
      <c r="C488" s="9" t="s">
        <v>125</v>
      </c>
      <c r="D488" s="9" t="s">
        <v>246</v>
      </c>
      <c r="G488"/>
      <c r="H488"/>
      <c r="I488"/>
      <c r="J488"/>
      <c r="K488"/>
      <c r="M488" s="35"/>
    </row>
    <row r="489" spans="2:13" ht="12.75">
      <c r="B489" s="9" t="s">
        <v>90</v>
      </c>
      <c r="C489" s="9"/>
      <c r="D489" s="9" t="s">
        <v>17</v>
      </c>
      <c r="G489">
        <v>18396</v>
      </c>
      <c r="H489"/>
      <c r="I489">
        <v>17941</v>
      </c>
      <c r="J489"/>
      <c r="K489">
        <v>19103</v>
      </c>
      <c r="M489" s="35">
        <f>AVERAGE(G489,I489,K489)</f>
        <v>18480</v>
      </c>
    </row>
    <row r="490" spans="2:13" ht="12.75">
      <c r="B490" s="9" t="s">
        <v>105</v>
      </c>
      <c r="C490" s="9"/>
      <c r="D490" s="9" t="s">
        <v>18</v>
      </c>
      <c r="G490">
        <v>14.1</v>
      </c>
      <c r="H490"/>
      <c r="I490">
        <v>11.2</v>
      </c>
      <c r="J490"/>
      <c r="K490">
        <v>13.2</v>
      </c>
      <c r="M490" s="35">
        <f>AVERAGE(G490,I490,K490)</f>
        <v>12.833333333333334</v>
      </c>
    </row>
    <row r="491" spans="2:13" ht="12.75">
      <c r="B491" s="9" t="s">
        <v>106</v>
      </c>
      <c r="C491" s="9"/>
      <c r="D491" s="9" t="s">
        <v>18</v>
      </c>
      <c r="G491">
        <v>37.5</v>
      </c>
      <c r="H491"/>
      <c r="I491">
        <v>40.9</v>
      </c>
      <c r="J491"/>
      <c r="K491">
        <v>37.1</v>
      </c>
      <c r="L491" s="32"/>
      <c r="M491" s="35">
        <f>AVERAGE(G491,I491,K491)</f>
        <v>38.5</v>
      </c>
    </row>
    <row r="492" spans="2:13" ht="12.75">
      <c r="B492" s="9" t="s">
        <v>89</v>
      </c>
      <c r="C492" s="9"/>
      <c r="D492" s="9" t="s">
        <v>19</v>
      </c>
      <c r="G492">
        <v>320</v>
      </c>
      <c r="H492"/>
      <c r="I492">
        <v>319</v>
      </c>
      <c r="J492"/>
      <c r="K492">
        <v>322</v>
      </c>
      <c r="L492" s="13"/>
      <c r="M492" s="35">
        <f>AVERAGE(G492,I492,K492)</f>
        <v>320.3333333333333</v>
      </c>
    </row>
    <row r="493" spans="2:13" ht="12.75">
      <c r="B493" s="9"/>
      <c r="C493" s="9"/>
      <c r="G493" s="38"/>
      <c r="H493" s="38"/>
      <c r="I493" s="39"/>
      <c r="J493" s="38"/>
      <c r="K493" s="38"/>
      <c r="M493" s="35"/>
    </row>
    <row r="494" spans="2:13" ht="12.75">
      <c r="B494" s="9" t="s">
        <v>92</v>
      </c>
      <c r="C494" s="9" t="s">
        <v>246</v>
      </c>
      <c r="D494" s="19" t="s">
        <v>63</v>
      </c>
      <c r="E494" s="9" t="s">
        <v>15</v>
      </c>
      <c r="G494" s="70">
        <f aca="true" t="shared" si="21" ref="G494:G506">G460/G$474/0.0283*(21-7)/(21-G$341)</f>
        <v>0.9519312781771659</v>
      </c>
      <c r="H494" s="9"/>
      <c r="I494" s="70">
        <f aca="true" t="shared" si="22" ref="I494:I506">I460/I$474/0.0283*(21-7)/(21-I$341)</f>
        <v>0.7831870614127776</v>
      </c>
      <c r="J494" s="9"/>
      <c r="K494" s="70">
        <f aca="true" t="shared" si="23" ref="K494:K506">K460/K$474/0.0283*(21-7)/(21-K$341)</f>
        <v>0.4365469196564461</v>
      </c>
      <c r="L494"/>
      <c r="M494" s="35">
        <f aca="true" t="shared" si="24" ref="M494:M500">AVERAGE(G494,I494,K494)</f>
        <v>0.7238884197487966</v>
      </c>
    </row>
    <row r="495" spans="2:13" ht="12.75">
      <c r="B495" s="9" t="s">
        <v>93</v>
      </c>
      <c r="C495" s="9" t="s">
        <v>246</v>
      </c>
      <c r="D495" s="19" t="s">
        <v>63</v>
      </c>
      <c r="E495" s="9" t="s">
        <v>15</v>
      </c>
      <c r="G495" s="70">
        <f t="shared" si="21"/>
        <v>1.9990556841720486</v>
      </c>
      <c r="H495" s="9"/>
      <c r="I495" s="70">
        <f t="shared" si="22"/>
        <v>0.921396542838562</v>
      </c>
      <c r="J495" s="9"/>
      <c r="K495" s="70">
        <f t="shared" si="23"/>
        <v>0.5534791302787085</v>
      </c>
      <c r="L495"/>
      <c r="M495" s="35">
        <f t="shared" si="24"/>
        <v>1.1579771190964396</v>
      </c>
    </row>
    <row r="496" spans="2:13" ht="12.75">
      <c r="B496" s="9" t="s">
        <v>94</v>
      </c>
      <c r="C496" s="9" t="s">
        <v>246</v>
      </c>
      <c r="D496" s="19" t="s">
        <v>63</v>
      </c>
      <c r="E496" s="9" t="s">
        <v>15</v>
      </c>
      <c r="G496" s="70">
        <f t="shared" si="21"/>
        <v>3.998111368344097</v>
      </c>
      <c r="H496" s="9"/>
      <c r="I496" s="70">
        <f t="shared" si="22"/>
        <v>3.5934465170703915</v>
      </c>
      <c r="J496" s="9"/>
      <c r="K496" s="70">
        <f t="shared" si="23"/>
        <v>2.6504634407712797</v>
      </c>
      <c r="L496"/>
      <c r="M496" s="35">
        <f t="shared" si="24"/>
        <v>3.414007108728589</v>
      </c>
    </row>
    <row r="497" spans="2:13" ht="12.75">
      <c r="B497" s="9" t="s">
        <v>95</v>
      </c>
      <c r="C497" s="9" t="s">
        <v>246</v>
      </c>
      <c r="D497" s="19" t="s">
        <v>63</v>
      </c>
      <c r="E497" s="9" t="s">
        <v>15</v>
      </c>
      <c r="G497" s="70">
        <f t="shared" si="21"/>
        <v>0.29509869623492146</v>
      </c>
      <c r="H497" s="9"/>
      <c r="I497" s="70">
        <f t="shared" si="22"/>
        <v>0.28563292827995423</v>
      </c>
      <c r="J497" s="9"/>
      <c r="K497" s="70">
        <f t="shared" si="23"/>
        <v>0.2416599019526755</v>
      </c>
      <c r="L497"/>
      <c r="M497" s="35">
        <f t="shared" si="24"/>
        <v>0.27413050882251705</v>
      </c>
    </row>
    <row r="498" spans="2:13" ht="12.75">
      <c r="B498" s="9" t="s">
        <v>96</v>
      </c>
      <c r="C498" s="9" t="s">
        <v>246</v>
      </c>
      <c r="D498" s="19" t="s">
        <v>63</v>
      </c>
      <c r="E498" s="9" t="s">
        <v>15</v>
      </c>
      <c r="G498" s="70">
        <f t="shared" si="21"/>
        <v>3.236566345802364</v>
      </c>
      <c r="H498" s="9"/>
      <c r="I498" s="70">
        <f t="shared" si="22"/>
        <v>0.7739730959843919</v>
      </c>
      <c r="J498" s="9"/>
      <c r="K498" s="70">
        <f t="shared" si="23"/>
        <v>0.6002520145276133</v>
      </c>
      <c r="L498"/>
      <c r="M498" s="35">
        <f t="shared" si="24"/>
        <v>1.5369304854381232</v>
      </c>
    </row>
    <row r="499" spans="2:13" ht="12.75">
      <c r="B499" s="9" t="s">
        <v>131</v>
      </c>
      <c r="C499" s="9" t="s">
        <v>246</v>
      </c>
      <c r="D499" s="19" t="s">
        <v>63</v>
      </c>
      <c r="E499" s="9" t="s">
        <v>15</v>
      </c>
      <c r="G499" s="70">
        <f t="shared" si="21"/>
        <v>5.521201413427562</v>
      </c>
      <c r="H499" s="9"/>
      <c r="I499" s="70">
        <f t="shared" si="22"/>
        <v>2.8563292827995426</v>
      </c>
      <c r="J499" s="9"/>
      <c r="K499" s="70">
        <f t="shared" si="23"/>
        <v>2.6504634407712797</v>
      </c>
      <c r="L499"/>
      <c r="M499" s="35">
        <f t="shared" si="24"/>
        <v>3.675998045666128</v>
      </c>
    </row>
    <row r="500" spans="2:13" ht="12.75">
      <c r="B500" s="9" t="s">
        <v>91</v>
      </c>
      <c r="C500" s="9" t="s">
        <v>246</v>
      </c>
      <c r="D500" s="19" t="s">
        <v>63</v>
      </c>
      <c r="E500" s="9" t="s">
        <v>15</v>
      </c>
      <c r="G500" s="70">
        <f t="shared" si="21"/>
        <v>49.40523333739491</v>
      </c>
      <c r="H500" s="9"/>
      <c r="I500" s="70">
        <f t="shared" si="22"/>
        <v>15.663741228255555</v>
      </c>
      <c r="J500" s="9"/>
      <c r="K500" s="70">
        <f t="shared" si="23"/>
        <v>12.550723940122827</v>
      </c>
      <c r="L500"/>
      <c r="M500" s="35">
        <f t="shared" si="24"/>
        <v>25.873232835257763</v>
      </c>
    </row>
    <row r="501" spans="2:13" ht="12.75">
      <c r="B501" s="9" t="s">
        <v>97</v>
      </c>
      <c r="C501" s="9" t="s">
        <v>246</v>
      </c>
      <c r="D501" s="19" t="s">
        <v>63</v>
      </c>
      <c r="E501" s="9" t="s">
        <v>15</v>
      </c>
      <c r="G501" s="70">
        <f t="shared" si="21"/>
        <v>17.15380163275253</v>
      </c>
      <c r="H501" s="9"/>
      <c r="I501" s="70">
        <f t="shared" si="22"/>
        <v>25.80831716490812</v>
      </c>
      <c r="J501" s="9"/>
      <c r="K501" s="70">
        <f t="shared" si="23"/>
        <v>12.309064038170149</v>
      </c>
      <c r="L501"/>
      <c r="M501" s="35">
        <f aca="true" t="shared" si="25" ref="M501:M508">AVERAGE(G501,I501,K501)</f>
        <v>18.4237276119436</v>
      </c>
    </row>
    <row r="502" spans="2:13" ht="12.75">
      <c r="B502" s="9" t="s">
        <v>98</v>
      </c>
      <c r="C502" s="9" t="s">
        <v>246</v>
      </c>
      <c r="D502" s="19" t="s">
        <v>63</v>
      </c>
      <c r="E502" s="9" t="s">
        <v>15</v>
      </c>
      <c r="G502" s="70">
        <f t="shared" si="21"/>
        <v>7.139484586328744</v>
      </c>
      <c r="H502" s="9"/>
      <c r="I502" s="70">
        <f t="shared" si="22"/>
        <v>3.409167208502679</v>
      </c>
      <c r="J502" s="9"/>
      <c r="K502" s="70">
        <f t="shared" si="23"/>
        <v>3.5079663186678705</v>
      </c>
      <c r="L502"/>
      <c r="M502" s="35">
        <f t="shared" si="25"/>
        <v>4.685539371166431</v>
      </c>
    </row>
    <row r="503" spans="2:13" ht="12.75">
      <c r="B503" s="9" t="s">
        <v>99</v>
      </c>
      <c r="C503" s="9" t="s">
        <v>246</v>
      </c>
      <c r="D503" s="19" t="s">
        <v>63</v>
      </c>
      <c r="E503" s="9" t="s">
        <v>15</v>
      </c>
      <c r="G503" s="70">
        <f t="shared" si="21"/>
        <v>0.9519312781771659</v>
      </c>
      <c r="H503" s="9"/>
      <c r="I503" s="70">
        <f t="shared" si="22"/>
        <v>0.313274824565111</v>
      </c>
      <c r="J503" s="9"/>
      <c r="K503" s="70">
        <f t="shared" si="23"/>
        <v>0.4755243231972002</v>
      </c>
      <c r="L503"/>
      <c r="M503" s="35">
        <f t="shared" si="25"/>
        <v>0.580243475313159</v>
      </c>
    </row>
    <row r="504" spans="2:13" ht="12.75">
      <c r="B504" s="9" t="s">
        <v>100</v>
      </c>
      <c r="C504" s="9" t="s">
        <v>246</v>
      </c>
      <c r="D504" s="19" t="s">
        <v>63</v>
      </c>
      <c r="E504" s="9" t="s">
        <v>15</v>
      </c>
      <c r="G504" s="70">
        <f t="shared" si="21"/>
        <v>0.4378883879614964</v>
      </c>
      <c r="H504" s="9"/>
      <c r="I504" s="70">
        <f t="shared" si="22"/>
        <v>0.5436239602747515</v>
      </c>
      <c r="J504" s="9"/>
      <c r="K504" s="70">
        <f t="shared" si="23"/>
        <v>1.0913672991411152</v>
      </c>
      <c r="L504"/>
      <c r="M504" s="35">
        <f t="shared" si="25"/>
        <v>0.6909598824591209</v>
      </c>
    </row>
    <row r="505" spans="2:13" ht="12.75">
      <c r="B505" s="9" t="s">
        <v>101</v>
      </c>
      <c r="C505" s="9" t="s">
        <v>246</v>
      </c>
      <c r="D505" s="19" t="s">
        <v>63</v>
      </c>
      <c r="E505" s="9" t="s">
        <v>15</v>
      </c>
      <c r="G505" s="70">
        <f t="shared" si="21"/>
        <v>0.6282746435969295</v>
      </c>
      <c r="H505" s="9"/>
      <c r="I505" s="70">
        <f t="shared" si="22"/>
        <v>0.28563292827995423</v>
      </c>
      <c r="J505" s="9"/>
      <c r="K505" s="70">
        <f t="shared" si="23"/>
        <v>0.17929605628746892</v>
      </c>
      <c r="L505"/>
      <c r="M505" s="35">
        <f t="shared" si="25"/>
        <v>0.36440120938811754</v>
      </c>
    </row>
    <row r="506" spans="2:13" ht="12.75">
      <c r="B506" s="77" t="s">
        <v>249</v>
      </c>
      <c r="C506" s="9" t="s">
        <v>246</v>
      </c>
      <c r="D506" s="19" t="s">
        <v>63</v>
      </c>
      <c r="E506" s="9" t="s">
        <v>15</v>
      </c>
      <c r="G506" s="70">
        <f t="shared" si="21"/>
        <v>0.7615450225417327</v>
      </c>
      <c r="H506" s="66"/>
      <c r="I506" s="70">
        <f t="shared" si="22"/>
        <v>0.8845406811250195</v>
      </c>
      <c r="J506" s="66"/>
      <c r="K506" s="70">
        <f t="shared" si="23"/>
        <v>0.748366147982479</v>
      </c>
      <c r="M506" s="35">
        <f t="shared" si="25"/>
        <v>0.7981506172164105</v>
      </c>
    </row>
    <row r="507" spans="2:13" ht="12.75">
      <c r="B507" s="9" t="s">
        <v>64</v>
      </c>
      <c r="C507" s="9" t="s">
        <v>246</v>
      </c>
      <c r="D507" s="19" t="s">
        <v>63</v>
      </c>
      <c r="E507" s="9" t="s">
        <v>15</v>
      </c>
      <c r="G507" s="70">
        <f>G500+G498</f>
        <v>52.64179968319728</v>
      </c>
      <c r="H507" s="38"/>
      <c r="I507" s="70">
        <f>I500+I498</f>
        <v>16.43771432423995</v>
      </c>
      <c r="J507" s="38"/>
      <c r="K507" s="70">
        <f>K500+K498</f>
        <v>13.150975954650441</v>
      </c>
      <c r="M507" s="35">
        <f t="shared" si="25"/>
        <v>27.410163320695887</v>
      </c>
    </row>
    <row r="508" spans="2:13" ht="12.75">
      <c r="B508" s="9" t="s">
        <v>65</v>
      </c>
      <c r="C508" s="9" t="s">
        <v>246</v>
      </c>
      <c r="D508" s="19" t="s">
        <v>63</v>
      </c>
      <c r="E508" s="9" t="s">
        <v>15</v>
      </c>
      <c r="G508" s="70">
        <f>G495+G497+G499</f>
        <v>7.815355793834533</v>
      </c>
      <c r="H508" s="38"/>
      <c r="I508" s="70">
        <f>I495+I497+I499</f>
        <v>4.063358753918059</v>
      </c>
      <c r="J508" s="38"/>
      <c r="K508" s="70">
        <f>K495+K497+K499</f>
        <v>3.4456024730026638</v>
      </c>
      <c r="M508" s="35">
        <f t="shared" si="25"/>
        <v>5.108105673585085</v>
      </c>
    </row>
    <row r="509" spans="7:11" ht="12.75">
      <c r="G509" s="37"/>
      <c r="K509" s="37"/>
    </row>
    <row r="510" spans="2:13" ht="12.75">
      <c r="B510" s="9"/>
      <c r="C510" s="9"/>
      <c r="G510" s="38"/>
      <c r="H510" s="38"/>
      <c r="I510" s="39"/>
      <c r="J510" s="38"/>
      <c r="K510" s="38"/>
      <c r="M510" s="35"/>
    </row>
    <row r="511" spans="2:13" ht="12.75">
      <c r="B511" s="9"/>
      <c r="C511" s="9"/>
      <c r="G511" s="66"/>
      <c r="H511" s="66"/>
      <c r="I511" s="66"/>
      <c r="J511" s="66"/>
      <c r="K511" s="66"/>
      <c r="L511" s="35"/>
      <c r="M511" s="66"/>
    </row>
    <row r="512" spans="7:11" ht="12.75">
      <c r="G512" s="37"/>
      <c r="K512" s="37"/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116"/>
  <sheetViews>
    <sheetView workbookViewId="0" topLeftCell="B3">
      <selection activeCell="B5" sqref="B5"/>
    </sheetView>
  </sheetViews>
  <sheetFormatPr defaultColWidth="9.140625" defaultRowHeight="12.75"/>
  <cols>
    <col min="1" max="1" width="2.8515625" style="41" hidden="1" customWidth="1"/>
    <col min="2" max="2" width="20.140625" style="14" customWidth="1"/>
    <col min="3" max="3" width="6.421875" style="14" customWidth="1"/>
    <col min="4" max="4" width="9.28125" style="14" customWidth="1"/>
    <col min="5" max="5" width="2.8515625" style="41" customWidth="1"/>
    <col min="6" max="6" width="11.28125" style="42" customWidth="1"/>
    <col min="7" max="7" width="3.00390625" style="42" customWidth="1"/>
    <col min="8" max="8" width="10.28125" style="41" customWidth="1"/>
    <col min="9" max="9" width="2.00390625" style="41" customWidth="1"/>
    <col min="10" max="10" width="11.28125" style="41" customWidth="1"/>
    <col min="11" max="11" width="3.28125" style="41" customWidth="1"/>
    <col min="12" max="12" width="13.7109375" style="41" customWidth="1"/>
    <col min="13" max="13" width="9.8515625" style="41" customWidth="1"/>
    <col min="14" max="14" width="3.00390625" style="41" customWidth="1"/>
    <col min="15" max="15" width="6.421875" style="41" customWidth="1"/>
    <col min="16" max="16" width="1.57421875" style="41" customWidth="1"/>
    <col min="17" max="17" width="7.57421875" style="41" customWidth="1"/>
    <col min="18" max="16384" width="8.8515625" style="41" customWidth="1"/>
  </cols>
  <sheetData>
    <row r="1" spans="2:3" ht="12.75">
      <c r="B1" s="40" t="s">
        <v>243</v>
      </c>
      <c r="C1" s="40"/>
    </row>
    <row r="4" spans="1:7" ht="12.75">
      <c r="A4" s="41" t="s">
        <v>108</v>
      </c>
      <c r="B4" s="40" t="s">
        <v>205</v>
      </c>
      <c r="C4" s="40"/>
      <c r="F4" s="14" t="s">
        <v>223</v>
      </c>
      <c r="G4" s="14"/>
    </row>
    <row r="5" spans="2:7" ht="12.75">
      <c r="B5" s="40"/>
      <c r="C5" s="40"/>
      <c r="F5" s="14"/>
      <c r="G5" s="14"/>
    </row>
    <row r="6" spans="2:7" ht="12.75">
      <c r="B6" s="14" t="s">
        <v>272</v>
      </c>
      <c r="C6" s="40"/>
      <c r="F6" s="14" t="s">
        <v>274</v>
      </c>
      <c r="G6" s="14"/>
    </row>
    <row r="7" spans="2:6" ht="12.75">
      <c r="B7" s="14" t="s">
        <v>273</v>
      </c>
      <c r="F7" s="42" t="s">
        <v>26</v>
      </c>
    </row>
    <row r="8" spans="2:6" ht="12.75">
      <c r="B8" s="14" t="s">
        <v>275</v>
      </c>
      <c r="F8" s="42" t="s">
        <v>26</v>
      </c>
    </row>
    <row r="9" spans="2:17" ht="12.75">
      <c r="B9" s="14" t="s">
        <v>48</v>
      </c>
      <c r="F9" s="41"/>
      <c r="G9" s="41"/>
      <c r="J9" s="42"/>
      <c r="K9" s="42"/>
      <c r="L9" s="42"/>
      <c r="M9" s="42"/>
      <c r="N9" s="42"/>
      <c r="O9" s="42"/>
      <c r="P9" s="42"/>
      <c r="Q9" s="42"/>
    </row>
    <row r="10" spans="2:17" ht="12.75">
      <c r="B10" s="14" t="s">
        <v>110</v>
      </c>
      <c r="D10" s="14" t="s">
        <v>61</v>
      </c>
      <c r="J10" s="42"/>
      <c r="K10" s="42"/>
      <c r="L10" s="42"/>
      <c r="M10" s="42"/>
      <c r="N10" s="42"/>
      <c r="O10" s="42"/>
      <c r="P10" s="42"/>
      <c r="Q10" s="42"/>
    </row>
    <row r="11" spans="2:7" ht="12.75">
      <c r="B11" s="14" t="s">
        <v>49</v>
      </c>
      <c r="D11" s="14" t="s">
        <v>62</v>
      </c>
      <c r="F11" s="15">
        <v>49.1</v>
      </c>
      <c r="G11" s="15"/>
    </row>
    <row r="12" spans="2:16" ht="12.75">
      <c r="B12" s="14" t="s">
        <v>50</v>
      </c>
      <c r="D12" s="14" t="s">
        <v>126</v>
      </c>
      <c r="E12" s="43"/>
      <c r="F12" s="45"/>
      <c r="G12" s="45"/>
      <c r="H12" s="15"/>
      <c r="I12" s="15"/>
      <c r="J12" s="42"/>
      <c r="K12" s="42"/>
      <c r="L12" s="42"/>
      <c r="M12" s="42"/>
      <c r="N12" s="42"/>
      <c r="O12" s="42"/>
      <c r="P12" s="42"/>
    </row>
    <row r="13" spans="2:16" ht="12.75">
      <c r="B13" s="14" t="s">
        <v>51</v>
      </c>
      <c r="D13" s="14" t="s">
        <v>55</v>
      </c>
      <c r="E13" s="43"/>
      <c r="F13" s="42">
        <v>2118</v>
      </c>
      <c r="H13" s="42"/>
      <c r="I13" s="42"/>
      <c r="J13" s="42"/>
      <c r="K13" s="42"/>
      <c r="L13" s="42"/>
      <c r="M13" s="42"/>
      <c r="N13" s="42"/>
      <c r="O13" s="42"/>
      <c r="P13" s="42"/>
    </row>
    <row r="14" spans="2:16" ht="12.75">
      <c r="B14" s="14" t="s">
        <v>92</v>
      </c>
      <c r="D14" s="14" t="s">
        <v>55</v>
      </c>
      <c r="E14" s="43"/>
      <c r="F14" s="42">
        <v>10.677</v>
      </c>
      <c r="H14" s="42"/>
      <c r="I14" s="42"/>
      <c r="J14" s="42"/>
      <c r="K14" s="42"/>
      <c r="L14" s="42"/>
      <c r="M14" s="42"/>
      <c r="N14" s="42"/>
      <c r="O14" s="42"/>
      <c r="P14" s="42"/>
    </row>
    <row r="15" spans="2:16" ht="12.75">
      <c r="B15" s="14" t="s">
        <v>93</v>
      </c>
      <c r="D15" s="14" t="s">
        <v>55</v>
      </c>
      <c r="E15" s="43"/>
      <c r="F15" s="42">
        <v>0.703</v>
      </c>
      <c r="H15" s="42"/>
      <c r="I15" s="42"/>
      <c r="J15" s="42"/>
      <c r="K15" s="42"/>
      <c r="L15" s="42"/>
      <c r="M15" s="42"/>
      <c r="N15" s="42"/>
      <c r="O15" s="42"/>
      <c r="P15" s="42"/>
    </row>
    <row r="16" spans="2:16" ht="12.75">
      <c r="B16" s="14" t="s">
        <v>94</v>
      </c>
      <c r="D16" s="14" t="s">
        <v>55</v>
      </c>
      <c r="E16" s="43"/>
      <c r="F16" s="42">
        <v>40.8</v>
      </c>
      <c r="H16" s="42"/>
      <c r="I16" s="42"/>
      <c r="J16" s="42"/>
      <c r="K16" s="42"/>
      <c r="L16" s="42"/>
      <c r="M16" s="42"/>
      <c r="N16" s="42"/>
      <c r="O16" s="42"/>
      <c r="P16" s="42"/>
    </row>
    <row r="17" spans="2:16" ht="12.75">
      <c r="B17" s="14" t="s">
        <v>95</v>
      </c>
      <c r="D17" s="14" t="s">
        <v>55</v>
      </c>
      <c r="E17" s="43"/>
      <c r="F17" s="42">
        <v>0.21</v>
      </c>
      <c r="H17" s="42"/>
      <c r="I17" s="42"/>
      <c r="J17" s="42"/>
      <c r="K17" s="42"/>
      <c r="L17" s="42"/>
      <c r="M17" s="42"/>
      <c r="N17" s="42"/>
      <c r="O17" s="42"/>
      <c r="P17" s="42"/>
    </row>
    <row r="18" spans="2:16" ht="12.75">
      <c r="B18" s="14" t="s">
        <v>96</v>
      </c>
      <c r="D18" s="14" t="s">
        <v>55</v>
      </c>
      <c r="E18" s="43"/>
      <c r="F18" s="42">
        <v>1.817</v>
      </c>
      <c r="H18" s="42"/>
      <c r="I18" s="42"/>
      <c r="J18" s="42"/>
      <c r="K18" s="42"/>
      <c r="L18" s="42"/>
      <c r="M18" s="42"/>
      <c r="N18" s="42"/>
      <c r="O18" s="42"/>
      <c r="P18" s="42"/>
    </row>
    <row r="19" spans="2:16" ht="12.75">
      <c r="B19" s="14" t="s">
        <v>131</v>
      </c>
      <c r="D19" s="14" t="s">
        <v>55</v>
      </c>
      <c r="E19" s="43"/>
      <c r="F19" s="42">
        <v>55.127</v>
      </c>
      <c r="H19" s="42"/>
      <c r="I19" s="42"/>
      <c r="J19" s="42"/>
      <c r="K19" s="42"/>
      <c r="L19" s="42"/>
      <c r="M19" s="42"/>
      <c r="N19" s="42"/>
      <c r="O19" s="42"/>
      <c r="P19" s="42"/>
    </row>
    <row r="20" spans="2:16" ht="12.75">
      <c r="B20" s="14" t="s">
        <v>91</v>
      </c>
      <c r="D20" s="14" t="s">
        <v>55</v>
      </c>
      <c r="E20" s="43"/>
      <c r="F20" s="42">
        <v>53.833</v>
      </c>
      <c r="H20" s="42"/>
      <c r="I20" s="42"/>
      <c r="J20" s="42"/>
      <c r="K20" s="42"/>
      <c r="L20" s="42"/>
      <c r="M20" s="42"/>
      <c r="N20" s="42"/>
      <c r="O20" s="42"/>
      <c r="P20" s="42"/>
    </row>
    <row r="21" spans="2:16" ht="12.75">
      <c r="B21" s="14" t="s">
        <v>97</v>
      </c>
      <c r="D21" s="14" t="s">
        <v>55</v>
      </c>
      <c r="E21" s="43"/>
      <c r="F21" s="42">
        <v>1.987</v>
      </c>
      <c r="H21" s="42"/>
      <c r="I21" s="42"/>
      <c r="J21" s="42"/>
      <c r="K21" s="42"/>
      <c r="L21" s="42"/>
      <c r="M21" s="42"/>
      <c r="N21" s="42"/>
      <c r="O21" s="42"/>
      <c r="P21" s="42"/>
    </row>
    <row r="22" spans="2:16" ht="12.75">
      <c r="B22" s="14" t="s">
        <v>98</v>
      </c>
      <c r="D22" s="14" t="s">
        <v>55</v>
      </c>
      <c r="E22" s="43"/>
      <c r="F22" s="42">
        <v>145.507</v>
      </c>
      <c r="H22" s="42"/>
      <c r="I22" s="42"/>
      <c r="J22" s="42"/>
      <c r="K22" s="42"/>
      <c r="L22" s="42"/>
      <c r="M22" s="42"/>
      <c r="N22" s="42"/>
      <c r="O22" s="42"/>
      <c r="P22" s="42"/>
    </row>
    <row r="23" spans="2:16" ht="12.75">
      <c r="B23" s="14" t="s">
        <v>99</v>
      </c>
      <c r="D23" s="14" t="s">
        <v>55</v>
      </c>
      <c r="E23" s="43"/>
      <c r="F23" s="42">
        <v>2.9</v>
      </c>
      <c r="H23" s="42"/>
      <c r="I23" s="42"/>
      <c r="J23" s="42"/>
      <c r="K23" s="42"/>
      <c r="L23" s="42"/>
      <c r="M23" s="42"/>
      <c r="N23" s="42"/>
      <c r="O23" s="42"/>
      <c r="P23" s="42"/>
    </row>
    <row r="24" spans="2:16" ht="12.75">
      <c r="B24" s="14" t="s">
        <v>100</v>
      </c>
      <c r="D24" s="14" t="s">
        <v>55</v>
      </c>
      <c r="E24" s="43"/>
      <c r="F24" s="42">
        <v>2.277</v>
      </c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2.75">
      <c r="B25" s="14" t="s">
        <v>101</v>
      </c>
      <c r="D25" s="14" t="s">
        <v>55</v>
      </c>
      <c r="E25" s="43"/>
      <c r="F25" s="42">
        <v>0.273</v>
      </c>
      <c r="H25" s="42"/>
      <c r="I25" s="42"/>
      <c r="J25" s="42"/>
      <c r="K25" s="42"/>
      <c r="L25" s="42"/>
      <c r="M25" s="42"/>
      <c r="N25" s="42"/>
      <c r="O25" s="42"/>
      <c r="P25" s="42"/>
    </row>
    <row r="26" spans="5:16" ht="12.75">
      <c r="E26" s="43"/>
      <c r="H26" s="42"/>
      <c r="I26" s="42"/>
      <c r="J26" s="42"/>
      <c r="K26" s="42"/>
      <c r="L26" s="42"/>
      <c r="M26" s="42"/>
      <c r="N26" s="42"/>
      <c r="O26" s="42"/>
      <c r="P26" s="42"/>
    </row>
    <row r="27" spans="2:12" ht="12.75">
      <c r="B27" s="14" t="s">
        <v>69</v>
      </c>
      <c r="D27" s="14" t="s">
        <v>17</v>
      </c>
      <c r="E27" s="43"/>
      <c r="F27" s="34">
        <v>18835</v>
      </c>
      <c r="G27" s="34"/>
      <c r="H27" s="42"/>
      <c r="I27" s="42"/>
      <c r="J27" s="43"/>
      <c r="K27" s="43"/>
      <c r="L27" s="43"/>
    </row>
    <row r="28" spans="2:12" ht="12.75">
      <c r="B28" s="14" t="s">
        <v>70</v>
      </c>
      <c r="D28" s="14" t="s">
        <v>18</v>
      </c>
      <c r="E28" s="43"/>
      <c r="F28" s="31">
        <v>13.833333333333334</v>
      </c>
      <c r="G28" s="31"/>
      <c r="H28" s="42"/>
      <c r="I28" s="42"/>
      <c r="J28" s="43"/>
      <c r="K28" s="43"/>
      <c r="L28" s="43"/>
    </row>
    <row r="29" spans="5:12" ht="12.75">
      <c r="E29" s="43"/>
      <c r="H29" s="42"/>
      <c r="I29" s="42"/>
      <c r="J29" s="43"/>
      <c r="K29" s="43"/>
      <c r="L29" s="43"/>
    </row>
    <row r="30" spans="2:17" ht="12.75">
      <c r="B30" s="14" t="s">
        <v>109</v>
      </c>
      <c r="D30" s="14" t="s">
        <v>62</v>
      </c>
      <c r="E30" s="43"/>
      <c r="F30" s="15"/>
      <c r="G30" s="15"/>
      <c r="H30" s="15"/>
      <c r="I30" s="15"/>
      <c r="J30" s="42"/>
      <c r="K30" s="42"/>
      <c r="L30" s="43"/>
      <c r="M30" s="44"/>
      <c r="Q30" s="44"/>
    </row>
    <row r="31" spans="2:17" ht="12.75">
      <c r="B31" s="14" t="s">
        <v>276</v>
      </c>
      <c r="D31" s="14" t="s">
        <v>62</v>
      </c>
      <c r="E31" s="43"/>
      <c r="F31" s="41"/>
      <c r="G31" s="41"/>
      <c r="H31" s="15"/>
      <c r="I31" s="15"/>
      <c r="J31" s="43"/>
      <c r="K31" s="43"/>
      <c r="L31" s="43"/>
      <c r="M31" s="44"/>
      <c r="Q31" s="15"/>
    </row>
    <row r="32" spans="5:17" ht="12.75">
      <c r="E32" s="43"/>
      <c r="F32" s="41"/>
      <c r="G32" s="41"/>
      <c r="H32" s="15"/>
      <c r="I32" s="15"/>
      <c r="J32" s="43"/>
      <c r="K32" s="43"/>
      <c r="L32" s="43"/>
      <c r="Q32" s="15"/>
    </row>
    <row r="33" spans="2:17" ht="12.75">
      <c r="B33" s="61" t="s">
        <v>85</v>
      </c>
      <c r="C33" s="61"/>
      <c r="E33" s="43"/>
      <c r="F33" s="41"/>
      <c r="G33" s="41"/>
      <c r="H33" s="15"/>
      <c r="I33" s="15"/>
      <c r="J33" s="43"/>
      <c r="K33" s="43"/>
      <c r="L33" s="43"/>
      <c r="Q33" s="15"/>
    </row>
    <row r="34" spans="2:16" ht="12.75">
      <c r="B34" s="14" t="s">
        <v>50</v>
      </c>
      <c r="D34" s="14" t="s">
        <v>71</v>
      </c>
      <c r="E34" s="43"/>
      <c r="F34" s="45">
        <f>(F10*8.34*454*F12/100)/F27/0.0283*(21-7)/(21-F28)*1000</f>
        <v>0</v>
      </c>
      <c r="G34" s="45"/>
      <c r="H34" s="15"/>
      <c r="I34" s="15"/>
      <c r="J34" s="43"/>
      <c r="K34" s="43"/>
      <c r="L34" s="43"/>
      <c r="O34" s="15"/>
      <c r="P34" s="15"/>
    </row>
    <row r="35" spans="2:12" ht="12.75">
      <c r="B35" s="14" t="s">
        <v>51</v>
      </c>
      <c r="D35" s="14" t="s">
        <v>63</v>
      </c>
      <c r="E35" s="43"/>
      <c r="F35" s="16">
        <f>F13*454/60/0.0283/F$27*(21-7)/(21-F$28)*1000000</f>
        <v>58733966.159229554</v>
      </c>
      <c r="G35" s="16"/>
      <c r="H35" s="16"/>
      <c r="I35" s="16"/>
      <c r="J35" s="16"/>
      <c r="K35" s="16"/>
      <c r="L35" s="16"/>
    </row>
    <row r="36" spans="2:12" ht="12.75">
      <c r="B36" s="14" t="s">
        <v>92</v>
      </c>
      <c r="D36" s="14" t="s">
        <v>63</v>
      </c>
      <c r="E36" s="43"/>
      <c r="F36" s="16">
        <f>F14*454/60/0.0283/F$27*(21-7)/(21-F$28)*1000000</f>
        <v>296082.41580835416</v>
      </c>
      <c r="G36" s="16"/>
      <c r="H36" s="16"/>
      <c r="I36" s="16"/>
      <c r="J36" s="16"/>
      <c r="K36" s="16"/>
      <c r="L36" s="16"/>
    </row>
    <row r="37" spans="2:7" ht="12.75">
      <c r="B37" s="14" t="s">
        <v>93</v>
      </c>
      <c r="D37" s="14" t="s">
        <v>63</v>
      </c>
      <c r="F37" s="16">
        <f aca="true" t="shared" si="0" ref="F37:F47">F15*454/60/0.0283/F$27*(21-7)/(21-F$28)*1000000</f>
        <v>19494.796133115386</v>
      </c>
      <c r="G37" s="16"/>
    </row>
    <row r="38" spans="2:7" ht="12.75">
      <c r="B38" s="14" t="s">
        <v>94</v>
      </c>
      <c r="D38" s="14" t="s">
        <v>63</v>
      </c>
      <c r="F38" s="16">
        <f t="shared" si="0"/>
        <v>1131419.1781381331</v>
      </c>
      <c r="G38" s="16"/>
    </row>
    <row r="39" spans="2:7" ht="12.75">
      <c r="B39" s="14" t="s">
        <v>95</v>
      </c>
      <c r="D39" s="14" t="s">
        <v>63</v>
      </c>
      <c r="F39" s="16">
        <f t="shared" si="0"/>
        <v>5823.481063946274</v>
      </c>
      <c r="G39" s="16"/>
    </row>
    <row r="40" spans="2:7" ht="12.75">
      <c r="B40" s="14" t="s">
        <v>96</v>
      </c>
      <c r="D40" s="14" t="s">
        <v>63</v>
      </c>
      <c r="F40" s="16">
        <f t="shared" si="0"/>
        <v>50386.97663423991</v>
      </c>
      <c r="G40" s="16"/>
    </row>
    <row r="41" spans="2:7" ht="12.75">
      <c r="B41" s="14" t="s">
        <v>131</v>
      </c>
      <c r="D41" s="14" t="s">
        <v>63</v>
      </c>
      <c r="F41" s="16">
        <f t="shared" si="0"/>
        <v>1528719.2410103155</v>
      </c>
      <c r="G41" s="16"/>
    </row>
    <row r="42" spans="2:7" ht="12.75">
      <c r="B42" s="14" t="s">
        <v>91</v>
      </c>
      <c r="D42" s="14" t="s">
        <v>63</v>
      </c>
      <c r="F42" s="16">
        <f t="shared" si="0"/>
        <v>1492835.5053115229</v>
      </c>
      <c r="G42" s="16"/>
    </row>
    <row r="43" spans="2:7" ht="12.75">
      <c r="B43" s="14" t="s">
        <v>97</v>
      </c>
      <c r="D43" s="14" t="s">
        <v>63</v>
      </c>
      <c r="F43" s="16">
        <f t="shared" si="0"/>
        <v>55101.22320981546</v>
      </c>
      <c r="G43" s="16"/>
    </row>
    <row r="44" spans="2:7" ht="12.75">
      <c r="B44" s="14" t="s">
        <v>98</v>
      </c>
      <c r="D44" s="14" t="s">
        <v>63</v>
      </c>
      <c r="F44" s="16">
        <f t="shared" si="0"/>
        <v>4035034.5674839546</v>
      </c>
      <c r="G44" s="16"/>
    </row>
    <row r="45" spans="2:7" ht="12.75">
      <c r="B45" s="14" t="s">
        <v>99</v>
      </c>
      <c r="D45" s="14" t="s">
        <v>63</v>
      </c>
      <c r="F45" s="16">
        <f t="shared" si="0"/>
        <v>80419.50040687712</v>
      </c>
      <c r="G45" s="16"/>
    </row>
    <row r="46" spans="2:7" ht="12.75">
      <c r="B46" s="14" t="s">
        <v>100</v>
      </c>
      <c r="D46" s="14" t="s">
        <v>63</v>
      </c>
      <c r="F46" s="16">
        <f t="shared" si="0"/>
        <v>63143.17325050318</v>
      </c>
      <c r="G46" s="16"/>
    </row>
    <row r="47" spans="2:7" ht="12.75">
      <c r="B47" s="14" t="s">
        <v>101</v>
      </c>
      <c r="D47" s="14" t="s">
        <v>63</v>
      </c>
      <c r="F47" s="16">
        <f t="shared" si="0"/>
        <v>7570.525383130156</v>
      </c>
      <c r="G47" s="16"/>
    </row>
    <row r="49" spans="2:7" ht="12.75">
      <c r="B49" s="14" t="s">
        <v>64</v>
      </c>
      <c r="D49" s="14" t="s">
        <v>63</v>
      </c>
      <c r="F49" s="16">
        <f>F42+F40</f>
        <v>1543222.4819457629</v>
      </c>
      <c r="G49" s="16"/>
    </row>
    <row r="50" spans="2:7" ht="12.75">
      <c r="B50" s="14" t="s">
        <v>65</v>
      </c>
      <c r="D50" s="14" t="s">
        <v>63</v>
      </c>
      <c r="F50" s="16">
        <f>F37+F39+F41</f>
        <v>1554037.518207377</v>
      </c>
      <c r="G50" s="16"/>
    </row>
    <row r="52" spans="2:12" ht="12.75">
      <c r="B52" s="40" t="s">
        <v>206</v>
      </c>
      <c r="C52" s="40" t="s">
        <v>225</v>
      </c>
      <c r="F52" s="43" t="s">
        <v>220</v>
      </c>
      <c r="G52" s="43"/>
      <c r="H52" s="43" t="s">
        <v>221</v>
      </c>
      <c r="I52" s="43"/>
      <c r="J52" s="43" t="s">
        <v>222</v>
      </c>
      <c r="K52" s="43"/>
      <c r="L52" s="43" t="s">
        <v>223</v>
      </c>
    </row>
    <row r="53" spans="2:12" ht="12.75">
      <c r="B53" s="40"/>
      <c r="C53" s="40"/>
      <c r="F53" s="43"/>
      <c r="G53" s="43"/>
      <c r="H53" s="43"/>
      <c r="I53" s="43"/>
      <c r="J53" s="43"/>
      <c r="K53" s="43"/>
      <c r="L53" s="43"/>
    </row>
    <row r="54" spans="2:12" ht="12.75">
      <c r="B54" s="14" t="s">
        <v>272</v>
      </c>
      <c r="C54" s="40"/>
      <c r="F54" s="43" t="s">
        <v>274</v>
      </c>
      <c r="G54" s="43"/>
      <c r="H54" s="43" t="s">
        <v>274</v>
      </c>
      <c r="I54" s="43"/>
      <c r="J54" s="43" t="s">
        <v>274</v>
      </c>
      <c r="K54" s="43"/>
      <c r="L54" s="43" t="s">
        <v>274</v>
      </c>
    </row>
    <row r="55" spans="2:12" ht="12.75">
      <c r="B55" s="14" t="s">
        <v>273</v>
      </c>
      <c r="F55" s="42" t="s">
        <v>26</v>
      </c>
      <c r="H55" s="42" t="s">
        <v>26</v>
      </c>
      <c r="I55" s="42"/>
      <c r="J55" s="42" t="s">
        <v>26</v>
      </c>
      <c r="K55" s="42"/>
      <c r="L55" s="42" t="s">
        <v>26</v>
      </c>
    </row>
    <row r="56" spans="2:12" ht="12.75">
      <c r="B56" s="14" t="s">
        <v>275</v>
      </c>
      <c r="F56" s="42" t="s">
        <v>26</v>
      </c>
      <c r="H56" s="42" t="s">
        <v>26</v>
      </c>
      <c r="I56" s="42"/>
      <c r="J56" s="42" t="s">
        <v>26</v>
      </c>
      <c r="K56" s="42"/>
      <c r="L56" s="42" t="s">
        <v>26</v>
      </c>
    </row>
    <row r="57" spans="2:12" ht="12.75">
      <c r="B57" s="14" t="s">
        <v>48</v>
      </c>
      <c r="F57" s="42" t="s">
        <v>26</v>
      </c>
      <c r="H57" s="42" t="s">
        <v>26</v>
      </c>
      <c r="I57" s="42"/>
      <c r="J57" s="42" t="s">
        <v>26</v>
      </c>
      <c r="K57" s="42"/>
      <c r="L57" s="42" t="s">
        <v>26</v>
      </c>
    </row>
    <row r="58" spans="2:12" ht="12.75">
      <c r="B58" s="14" t="s">
        <v>97</v>
      </c>
      <c r="D58" s="14" t="s">
        <v>55</v>
      </c>
      <c r="F58" s="42">
        <v>1.76</v>
      </c>
      <c r="H58" s="41">
        <v>1.77</v>
      </c>
      <c r="J58" s="41">
        <v>1.8</v>
      </c>
      <c r="L58" s="45">
        <f>AVERAGE(F58:J58)</f>
        <v>1.7766666666666666</v>
      </c>
    </row>
    <row r="59" spans="2:12" ht="12.75">
      <c r="B59" s="14" t="s">
        <v>51</v>
      </c>
      <c r="D59" s="14" t="s">
        <v>55</v>
      </c>
      <c r="F59" s="42">
        <v>807</v>
      </c>
      <c r="H59" s="41">
        <v>662</v>
      </c>
      <c r="J59" s="41">
        <v>767</v>
      </c>
      <c r="L59" s="45">
        <f>AVERAGE(F59:J59)</f>
        <v>745.3333333333334</v>
      </c>
    </row>
    <row r="60" ht="12.75">
      <c r="L60" s="42"/>
    </row>
    <row r="61" spans="2:12" ht="12.75">
      <c r="B61" s="14" t="s">
        <v>69</v>
      </c>
      <c r="D61" s="14" t="s">
        <v>17</v>
      </c>
      <c r="F61" s="45">
        <f>emiss!G283</f>
        <v>20123</v>
      </c>
      <c r="G61" s="45"/>
      <c r="H61" s="45">
        <f>emiss!I283</f>
        <v>21109</v>
      </c>
      <c r="I61" s="45"/>
      <c r="J61" s="45">
        <f>emiss!K283</f>
        <v>20641</v>
      </c>
      <c r="K61" s="45"/>
      <c r="L61" s="45">
        <f>AVERAGE(F61:J61)</f>
        <v>20624.333333333332</v>
      </c>
    </row>
    <row r="62" spans="2:12" ht="12.75">
      <c r="B62" s="14" t="s">
        <v>70</v>
      </c>
      <c r="D62" s="14" t="s">
        <v>18</v>
      </c>
      <c r="F62" s="45">
        <f>emiss!G284</f>
        <v>14.2</v>
      </c>
      <c r="G62" s="45"/>
      <c r="H62" s="45">
        <f>emiss!I284</f>
        <v>14.6</v>
      </c>
      <c r="I62" s="45"/>
      <c r="J62" s="45">
        <f>emiss!K284</f>
        <v>14.1</v>
      </c>
      <c r="K62" s="45"/>
      <c r="L62" s="45">
        <f>AVERAGE(F62:J62)</f>
        <v>14.299999999999999</v>
      </c>
    </row>
    <row r="63" ht="12.75">
      <c r="L63" s="42"/>
    </row>
    <row r="64" spans="2:12" ht="12.75">
      <c r="B64" s="61" t="s">
        <v>85</v>
      </c>
      <c r="L64" s="42"/>
    </row>
    <row r="65" spans="2:12" ht="12.75">
      <c r="B65" s="14" t="s">
        <v>97</v>
      </c>
      <c r="D65" s="14" t="s">
        <v>63</v>
      </c>
      <c r="E65" s="41" t="s">
        <v>15</v>
      </c>
      <c r="F65" s="15">
        <f>F58*454/60/0.0283/F61*(21-7)/(21-F62)*1000000</f>
        <v>48145.66953112259</v>
      </c>
      <c r="G65" s="15"/>
      <c r="H65" s="15">
        <f>H58*454/60/0.0283/H61*(21-7)/(21-H62)*1000000</f>
        <v>49042.41354021956</v>
      </c>
      <c r="I65" s="15"/>
      <c r="J65" s="15">
        <f>J58*454/60/0.0283/J61*(21-7)/(21-J62)*1000000</f>
        <v>47308.46786071027</v>
      </c>
      <c r="K65" s="15"/>
      <c r="L65" s="45">
        <f>AVERAGE(F65:J65)</f>
        <v>48165.51697735081</v>
      </c>
    </row>
    <row r="66" spans="2:12" ht="12.75">
      <c r="B66" s="14" t="s">
        <v>51</v>
      </c>
      <c r="D66" s="14" t="s">
        <v>63</v>
      </c>
      <c r="E66" s="41" t="s">
        <v>15</v>
      </c>
      <c r="F66" s="16">
        <f>F59*454/60/0.0283/F61*(21-7)/(21-F62)*1000000</f>
        <v>22075883.699781783</v>
      </c>
      <c r="G66" s="16"/>
      <c r="H66" s="16">
        <f>H59*454/60/0.0283/H61*(21-7)/(21-H62)*1000000</f>
        <v>18342416.815607544</v>
      </c>
      <c r="I66" s="16"/>
      <c r="J66" s="16">
        <f>J59*454/60/0.0283/J61*(21-7)/(21-J62)*1000000</f>
        <v>20158663.80509154</v>
      </c>
      <c r="K66" s="16"/>
      <c r="L66" s="16">
        <f>AVERAGE(F66:J66)</f>
        <v>20192321.44016029</v>
      </c>
    </row>
    <row r="68" spans="2:12" ht="12.75">
      <c r="B68" s="40" t="s">
        <v>207</v>
      </c>
      <c r="C68" s="40" t="s">
        <v>180</v>
      </c>
      <c r="F68" s="43" t="s">
        <v>220</v>
      </c>
      <c r="G68" s="43"/>
      <c r="H68" s="43" t="s">
        <v>221</v>
      </c>
      <c r="I68" s="43"/>
      <c r="J68" s="43" t="s">
        <v>222</v>
      </c>
      <c r="K68" s="43"/>
      <c r="L68" s="43" t="s">
        <v>223</v>
      </c>
    </row>
    <row r="69" spans="2:12" ht="12.75">
      <c r="B69" s="40"/>
      <c r="C69" s="40"/>
      <c r="F69" s="43"/>
      <c r="G69" s="43"/>
      <c r="H69" s="43"/>
      <c r="I69" s="43"/>
      <c r="J69" s="43"/>
      <c r="K69" s="43"/>
      <c r="L69" s="43"/>
    </row>
    <row r="70" spans="2:12" ht="12.75">
      <c r="B70" s="14" t="s">
        <v>272</v>
      </c>
      <c r="C70" s="40"/>
      <c r="F70" s="43" t="s">
        <v>274</v>
      </c>
      <c r="G70" s="43"/>
      <c r="H70" s="43" t="s">
        <v>274</v>
      </c>
      <c r="I70" s="43"/>
      <c r="J70" s="43" t="s">
        <v>274</v>
      </c>
      <c r="K70" s="43"/>
      <c r="L70" s="43" t="s">
        <v>274</v>
      </c>
    </row>
    <row r="71" spans="2:12" ht="12.75">
      <c r="B71" s="14" t="s">
        <v>273</v>
      </c>
      <c r="F71" s="42" t="s">
        <v>26</v>
      </c>
      <c r="H71" s="42" t="s">
        <v>26</v>
      </c>
      <c r="I71" s="42"/>
      <c r="J71" s="42" t="s">
        <v>26</v>
      </c>
      <c r="K71" s="42"/>
      <c r="L71" s="42" t="s">
        <v>26</v>
      </c>
    </row>
    <row r="72" spans="2:12" ht="12.75">
      <c r="B72" s="14" t="s">
        <v>275</v>
      </c>
      <c r="F72" s="42" t="s">
        <v>26</v>
      </c>
      <c r="H72" s="42" t="s">
        <v>26</v>
      </c>
      <c r="I72" s="42"/>
      <c r="J72" s="42" t="s">
        <v>26</v>
      </c>
      <c r="K72" s="42"/>
      <c r="L72" s="42" t="s">
        <v>26</v>
      </c>
    </row>
    <row r="73" spans="2:17" ht="12.75">
      <c r="B73" s="14" t="s">
        <v>48</v>
      </c>
      <c r="F73" s="42" t="s">
        <v>26</v>
      </c>
      <c r="H73" s="42" t="s">
        <v>26</v>
      </c>
      <c r="I73" s="42"/>
      <c r="J73" s="42" t="s">
        <v>26</v>
      </c>
      <c r="K73" s="42"/>
      <c r="L73" s="42" t="s">
        <v>26</v>
      </c>
      <c r="M73" s="42"/>
      <c r="N73" s="42"/>
      <c r="O73" s="42"/>
      <c r="P73" s="42"/>
      <c r="Q73" s="42"/>
    </row>
    <row r="74" spans="2:17" ht="12.75">
      <c r="B74" s="14" t="s">
        <v>50</v>
      </c>
      <c r="D74" s="14" t="s">
        <v>55</v>
      </c>
      <c r="F74" s="42">
        <v>5332.4</v>
      </c>
      <c r="H74" s="42">
        <v>4867.5</v>
      </c>
      <c r="I74" s="42"/>
      <c r="J74" s="42">
        <v>5363.6</v>
      </c>
      <c r="K74" s="42"/>
      <c r="L74" s="42"/>
      <c r="M74" s="42"/>
      <c r="N74" s="42"/>
      <c r="O74" s="42"/>
      <c r="P74" s="42"/>
      <c r="Q74" s="42"/>
    </row>
    <row r="75" spans="2:10" ht="12.75">
      <c r="B75" s="14" t="s">
        <v>51</v>
      </c>
      <c r="D75" s="14" t="s">
        <v>55</v>
      </c>
      <c r="F75" s="42">
        <v>615</v>
      </c>
      <c r="H75" s="41">
        <v>595</v>
      </c>
      <c r="J75" s="41">
        <v>640</v>
      </c>
    </row>
    <row r="76" spans="2:10" ht="12.75">
      <c r="B76" s="14" t="s">
        <v>97</v>
      </c>
      <c r="D76" s="14" t="s">
        <v>55</v>
      </c>
      <c r="F76" s="42">
        <v>0.0263</v>
      </c>
      <c r="H76" s="41">
        <v>0.0253</v>
      </c>
      <c r="J76" s="41">
        <v>0.03</v>
      </c>
    </row>
    <row r="77" spans="2:10" ht="12.75">
      <c r="B77" s="14" t="s">
        <v>91</v>
      </c>
      <c r="D77" s="14" t="s">
        <v>55</v>
      </c>
      <c r="F77" s="42">
        <v>1.27</v>
      </c>
      <c r="H77" s="41">
        <v>1.2</v>
      </c>
      <c r="J77" s="41">
        <v>1.353</v>
      </c>
    </row>
    <row r="78" spans="2:10" ht="12.75">
      <c r="B78" s="14" t="s">
        <v>96</v>
      </c>
      <c r="D78" s="14" t="s">
        <v>55</v>
      </c>
      <c r="F78" s="42">
        <v>0.187</v>
      </c>
      <c r="H78" s="41">
        <v>0.177</v>
      </c>
      <c r="J78" s="41">
        <v>0.193</v>
      </c>
    </row>
    <row r="79" spans="2:10" ht="12.75">
      <c r="B79" s="14" t="s">
        <v>131</v>
      </c>
      <c r="D79" s="14" t="s">
        <v>55</v>
      </c>
      <c r="F79" s="42">
        <v>1.19</v>
      </c>
      <c r="H79" s="41">
        <v>1.12</v>
      </c>
      <c r="J79" s="41">
        <v>1.27</v>
      </c>
    </row>
    <row r="80" spans="2:10" ht="12.75">
      <c r="B80" s="14" t="s">
        <v>93</v>
      </c>
      <c r="D80" s="14" t="s">
        <v>55</v>
      </c>
      <c r="F80" s="42">
        <v>0.052</v>
      </c>
      <c r="H80" s="41">
        <v>0.0502</v>
      </c>
      <c r="J80" s="41">
        <v>0.0551</v>
      </c>
    </row>
    <row r="81" spans="2:10" ht="12.75">
      <c r="B81" s="14" t="s">
        <v>95</v>
      </c>
      <c r="D81" s="14" t="s">
        <v>55</v>
      </c>
      <c r="F81" s="42">
        <v>0.004</v>
      </c>
      <c r="H81" s="41">
        <v>0.004</v>
      </c>
      <c r="J81" s="41">
        <v>0.004</v>
      </c>
    </row>
    <row r="82" spans="2:10" ht="12.75">
      <c r="B82" s="14" t="s">
        <v>64</v>
      </c>
      <c r="D82" s="14" t="s">
        <v>55</v>
      </c>
      <c r="F82" s="42">
        <f>F77+F78</f>
        <v>1.457</v>
      </c>
      <c r="H82" s="41">
        <v>1.44</v>
      </c>
      <c r="J82" s="41">
        <v>1.44</v>
      </c>
    </row>
    <row r="83" spans="2:10" ht="12.75">
      <c r="B83" s="14" t="s">
        <v>65</v>
      </c>
      <c r="D83" s="14" t="s">
        <v>55</v>
      </c>
      <c r="F83" s="42">
        <f>F79+F80+F81</f>
        <v>1.246</v>
      </c>
      <c r="H83" s="41">
        <v>1.18</v>
      </c>
      <c r="J83" s="41">
        <v>1.18</v>
      </c>
    </row>
    <row r="85" spans="2:10" ht="12.75">
      <c r="B85" s="14" t="s">
        <v>69</v>
      </c>
      <c r="D85" s="14" t="s">
        <v>17</v>
      </c>
      <c r="F85" s="42">
        <f>emiss!G328</f>
        <v>21196.84210526316</v>
      </c>
      <c r="H85" s="41">
        <f>emiss!I328</f>
        <v>20827.368421052633</v>
      </c>
      <c r="J85" s="41">
        <f>emiss!K328</f>
        <v>21739.36842105263</v>
      </c>
    </row>
    <row r="86" spans="2:10" ht="12.75">
      <c r="B86" s="14" t="s">
        <v>70</v>
      </c>
      <c r="D86" s="14" t="s">
        <v>18</v>
      </c>
      <c r="F86" s="42">
        <f>emiss!G329</f>
        <v>14</v>
      </c>
      <c r="H86" s="41">
        <f>emiss!I329</f>
        <v>13.9</v>
      </c>
      <c r="J86" s="41">
        <f>emiss!K329</f>
        <v>13.9</v>
      </c>
    </row>
    <row r="88" ht="12.75">
      <c r="B88" s="61" t="s">
        <v>85</v>
      </c>
    </row>
    <row r="89" spans="2:12" ht="12.75">
      <c r="B89" s="14" t="s">
        <v>50</v>
      </c>
      <c r="D89" s="14" t="s">
        <v>71</v>
      </c>
      <c r="F89" s="15">
        <f>F74*454/60/0.0283/F$85*(21-7)/(21-F$86)*1000</f>
        <v>134523.9830365763</v>
      </c>
      <c r="G89" s="15"/>
      <c r="H89" s="15">
        <f>H74*454/60/0.0283/H$85*(21-7)/(21-H$86)*1000</f>
        <v>123213.81785150884</v>
      </c>
      <c r="I89" s="15"/>
      <c r="J89" s="15">
        <f>J74*454/60/0.0283/J$85*(21-7)/(21-J$86)*1000</f>
        <v>130076.04192646644</v>
      </c>
      <c r="K89" s="15"/>
      <c r="L89" s="44">
        <f>AVERAGE(F89:J89)</f>
        <v>129271.28093818387</v>
      </c>
    </row>
    <row r="90" spans="2:12" ht="12.75">
      <c r="B90" s="14" t="s">
        <v>51</v>
      </c>
      <c r="D90" s="14" t="s">
        <v>63</v>
      </c>
      <c r="F90" s="15">
        <f>F75*454/60/0.0283/F$85*(21-7)/(21-F$86)*1000000</f>
        <v>15515011.920991383</v>
      </c>
      <c r="G90" s="15"/>
      <c r="H90" s="15">
        <f>H75*454/60/0.0283/H$85*(21-7)/(21-H$86)*1000000</f>
        <v>15061576.090734001</v>
      </c>
      <c r="I90" s="15"/>
      <c r="J90" s="15">
        <f>J75*454/60/0.0283/J$85*(21-7)/(21-J$86)*1000000</f>
        <v>15521043.111518107</v>
      </c>
      <c r="K90" s="15"/>
      <c r="L90" s="44">
        <f>AVERAGE(F90:J90)</f>
        <v>15365877.041081166</v>
      </c>
    </row>
    <row r="91" spans="2:12" ht="12.75">
      <c r="B91" s="14" t="s">
        <v>97</v>
      </c>
      <c r="D91" s="14" t="s">
        <v>63</v>
      </c>
      <c r="F91" s="15">
        <f aca="true" t="shared" si="1" ref="F91:J98">F76*454/60/0.0283/F$85*(21-7)/(21-F$86)*1000000</f>
        <v>663.487501661908</v>
      </c>
      <c r="G91" s="15"/>
      <c r="H91" s="15">
        <f t="shared" si="1"/>
        <v>640.4334035219669</v>
      </c>
      <c r="I91" s="15"/>
      <c r="J91" s="15">
        <f t="shared" si="1"/>
        <v>727.5488958524112</v>
      </c>
      <c r="K91" s="15"/>
      <c r="L91" s="44">
        <f>AVERAGE(F91:J91)</f>
        <v>677.1566003454286</v>
      </c>
    </row>
    <row r="92" spans="2:11" ht="12.75">
      <c r="B92" s="14" t="s">
        <v>91</v>
      </c>
      <c r="D92" s="14" t="s">
        <v>63</v>
      </c>
      <c r="F92" s="15">
        <f t="shared" si="1"/>
        <v>32039.130308388718</v>
      </c>
      <c r="G92" s="15"/>
      <c r="H92" s="15">
        <f t="shared" si="1"/>
        <v>30376.28791408538</v>
      </c>
      <c r="I92" s="15"/>
      <c r="J92" s="15">
        <f t="shared" si="1"/>
        <v>32812.45520294374</v>
      </c>
      <c r="K92" s="15"/>
    </row>
    <row r="93" spans="2:11" ht="12.75">
      <c r="B93" s="14" t="s">
        <v>96</v>
      </c>
      <c r="D93" s="14" t="s">
        <v>63</v>
      </c>
      <c r="F93" s="15">
        <f t="shared" si="1"/>
        <v>4717.572730447787</v>
      </c>
      <c r="G93" s="15"/>
      <c r="H93" s="15">
        <f t="shared" si="1"/>
        <v>4480.502467327593</v>
      </c>
      <c r="I93" s="15"/>
      <c r="J93" s="15">
        <f t="shared" si="1"/>
        <v>4680.564563317177</v>
      </c>
      <c r="K93" s="15"/>
    </row>
    <row r="94" spans="2:11" ht="12.75">
      <c r="B94" s="14" t="s">
        <v>131</v>
      </c>
      <c r="D94" s="14" t="s">
        <v>63</v>
      </c>
      <c r="F94" s="15">
        <f t="shared" si="1"/>
        <v>30020.917375576828</v>
      </c>
      <c r="G94" s="15"/>
      <c r="H94" s="15">
        <f t="shared" si="1"/>
        <v>28351.202053146353</v>
      </c>
      <c r="I94" s="15"/>
      <c r="J94" s="15">
        <f t="shared" si="1"/>
        <v>30799.569924418745</v>
      </c>
      <c r="K94" s="15"/>
    </row>
    <row r="95" spans="2:11" ht="12.75">
      <c r="B95" s="14" t="s">
        <v>93</v>
      </c>
      <c r="D95" s="14" t="s">
        <v>63</v>
      </c>
      <c r="F95" s="15">
        <f t="shared" si="1"/>
        <v>1311.838406327727</v>
      </c>
      <c r="G95" s="15"/>
      <c r="H95" s="15">
        <f t="shared" si="1"/>
        <v>1270.7413777392383</v>
      </c>
      <c r="I95" s="15"/>
      <c r="J95" s="15">
        <f t="shared" si="1"/>
        <v>1336.264805382262</v>
      </c>
      <c r="K95" s="15"/>
    </row>
    <row r="96" spans="2:11" ht="12.75">
      <c r="B96" s="14" t="s">
        <v>95</v>
      </c>
      <c r="D96" s="14" t="s">
        <v>63</v>
      </c>
      <c r="F96" s="15">
        <f t="shared" si="1"/>
        <v>100.91064664059436</v>
      </c>
      <c r="G96" s="15"/>
      <c r="H96" s="15">
        <f t="shared" si="1"/>
        <v>101.25429304695128</v>
      </c>
      <c r="I96" s="15"/>
      <c r="J96" s="15">
        <f t="shared" si="1"/>
        <v>97.00651944698815</v>
      </c>
      <c r="K96" s="15"/>
    </row>
    <row r="97" spans="2:12" ht="12.75">
      <c r="B97" s="14" t="s">
        <v>64</v>
      </c>
      <c r="D97" s="14" t="s">
        <v>63</v>
      </c>
      <c r="F97" s="15">
        <f t="shared" si="1"/>
        <v>36756.703038836495</v>
      </c>
      <c r="G97" s="15"/>
      <c r="H97" s="15">
        <f t="shared" si="1"/>
        <v>36451.54549690245</v>
      </c>
      <c r="I97" s="15"/>
      <c r="J97" s="15">
        <f t="shared" si="1"/>
        <v>34922.34700091573</v>
      </c>
      <c r="K97" s="15"/>
      <c r="L97" s="44">
        <f>AVERAGE(F97:J97)</f>
        <v>36043.53184555156</v>
      </c>
    </row>
    <row r="98" spans="2:12" ht="12.75">
      <c r="B98" s="14" t="s">
        <v>65</v>
      </c>
      <c r="D98" s="14" t="s">
        <v>63</v>
      </c>
      <c r="F98" s="15">
        <f t="shared" si="1"/>
        <v>31433.666428545148</v>
      </c>
      <c r="G98" s="15"/>
      <c r="H98" s="15">
        <f t="shared" si="1"/>
        <v>29870.016448850623</v>
      </c>
      <c r="I98" s="15"/>
      <c r="J98" s="15">
        <f t="shared" si="1"/>
        <v>28616.923236861505</v>
      </c>
      <c r="K98" s="15"/>
      <c r="L98" s="44">
        <f>AVERAGE(F98:J98)</f>
        <v>29973.53537141909</v>
      </c>
    </row>
    <row r="99" spans="6:7" ht="12.75">
      <c r="F99" s="15"/>
      <c r="G99" s="15"/>
    </row>
    <row r="100" spans="2:12" ht="12.75">
      <c r="B100" s="40" t="s">
        <v>188</v>
      </c>
      <c r="C100" s="40" t="s">
        <v>224</v>
      </c>
      <c r="F100" s="43" t="s">
        <v>220</v>
      </c>
      <c r="G100" s="43"/>
      <c r="H100" s="43" t="s">
        <v>221</v>
      </c>
      <c r="I100" s="43"/>
      <c r="J100" s="43" t="s">
        <v>222</v>
      </c>
      <c r="K100" s="43"/>
      <c r="L100" s="43" t="s">
        <v>223</v>
      </c>
    </row>
    <row r="101" spans="2:12" ht="12.75">
      <c r="B101" s="40"/>
      <c r="C101" s="40"/>
      <c r="F101" s="43"/>
      <c r="G101" s="43"/>
      <c r="H101" s="43"/>
      <c r="I101" s="43"/>
      <c r="J101" s="43"/>
      <c r="K101" s="43"/>
      <c r="L101" s="43"/>
    </row>
    <row r="102" spans="2:12" ht="12.75">
      <c r="B102" s="14" t="s">
        <v>272</v>
      </c>
      <c r="C102" s="40"/>
      <c r="F102" s="43" t="s">
        <v>274</v>
      </c>
      <c r="G102" s="43"/>
      <c r="H102" s="43" t="s">
        <v>274</v>
      </c>
      <c r="I102" s="43"/>
      <c r="J102" s="43" t="s">
        <v>274</v>
      </c>
      <c r="K102" s="43"/>
      <c r="L102" s="43" t="s">
        <v>274</v>
      </c>
    </row>
    <row r="103" spans="2:12" ht="12.75">
      <c r="B103" s="14" t="s">
        <v>273</v>
      </c>
      <c r="F103" s="42" t="s">
        <v>26</v>
      </c>
      <c r="H103" s="42" t="s">
        <v>26</v>
      </c>
      <c r="I103" s="42"/>
      <c r="J103" s="42" t="s">
        <v>26</v>
      </c>
      <c r="K103" s="42"/>
      <c r="L103" s="42" t="s">
        <v>26</v>
      </c>
    </row>
    <row r="104" spans="2:12" ht="12.75">
      <c r="B104" s="14" t="s">
        <v>275</v>
      </c>
      <c r="F104" s="42" t="s">
        <v>26</v>
      </c>
      <c r="H104" s="42" t="s">
        <v>26</v>
      </c>
      <c r="I104" s="42"/>
      <c r="J104" s="42" t="s">
        <v>26</v>
      </c>
      <c r="K104" s="42"/>
      <c r="L104" s="42" t="s">
        <v>26</v>
      </c>
    </row>
    <row r="105" spans="2:17" ht="12.75">
      <c r="B105" s="14" t="s">
        <v>48</v>
      </c>
      <c r="F105" s="42" t="s">
        <v>230</v>
      </c>
      <c r="H105" s="42" t="s">
        <v>230</v>
      </c>
      <c r="I105" s="42"/>
      <c r="J105" s="42" t="s">
        <v>230</v>
      </c>
      <c r="K105" s="42"/>
      <c r="L105" s="42" t="s">
        <v>230</v>
      </c>
      <c r="M105" s="42"/>
      <c r="N105" s="42"/>
      <c r="O105" s="42"/>
      <c r="P105" s="42"/>
      <c r="Q105" s="42"/>
    </row>
    <row r="106" spans="2:12" ht="12.75">
      <c r="B106" s="14" t="s">
        <v>110</v>
      </c>
      <c r="D106" s="14" t="s">
        <v>55</v>
      </c>
      <c r="F106" s="42">
        <v>14983</v>
      </c>
      <c r="H106" s="41">
        <v>14967.34</v>
      </c>
      <c r="J106" s="41">
        <v>13568.6</v>
      </c>
      <c r="L106" s="44">
        <f>AVERAGE(J106,H106,F106)</f>
        <v>14506.313333333334</v>
      </c>
    </row>
    <row r="107" spans="2:12" ht="12.75">
      <c r="B107" s="14" t="s">
        <v>50</v>
      </c>
      <c r="D107" s="14" t="s">
        <v>55</v>
      </c>
      <c r="F107" s="42">
        <v>6552.69</v>
      </c>
      <c r="H107" s="41">
        <v>6602.58</v>
      </c>
      <c r="J107" s="41">
        <v>5914.76</v>
      </c>
      <c r="L107" s="44">
        <f>AVERAGE(J107,H107,F107)</f>
        <v>6356.676666666666</v>
      </c>
    </row>
    <row r="108" spans="2:12" ht="12.75">
      <c r="B108" s="14" t="s">
        <v>51</v>
      </c>
      <c r="D108" s="14" t="s">
        <v>55</v>
      </c>
      <c r="F108" s="42">
        <v>500.04</v>
      </c>
      <c r="H108" s="41">
        <v>587.09</v>
      </c>
      <c r="J108" s="41">
        <v>600.39</v>
      </c>
      <c r="L108" s="44">
        <f>AVERAGE(J108,H108,F108)</f>
        <v>562.5066666666667</v>
      </c>
    </row>
    <row r="110" spans="2:13" ht="12.75">
      <c r="B110" s="14" t="s">
        <v>69</v>
      </c>
      <c r="D110" s="14" t="s">
        <v>17</v>
      </c>
      <c r="F110" s="42">
        <f>emiss!G390</f>
        <v>21344</v>
      </c>
      <c r="H110" s="42">
        <f>emiss!I390</f>
        <v>20549</v>
      </c>
      <c r="I110" s="42"/>
      <c r="J110" s="42">
        <f>emiss!K390</f>
        <v>19760</v>
      </c>
      <c r="K110" s="42"/>
      <c r="L110" s="44">
        <f>AVERAGE(F110:J110)</f>
        <v>20551</v>
      </c>
      <c r="M110" s="35"/>
    </row>
    <row r="111" spans="2:13" ht="12.75">
      <c r="B111" s="14" t="s">
        <v>70</v>
      </c>
      <c r="D111" s="14" t="s">
        <v>18</v>
      </c>
      <c r="F111" s="42">
        <f>emiss!G391</f>
        <v>12.8</v>
      </c>
      <c r="H111" s="42">
        <f>emiss!I391</f>
        <v>13</v>
      </c>
      <c r="I111" s="42"/>
      <c r="J111" s="42">
        <f>emiss!K391</f>
        <v>12.2</v>
      </c>
      <c r="K111" s="42"/>
      <c r="L111" s="44">
        <f>AVERAGE(F111:J111)</f>
        <v>12.666666666666666</v>
      </c>
      <c r="M111" s="35"/>
    </row>
    <row r="113" ht="12.75">
      <c r="B113" s="61" t="s">
        <v>85</v>
      </c>
    </row>
    <row r="114" ht="12.75">
      <c r="B114" s="61"/>
    </row>
    <row r="115" spans="2:12" ht="12.75">
      <c r="B115" s="14" t="s">
        <v>50</v>
      </c>
      <c r="D115" s="14" t="s">
        <v>71</v>
      </c>
      <c r="F115" s="41">
        <f>F107*454/60/0.0283/F$110*(21-7)/(21-F$111)*1000</f>
        <v>140144.53292723626</v>
      </c>
      <c r="G115" s="41"/>
      <c r="H115" s="41">
        <f>H107*454/60/0.0283/H$110*(21-7)/(21-H$111)*1000</f>
        <v>150341.60956651575</v>
      </c>
      <c r="J115" s="41">
        <f>J107*454/60/0.0283/J$110*(21-7)/(21-J$111)*1000</f>
        <v>127325.00954813584</v>
      </c>
      <c r="L115" s="44">
        <f>AVERAGE(J115,H115,F115)</f>
        <v>139270.3840139626</v>
      </c>
    </row>
    <row r="116" spans="2:12" ht="12.75">
      <c r="B116" s="14" t="s">
        <v>51</v>
      </c>
      <c r="D116" s="14" t="s">
        <v>63</v>
      </c>
      <c r="F116" s="41">
        <f>F108*454/60/0.0283/F$110*(21-7)/(21-F$111)*1000000</f>
        <v>10694519.69266595</v>
      </c>
      <c r="G116" s="41"/>
      <c r="H116" s="41">
        <f>H108*454/60/0.0283/H110*(21-7)/(21-H111)*1000000</f>
        <v>13368116.033490805</v>
      </c>
      <c r="J116" s="41">
        <f>J108*454/60/0.0283/J110*(21-7)/(21-J111)*1000000</f>
        <v>12924389.574996324</v>
      </c>
      <c r="L116" s="44">
        <f>AVERAGE(J116,H116,F116)</f>
        <v>12329008.433717692</v>
      </c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38"/>
  <sheetViews>
    <sheetView workbookViewId="0" topLeftCell="B1">
      <selection activeCell="B5" sqref="B5"/>
    </sheetView>
  </sheetViews>
  <sheetFormatPr defaultColWidth="9.140625" defaultRowHeight="12.75"/>
  <cols>
    <col min="1" max="1" width="9.140625" style="0" hidden="1" customWidth="1"/>
    <col min="2" max="2" width="27.28125" style="0" bestFit="1" customWidth="1"/>
    <col min="4" max="4" width="12.28125" style="0" customWidth="1"/>
    <col min="5" max="5" width="12.421875" style="0" customWidth="1"/>
  </cols>
  <sheetData>
    <row r="1" spans="2:5" ht="12.75">
      <c r="B1" s="8" t="s">
        <v>75</v>
      </c>
      <c r="C1" s="19"/>
      <c r="D1" s="19"/>
      <c r="E1" s="19"/>
    </row>
    <row r="2" spans="2:5" ht="12.75">
      <c r="B2" s="19"/>
      <c r="C2" s="19"/>
      <c r="D2" s="19" t="s">
        <v>223</v>
      </c>
      <c r="E2" s="19"/>
    </row>
    <row r="3" spans="1:5" ht="12.75">
      <c r="A3" t="s">
        <v>108</v>
      </c>
      <c r="B3" s="8" t="s">
        <v>203</v>
      </c>
      <c r="C3" s="19"/>
      <c r="D3" s="19"/>
      <c r="E3" s="19"/>
    </row>
    <row r="4" spans="2:5" ht="12.75">
      <c r="B4" s="8"/>
      <c r="C4" s="19"/>
      <c r="D4" s="19"/>
      <c r="E4" s="19"/>
    </row>
    <row r="7" spans="2:5" ht="12.75">
      <c r="B7" s="19"/>
      <c r="C7" s="19"/>
      <c r="D7" s="19"/>
      <c r="E7" s="19"/>
    </row>
    <row r="8" spans="1:5" ht="12.75">
      <c r="A8" t="s">
        <v>108</v>
      </c>
      <c r="B8" s="8" t="s">
        <v>202</v>
      </c>
      <c r="C8" s="19"/>
      <c r="D8" s="19"/>
      <c r="E8" s="19"/>
    </row>
    <row r="9" spans="2:5" ht="13.5" customHeight="1">
      <c r="B9" s="19"/>
      <c r="C9" s="19"/>
      <c r="D9" s="19"/>
      <c r="E9" s="19"/>
    </row>
    <row r="13" spans="2:3" ht="12.75">
      <c r="B13" s="8" t="s">
        <v>204</v>
      </c>
      <c r="C13" s="19"/>
    </row>
    <row r="14" spans="2:3" ht="12.75">
      <c r="B14" s="19"/>
      <c r="C14" s="19"/>
    </row>
    <row r="18" spans="2:3" ht="12.75">
      <c r="B18" s="8" t="s">
        <v>205</v>
      </c>
      <c r="C18" s="19"/>
    </row>
    <row r="19" spans="2:3" ht="12.75">
      <c r="B19" s="8"/>
      <c r="C19" s="19"/>
    </row>
    <row r="23" spans="2:3" ht="12.75">
      <c r="B23" s="8" t="s">
        <v>206</v>
      </c>
      <c r="C23" s="19"/>
    </row>
    <row r="24" spans="2:3" ht="12.75">
      <c r="B24" s="8"/>
      <c r="C24" s="19"/>
    </row>
    <row r="28" spans="2:3" ht="12.75">
      <c r="B28" s="8" t="s">
        <v>207</v>
      </c>
      <c r="C28" s="19"/>
    </row>
    <row r="29" spans="2:3" ht="12.75">
      <c r="B29" s="8"/>
      <c r="C29" s="19"/>
    </row>
    <row r="32" spans="2:3" ht="12.75">
      <c r="B32" s="19"/>
      <c r="C32" s="19"/>
    </row>
    <row r="33" ht="12.75">
      <c r="B33" s="8" t="s">
        <v>188</v>
      </c>
    </row>
    <row r="35" spans="2:4" ht="12.75">
      <c r="B35" s="19" t="s">
        <v>164</v>
      </c>
      <c r="C35" t="s">
        <v>165</v>
      </c>
      <c r="D35">
        <v>1484</v>
      </c>
    </row>
    <row r="36" spans="2:4" ht="12.75">
      <c r="B36" s="19" t="s">
        <v>166</v>
      </c>
      <c r="C36" t="s">
        <v>165</v>
      </c>
      <c r="D36">
        <v>1614</v>
      </c>
    </row>
    <row r="37" spans="2:4" ht="12.75">
      <c r="B37" s="19" t="s">
        <v>167</v>
      </c>
      <c r="C37" t="s">
        <v>168</v>
      </c>
      <c r="D37">
        <v>11.5</v>
      </c>
    </row>
    <row r="38" spans="2:4" ht="12.75">
      <c r="B38" s="19" t="s">
        <v>169</v>
      </c>
      <c r="C38" t="s">
        <v>170</v>
      </c>
      <c r="D38">
        <v>4.7</v>
      </c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R87"/>
  <sheetViews>
    <sheetView workbookViewId="0" topLeftCell="A1">
      <pane ySplit="3450" topLeftCell="BM26" activePane="bottomLeft" state="split"/>
      <selection pane="topLeft" activeCell="B5" sqref="B5"/>
      <selection pane="bottomLeft" activeCell="B5" sqref="B5"/>
    </sheetView>
  </sheetViews>
  <sheetFormatPr defaultColWidth="9.140625" defaultRowHeight="12.75"/>
  <cols>
    <col min="1" max="1" width="1.7109375" style="0" customWidth="1"/>
    <col min="2" max="2" width="20.00390625" style="0" customWidth="1"/>
    <col min="3" max="3" width="6.140625" style="0" customWidth="1"/>
    <col min="4" max="4" width="3.00390625" style="0" customWidth="1"/>
    <col min="5" max="6" width="9.421875" style="6" customWidth="1"/>
    <col min="7" max="7" width="10.7109375" style="6" customWidth="1"/>
    <col min="8" max="8" width="9.8515625" style="6" customWidth="1"/>
    <col min="9" max="9" width="3.421875" style="0" customWidth="1"/>
    <col min="13" max="13" width="9.28125" style="0" customWidth="1"/>
    <col min="14" max="14" width="2.8515625" style="0" customWidth="1"/>
    <col min="18" max="18" width="9.00390625" style="0" customWidth="1"/>
  </cols>
  <sheetData>
    <row r="1" spans="1:18" ht="12.75">
      <c r="A1" s="57" t="s">
        <v>77</v>
      </c>
      <c r="B1" s="41"/>
      <c r="C1" s="41"/>
      <c r="D1" s="41"/>
      <c r="E1" s="44"/>
      <c r="F1" s="44"/>
      <c r="G1" s="44"/>
      <c r="H1" s="44"/>
      <c r="I1" s="49"/>
      <c r="J1" s="49"/>
      <c r="K1" s="49"/>
      <c r="L1" s="49"/>
      <c r="M1" s="49"/>
      <c r="N1" s="49"/>
      <c r="O1" s="49"/>
      <c r="P1" s="49"/>
      <c r="Q1" s="49"/>
      <c r="R1" s="49"/>
    </row>
    <row r="2" spans="1:18" ht="12.75">
      <c r="A2" s="41" t="s">
        <v>277</v>
      </c>
      <c r="B2" s="41"/>
      <c r="C2" s="41"/>
      <c r="D2" s="41"/>
      <c r="E2" s="44"/>
      <c r="F2" s="44"/>
      <c r="G2" s="44"/>
      <c r="H2" s="44"/>
      <c r="I2" s="49"/>
      <c r="J2" s="49"/>
      <c r="K2" s="49"/>
      <c r="L2" s="49"/>
      <c r="M2" s="49"/>
      <c r="N2" s="49"/>
      <c r="O2" s="49"/>
      <c r="P2" s="49"/>
      <c r="Q2" s="49"/>
      <c r="R2" s="49"/>
    </row>
    <row r="3" spans="1:18" ht="12.75">
      <c r="A3" s="41" t="s">
        <v>21</v>
      </c>
      <c r="B3" s="41"/>
      <c r="C3" s="14" t="str">
        <f>source!C5</f>
        <v>Clean Harbors Environmental Services, Inc.</v>
      </c>
      <c r="D3" s="14"/>
      <c r="E3" s="44"/>
      <c r="F3" s="44"/>
      <c r="G3" s="44"/>
      <c r="H3" s="44"/>
      <c r="I3" s="49"/>
      <c r="J3" s="49"/>
      <c r="K3" s="49"/>
      <c r="L3" s="49"/>
      <c r="M3" s="49"/>
      <c r="N3" s="49"/>
      <c r="O3" s="49"/>
      <c r="P3" s="49"/>
      <c r="Q3" s="49"/>
      <c r="R3" s="49"/>
    </row>
    <row r="4" spans="1:18" ht="12.75">
      <c r="A4" s="41" t="s">
        <v>22</v>
      </c>
      <c r="B4" s="41"/>
      <c r="C4" s="14" t="s">
        <v>203</v>
      </c>
      <c r="D4" s="14"/>
      <c r="E4" s="64"/>
      <c r="F4" s="64"/>
      <c r="G4" s="64"/>
      <c r="H4" s="17"/>
      <c r="I4" s="51"/>
      <c r="J4" s="51"/>
      <c r="K4" s="51"/>
      <c r="L4" s="51"/>
      <c r="M4" s="51"/>
      <c r="N4" s="51"/>
      <c r="O4" s="51"/>
      <c r="P4" s="51"/>
      <c r="Q4" s="51"/>
      <c r="R4" s="51"/>
    </row>
    <row r="5" spans="1:18" ht="12.75">
      <c r="A5" s="41" t="s">
        <v>23</v>
      </c>
      <c r="B5" s="41"/>
      <c r="C5" s="19" t="str">
        <f>cond!C10</f>
        <v>Trial burn, high waste feedrate, min temp oper</v>
      </c>
      <c r="D5" s="19"/>
      <c r="E5" s="48"/>
      <c r="F5" s="48"/>
      <c r="G5" s="48"/>
      <c r="H5" s="48"/>
      <c r="I5" s="19"/>
      <c r="J5" s="19"/>
      <c r="K5" s="19"/>
      <c r="L5" s="19"/>
      <c r="M5" s="49"/>
      <c r="N5" s="49"/>
      <c r="O5" s="49"/>
      <c r="P5" s="49"/>
      <c r="Q5" s="49"/>
      <c r="R5" s="49"/>
    </row>
    <row r="6" spans="1:18" ht="7.5" customHeight="1">
      <c r="A6" s="41"/>
      <c r="B6" s="41"/>
      <c r="C6" s="43"/>
      <c r="D6" s="43"/>
      <c r="E6" s="17"/>
      <c r="F6" s="17"/>
      <c r="G6" s="17"/>
      <c r="H6" s="44"/>
      <c r="I6" s="49"/>
      <c r="J6" s="53"/>
      <c r="K6" s="53"/>
      <c r="L6" s="53"/>
      <c r="M6" s="49"/>
      <c r="N6" s="49"/>
      <c r="O6" s="53"/>
      <c r="P6" s="53"/>
      <c r="Q6" s="53"/>
      <c r="R6" s="49"/>
    </row>
    <row r="7" spans="1:18" ht="12.75">
      <c r="A7" s="41"/>
      <c r="B7" s="41"/>
      <c r="C7" s="43" t="s">
        <v>24</v>
      </c>
      <c r="D7" s="43"/>
      <c r="E7" s="65" t="s">
        <v>58</v>
      </c>
      <c r="F7" s="65"/>
      <c r="G7" s="65"/>
      <c r="H7" s="65"/>
      <c r="I7" s="18"/>
      <c r="J7" s="54" t="s">
        <v>59</v>
      </c>
      <c r="K7" s="54"/>
      <c r="L7" s="54"/>
      <c r="M7" s="54"/>
      <c r="N7" s="18"/>
      <c r="O7" s="54" t="s">
        <v>60</v>
      </c>
      <c r="P7" s="54"/>
      <c r="Q7" s="54"/>
      <c r="R7" s="54"/>
    </row>
    <row r="8" spans="1:18" ht="12.75">
      <c r="A8" s="41"/>
      <c r="B8" s="41"/>
      <c r="C8" s="43" t="s">
        <v>25</v>
      </c>
      <c r="D8" s="41"/>
      <c r="E8" s="17" t="s">
        <v>26</v>
      </c>
      <c r="F8" s="53" t="s">
        <v>28</v>
      </c>
      <c r="G8" s="17" t="s">
        <v>26</v>
      </c>
      <c r="H8" s="17" t="s">
        <v>27</v>
      </c>
      <c r="I8" s="49"/>
      <c r="J8" s="53" t="s">
        <v>26</v>
      </c>
      <c r="K8" s="53" t="s">
        <v>28</v>
      </c>
      <c r="L8" s="53" t="s">
        <v>26</v>
      </c>
      <c r="M8" s="53" t="s">
        <v>28</v>
      </c>
      <c r="N8" s="49"/>
      <c r="O8" s="53" t="s">
        <v>26</v>
      </c>
      <c r="P8" s="53" t="s">
        <v>28</v>
      </c>
      <c r="Q8" s="53" t="s">
        <v>26</v>
      </c>
      <c r="R8" s="53" t="s">
        <v>28</v>
      </c>
    </row>
    <row r="9" spans="1:18" ht="12.75">
      <c r="A9" s="41"/>
      <c r="B9" s="41"/>
      <c r="C9" s="43"/>
      <c r="D9" s="41"/>
      <c r="E9" s="17" t="s">
        <v>244</v>
      </c>
      <c r="F9" s="17" t="s">
        <v>244</v>
      </c>
      <c r="G9" s="17" t="s">
        <v>76</v>
      </c>
      <c r="H9" s="17" t="s">
        <v>76</v>
      </c>
      <c r="I9" s="49"/>
      <c r="J9" s="17" t="s">
        <v>244</v>
      </c>
      <c r="K9" s="17" t="s">
        <v>244</v>
      </c>
      <c r="L9" s="53" t="s">
        <v>76</v>
      </c>
      <c r="M9" s="52" t="s">
        <v>76</v>
      </c>
      <c r="N9" s="49"/>
      <c r="O9" s="17" t="s">
        <v>244</v>
      </c>
      <c r="P9" s="17" t="s">
        <v>244</v>
      </c>
      <c r="Q9" s="53" t="s">
        <v>76</v>
      </c>
      <c r="R9" s="52" t="s">
        <v>76</v>
      </c>
    </row>
    <row r="10" spans="1:18" ht="12.75">
      <c r="A10" s="41" t="s">
        <v>56</v>
      </c>
      <c r="B10" s="41"/>
      <c r="C10" s="41"/>
      <c r="D10" s="41"/>
      <c r="E10" s="44"/>
      <c r="F10" s="44"/>
      <c r="G10" s="44"/>
      <c r="H10" s="44"/>
      <c r="I10" s="49"/>
      <c r="J10" s="49"/>
      <c r="K10" s="49"/>
      <c r="L10" s="49"/>
      <c r="M10" s="49"/>
      <c r="N10" s="49"/>
      <c r="O10" s="44"/>
      <c r="P10" s="44"/>
      <c r="Q10" s="49"/>
      <c r="R10" s="49"/>
    </row>
    <row r="11" spans="1:18" ht="12.75">
      <c r="A11" s="41"/>
      <c r="B11" s="41" t="s">
        <v>29</v>
      </c>
      <c r="C11" s="43">
        <v>1</v>
      </c>
      <c r="D11" s="43"/>
      <c r="E11" s="44"/>
      <c r="F11" s="44"/>
      <c r="G11" s="44"/>
      <c r="H11" s="44"/>
      <c r="I11" s="50"/>
      <c r="J11" s="19"/>
      <c r="K11" s="19"/>
      <c r="L11" s="44"/>
      <c r="M11" s="44"/>
      <c r="N11" s="50"/>
      <c r="O11" s="55"/>
      <c r="P11" s="55"/>
      <c r="Q11" s="44"/>
      <c r="R11" s="44"/>
    </row>
    <row r="12" spans="1:18" ht="12.75">
      <c r="A12" s="41"/>
      <c r="B12" s="41" t="s">
        <v>112</v>
      </c>
      <c r="C12" s="43">
        <v>0</v>
      </c>
      <c r="D12" s="43"/>
      <c r="E12" s="44"/>
      <c r="F12" s="44"/>
      <c r="G12" s="44"/>
      <c r="H12" s="44"/>
      <c r="I12" s="50"/>
      <c r="J12" s="34"/>
      <c r="K12" s="34"/>
      <c r="L12" s="44"/>
      <c r="M12" s="44"/>
      <c r="N12" s="50"/>
      <c r="O12" s="55"/>
      <c r="P12" s="55"/>
      <c r="Q12" s="44"/>
      <c r="R12" s="44"/>
    </row>
    <row r="13" spans="1:18" ht="12.75">
      <c r="A13" s="41"/>
      <c r="B13" s="41" t="s">
        <v>30</v>
      </c>
      <c r="C13" s="43">
        <v>0.5</v>
      </c>
      <c r="D13" s="43"/>
      <c r="E13" s="44"/>
      <c r="F13" s="44"/>
      <c r="G13" s="44"/>
      <c r="H13" s="44"/>
      <c r="I13" s="50"/>
      <c r="J13" s="19"/>
      <c r="K13" s="19"/>
      <c r="L13" s="44"/>
      <c r="M13" s="44"/>
      <c r="N13" s="50"/>
      <c r="O13" s="56"/>
      <c r="P13" s="56"/>
      <c r="Q13" s="44"/>
      <c r="R13" s="44"/>
    </row>
    <row r="14" spans="1:18" ht="12.75">
      <c r="A14" s="41"/>
      <c r="B14" s="41" t="s">
        <v>113</v>
      </c>
      <c r="C14" s="43">
        <v>0</v>
      </c>
      <c r="D14" s="43"/>
      <c r="E14" s="44"/>
      <c r="F14" s="44"/>
      <c r="G14" s="44"/>
      <c r="H14" s="44"/>
      <c r="I14" s="50"/>
      <c r="J14" s="19"/>
      <c r="K14" s="19"/>
      <c r="L14" s="44"/>
      <c r="M14" s="44"/>
      <c r="N14" s="50"/>
      <c r="O14" s="56"/>
      <c r="P14" s="56"/>
      <c r="Q14" s="44"/>
      <c r="R14" s="44"/>
    </row>
    <row r="15" spans="1:18" ht="12.75">
      <c r="A15" s="41"/>
      <c r="B15" s="41" t="s">
        <v>31</v>
      </c>
      <c r="C15" s="43">
        <v>0.1</v>
      </c>
      <c r="D15" s="43"/>
      <c r="E15" s="44"/>
      <c r="F15" s="44"/>
      <c r="G15" s="44"/>
      <c r="H15" s="44"/>
      <c r="I15" s="50"/>
      <c r="J15" s="19"/>
      <c r="K15" s="19"/>
      <c r="L15" s="44"/>
      <c r="M15" s="44"/>
      <c r="N15" s="50"/>
      <c r="O15" s="56"/>
      <c r="P15" s="56"/>
      <c r="Q15" s="44"/>
      <c r="R15" s="44"/>
    </row>
    <row r="16" spans="1:18" ht="12.75">
      <c r="A16" s="41"/>
      <c r="B16" s="41" t="s">
        <v>32</v>
      </c>
      <c r="C16" s="43">
        <v>0.1</v>
      </c>
      <c r="D16" s="43"/>
      <c r="E16" s="44"/>
      <c r="F16" s="44"/>
      <c r="G16" s="44"/>
      <c r="H16" s="44"/>
      <c r="I16" s="50"/>
      <c r="J16" s="19"/>
      <c r="K16" s="19"/>
      <c r="L16" s="44"/>
      <c r="M16" s="44"/>
      <c r="N16" s="50"/>
      <c r="O16" s="56"/>
      <c r="P16" s="56"/>
      <c r="Q16" s="44"/>
      <c r="R16" s="44"/>
    </row>
    <row r="17" spans="1:18" ht="12.75">
      <c r="A17" s="41"/>
      <c r="B17" s="41" t="s">
        <v>33</v>
      </c>
      <c r="C17" s="43">
        <v>0.1</v>
      </c>
      <c r="D17" s="43"/>
      <c r="E17" s="44"/>
      <c r="F17" s="44"/>
      <c r="G17" s="44"/>
      <c r="H17" s="44"/>
      <c r="I17" s="50"/>
      <c r="J17" s="19"/>
      <c r="K17" s="19"/>
      <c r="L17" s="44"/>
      <c r="M17" s="44"/>
      <c r="N17" s="50"/>
      <c r="O17" s="56"/>
      <c r="P17" s="56"/>
      <c r="Q17" s="44"/>
      <c r="R17" s="44"/>
    </row>
    <row r="18" spans="1:18" ht="12.75">
      <c r="A18" s="41"/>
      <c r="B18" s="41" t="s">
        <v>114</v>
      </c>
      <c r="C18" s="43">
        <v>0</v>
      </c>
      <c r="D18" s="43"/>
      <c r="E18" s="44"/>
      <c r="F18" s="44"/>
      <c r="G18" s="44"/>
      <c r="H18" s="44"/>
      <c r="I18" s="50"/>
      <c r="J18" s="19"/>
      <c r="K18" s="19"/>
      <c r="L18" s="44"/>
      <c r="M18" s="44"/>
      <c r="N18" s="50"/>
      <c r="O18" s="56"/>
      <c r="P18" s="56"/>
      <c r="Q18" s="44"/>
      <c r="R18" s="44"/>
    </row>
    <row r="19" spans="1:18" ht="12.75">
      <c r="A19" s="41"/>
      <c r="B19" s="41" t="s">
        <v>34</v>
      </c>
      <c r="C19" s="43">
        <v>0.01</v>
      </c>
      <c r="D19" s="43"/>
      <c r="E19" s="44"/>
      <c r="F19" s="44"/>
      <c r="G19" s="44"/>
      <c r="H19" s="44"/>
      <c r="I19" s="50"/>
      <c r="J19" s="19"/>
      <c r="K19" s="19"/>
      <c r="L19" s="44"/>
      <c r="M19" s="44"/>
      <c r="N19" s="50"/>
      <c r="O19" s="56"/>
      <c r="P19" s="56"/>
      <c r="Q19" s="44"/>
      <c r="R19" s="44"/>
    </row>
    <row r="20" spans="1:18" ht="12.75">
      <c r="A20" s="41"/>
      <c r="B20" s="41" t="s">
        <v>115</v>
      </c>
      <c r="C20" s="43">
        <v>0</v>
      </c>
      <c r="D20" s="43"/>
      <c r="E20" s="44"/>
      <c r="F20" s="44"/>
      <c r="G20" s="44"/>
      <c r="H20" s="44"/>
      <c r="I20" s="50"/>
      <c r="J20" s="19"/>
      <c r="K20" s="19"/>
      <c r="L20" s="44"/>
      <c r="M20" s="44"/>
      <c r="N20" s="50"/>
      <c r="O20" s="56"/>
      <c r="P20" s="56"/>
      <c r="Q20" s="44"/>
      <c r="R20" s="44"/>
    </row>
    <row r="21" spans="1:18" ht="12.75">
      <c r="A21" s="41"/>
      <c r="B21" s="41" t="s">
        <v>35</v>
      </c>
      <c r="C21" s="43">
        <v>0.001</v>
      </c>
      <c r="D21" s="43"/>
      <c r="E21" s="44"/>
      <c r="F21" s="44"/>
      <c r="G21" s="44"/>
      <c r="H21" s="44"/>
      <c r="I21" s="50"/>
      <c r="J21" s="19"/>
      <c r="K21" s="19"/>
      <c r="L21" s="44"/>
      <c r="M21" s="44"/>
      <c r="N21" s="50"/>
      <c r="O21" s="56"/>
      <c r="P21" s="56"/>
      <c r="Q21" s="44"/>
      <c r="R21" s="44"/>
    </row>
    <row r="22" spans="1:18" ht="12.75">
      <c r="A22" s="41"/>
      <c r="B22" s="41" t="s">
        <v>36</v>
      </c>
      <c r="C22" s="43">
        <v>0.1</v>
      </c>
      <c r="D22" s="43"/>
      <c r="E22" s="44"/>
      <c r="F22" s="44"/>
      <c r="G22" s="44"/>
      <c r="H22" s="44"/>
      <c r="I22" s="50"/>
      <c r="J22" s="19"/>
      <c r="K22" s="19"/>
      <c r="L22" s="44"/>
      <c r="M22" s="44"/>
      <c r="N22" s="50"/>
      <c r="O22" s="56"/>
      <c r="P22" s="56"/>
      <c r="Q22" s="44"/>
      <c r="R22" s="44"/>
    </row>
    <row r="23" spans="1:18" ht="12.75">
      <c r="A23" s="41"/>
      <c r="B23" s="41" t="s">
        <v>116</v>
      </c>
      <c r="C23" s="43">
        <v>0</v>
      </c>
      <c r="D23" s="43"/>
      <c r="E23" s="44"/>
      <c r="F23" s="44"/>
      <c r="G23" s="44"/>
      <c r="H23" s="44"/>
      <c r="I23" s="50"/>
      <c r="J23" s="19"/>
      <c r="K23" s="19"/>
      <c r="L23" s="44"/>
      <c r="M23" s="44"/>
      <c r="N23" s="50"/>
      <c r="O23" s="56"/>
      <c r="P23" s="56"/>
      <c r="Q23" s="44"/>
      <c r="R23" s="44"/>
    </row>
    <row r="24" spans="1:18" ht="12.75">
      <c r="A24" s="41"/>
      <c r="B24" s="41" t="s">
        <v>37</v>
      </c>
      <c r="C24" s="43">
        <v>0.05</v>
      </c>
      <c r="D24" s="43"/>
      <c r="E24" s="44"/>
      <c r="F24" s="44"/>
      <c r="G24" s="44"/>
      <c r="H24" s="44"/>
      <c r="I24" s="50"/>
      <c r="J24" s="19"/>
      <c r="K24" s="19"/>
      <c r="L24" s="44"/>
      <c r="M24" s="44"/>
      <c r="N24" s="50"/>
      <c r="O24" s="56"/>
      <c r="P24" s="56"/>
      <c r="Q24" s="44"/>
      <c r="R24" s="44"/>
    </row>
    <row r="25" spans="1:18" ht="12.75">
      <c r="A25" s="41"/>
      <c r="B25" s="41" t="s">
        <v>38</v>
      </c>
      <c r="C25" s="43">
        <v>0.5</v>
      </c>
      <c r="D25" s="43"/>
      <c r="E25" s="44"/>
      <c r="F25" s="44"/>
      <c r="G25" s="44"/>
      <c r="H25" s="44"/>
      <c r="I25" s="50"/>
      <c r="J25" s="19"/>
      <c r="K25" s="19"/>
      <c r="L25" s="44"/>
      <c r="M25" s="44"/>
      <c r="N25" s="50"/>
      <c r="O25" s="56"/>
      <c r="P25" s="56"/>
      <c r="Q25" s="44"/>
      <c r="R25" s="44"/>
    </row>
    <row r="26" spans="1:18" ht="12.75">
      <c r="A26" s="41"/>
      <c r="B26" s="41" t="s">
        <v>117</v>
      </c>
      <c r="C26" s="43">
        <v>0</v>
      </c>
      <c r="D26" s="43"/>
      <c r="E26" s="44"/>
      <c r="F26" s="44"/>
      <c r="G26" s="44"/>
      <c r="H26" s="44"/>
      <c r="I26" s="50"/>
      <c r="J26" s="19"/>
      <c r="K26" s="19"/>
      <c r="L26" s="44"/>
      <c r="M26" s="44"/>
      <c r="N26" s="50"/>
      <c r="O26" s="56"/>
      <c r="P26" s="56"/>
      <c r="Q26" s="44"/>
      <c r="R26" s="44"/>
    </row>
    <row r="27" spans="1:18" ht="12.75">
      <c r="A27" s="41"/>
      <c r="B27" s="41" t="s">
        <v>39</v>
      </c>
      <c r="C27" s="43">
        <v>0.1</v>
      </c>
      <c r="D27" s="43"/>
      <c r="E27" s="44"/>
      <c r="F27" s="44"/>
      <c r="G27" s="44"/>
      <c r="H27" s="44"/>
      <c r="I27" s="50"/>
      <c r="J27" s="19"/>
      <c r="K27" s="19"/>
      <c r="L27" s="44"/>
      <c r="M27" s="44"/>
      <c r="N27" s="50"/>
      <c r="O27" s="56"/>
      <c r="P27" s="56"/>
      <c r="Q27" s="44"/>
      <c r="R27" s="44"/>
    </row>
    <row r="28" spans="1:18" ht="12.75">
      <c r="A28" s="41"/>
      <c r="B28" s="41" t="s">
        <v>40</v>
      </c>
      <c r="C28" s="43">
        <v>0.1</v>
      </c>
      <c r="D28" s="43"/>
      <c r="E28" s="44"/>
      <c r="F28" s="44"/>
      <c r="G28" s="44"/>
      <c r="H28" s="44"/>
      <c r="I28" s="50"/>
      <c r="J28" s="19"/>
      <c r="K28" s="19"/>
      <c r="L28" s="44"/>
      <c r="M28" s="44"/>
      <c r="N28" s="50"/>
      <c r="O28" s="56"/>
      <c r="P28" s="56"/>
      <c r="Q28" s="44"/>
      <c r="R28" s="44"/>
    </row>
    <row r="29" spans="1:18" ht="12.75">
      <c r="A29" s="41"/>
      <c r="B29" s="41" t="s">
        <v>41</v>
      </c>
      <c r="C29" s="43">
        <v>0.1</v>
      </c>
      <c r="D29" s="43"/>
      <c r="E29" s="44"/>
      <c r="F29" s="44"/>
      <c r="G29" s="44"/>
      <c r="H29" s="44"/>
      <c r="I29" s="50"/>
      <c r="J29" s="19"/>
      <c r="K29" s="19"/>
      <c r="L29" s="44"/>
      <c r="M29" s="44"/>
      <c r="N29" s="50"/>
      <c r="O29" s="56"/>
      <c r="P29" s="56"/>
      <c r="Q29" s="44"/>
      <c r="R29" s="44"/>
    </row>
    <row r="30" spans="1:18" ht="12.75">
      <c r="A30" s="41"/>
      <c r="B30" s="41" t="s">
        <v>42</v>
      </c>
      <c r="C30" s="43">
        <v>0.1</v>
      </c>
      <c r="D30" s="43"/>
      <c r="E30" s="44"/>
      <c r="F30" s="44"/>
      <c r="G30" s="44"/>
      <c r="H30" s="44"/>
      <c r="I30" s="50"/>
      <c r="J30" s="19"/>
      <c r="K30" s="19"/>
      <c r="L30" s="44"/>
      <c r="M30" s="44"/>
      <c r="N30" s="50"/>
      <c r="O30" s="56"/>
      <c r="P30" s="56"/>
      <c r="Q30" s="44"/>
      <c r="R30" s="44"/>
    </row>
    <row r="31" spans="1:18" ht="12.75">
      <c r="A31" s="41"/>
      <c r="B31" s="41" t="s">
        <v>118</v>
      </c>
      <c r="C31" s="43">
        <v>0</v>
      </c>
      <c r="D31" s="43"/>
      <c r="E31" s="44"/>
      <c r="F31" s="44"/>
      <c r="G31" s="44"/>
      <c r="H31" s="44"/>
      <c r="I31" s="50"/>
      <c r="J31" s="19"/>
      <c r="K31" s="19"/>
      <c r="L31" s="44"/>
      <c r="M31" s="44"/>
      <c r="N31" s="50"/>
      <c r="O31" s="56"/>
      <c r="P31" s="56"/>
      <c r="Q31" s="44"/>
      <c r="R31" s="44"/>
    </row>
    <row r="32" spans="1:18" ht="12.75">
      <c r="A32" s="41"/>
      <c r="B32" s="41" t="s">
        <v>43</v>
      </c>
      <c r="C32" s="43">
        <v>0.01</v>
      </c>
      <c r="D32" s="43"/>
      <c r="E32" s="44"/>
      <c r="F32" s="44"/>
      <c r="G32" s="44"/>
      <c r="H32" s="44"/>
      <c r="I32" s="50"/>
      <c r="J32" s="19"/>
      <c r="K32" s="19"/>
      <c r="L32" s="44"/>
      <c r="M32" s="44"/>
      <c r="N32" s="50"/>
      <c r="O32" s="56"/>
      <c r="P32" s="56"/>
      <c r="Q32" s="44"/>
      <c r="R32" s="44"/>
    </row>
    <row r="33" spans="1:18" ht="12.75">
      <c r="A33" s="41"/>
      <c r="B33" s="41" t="s">
        <v>44</v>
      </c>
      <c r="C33" s="43">
        <v>0.01</v>
      </c>
      <c r="D33" s="43"/>
      <c r="E33" s="44"/>
      <c r="F33" s="44"/>
      <c r="G33" s="44"/>
      <c r="H33" s="44"/>
      <c r="I33" s="50"/>
      <c r="J33" s="19"/>
      <c r="K33" s="19"/>
      <c r="L33" s="44"/>
      <c r="M33" s="44"/>
      <c r="N33" s="50"/>
      <c r="O33" s="56"/>
      <c r="P33" s="56"/>
      <c r="Q33" s="44"/>
      <c r="R33" s="44"/>
    </row>
    <row r="34" spans="1:18" ht="12.75">
      <c r="A34" s="41"/>
      <c r="B34" s="41" t="s">
        <v>119</v>
      </c>
      <c r="C34" s="43">
        <v>0</v>
      </c>
      <c r="D34" s="43"/>
      <c r="E34" s="44"/>
      <c r="F34" s="44"/>
      <c r="G34" s="44"/>
      <c r="H34" s="44"/>
      <c r="I34" s="50"/>
      <c r="J34" s="19"/>
      <c r="K34" s="19"/>
      <c r="L34" s="44"/>
      <c r="M34" s="44"/>
      <c r="N34" s="50"/>
      <c r="O34" s="56"/>
      <c r="P34" s="56"/>
      <c r="Q34" s="44"/>
      <c r="R34" s="44"/>
    </row>
    <row r="35" spans="1:18" ht="12.75">
      <c r="A35" s="41"/>
      <c r="B35" s="41" t="s">
        <v>45</v>
      </c>
      <c r="C35" s="43">
        <v>0.001</v>
      </c>
      <c r="D35" s="43"/>
      <c r="E35" s="44"/>
      <c r="F35" s="44"/>
      <c r="G35" s="44"/>
      <c r="H35" s="44"/>
      <c r="I35" s="50"/>
      <c r="J35" s="19"/>
      <c r="K35" s="19"/>
      <c r="L35" s="44"/>
      <c r="M35" s="44"/>
      <c r="N35" s="50"/>
      <c r="O35" s="56"/>
      <c r="P35" s="56"/>
      <c r="Q35" s="44"/>
      <c r="R35" s="44"/>
    </row>
    <row r="36" spans="1:18" ht="8.25" customHeight="1">
      <c r="A36" s="41"/>
      <c r="B36" s="41"/>
      <c r="C36" s="41"/>
      <c r="D36" s="41"/>
      <c r="E36" s="44"/>
      <c r="F36" s="44"/>
      <c r="G36" s="44"/>
      <c r="H36" s="44"/>
      <c r="I36" s="47"/>
      <c r="J36" s="19"/>
      <c r="K36" s="19"/>
      <c r="L36" s="44"/>
      <c r="M36" s="44"/>
      <c r="N36" s="47"/>
      <c r="O36" s="19"/>
      <c r="P36" s="19"/>
      <c r="Q36" s="47"/>
      <c r="R36" s="49"/>
    </row>
    <row r="37" spans="1:18" ht="12.75">
      <c r="A37" s="41"/>
      <c r="B37" s="41" t="s">
        <v>46</v>
      </c>
      <c r="C37" s="41"/>
      <c r="D37" s="41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</row>
    <row r="38" spans="1:18" ht="12.75">
      <c r="A38" s="41"/>
      <c r="B38" s="41" t="s">
        <v>66</v>
      </c>
      <c r="C38" s="41"/>
      <c r="D38" s="41"/>
      <c r="G38" s="47"/>
      <c r="H38" s="47"/>
      <c r="I38" s="47"/>
      <c r="J38" s="47"/>
      <c r="K38" s="47"/>
      <c r="L38" s="44"/>
      <c r="M38" s="44"/>
      <c r="N38" s="47"/>
      <c r="O38" s="47"/>
      <c r="P38" s="47"/>
      <c r="Q38" s="47"/>
      <c r="R38" s="47"/>
    </row>
    <row r="39" spans="1:18" ht="9" customHeight="1">
      <c r="A39" s="41"/>
      <c r="B39" s="41"/>
      <c r="C39" s="41"/>
      <c r="D39" s="41"/>
      <c r="E39" s="44"/>
      <c r="F39" s="44"/>
      <c r="G39" s="44"/>
      <c r="H39" s="48"/>
      <c r="I39" s="19"/>
      <c r="J39" s="47"/>
      <c r="K39" s="47"/>
      <c r="L39" s="44"/>
      <c r="M39" s="48"/>
      <c r="N39" s="47"/>
      <c r="O39" s="47"/>
      <c r="P39" s="47"/>
      <c r="Q39" s="47"/>
      <c r="R39" s="47"/>
    </row>
    <row r="40" spans="1:18" ht="12.75">
      <c r="A40" s="41"/>
      <c r="B40" s="41" t="s">
        <v>57</v>
      </c>
      <c r="C40" s="50"/>
      <c r="D40" s="50"/>
      <c r="E40" s="44"/>
      <c r="F40" s="44"/>
      <c r="G40" s="44"/>
      <c r="H40" s="50"/>
      <c r="I40" s="50"/>
      <c r="J40" s="44"/>
      <c r="K40" s="44"/>
      <c r="L40" s="44"/>
      <c r="M40" s="50"/>
      <c r="N40" s="50"/>
      <c r="O40" s="47"/>
      <c r="P40" s="47"/>
      <c r="Q40" s="44"/>
      <c r="R40" s="50"/>
    </row>
    <row r="41" spans="1:18" ht="12.75">
      <c r="A41" s="41"/>
      <c r="B41" s="41" t="s">
        <v>47</v>
      </c>
      <c r="C41" s="50"/>
      <c r="D41" s="50"/>
      <c r="E41" s="44"/>
      <c r="F41" s="44"/>
      <c r="G41" s="47">
        <v>12.82</v>
      </c>
      <c r="H41" s="50">
        <v>0.35</v>
      </c>
      <c r="I41" s="50"/>
      <c r="J41" s="47"/>
      <c r="K41" s="47"/>
      <c r="L41" s="47">
        <v>29.14</v>
      </c>
      <c r="M41" s="50">
        <v>0.41</v>
      </c>
      <c r="N41" s="50"/>
      <c r="O41" s="47"/>
      <c r="P41" s="47"/>
      <c r="Q41" s="47">
        <v>3.88</v>
      </c>
      <c r="R41" s="50">
        <v>0.11</v>
      </c>
    </row>
    <row r="42" spans="1:18" ht="9" customHeight="1">
      <c r="A42" s="41"/>
      <c r="B42" s="41"/>
      <c r="C42" s="41"/>
      <c r="D42" s="41"/>
      <c r="E42" s="44"/>
      <c r="F42" s="44"/>
      <c r="G42" s="44"/>
      <c r="H42" s="44"/>
      <c r="I42" s="46"/>
      <c r="J42" s="46"/>
      <c r="K42" s="46"/>
      <c r="L42" s="46"/>
      <c r="M42" s="46"/>
      <c r="N42" s="46"/>
      <c r="O42" s="46"/>
      <c r="P42" s="46"/>
      <c r="Q42" s="46"/>
      <c r="R42" s="49"/>
    </row>
    <row r="43" spans="1:18" ht="12.75">
      <c r="A43" s="47"/>
      <c r="B43" s="41" t="s">
        <v>67</v>
      </c>
      <c r="C43" s="46">
        <f>AVERAGE(H41,M41,R41)</f>
        <v>0.29</v>
      </c>
      <c r="D43" s="47"/>
      <c r="E43" s="44"/>
      <c r="F43" s="44"/>
      <c r="G43" s="44"/>
      <c r="H43" s="44"/>
      <c r="I43" s="47"/>
      <c r="J43" s="47"/>
      <c r="K43" s="47"/>
      <c r="L43" s="47"/>
      <c r="M43" s="47"/>
      <c r="N43" s="47"/>
      <c r="O43" s="47"/>
      <c r="P43" s="47"/>
      <c r="Q43" s="47"/>
      <c r="R43" s="49"/>
    </row>
    <row r="44" spans="1:18" ht="12.75">
      <c r="A44" s="41"/>
      <c r="B44" s="41" t="s">
        <v>68</v>
      </c>
      <c r="C44" s="47">
        <f>AVERAGE(G41,L41,Q41)</f>
        <v>15.280000000000001</v>
      </c>
      <c r="D44" s="41"/>
      <c r="E44" s="44"/>
      <c r="F44" s="44"/>
      <c r="G44" s="44"/>
      <c r="H44" s="44"/>
      <c r="I44" s="49"/>
      <c r="J44" s="49"/>
      <c r="K44" s="49"/>
      <c r="L44" s="49"/>
      <c r="M44" s="49"/>
      <c r="N44" s="49"/>
      <c r="O44" s="49"/>
      <c r="P44" s="49"/>
      <c r="Q44" s="49"/>
      <c r="R44" s="49"/>
    </row>
    <row r="85" spans="1:18" ht="12.75">
      <c r="A85" s="2"/>
      <c r="B85" s="2"/>
      <c r="C85" s="2"/>
      <c r="D85" s="2"/>
      <c r="E85" s="4"/>
      <c r="F85" s="4"/>
      <c r="G85" s="4"/>
      <c r="J85" s="7"/>
      <c r="K85" s="7"/>
      <c r="L85" s="4"/>
      <c r="M85" s="6"/>
      <c r="N85" s="7"/>
      <c r="O85" s="7"/>
      <c r="P85" s="7"/>
      <c r="Q85" s="7"/>
      <c r="R85" s="7"/>
    </row>
    <row r="86" spans="1:18" ht="12.75">
      <c r="A86" s="2"/>
      <c r="B86" s="2"/>
      <c r="C86" s="3"/>
      <c r="D86" s="3"/>
      <c r="E86" s="4"/>
      <c r="F86" s="4"/>
      <c r="G86" s="4"/>
      <c r="H86" s="4"/>
      <c r="I86" s="3"/>
      <c r="J86" s="4"/>
      <c r="K86" s="4"/>
      <c r="L86" s="4"/>
      <c r="M86" s="4"/>
      <c r="N86" s="3"/>
      <c r="O86" s="7"/>
      <c r="P86" s="7"/>
      <c r="Q86" s="3"/>
      <c r="R86" s="3"/>
    </row>
    <row r="87" spans="1:18" ht="12.75">
      <c r="A87" s="2"/>
      <c r="B87" s="2"/>
      <c r="C87" s="3"/>
      <c r="D87" s="3"/>
      <c r="E87" s="4"/>
      <c r="F87" s="4"/>
      <c r="G87" s="4"/>
      <c r="H87" s="4"/>
      <c r="I87" s="3"/>
      <c r="J87" s="7"/>
      <c r="K87" s="7"/>
      <c r="L87" s="4"/>
      <c r="M87" s="3"/>
      <c r="N87" s="3"/>
      <c r="O87" s="7"/>
      <c r="P87" s="7"/>
      <c r="Q87" s="5"/>
      <c r="R87" s="5"/>
    </row>
  </sheetData>
  <printOptions headings="1" horizontalCentered="1"/>
  <pageMargins left="0.25" right="0.25" top="0.5" bottom="0.5" header="0.25" footer="0.25"/>
  <pageSetup horizontalDpi="600" verticalDpi="600" orientation="landscape" pageOrder="overThenDown" scale="80" r:id="rId1"/>
  <headerFooter alignWithMargins="0">
    <oddFooter>&amp;C&amp;P, &amp;A, 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R87"/>
  <sheetViews>
    <sheetView workbookViewId="0" topLeftCell="A1">
      <selection activeCell="B5" sqref="B5"/>
    </sheetView>
  </sheetViews>
  <sheetFormatPr defaultColWidth="9.140625" defaultRowHeight="12.75"/>
  <cols>
    <col min="1" max="1" width="1.7109375" style="0" customWidth="1"/>
    <col min="2" max="2" width="20.00390625" style="0" customWidth="1"/>
    <col min="3" max="3" width="6.140625" style="0" customWidth="1"/>
    <col min="4" max="4" width="3.00390625" style="0" customWidth="1"/>
    <col min="5" max="6" width="9.421875" style="6" customWidth="1"/>
    <col min="7" max="7" width="10.7109375" style="6" customWidth="1"/>
    <col min="8" max="8" width="9.8515625" style="6" customWidth="1"/>
    <col min="9" max="9" width="3.421875" style="0" customWidth="1"/>
    <col min="13" max="13" width="9.28125" style="0" customWidth="1"/>
    <col min="14" max="14" width="2.8515625" style="0" customWidth="1"/>
    <col min="18" max="18" width="9.00390625" style="0" customWidth="1"/>
  </cols>
  <sheetData>
    <row r="1" spans="1:18" ht="12.75">
      <c r="A1" s="57" t="s">
        <v>77</v>
      </c>
      <c r="B1" s="41"/>
      <c r="C1" s="41"/>
      <c r="D1" s="41"/>
      <c r="E1" s="44"/>
      <c r="F1" s="44"/>
      <c r="G1" s="44"/>
      <c r="H1" s="44"/>
      <c r="I1" s="49"/>
      <c r="J1" s="49"/>
      <c r="K1" s="49"/>
      <c r="L1" s="49"/>
      <c r="M1" s="49"/>
      <c r="N1" s="49"/>
      <c r="O1" s="49"/>
      <c r="P1" s="49"/>
      <c r="Q1" s="49"/>
      <c r="R1" s="49"/>
    </row>
    <row r="2" spans="1:18" ht="12.75">
      <c r="A2" s="41" t="s">
        <v>277</v>
      </c>
      <c r="B2" s="41"/>
      <c r="C2" s="41"/>
      <c r="D2" s="41"/>
      <c r="E2" s="44"/>
      <c r="F2" s="44"/>
      <c r="G2" s="44"/>
      <c r="H2" s="44"/>
      <c r="I2" s="49"/>
      <c r="J2" s="49"/>
      <c r="K2" s="49"/>
      <c r="L2" s="49"/>
      <c r="M2" s="49"/>
      <c r="N2" s="49"/>
      <c r="O2" s="49"/>
      <c r="P2" s="49"/>
      <c r="Q2" s="49"/>
      <c r="R2" s="49"/>
    </row>
    <row r="3" spans="1:18" ht="12.75">
      <c r="A3" s="41" t="s">
        <v>21</v>
      </c>
      <c r="B3" s="41"/>
      <c r="C3" s="14" t="str">
        <f>source!C5</f>
        <v>Clean Harbors Environmental Services, Inc.</v>
      </c>
      <c r="D3" s="14"/>
      <c r="E3" s="44"/>
      <c r="F3" s="44"/>
      <c r="G3" s="44"/>
      <c r="H3" s="44"/>
      <c r="I3" s="49"/>
      <c r="J3" s="49"/>
      <c r="K3" s="49"/>
      <c r="L3" s="49"/>
      <c r="M3" s="49"/>
      <c r="N3" s="49"/>
      <c r="O3" s="49"/>
      <c r="P3" s="49"/>
      <c r="Q3" s="49"/>
      <c r="R3" s="49"/>
    </row>
    <row r="4" spans="1:18" ht="12.75">
      <c r="A4" s="41" t="s">
        <v>22</v>
      </c>
      <c r="B4" s="41"/>
      <c r="C4" s="14" t="s">
        <v>204</v>
      </c>
      <c r="D4" s="14"/>
      <c r="E4" s="64"/>
      <c r="F4" s="64"/>
      <c r="G4" s="64"/>
      <c r="H4" s="17"/>
      <c r="I4" s="51"/>
      <c r="J4" s="51"/>
      <c r="K4" s="51"/>
      <c r="L4" s="51"/>
      <c r="M4" s="51"/>
      <c r="N4" s="51"/>
      <c r="O4" s="51"/>
      <c r="P4" s="51"/>
      <c r="Q4" s="51"/>
      <c r="R4" s="51"/>
    </row>
    <row r="5" spans="1:18" ht="12.75">
      <c r="A5" s="41" t="s">
        <v>23</v>
      </c>
      <c r="B5" s="41"/>
      <c r="C5" s="19" t="str">
        <f>cond!C30</f>
        <v>Trial burn, high viscous liquid feed rate, low temp oper</v>
      </c>
      <c r="D5" s="19"/>
      <c r="E5" s="48"/>
      <c r="F5" s="48"/>
      <c r="G5" s="48"/>
      <c r="H5" s="48"/>
      <c r="I5" s="19"/>
      <c r="J5" s="19"/>
      <c r="K5" s="19"/>
      <c r="L5" s="19"/>
      <c r="M5" s="49"/>
      <c r="N5" s="49"/>
      <c r="O5" s="49"/>
      <c r="P5" s="49"/>
      <c r="Q5" s="49"/>
      <c r="R5" s="49"/>
    </row>
    <row r="6" spans="1:18" ht="7.5" customHeight="1">
      <c r="A6" s="41"/>
      <c r="B6" s="41"/>
      <c r="C6" s="43"/>
      <c r="D6" s="43"/>
      <c r="E6" s="17"/>
      <c r="F6" s="17"/>
      <c r="G6" s="17"/>
      <c r="H6" s="44"/>
      <c r="I6" s="49"/>
      <c r="J6" s="53"/>
      <c r="K6" s="53"/>
      <c r="L6" s="53"/>
      <c r="M6" s="49"/>
      <c r="N6" s="49"/>
      <c r="O6" s="53"/>
      <c r="P6" s="53"/>
      <c r="Q6" s="53"/>
      <c r="R6" s="49"/>
    </row>
    <row r="7" spans="1:18" ht="12.75">
      <c r="A7" s="41"/>
      <c r="B7" s="41"/>
      <c r="C7" s="43" t="s">
        <v>24</v>
      </c>
      <c r="D7" s="43"/>
      <c r="E7" s="65" t="s">
        <v>58</v>
      </c>
      <c r="F7" s="65"/>
      <c r="G7" s="65"/>
      <c r="H7" s="65"/>
      <c r="I7" s="18"/>
      <c r="J7" s="54" t="s">
        <v>59</v>
      </c>
      <c r="K7" s="54"/>
      <c r="L7" s="54"/>
      <c r="M7" s="54"/>
      <c r="N7" s="18"/>
      <c r="O7" s="54" t="s">
        <v>60</v>
      </c>
      <c r="P7" s="54"/>
      <c r="Q7" s="54"/>
      <c r="R7" s="54"/>
    </row>
    <row r="8" spans="1:18" ht="12.75">
      <c r="A8" s="41"/>
      <c r="B8" s="41"/>
      <c r="C8" s="43" t="s">
        <v>25</v>
      </c>
      <c r="D8" s="41"/>
      <c r="E8" s="17" t="s">
        <v>26</v>
      </c>
      <c r="F8" s="53" t="s">
        <v>28</v>
      </c>
      <c r="G8" s="17" t="s">
        <v>26</v>
      </c>
      <c r="H8" s="17" t="s">
        <v>27</v>
      </c>
      <c r="I8" s="49"/>
      <c r="J8" s="53" t="s">
        <v>26</v>
      </c>
      <c r="K8" s="53" t="s">
        <v>28</v>
      </c>
      <c r="L8" s="53" t="s">
        <v>26</v>
      </c>
      <c r="M8" s="53" t="s">
        <v>28</v>
      </c>
      <c r="N8" s="49"/>
      <c r="O8" s="53" t="s">
        <v>26</v>
      </c>
      <c r="P8" s="53" t="s">
        <v>28</v>
      </c>
      <c r="Q8" s="53" t="s">
        <v>26</v>
      </c>
      <c r="R8" s="53" t="s">
        <v>28</v>
      </c>
    </row>
    <row r="9" spans="1:18" ht="12.75">
      <c r="A9" s="41"/>
      <c r="B9" s="41"/>
      <c r="C9" s="43"/>
      <c r="D9" s="41"/>
      <c r="E9" s="17" t="s">
        <v>244</v>
      </c>
      <c r="F9" s="17" t="s">
        <v>244</v>
      </c>
      <c r="G9" s="17" t="s">
        <v>76</v>
      </c>
      <c r="H9" s="17" t="s">
        <v>76</v>
      </c>
      <c r="I9" s="49"/>
      <c r="J9" s="17" t="s">
        <v>244</v>
      </c>
      <c r="K9" s="17" t="s">
        <v>244</v>
      </c>
      <c r="L9" s="53" t="s">
        <v>76</v>
      </c>
      <c r="M9" s="52" t="s">
        <v>76</v>
      </c>
      <c r="N9" s="49"/>
      <c r="O9" s="17" t="s">
        <v>244</v>
      </c>
      <c r="P9" s="17" t="s">
        <v>244</v>
      </c>
      <c r="Q9" s="53" t="s">
        <v>76</v>
      </c>
      <c r="R9" s="52" t="s">
        <v>76</v>
      </c>
    </row>
    <row r="10" spans="1:18" ht="12.75">
      <c r="A10" s="41" t="s">
        <v>56</v>
      </c>
      <c r="B10" s="41"/>
      <c r="C10" s="41"/>
      <c r="D10" s="41"/>
      <c r="E10" s="44"/>
      <c r="F10" s="44"/>
      <c r="G10" s="44"/>
      <c r="H10" s="44"/>
      <c r="I10" s="49"/>
      <c r="J10" s="49"/>
      <c r="K10" s="49"/>
      <c r="L10" s="49"/>
      <c r="M10" s="49"/>
      <c r="N10" s="49"/>
      <c r="O10" s="44"/>
      <c r="P10" s="44"/>
      <c r="Q10" s="49"/>
      <c r="R10" s="49"/>
    </row>
    <row r="11" spans="1:18" ht="12.75">
      <c r="A11" s="41"/>
      <c r="B11" s="41" t="s">
        <v>29</v>
      </c>
      <c r="C11" s="43">
        <v>1</v>
      </c>
      <c r="D11" s="43"/>
      <c r="E11" s="44"/>
      <c r="F11" s="44"/>
      <c r="G11" s="44"/>
      <c r="H11" s="44"/>
      <c r="I11" s="50"/>
      <c r="J11" s="19"/>
      <c r="K11" s="19"/>
      <c r="L11" s="44"/>
      <c r="M11" s="44"/>
      <c r="N11" s="50"/>
      <c r="O11" s="55"/>
      <c r="P11" s="55"/>
      <c r="Q11" s="44"/>
      <c r="R11" s="44"/>
    </row>
    <row r="12" spans="1:18" ht="12.75">
      <c r="A12" s="41"/>
      <c r="B12" s="41" t="s">
        <v>112</v>
      </c>
      <c r="C12" s="43">
        <v>0</v>
      </c>
      <c r="D12" s="43"/>
      <c r="E12" s="44"/>
      <c r="F12" s="44"/>
      <c r="G12" s="44"/>
      <c r="H12" s="44"/>
      <c r="I12" s="50"/>
      <c r="J12" s="34"/>
      <c r="K12" s="34"/>
      <c r="L12" s="44"/>
      <c r="M12" s="44"/>
      <c r="N12" s="50"/>
      <c r="O12" s="55"/>
      <c r="P12" s="55"/>
      <c r="Q12" s="44"/>
      <c r="R12" s="44"/>
    </row>
    <row r="13" spans="1:18" ht="12.75">
      <c r="A13" s="41"/>
      <c r="B13" s="41" t="s">
        <v>30</v>
      </c>
      <c r="C13" s="43">
        <v>0.5</v>
      </c>
      <c r="D13" s="43"/>
      <c r="E13" s="44"/>
      <c r="F13" s="44"/>
      <c r="G13" s="44"/>
      <c r="H13" s="44"/>
      <c r="I13" s="50"/>
      <c r="J13" s="19"/>
      <c r="K13" s="19"/>
      <c r="L13" s="44"/>
      <c r="M13" s="44"/>
      <c r="N13" s="50"/>
      <c r="O13" s="56"/>
      <c r="P13" s="56"/>
      <c r="Q13" s="44"/>
      <c r="R13" s="44"/>
    </row>
    <row r="14" spans="1:18" ht="12.75">
      <c r="A14" s="41"/>
      <c r="B14" s="41" t="s">
        <v>113</v>
      </c>
      <c r="C14" s="43">
        <v>0</v>
      </c>
      <c r="D14" s="43"/>
      <c r="E14" s="44"/>
      <c r="F14" s="44"/>
      <c r="G14" s="44"/>
      <c r="H14" s="44"/>
      <c r="I14" s="50"/>
      <c r="J14" s="19"/>
      <c r="K14" s="19"/>
      <c r="L14" s="44"/>
      <c r="M14" s="44"/>
      <c r="N14" s="50"/>
      <c r="O14" s="56"/>
      <c r="P14" s="56"/>
      <c r="Q14" s="44"/>
      <c r="R14" s="44"/>
    </row>
    <row r="15" spans="1:18" ht="12.75">
      <c r="A15" s="41"/>
      <c r="B15" s="41" t="s">
        <v>31</v>
      </c>
      <c r="C15" s="43">
        <v>0.1</v>
      </c>
      <c r="D15" s="43"/>
      <c r="E15" s="44"/>
      <c r="F15" s="44"/>
      <c r="G15" s="44"/>
      <c r="H15" s="44"/>
      <c r="I15" s="50"/>
      <c r="J15" s="19"/>
      <c r="K15" s="19"/>
      <c r="L15" s="44"/>
      <c r="M15" s="44"/>
      <c r="N15" s="50"/>
      <c r="O15" s="56"/>
      <c r="P15" s="56"/>
      <c r="Q15" s="44"/>
      <c r="R15" s="44"/>
    </row>
    <row r="16" spans="1:18" ht="12.75">
      <c r="A16" s="41"/>
      <c r="B16" s="41" t="s">
        <v>32</v>
      </c>
      <c r="C16" s="43">
        <v>0.1</v>
      </c>
      <c r="D16" s="43"/>
      <c r="E16" s="44"/>
      <c r="F16" s="44"/>
      <c r="G16" s="44"/>
      <c r="H16" s="44"/>
      <c r="I16" s="50"/>
      <c r="J16" s="19"/>
      <c r="K16" s="19"/>
      <c r="L16" s="44"/>
      <c r="M16" s="44"/>
      <c r="N16" s="50"/>
      <c r="O16" s="56"/>
      <c r="P16" s="56"/>
      <c r="Q16" s="44"/>
      <c r="R16" s="44"/>
    </row>
    <row r="17" spans="1:18" ht="12.75">
      <c r="A17" s="41"/>
      <c r="B17" s="41" t="s">
        <v>33</v>
      </c>
      <c r="C17" s="43">
        <v>0.1</v>
      </c>
      <c r="D17" s="43"/>
      <c r="E17" s="44"/>
      <c r="F17" s="44"/>
      <c r="G17" s="44"/>
      <c r="H17" s="44"/>
      <c r="I17" s="50"/>
      <c r="J17" s="19"/>
      <c r="K17" s="19"/>
      <c r="L17" s="44"/>
      <c r="M17" s="44"/>
      <c r="N17" s="50"/>
      <c r="O17" s="56"/>
      <c r="P17" s="56"/>
      <c r="Q17" s="44"/>
      <c r="R17" s="44"/>
    </row>
    <row r="18" spans="1:18" ht="12.75">
      <c r="A18" s="41"/>
      <c r="B18" s="41" t="s">
        <v>114</v>
      </c>
      <c r="C18" s="43">
        <v>0</v>
      </c>
      <c r="D18" s="43"/>
      <c r="E18" s="44"/>
      <c r="F18" s="44"/>
      <c r="G18" s="44"/>
      <c r="H18" s="44"/>
      <c r="I18" s="50"/>
      <c r="J18" s="19"/>
      <c r="K18" s="19"/>
      <c r="L18" s="44"/>
      <c r="M18" s="44"/>
      <c r="N18" s="50"/>
      <c r="O18" s="56"/>
      <c r="P18" s="56"/>
      <c r="Q18" s="44"/>
      <c r="R18" s="44"/>
    </row>
    <row r="19" spans="1:18" ht="12.75">
      <c r="A19" s="41"/>
      <c r="B19" s="41" t="s">
        <v>34</v>
      </c>
      <c r="C19" s="43">
        <v>0.01</v>
      </c>
      <c r="D19" s="43"/>
      <c r="E19" s="44"/>
      <c r="F19" s="44"/>
      <c r="G19" s="44"/>
      <c r="H19" s="44"/>
      <c r="I19" s="50"/>
      <c r="J19" s="19"/>
      <c r="K19" s="19"/>
      <c r="L19" s="44"/>
      <c r="M19" s="44"/>
      <c r="N19" s="50"/>
      <c r="O19" s="56"/>
      <c r="P19" s="56"/>
      <c r="Q19" s="44"/>
      <c r="R19" s="44"/>
    </row>
    <row r="20" spans="1:18" ht="12.75">
      <c r="A20" s="41"/>
      <c r="B20" s="41" t="s">
        <v>115</v>
      </c>
      <c r="C20" s="43">
        <v>0</v>
      </c>
      <c r="D20" s="43"/>
      <c r="E20" s="44"/>
      <c r="F20" s="44"/>
      <c r="G20" s="44"/>
      <c r="H20" s="44"/>
      <c r="I20" s="50"/>
      <c r="J20" s="19"/>
      <c r="K20" s="19"/>
      <c r="L20" s="44"/>
      <c r="M20" s="44"/>
      <c r="N20" s="50"/>
      <c r="O20" s="56"/>
      <c r="P20" s="56"/>
      <c r="Q20" s="44"/>
      <c r="R20" s="44"/>
    </row>
    <row r="21" spans="1:18" ht="12.75">
      <c r="A21" s="41"/>
      <c r="B21" s="41" t="s">
        <v>35</v>
      </c>
      <c r="C21" s="43">
        <v>0.001</v>
      </c>
      <c r="D21" s="43"/>
      <c r="E21" s="44"/>
      <c r="F21" s="44"/>
      <c r="G21" s="44"/>
      <c r="H21" s="44"/>
      <c r="I21" s="50"/>
      <c r="J21" s="19"/>
      <c r="K21" s="19"/>
      <c r="L21" s="44"/>
      <c r="M21" s="44"/>
      <c r="N21" s="50"/>
      <c r="O21" s="56"/>
      <c r="P21" s="56"/>
      <c r="Q21" s="44"/>
      <c r="R21" s="44"/>
    </row>
    <row r="22" spans="1:18" ht="12.75">
      <c r="A22" s="41"/>
      <c r="B22" s="41" t="s">
        <v>36</v>
      </c>
      <c r="C22" s="43">
        <v>0.1</v>
      </c>
      <c r="D22" s="43"/>
      <c r="E22" s="44"/>
      <c r="F22" s="44"/>
      <c r="G22" s="44"/>
      <c r="H22" s="44"/>
      <c r="I22" s="50"/>
      <c r="J22" s="19"/>
      <c r="K22" s="19"/>
      <c r="L22" s="44"/>
      <c r="M22" s="44"/>
      <c r="N22" s="50"/>
      <c r="O22" s="56"/>
      <c r="P22" s="56"/>
      <c r="Q22" s="44"/>
      <c r="R22" s="44"/>
    </row>
    <row r="23" spans="1:18" ht="12.75">
      <c r="A23" s="41"/>
      <c r="B23" s="41" t="s">
        <v>116</v>
      </c>
      <c r="C23" s="43">
        <v>0</v>
      </c>
      <c r="D23" s="43"/>
      <c r="E23" s="44"/>
      <c r="F23" s="44"/>
      <c r="G23" s="44"/>
      <c r="H23" s="44"/>
      <c r="I23" s="50"/>
      <c r="J23" s="19"/>
      <c r="K23" s="19"/>
      <c r="L23" s="44"/>
      <c r="M23" s="44"/>
      <c r="N23" s="50"/>
      <c r="O23" s="56"/>
      <c r="P23" s="56"/>
      <c r="Q23" s="44"/>
      <c r="R23" s="44"/>
    </row>
    <row r="24" spans="1:18" ht="12.75">
      <c r="A24" s="41"/>
      <c r="B24" s="41" t="s">
        <v>37</v>
      </c>
      <c r="C24" s="43">
        <v>0.05</v>
      </c>
      <c r="D24" s="43"/>
      <c r="E24" s="44"/>
      <c r="F24" s="44"/>
      <c r="G24" s="44"/>
      <c r="H24" s="44"/>
      <c r="I24" s="50"/>
      <c r="J24" s="19"/>
      <c r="K24" s="19"/>
      <c r="L24" s="44"/>
      <c r="M24" s="44"/>
      <c r="N24" s="50"/>
      <c r="O24" s="56"/>
      <c r="P24" s="56"/>
      <c r="Q24" s="44"/>
      <c r="R24" s="44"/>
    </row>
    <row r="25" spans="1:18" ht="12.75">
      <c r="A25" s="41"/>
      <c r="B25" s="41" t="s">
        <v>38</v>
      </c>
      <c r="C25" s="43">
        <v>0.5</v>
      </c>
      <c r="D25" s="43"/>
      <c r="E25" s="44"/>
      <c r="F25" s="44"/>
      <c r="G25" s="44"/>
      <c r="H25" s="44"/>
      <c r="I25" s="50"/>
      <c r="J25" s="19"/>
      <c r="K25" s="19"/>
      <c r="L25" s="44"/>
      <c r="M25" s="44"/>
      <c r="N25" s="50"/>
      <c r="O25" s="56"/>
      <c r="P25" s="56"/>
      <c r="Q25" s="44"/>
      <c r="R25" s="44"/>
    </row>
    <row r="26" spans="1:18" ht="12.75">
      <c r="A26" s="41"/>
      <c r="B26" s="41" t="s">
        <v>117</v>
      </c>
      <c r="C26" s="43">
        <v>0</v>
      </c>
      <c r="D26" s="43"/>
      <c r="E26" s="44"/>
      <c r="F26" s="44"/>
      <c r="G26" s="44"/>
      <c r="H26" s="44"/>
      <c r="I26" s="50"/>
      <c r="J26" s="19"/>
      <c r="K26" s="19"/>
      <c r="L26" s="44"/>
      <c r="M26" s="44"/>
      <c r="N26" s="50"/>
      <c r="O26" s="56"/>
      <c r="P26" s="56"/>
      <c r="Q26" s="44"/>
      <c r="R26" s="44"/>
    </row>
    <row r="27" spans="1:18" ht="12.75">
      <c r="A27" s="41"/>
      <c r="B27" s="41" t="s">
        <v>39</v>
      </c>
      <c r="C27" s="43">
        <v>0.1</v>
      </c>
      <c r="D27" s="43"/>
      <c r="E27" s="44"/>
      <c r="F27" s="44"/>
      <c r="G27" s="44"/>
      <c r="H27" s="44"/>
      <c r="I27" s="50"/>
      <c r="J27" s="19"/>
      <c r="K27" s="19"/>
      <c r="L27" s="44"/>
      <c r="M27" s="44"/>
      <c r="N27" s="50"/>
      <c r="O27" s="56"/>
      <c r="P27" s="56"/>
      <c r="Q27" s="44"/>
      <c r="R27" s="44"/>
    </row>
    <row r="28" spans="1:18" ht="12.75">
      <c r="A28" s="41"/>
      <c r="B28" s="41" t="s">
        <v>40</v>
      </c>
      <c r="C28" s="43">
        <v>0.1</v>
      </c>
      <c r="D28" s="43"/>
      <c r="E28" s="44"/>
      <c r="F28" s="44"/>
      <c r="G28" s="44"/>
      <c r="H28" s="44"/>
      <c r="I28" s="50"/>
      <c r="J28" s="19"/>
      <c r="K28" s="19"/>
      <c r="L28" s="44"/>
      <c r="M28" s="44"/>
      <c r="N28" s="50"/>
      <c r="O28" s="56"/>
      <c r="P28" s="56"/>
      <c r="Q28" s="44"/>
      <c r="R28" s="44"/>
    </row>
    <row r="29" spans="1:18" ht="12.75">
      <c r="A29" s="41"/>
      <c r="B29" s="41" t="s">
        <v>41</v>
      </c>
      <c r="C29" s="43">
        <v>0.1</v>
      </c>
      <c r="D29" s="43"/>
      <c r="E29" s="44"/>
      <c r="F29" s="44"/>
      <c r="G29" s="44"/>
      <c r="H29" s="44"/>
      <c r="I29" s="50"/>
      <c r="J29" s="19"/>
      <c r="K29" s="19"/>
      <c r="L29" s="44"/>
      <c r="M29" s="44"/>
      <c r="N29" s="50"/>
      <c r="O29" s="56"/>
      <c r="P29" s="56"/>
      <c r="Q29" s="44"/>
      <c r="R29" s="44"/>
    </row>
    <row r="30" spans="1:18" ht="12.75">
      <c r="A30" s="41"/>
      <c r="B30" s="41" t="s">
        <v>42</v>
      </c>
      <c r="C30" s="43">
        <v>0.1</v>
      </c>
      <c r="D30" s="43"/>
      <c r="E30" s="44"/>
      <c r="F30" s="44"/>
      <c r="G30" s="44"/>
      <c r="H30" s="44"/>
      <c r="I30" s="50"/>
      <c r="J30" s="19"/>
      <c r="K30" s="19"/>
      <c r="L30" s="44"/>
      <c r="M30" s="44"/>
      <c r="N30" s="50"/>
      <c r="O30" s="56"/>
      <c r="P30" s="56"/>
      <c r="Q30" s="44"/>
      <c r="R30" s="44"/>
    </row>
    <row r="31" spans="1:18" ht="12.75">
      <c r="A31" s="41"/>
      <c r="B31" s="41" t="s">
        <v>118</v>
      </c>
      <c r="C31" s="43">
        <v>0</v>
      </c>
      <c r="D31" s="43"/>
      <c r="E31" s="44"/>
      <c r="F31" s="44"/>
      <c r="G31" s="44"/>
      <c r="H31" s="44"/>
      <c r="I31" s="50"/>
      <c r="J31" s="19"/>
      <c r="K31" s="19"/>
      <c r="L31" s="44"/>
      <c r="M31" s="44"/>
      <c r="N31" s="50"/>
      <c r="O31" s="56"/>
      <c r="P31" s="56"/>
      <c r="Q31" s="44"/>
      <c r="R31" s="44"/>
    </row>
    <row r="32" spans="1:18" ht="12.75">
      <c r="A32" s="41"/>
      <c r="B32" s="41" t="s">
        <v>43</v>
      </c>
      <c r="C32" s="43">
        <v>0.01</v>
      </c>
      <c r="D32" s="43"/>
      <c r="E32" s="44"/>
      <c r="F32" s="44"/>
      <c r="G32" s="44"/>
      <c r="H32" s="44"/>
      <c r="I32" s="50"/>
      <c r="J32" s="19"/>
      <c r="K32" s="19"/>
      <c r="L32" s="44"/>
      <c r="M32" s="44"/>
      <c r="N32" s="50"/>
      <c r="O32" s="56"/>
      <c r="P32" s="56"/>
      <c r="Q32" s="44"/>
      <c r="R32" s="44"/>
    </row>
    <row r="33" spans="1:18" ht="12.75">
      <c r="A33" s="41"/>
      <c r="B33" s="41" t="s">
        <v>44</v>
      </c>
      <c r="C33" s="43">
        <v>0.01</v>
      </c>
      <c r="D33" s="43"/>
      <c r="E33" s="44"/>
      <c r="F33" s="44"/>
      <c r="G33" s="44"/>
      <c r="H33" s="44"/>
      <c r="I33" s="50"/>
      <c r="J33" s="19"/>
      <c r="K33" s="19"/>
      <c r="L33" s="44"/>
      <c r="M33" s="44"/>
      <c r="N33" s="50"/>
      <c r="O33" s="56"/>
      <c r="P33" s="56"/>
      <c r="Q33" s="44"/>
      <c r="R33" s="44"/>
    </row>
    <row r="34" spans="1:18" ht="12.75">
      <c r="A34" s="41"/>
      <c r="B34" s="41" t="s">
        <v>119</v>
      </c>
      <c r="C34" s="43">
        <v>0</v>
      </c>
      <c r="D34" s="43"/>
      <c r="E34" s="44"/>
      <c r="F34" s="44"/>
      <c r="G34" s="44"/>
      <c r="H34" s="44"/>
      <c r="I34" s="50"/>
      <c r="J34" s="19"/>
      <c r="K34" s="19"/>
      <c r="L34" s="44"/>
      <c r="M34" s="44"/>
      <c r="N34" s="50"/>
      <c r="O34" s="56"/>
      <c r="P34" s="56"/>
      <c r="Q34" s="44"/>
      <c r="R34" s="44"/>
    </row>
    <row r="35" spans="1:18" ht="12.75">
      <c r="A35" s="41"/>
      <c r="B35" s="41" t="s">
        <v>45</v>
      </c>
      <c r="C35" s="43">
        <v>0.001</v>
      </c>
      <c r="D35" s="43"/>
      <c r="E35" s="44"/>
      <c r="F35" s="44"/>
      <c r="G35" s="44"/>
      <c r="H35" s="44"/>
      <c r="I35" s="50"/>
      <c r="J35" s="19"/>
      <c r="K35" s="19"/>
      <c r="L35" s="44"/>
      <c r="M35" s="44"/>
      <c r="N35" s="50"/>
      <c r="O35" s="56"/>
      <c r="P35" s="56"/>
      <c r="Q35" s="44"/>
      <c r="R35" s="44"/>
    </row>
    <row r="36" spans="1:18" ht="8.25" customHeight="1">
      <c r="A36" s="41"/>
      <c r="B36" s="41"/>
      <c r="C36" s="41"/>
      <c r="D36" s="41"/>
      <c r="E36" s="44"/>
      <c r="F36" s="44"/>
      <c r="G36" s="44"/>
      <c r="H36" s="44"/>
      <c r="I36" s="47"/>
      <c r="J36" s="19"/>
      <c r="K36" s="19"/>
      <c r="L36" s="44"/>
      <c r="M36" s="44"/>
      <c r="N36" s="47"/>
      <c r="O36" s="19"/>
      <c r="P36" s="19"/>
      <c r="Q36" s="47"/>
      <c r="R36" s="49"/>
    </row>
    <row r="37" spans="1:18" ht="12.75">
      <c r="A37" s="41"/>
      <c r="B37" s="41" t="s">
        <v>46</v>
      </c>
      <c r="C37" s="41"/>
      <c r="D37" s="41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</row>
    <row r="38" spans="1:18" ht="12.75">
      <c r="A38" s="41"/>
      <c r="B38" s="41" t="s">
        <v>66</v>
      </c>
      <c r="C38" s="41"/>
      <c r="D38" s="41"/>
      <c r="G38" s="47"/>
      <c r="H38" s="47"/>
      <c r="I38" s="47"/>
      <c r="J38" s="47"/>
      <c r="K38" s="47"/>
      <c r="L38" s="44"/>
      <c r="M38" s="44"/>
      <c r="N38" s="47"/>
      <c r="O38" s="47"/>
      <c r="P38" s="47"/>
      <c r="Q38" s="47"/>
      <c r="R38" s="47"/>
    </row>
    <row r="39" spans="1:18" ht="9" customHeight="1">
      <c r="A39" s="41"/>
      <c r="B39" s="41"/>
      <c r="C39" s="41"/>
      <c r="D39" s="41"/>
      <c r="E39" s="44"/>
      <c r="F39" s="44"/>
      <c r="G39" s="44"/>
      <c r="H39" s="48"/>
      <c r="I39" s="19"/>
      <c r="J39" s="47"/>
      <c r="K39" s="47"/>
      <c r="L39" s="44"/>
      <c r="M39" s="48"/>
      <c r="N39" s="47"/>
      <c r="O39" s="47"/>
      <c r="P39" s="47"/>
      <c r="Q39" s="47"/>
      <c r="R39" s="47"/>
    </row>
    <row r="40" spans="1:18" ht="12.75">
      <c r="A40" s="41"/>
      <c r="B40" s="41" t="s">
        <v>57</v>
      </c>
      <c r="C40" s="50"/>
      <c r="D40" s="50"/>
      <c r="E40" s="44"/>
      <c r="F40" s="44"/>
      <c r="G40" s="44"/>
      <c r="H40" s="50"/>
      <c r="I40" s="50"/>
      <c r="J40" s="44"/>
      <c r="K40" s="44"/>
      <c r="L40" s="44"/>
      <c r="M40" s="50"/>
      <c r="N40" s="50"/>
      <c r="O40" s="47"/>
      <c r="P40" s="47"/>
      <c r="Q40" s="44"/>
      <c r="R40" s="50"/>
    </row>
    <row r="41" spans="1:18" ht="12.75">
      <c r="A41" s="41"/>
      <c r="B41" s="41" t="s">
        <v>47</v>
      </c>
      <c r="C41" s="50"/>
      <c r="D41" s="50"/>
      <c r="E41" s="44"/>
      <c r="F41" s="44"/>
      <c r="G41" s="47">
        <v>2.62</v>
      </c>
      <c r="H41" s="50">
        <v>0.07</v>
      </c>
      <c r="I41" s="50"/>
      <c r="J41" s="47"/>
      <c r="K41" s="47"/>
      <c r="L41" s="47">
        <v>2.42</v>
      </c>
      <c r="M41" s="50">
        <v>0.04</v>
      </c>
      <c r="N41" s="50"/>
      <c r="O41" s="47"/>
      <c r="P41" s="47"/>
      <c r="Q41" s="47">
        <v>2.43</v>
      </c>
      <c r="R41" s="50">
        <v>0.06</v>
      </c>
    </row>
    <row r="42" spans="1:18" ht="9" customHeight="1">
      <c r="A42" s="41"/>
      <c r="B42" s="41"/>
      <c r="C42" s="41"/>
      <c r="D42" s="41"/>
      <c r="E42" s="44"/>
      <c r="F42" s="44"/>
      <c r="G42" s="44"/>
      <c r="H42" s="44"/>
      <c r="I42" s="46"/>
      <c r="J42" s="46"/>
      <c r="K42" s="46"/>
      <c r="L42" s="46"/>
      <c r="M42" s="46"/>
      <c r="N42" s="46"/>
      <c r="O42" s="46"/>
      <c r="P42" s="46"/>
      <c r="Q42" s="46"/>
      <c r="R42" s="49"/>
    </row>
    <row r="43" spans="1:18" ht="12.75">
      <c r="A43" s="47"/>
      <c r="B43" s="41" t="s">
        <v>67</v>
      </c>
      <c r="C43" s="46">
        <f>AVERAGE(H41,M41,R41)</f>
        <v>0.05666666666666667</v>
      </c>
      <c r="D43" s="47"/>
      <c r="E43" s="44"/>
      <c r="F43" s="44"/>
      <c r="G43" s="44"/>
      <c r="H43" s="44"/>
      <c r="I43" s="47"/>
      <c r="J43" s="47"/>
      <c r="K43" s="47"/>
      <c r="L43" s="47"/>
      <c r="M43" s="47"/>
      <c r="N43" s="47"/>
      <c r="O43" s="47"/>
      <c r="P43" s="47"/>
      <c r="Q43" s="47"/>
      <c r="R43" s="49"/>
    </row>
    <row r="44" spans="1:18" ht="12.75">
      <c r="A44" s="41"/>
      <c r="B44" s="41" t="s">
        <v>68</v>
      </c>
      <c r="C44" s="47">
        <f>AVERAGE(G41,L41,Q41)</f>
        <v>2.49</v>
      </c>
      <c r="D44" s="41"/>
      <c r="E44" s="44"/>
      <c r="F44" s="44"/>
      <c r="G44" s="44"/>
      <c r="H44" s="44"/>
      <c r="I44" s="49"/>
      <c r="J44" s="49"/>
      <c r="K44" s="49"/>
      <c r="L44" s="49"/>
      <c r="M44" s="49"/>
      <c r="N44" s="49"/>
      <c r="O44" s="49"/>
      <c r="P44" s="49"/>
      <c r="Q44" s="49"/>
      <c r="R44" s="49"/>
    </row>
    <row r="85" spans="1:18" ht="12.75">
      <c r="A85" s="2"/>
      <c r="B85" s="2"/>
      <c r="C85" s="2"/>
      <c r="D85" s="2"/>
      <c r="E85" s="4"/>
      <c r="F85" s="4"/>
      <c r="G85" s="4"/>
      <c r="J85" s="7"/>
      <c r="K85" s="7"/>
      <c r="L85" s="4"/>
      <c r="M85" s="6"/>
      <c r="N85" s="7"/>
      <c r="O85" s="7"/>
      <c r="P85" s="7"/>
      <c r="Q85" s="7"/>
      <c r="R85" s="7"/>
    </row>
    <row r="86" spans="1:18" ht="12.75">
      <c r="A86" s="2"/>
      <c r="B86" s="2"/>
      <c r="C86" s="3"/>
      <c r="D86" s="3"/>
      <c r="E86" s="4"/>
      <c r="F86" s="4"/>
      <c r="G86" s="4"/>
      <c r="H86" s="4"/>
      <c r="I86" s="3"/>
      <c r="J86" s="4"/>
      <c r="K86" s="4"/>
      <c r="L86" s="4"/>
      <c r="M86" s="4"/>
      <c r="N86" s="3"/>
      <c r="O86" s="7"/>
      <c r="P86" s="7"/>
      <c r="Q86" s="3"/>
      <c r="R86" s="3"/>
    </row>
    <row r="87" spans="1:18" ht="12.75">
      <c r="A87" s="2"/>
      <c r="B87" s="2"/>
      <c r="C87" s="3"/>
      <c r="D87" s="3"/>
      <c r="E87" s="4"/>
      <c r="F87" s="4"/>
      <c r="G87" s="4"/>
      <c r="H87" s="4"/>
      <c r="I87" s="3"/>
      <c r="J87" s="7"/>
      <c r="K87" s="7"/>
      <c r="L87" s="4"/>
      <c r="M87" s="3"/>
      <c r="N87" s="3"/>
      <c r="O87" s="7"/>
      <c r="P87" s="7"/>
      <c r="Q87" s="5"/>
      <c r="R87" s="5"/>
    </row>
  </sheetData>
  <printOptions headings="1" horizontalCentered="1"/>
  <pageMargins left="0.25" right="0.25" top="0.5" bottom="0.5" header="0.25" footer="0.25"/>
  <pageSetup horizontalDpi="600" verticalDpi="600" orientation="landscape" pageOrder="overThenDown" scale="80" r:id="rId1"/>
  <headerFooter alignWithMargins="0">
    <oddFooter>&amp;C&amp;P, &amp;A, 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R87"/>
  <sheetViews>
    <sheetView workbookViewId="0" topLeftCell="A1">
      <selection activeCell="B5" sqref="B5"/>
    </sheetView>
  </sheetViews>
  <sheetFormatPr defaultColWidth="9.140625" defaultRowHeight="12.75"/>
  <cols>
    <col min="1" max="1" width="1.7109375" style="0" customWidth="1"/>
    <col min="2" max="2" width="20.00390625" style="0" customWidth="1"/>
    <col min="3" max="3" width="6.140625" style="0" customWidth="1"/>
    <col min="4" max="4" width="3.00390625" style="0" customWidth="1"/>
    <col min="5" max="6" width="9.421875" style="6" customWidth="1"/>
    <col min="7" max="7" width="10.7109375" style="6" customWidth="1"/>
    <col min="8" max="8" width="9.8515625" style="6" customWidth="1"/>
    <col min="9" max="9" width="3.421875" style="0" customWidth="1"/>
    <col min="13" max="13" width="9.28125" style="0" customWidth="1"/>
    <col min="14" max="14" width="2.8515625" style="0" customWidth="1"/>
    <col min="18" max="18" width="9.00390625" style="0" customWidth="1"/>
  </cols>
  <sheetData>
    <row r="1" spans="1:18" ht="12.75">
      <c r="A1" s="57" t="s">
        <v>77</v>
      </c>
      <c r="B1" s="41"/>
      <c r="C1" s="41"/>
      <c r="D1" s="41"/>
      <c r="E1" s="44"/>
      <c r="F1" s="44"/>
      <c r="G1" s="44"/>
      <c r="H1" s="44"/>
      <c r="I1" s="49"/>
      <c r="J1" s="49"/>
      <c r="K1" s="49"/>
      <c r="L1" s="49"/>
      <c r="M1" s="49"/>
      <c r="N1" s="49"/>
      <c r="O1" s="49"/>
      <c r="P1" s="49"/>
      <c r="Q1" s="49"/>
      <c r="R1" s="49"/>
    </row>
    <row r="2" spans="1:18" ht="12.75">
      <c r="A2" s="41" t="s">
        <v>277</v>
      </c>
      <c r="B2" s="41"/>
      <c r="C2" s="41"/>
      <c r="D2" s="41"/>
      <c r="E2" s="44"/>
      <c r="F2" s="44"/>
      <c r="G2" s="44"/>
      <c r="H2" s="44"/>
      <c r="I2" s="49"/>
      <c r="J2" s="49"/>
      <c r="K2" s="49"/>
      <c r="L2" s="49"/>
      <c r="M2" s="49"/>
      <c r="N2" s="49"/>
      <c r="O2" s="49"/>
      <c r="P2" s="49"/>
      <c r="Q2" s="49"/>
      <c r="R2" s="49"/>
    </row>
    <row r="3" spans="1:18" ht="12.75">
      <c r="A3" s="41" t="s">
        <v>21</v>
      </c>
      <c r="B3" s="41"/>
      <c r="C3" s="14" t="str">
        <f>source!C5</f>
        <v>Clean Harbors Environmental Services, Inc.</v>
      </c>
      <c r="D3" s="14"/>
      <c r="E3" s="44"/>
      <c r="F3" s="44"/>
      <c r="G3" s="44"/>
      <c r="H3" s="44"/>
      <c r="I3" s="49"/>
      <c r="J3" s="49"/>
      <c r="K3" s="49"/>
      <c r="L3" s="49"/>
      <c r="M3" s="49"/>
      <c r="N3" s="49"/>
      <c r="O3" s="49"/>
      <c r="P3" s="49"/>
      <c r="Q3" s="49"/>
      <c r="R3" s="49"/>
    </row>
    <row r="4" spans="1:18" ht="12.75">
      <c r="A4" s="41" t="s">
        <v>22</v>
      </c>
      <c r="B4" s="41"/>
      <c r="C4" s="14" t="s">
        <v>205</v>
      </c>
      <c r="D4" s="14"/>
      <c r="E4" s="64"/>
      <c r="F4" s="64"/>
      <c r="G4" s="64"/>
      <c r="H4" s="17"/>
      <c r="I4" s="51"/>
      <c r="J4" s="51"/>
      <c r="K4" s="51"/>
      <c r="L4" s="51"/>
      <c r="M4" s="51"/>
      <c r="N4" s="51"/>
      <c r="O4" s="51"/>
      <c r="P4" s="51"/>
      <c r="Q4" s="51"/>
      <c r="R4" s="51"/>
    </row>
    <row r="5" spans="1:18" ht="12.75">
      <c r="A5" s="41" t="s">
        <v>23</v>
      </c>
      <c r="B5" s="41"/>
      <c r="C5" s="19" t="str">
        <f>cond!C40</f>
        <v>Trial burn, high nonviscous liquid feed rate, max comb temp</v>
      </c>
      <c r="D5" s="19"/>
      <c r="E5" s="48"/>
      <c r="F5" s="48"/>
      <c r="G5" s="48"/>
      <c r="H5" s="48"/>
      <c r="I5" s="19"/>
      <c r="J5" s="19"/>
      <c r="K5" s="19"/>
      <c r="L5" s="19"/>
      <c r="M5" s="49"/>
      <c r="N5" s="49"/>
      <c r="O5" s="49"/>
      <c r="P5" s="49"/>
      <c r="Q5" s="49"/>
      <c r="R5" s="49"/>
    </row>
    <row r="6" spans="1:18" ht="7.5" customHeight="1">
      <c r="A6" s="41"/>
      <c r="B6" s="41"/>
      <c r="C6" s="43"/>
      <c r="D6" s="43"/>
      <c r="E6" s="17"/>
      <c r="F6" s="17"/>
      <c r="G6" s="17"/>
      <c r="H6" s="44"/>
      <c r="I6" s="49"/>
      <c r="J6" s="53"/>
      <c r="K6" s="53"/>
      <c r="L6" s="53"/>
      <c r="M6" s="49"/>
      <c r="N6" s="49"/>
      <c r="O6" s="53"/>
      <c r="P6" s="53"/>
      <c r="Q6" s="53"/>
      <c r="R6" s="49"/>
    </row>
    <row r="7" spans="1:18" ht="12.75">
      <c r="A7" s="41"/>
      <c r="B7" s="41"/>
      <c r="C7" s="43" t="s">
        <v>24</v>
      </c>
      <c r="D7" s="43"/>
      <c r="E7" s="65" t="s">
        <v>58</v>
      </c>
      <c r="F7" s="65"/>
      <c r="G7" s="65"/>
      <c r="H7" s="65"/>
      <c r="I7" s="18"/>
      <c r="J7" s="54" t="s">
        <v>59</v>
      </c>
      <c r="K7" s="54"/>
      <c r="L7" s="54"/>
      <c r="M7" s="54"/>
      <c r="N7" s="18"/>
      <c r="O7" s="54" t="s">
        <v>60</v>
      </c>
      <c r="P7" s="54"/>
      <c r="Q7" s="54"/>
      <c r="R7" s="54"/>
    </row>
    <row r="8" spans="1:18" ht="12.75">
      <c r="A8" s="41"/>
      <c r="B8" s="41"/>
      <c r="C8" s="43" t="s">
        <v>25</v>
      </c>
      <c r="D8" s="41"/>
      <c r="E8" s="17" t="s">
        <v>26</v>
      </c>
      <c r="F8" s="53" t="s">
        <v>28</v>
      </c>
      <c r="G8" s="17" t="s">
        <v>26</v>
      </c>
      <c r="H8" s="17" t="s">
        <v>27</v>
      </c>
      <c r="I8" s="49"/>
      <c r="J8" s="53" t="s">
        <v>26</v>
      </c>
      <c r="K8" s="53" t="s">
        <v>28</v>
      </c>
      <c r="L8" s="53" t="s">
        <v>26</v>
      </c>
      <c r="M8" s="53" t="s">
        <v>28</v>
      </c>
      <c r="N8" s="49"/>
      <c r="O8" s="53" t="s">
        <v>26</v>
      </c>
      <c r="P8" s="53" t="s">
        <v>28</v>
      </c>
      <c r="Q8" s="53" t="s">
        <v>26</v>
      </c>
      <c r="R8" s="53" t="s">
        <v>28</v>
      </c>
    </row>
    <row r="9" spans="1:18" ht="12.75">
      <c r="A9" s="41"/>
      <c r="B9" s="41"/>
      <c r="C9" s="43"/>
      <c r="D9" s="41"/>
      <c r="E9" s="17" t="s">
        <v>244</v>
      </c>
      <c r="F9" s="17" t="s">
        <v>244</v>
      </c>
      <c r="G9" s="17" t="s">
        <v>76</v>
      </c>
      <c r="H9" s="17" t="s">
        <v>76</v>
      </c>
      <c r="I9" s="49"/>
      <c r="J9" s="17" t="s">
        <v>244</v>
      </c>
      <c r="K9" s="17" t="s">
        <v>244</v>
      </c>
      <c r="L9" s="53" t="s">
        <v>76</v>
      </c>
      <c r="M9" s="52" t="s">
        <v>76</v>
      </c>
      <c r="N9" s="49"/>
      <c r="O9" s="17" t="s">
        <v>244</v>
      </c>
      <c r="P9" s="17" t="s">
        <v>244</v>
      </c>
      <c r="Q9" s="53" t="s">
        <v>76</v>
      </c>
      <c r="R9" s="52" t="s">
        <v>76</v>
      </c>
    </row>
    <row r="10" spans="1:18" ht="12.75">
      <c r="A10" s="41" t="s">
        <v>56</v>
      </c>
      <c r="B10" s="41"/>
      <c r="C10" s="41"/>
      <c r="D10" s="41"/>
      <c r="E10" s="44"/>
      <c r="F10" s="44"/>
      <c r="G10" s="44"/>
      <c r="H10" s="44"/>
      <c r="I10" s="49"/>
      <c r="J10" s="49"/>
      <c r="K10" s="49"/>
      <c r="L10" s="49"/>
      <c r="M10" s="49"/>
      <c r="N10" s="49"/>
      <c r="O10" s="44"/>
      <c r="P10" s="44"/>
      <c r="Q10" s="49"/>
      <c r="R10" s="49"/>
    </row>
    <row r="11" spans="1:18" ht="12.75">
      <c r="A11" s="41"/>
      <c r="B11" s="41" t="s">
        <v>29</v>
      </c>
      <c r="C11" s="43">
        <v>1</v>
      </c>
      <c r="D11" s="43"/>
      <c r="E11" s="44"/>
      <c r="F11" s="44"/>
      <c r="G11" s="44"/>
      <c r="H11" s="44"/>
      <c r="I11" s="50"/>
      <c r="J11" s="19"/>
      <c r="K11" s="19"/>
      <c r="L11" s="44"/>
      <c r="M11" s="44"/>
      <c r="N11" s="50"/>
      <c r="O11" s="55"/>
      <c r="P11" s="55"/>
      <c r="Q11" s="44"/>
      <c r="R11" s="44"/>
    </row>
    <row r="12" spans="1:18" ht="12.75">
      <c r="A12" s="41"/>
      <c r="B12" s="41" t="s">
        <v>112</v>
      </c>
      <c r="C12" s="43">
        <v>0</v>
      </c>
      <c r="D12" s="43"/>
      <c r="E12" s="44"/>
      <c r="F12" s="44"/>
      <c r="G12" s="44"/>
      <c r="H12" s="44"/>
      <c r="I12" s="50"/>
      <c r="J12" s="34"/>
      <c r="K12" s="34"/>
      <c r="L12" s="44"/>
      <c r="M12" s="44"/>
      <c r="N12" s="50"/>
      <c r="O12" s="55"/>
      <c r="P12" s="55"/>
      <c r="Q12" s="44"/>
      <c r="R12" s="44"/>
    </row>
    <row r="13" spans="1:18" ht="12.75">
      <c r="A13" s="41"/>
      <c r="B13" s="41" t="s">
        <v>30</v>
      </c>
      <c r="C13" s="43">
        <v>0.5</v>
      </c>
      <c r="D13" s="43"/>
      <c r="E13" s="44"/>
      <c r="F13" s="44"/>
      <c r="G13" s="44"/>
      <c r="H13" s="44"/>
      <c r="I13" s="50"/>
      <c r="J13" s="19"/>
      <c r="K13" s="19"/>
      <c r="L13" s="44"/>
      <c r="M13" s="44"/>
      <c r="N13" s="50"/>
      <c r="O13" s="56"/>
      <c r="P13" s="56"/>
      <c r="Q13" s="44"/>
      <c r="R13" s="44"/>
    </row>
    <row r="14" spans="1:18" ht="12.75">
      <c r="A14" s="41"/>
      <c r="B14" s="41" t="s">
        <v>113</v>
      </c>
      <c r="C14" s="43">
        <v>0</v>
      </c>
      <c r="D14" s="43"/>
      <c r="E14" s="44"/>
      <c r="F14" s="44"/>
      <c r="G14" s="44"/>
      <c r="H14" s="44"/>
      <c r="I14" s="50"/>
      <c r="J14" s="19"/>
      <c r="K14" s="19"/>
      <c r="L14" s="44"/>
      <c r="M14" s="44"/>
      <c r="N14" s="50"/>
      <c r="O14" s="56"/>
      <c r="P14" s="56"/>
      <c r="Q14" s="44"/>
      <c r="R14" s="44"/>
    </row>
    <row r="15" spans="1:18" ht="12.75">
      <c r="A15" s="41"/>
      <c r="B15" s="41" t="s">
        <v>31</v>
      </c>
      <c r="C15" s="43">
        <v>0.1</v>
      </c>
      <c r="D15" s="43"/>
      <c r="E15" s="44"/>
      <c r="F15" s="44"/>
      <c r="G15" s="44"/>
      <c r="H15" s="44"/>
      <c r="I15" s="50"/>
      <c r="J15" s="19"/>
      <c r="K15" s="19"/>
      <c r="L15" s="44"/>
      <c r="M15" s="44"/>
      <c r="N15" s="50"/>
      <c r="O15" s="56"/>
      <c r="P15" s="56"/>
      <c r="Q15" s="44"/>
      <c r="R15" s="44"/>
    </row>
    <row r="16" spans="1:18" ht="12.75">
      <c r="A16" s="41"/>
      <c r="B16" s="41" t="s">
        <v>32</v>
      </c>
      <c r="C16" s="43">
        <v>0.1</v>
      </c>
      <c r="D16" s="43"/>
      <c r="E16" s="44"/>
      <c r="F16" s="44"/>
      <c r="G16" s="44"/>
      <c r="H16" s="44"/>
      <c r="I16" s="50"/>
      <c r="J16" s="19"/>
      <c r="K16" s="19"/>
      <c r="L16" s="44"/>
      <c r="M16" s="44"/>
      <c r="N16" s="50"/>
      <c r="O16" s="56"/>
      <c r="P16" s="56"/>
      <c r="Q16" s="44"/>
      <c r="R16" s="44"/>
    </row>
    <row r="17" spans="1:18" ht="12.75">
      <c r="A17" s="41"/>
      <c r="B17" s="41" t="s">
        <v>33</v>
      </c>
      <c r="C17" s="43">
        <v>0.1</v>
      </c>
      <c r="D17" s="43"/>
      <c r="E17" s="44"/>
      <c r="F17" s="44"/>
      <c r="G17" s="44"/>
      <c r="H17" s="44"/>
      <c r="I17" s="50"/>
      <c r="J17" s="19"/>
      <c r="K17" s="19"/>
      <c r="L17" s="44"/>
      <c r="M17" s="44"/>
      <c r="N17" s="50"/>
      <c r="O17" s="56"/>
      <c r="P17" s="56"/>
      <c r="Q17" s="44"/>
      <c r="R17" s="44"/>
    </row>
    <row r="18" spans="1:18" ht="12.75">
      <c r="A18" s="41"/>
      <c r="B18" s="41" t="s">
        <v>114</v>
      </c>
      <c r="C18" s="43">
        <v>0</v>
      </c>
      <c r="D18" s="43"/>
      <c r="E18" s="44"/>
      <c r="F18" s="44"/>
      <c r="G18" s="44"/>
      <c r="H18" s="44"/>
      <c r="I18" s="50"/>
      <c r="J18" s="19"/>
      <c r="K18" s="19"/>
      <c r="L18" s="44"/>
      <c r="M18" s="44"/>
      <c r="N18" s="50"/>
      <c r="O18" s="56"/>
      <c r="P18" s="56"/>
      <c r="Q18" s="44"/>
      <c r="R18" s="44"/>
    </row>
    <row r="19" spans="1:18" ht="12.75">
      <c r="A19" s="41"/>
      <c r="B19" s="41" t="s">
        <v>34</v>
      </c>
      <c r="C19" s="43">
        <v>0.01</v>
      </c>
      <c r="D19" s="43"/>
      <c r="E19" s="44"/>
      <c r="F19" s="44"/>
      <c r="G19" s="44"/>
      <c r="H19" s="44"/>
      <c r="I19" s="50"/>
      <c r="J19" s="19"/>
      <c r="K19" s="19"/>
      <c r="L19" s="44"/>
      <c r="M19" s="44"/>
      <c r="N19" s="50"/>
      <c r="O19" s="56"/>
      <c r="P19" s="56"/>
      <c r="Q19" s="44"/>
      <c r="R19" s="44"/>
    </row>
    <row r="20" spans="1:18" ht="12.75">
      <c r="A20" s="41"/>
      <c r="B20" s="41" t="s">
        <v>115</v>
      </c>
      <c r="C20" s="43">
        <v>0</v>
      </c>
      <c r="D20" s="43"/>
      <c r="E20" s="44"/>
      <c r="F20" s="44"/>
      <c r="G20" s="44"/>
      <c r="H20" s="44"/>
      <c r="I20" s="50"/>
      <c r="J20" s="19"/>
      <c r="K20" s="19"/>
      <c r="L20" s="44"/>
      <c r="M20" s="44"/>
      <c r="N20" s="50"/>
      <c r="O20" s="56"/>
      <c r="P20" s="56"/>
      <c r="Q20" s="44"/>
      <c r="R20" s="44"/>
    </row>
    <row r="21" spans="1:18" ht="12.75">
      <c r="A21" s="41"/>
      <c r="B21" s="41" t="s">
        <v>35</v>
      </c>
      <c r="C21" s="43">
        <v>0.001</v>
      </c>
      <c r="D21" s="43"/>
      <c r="E21" s="44"/>
      <c r="F21" s="44"/>
      <c r="G21" s="44"/>
      <c r="H21" s="44"/>
      <c r="I21" s="50"/>
      <c r="J21" s="19"/>
      <c r="K21" s="19"/>
      <c r="L21" s="44"/>
      <c r="M21" s="44"/>
      <c r="N21" s="50"/>
      <c r="O21" s="56"/>
      <c r="P21" s="56"/>
      <c r="Q21" s="44"/>
      <c r="R21" s="44"/>
    </row>
    <row r="22" spans="1:18" ht="12.75">
      <c r="A22" s="41"/>
      <c r="B22" s="41" t="s">
        <v>36</v>
      </c>
      <c r="C22" s="43">
        <v>0.1</v>
      </c>
      <c r="D22" s="43"/>
      <c r="E22" s="44"/>
      <c r="F22" s="44"/>
      <c r="G22" s="44"/>
      <c r="H22" s="44"/>
      <c r="I22" s="50"/>
      <c r="J22" s="19"/>
      <c r="K22" s="19"/>
      <c r="L22" s="44"/>
      <c r="M22" s="44"/>
      <c r="N22" s="50"/>
      <c r="O22" s="56"/>
      <c r="P22" s="56"/>
      <c r="Q22" s="44"/>
      <c r="R22" s="44"/>
    </row>
    <row r="23" spans="1:18" ht="12.75">
      <c r="A23" s="41"/>
      <c r="B23" s="41" t="s">
        <v>116</v>
      </c>
      <c r="C23" s="43">
        <v>0</v>
      </c>
      <c r="D23" s="43"/>
      <c r="E23" s="44"/>
      <c r="F23" s="44"/>
      <c r="G23" s="44"/>
      <c r="H23" s="44"/>
      <c r="I23" s="50"/>
      <c r="J23" s="19"/>
      <c r="K23" s="19"/>
      <c r="L23" s="44"/>
      <c r="M23" s="44"/>
      <c r="N23" s="50"/>
      <c r="O23" s="56"/>
      <c r="P23" s="56"/>
      <c r="Q23" s="44"/>
      <c r="R23" s="44"/>
    </row>
    <row r="24" spans="1:18" ht="12.75">
      <c r="A24" s="41"/>
      <c r="B24" s="41" t="s">
        <v>37</v>
      </c>
      <c r="C24" s="43">
        <v>0.05</v>
      </c>
      <c r="D24" s="43"/>
      <c r="E24" s="44"/>
      <c r="F24" s="44"/>
      <c r="G24" s="44"/>
      <c r="H24" s="44"/>
      <c r="I24" s="50"/>
      <c r="J24" s="19"/>
      <c r="K24" s="19"/>
      <c r="L24" s="44"/>
      <c r="M24" s="44"/>
      <c r="N24" s="50"/>
      <c r="O24" s="56"/>
      <c r="P24" s="56"/>
      <c r="Q24" s="44"/>
      <c r="R24" s="44"/>
    </row>
    <row r="25" spans="1:18" ht="12.75">
      <c r="A25" s="41"/>
      <c r="B25" s="41" t="s">
        <v>38</v>
      </c>
      <c r="C25" s="43">
        <v>0.5</v>
      </c>
      <c r="D25" s="43"/>
      <c r="E25" s="44"/>
      <c r="F25" s="44"/>
      <c r="G25" s="44"/>
      <c r="H25" s="44"/>
      <c r="I25" s="50"/>
      <c r="J25" s="19"/>
      <c r="K25" s="19"/>
      <c r="L25" s="44"/>
      <c r="M25" s="44"/>
      <c r="N25" s="50"/>
      <c r="O25" s="56"/>
      <c r="P25" s="56"/>
      <c r="Q25" s="44"/>
      <c r="R25" s="44"/>
    </row>
    <row r="26" spans="1:18" ht="12.75">
      <c r="A26" s="41"/>
      <c r="B26" s="41" t="s">
        <v>117</v>
      </c>
      <c r="C26" s="43">
        <v>0</v>
      </c>
      <c r="D26" s="43"/>
      <c r="E26" s="44"/>
      <c r="F26" s="44"/>
      <c r="G26" s="44"/>
      <c r="H26" s="44"/>
      <c r="I26" s="50"/>
      <c r="J26" s="19"/>
      <c r="K26" s="19"/>
      <c r="L26" s="44"/>
      <c r="M26" s="44"/>
      <c r="N26" s="50"/>
      <c r="O26" s="56"/>
      <c r="P26" s="56"/>
      <c r="Q26" s="44"/>
      <c r="R26" s="44"/>
    </row>
    <row r="27" spans="1:18" ht="12.75">
      <c r="A27" s="41"/>
      <c r="B27" s="41" t="s">
        <v>39</v>
      </c>
      <c r="C27" s="43">
        <v>0.1</v>
      </c>
      <c r="D27" s="43"/>
      <c r="E27" s="44"/>
      <c r="F27" s="44"/>
      <c r="G27" s="44"/>
      <c r="H27" s="44"/>
      <c r="I27" s="50"/>
      <c r="J27" s="19"/>
      <c r="K27" s="19"/>
      <c r="L27" s="44"/>
      <c r="M27" s="44"/>
      <c r="N27" s="50"/>
      <c r="O27" s="56"/>
      <c r="P27" s="56"/>
      <c r="Q27" s="44"/>
      <c r="R27" s="44"/>
    </row>
    <row r="28" spans="1:18" ht="12.75">
      <c r="A28" s="41"/>
      <c r="B28" s="41" t="s">
        <v>40</v>
      </c>
      <c r="C28" s="43">
        <v>0.1</v>
      </c>
      <c r="D28" s="43"/>
      <c r="E28" s="44"/>
      <c r="F28" s="44"/>
      <c r="G28" s="44"/>
      <c r="H28" s="44"/>
      <c r="I28" s="50"/>
      <c r="J28" s="19"/>
      <c r="K28" s="19"/>
      <c r="L28" s="44"/>
      <c r="M28" s="44"/>
      <c r="N28" s="50"/>
      <c r="O28" s="56"/>
      <c r="P28" s="56"/>
      <c r="Q28" s="44"/>
      <c r="R28" s="44"/>
    </row>
    <row r="29" spans="1:18" ht="12.75">
      <c r="A29" s="41"/>
      <c r="B29" s="41" t="s">
        <v>41</v>
      </c>
      <c r="C29" s="43">
        <v>0.1</v>
      </c>
      <c r="D29" s="43"/>
      <c r="E29" s="44"/>
      <c r="F29" s="44"/>
      <c r="G29" s="44"/>
      <c r="H29" s="44"/>
      <c r="I29" s="50"/>
      <c r="J29" s="19"/>
      <c r="K29" s="19"/>
      <c r="L29" s="44"/>
      <c r="M29" s="44"/>
      <c r="N29" s="50"/>
      <c r="O29" s="56"/>
      <c r="P29" s="56"/>
      <c r="Q29" s="44"/>
      <c r="R29" s="44"/>
    </row>
    <row r="30" spans="1:18" ht="12.75">
      <c r="A30" s="41"/>
      <c r="B30" s="41" t="s">
        <v>42</v>
      </c>
      <c r="C30" s="43">
        <v>0.1</v>
      </c>
      <c r="D30" s="43"/>
      <c r="E30" s="44"/>
      <c r="F30" s="44"/>
      <c r="G30" s="44"/>
      <c r="H30" s="44"/>
      <c r="I30" s="50"/>
      <c r="J30" s="19"/>
      <c r="K30" s="19"/>
      <c r="L30" s="44"/>
      <c r="M30" s="44"/>
      <c r="N30" s="50"/>
      <c r="O30" s="56"/>
      <c r="P30" s="56"/>
      <c r="Q30" s="44"/>
      <c r="R30" s="44"/>
    </row>
    <row r="31" spans="1:18" ht="12.75">
      <c r="A31" s="41"/>
      <c r="B31" s="41" t="s">
        <v>118</v>
      </c>
      <c r="C31" s="43">
        <v>0</v>
      </c>
      <c r="D31" s="43"/>
      <c r="E31" s="44"/>
      <c r="F31" s="44"/>
      <c r="G31" s="44"/>
      <c r="H31" s="44"/>
      <c r="I31" s="50"/>
      <c r="J31" s="19"/>
      <c r="K31" s="19"/>
      <c r="L31" s="44"/>
      <c r="M31" s="44"/>
      <c r="N31" s="50"/>
      <c r="O31" s="56"/>
      <c r="P31" s="56"/>
      <c r="Q31" s="44"/>
      <c r="R31" s="44"/>
    </row>
    <row r="32" spans="1:18" ht="12.75">
      <c r="A32" s="41"/>
      <c r="B32" s="41" t="s">
        <v>43</v>
      </c>
      <c r="C32" s="43">
        <v>0.01</v>
      </c>
      <c r="D32" s="43"/>
      <c r="E32" s="44"/>
      <c r="F32" s="44"/>
      <c r="G32" s="44"/>
      <c r="H32" s="44"/>
      <c r="I32" s="50"/>
      <c r="J32" s="19"/>
      <c r="K32" s="19"/>
      <c r="L32" s="44"/>
      <c r="M32" s="44"/>
      <c r="N32" s="50"/>
      <c r="O32" s="56"/>
      <c r="P32" s="56"/>
      <c r="Q32" s="44"/>
      <c r="R32" s="44"/>
    </row>
    <row r="33" spans="1:18" ht="12.75">
      <c r="A33" s="41"/>
      <c r="B33" s="41" t="s">
        <v>44</v>
      </c>
      <c r="C33" s="43">
        <v>0.01</v>
      </c>
      <c r="D33" s="43"/>
      <c r="E33" s="44"/>
      <c r="F33" s="44"/>
      <c r="G33" s="44"/>
      <c r="H33" s="44"/>
      <c r="I33" s="50"/>
      <c r="J33" s="19"/>
      <c r="K33" s="19"/>
      <c r="L33" s="44"/>
      <c r="M33" s="44"/>
      <c r="N33" s="50"/>
      <c r="O33" s="56"/>
      <c r="P33" s="56"/>
      <c r="Q33" s="44"/>
      <c r="R33" s="44"/>
    </row>
    <row r="34" spans="1:18" ht="12.75">
      <c r="A34" s="41"/>
      <c r="B34" s="41" t="s">
        <v>119</v>
      </c>
      <c r="C34" s="43">
        <v>0</v>
      </c>
      <c r="D34" s="43"/>
      <c r="E34" s="44"/>
      <c r="F34" s="44"/>
      <c r="G34" s="44"/>
      <c r="H34" s="44"/>
      <c r="I34" s="50"/>
      <c r="J34" s="19"/>
      <c r="K34" s="19"/>
      <c r="L34" s="44"/>
      <c r="M34" s="44"/>
      <c r="N34" s="50"/>
      <c r="O34" s="56"/>
      <c r="P34" s="56"/>
      <c r="Q34" s="44"/>
      <c r="R34" s="44"/>
    </row>
    <row r="35" spans="1:18" ht="12.75">
      <c r="A35" s="41"/>
      <c r="B35" s="41" t="s">
        <v>45</v>
      </c>
      <c r="C35" s="43">
        <v>0.001</v>
      </c>
      <c r="D35" s="43"/>
      <c r="E35" s="44"/>
      <c r="F35" s="44"/>
      <c r="G35" s="44"/>
      <c r="H35" s="44"/>
      <c r="I35" s="50"/>
      <c r="J35" s="19"/>
      <c r="K35" s="19"/>
      <c r="L35" s="44"/>
      <c r="M35" s="44"/>
      <c r="N35" s="50"/>
      <c r="O35" s="56"/>
      <c r="P35" s="56"/>
      <c r="Q35" s="44"/>
      <c r="R35" s="44"/>
    </row>
    <row r="36" spans="1:18" ht="8.25" customHeight="1">
      <c r="A36" s="41"/>
      <c r="B36" s="41"/>
      <c r="C36" s="41"/>
      <c r="D36" s="41"/>
      <c r="E36" s="44"/>
      <c r="F36" s="44"/>
      <c r="G36" s="44"/>
      <c r="H36" s="44"/>
      <c r="I36" s="47"/>
      <c r="J36" s="19"/>
      <c r="K36" s="19"/>
      <c r="L36" s="44"/>
      <c r="M36" s="44"/>
      <c r="N36" s="47"/>
      <c r="O36" s="19"/>
      <c r="P36" s="19"/>
      <c r="Q36" s="47"/>
      <c r="R36" s="49"/>
    </row>
    <row r="37" spans="1:18" ht="12.75">
      <c r="A37" s="41"/>
      <c r="B37" s="41" t="s">
        <v>46</v>
      </c>
      <c r="C37" s="41"/>
      <c r="D37" s="41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</row>
    <row r="38" spans="1:18" ht="12.75">
      <c r="A38" s="41"/>
      <c r="B38" s="41" t="s">
        <v>66</v>
      </c>
      <c r="C38" s="41"/>
      <c r="D38" s="41"/>
      <c r="G38" s="47"/>
      <c r="H38" s="47"/>
      <c r="I38" s="47"/>
      <c r="J38" s="47"/>
      <c r="K38" s="47"/>
      <c r="L38" s="44"/>
      <c r="M38" s="44"/>
      <c r="N38" s="47"/>
      <c r="O38" s="47"/>
      <c r="P38" s="47"/>
      <c r="Q38" s="47"/>
      <c r="R38" s="47"/>
    </row>
    <row r="39" spans="1:18" ht="9" customHeight="1">
      <c r="A39" s="41"/>
      <c r="B39" s="41"/>
      <c r="C39" s="41"/>
      <c r="D39" s="41"/>
      <c r="E39" s="44"/>
      <c r="F39" s="44"/>
      <c r="G39" s="44"/>
      <c r="H39" s="48"/>
      <c r="I39" s="19"/>
      <c r="J39" s="47"/>
      <c r="K39" s="47"/>
      <c r="L39" s="44"/>
      <c r="M39" s="48"/>
      <c r="N39" s="47"/>
      <c r="O39" s="47"/>
      <c r="P39" s="47"/>
      <c r="Q39" s="47"/>
      <c r="R39" s="47"/>
    </row>
    <row r="40" spans="1:18" ht="12.75">
      <c r="A40" s="41"/>
      <c r="B40" s="41" t="s">
        <v>57</v>
      </c>
      <c r="C40" s="50"/>
      <c r="D40" s="50"/>
      <c r="E40" s="44"/>
      <c r="F40" s="44"/>
      <c r="G40" s="44"/>
      <c r="H40" s="50"/>
      <c r="I40" s="50"/>
      <c r="J40" s="44"/>
      <c r="K40" s="44"/>
      <c r="L40" s="44"/>
      <c r="M40" s="50"/>
      <c r="N40" s="50"/>
      <c r="O40" s="47"/>
      <c r="P40" s="47"/>
      <c r="Q40" s="44"/>
      <c r="R40" s="50"/>
    </row>
    <row r="41" spans="1:18" ht="12.75">
      <c r="A41" s="41"/>
      <c r="B41" s="41" t="s">
        <v>47</v>
      </c>
      <c r="C41" s="50"/>
      <c r="D41" s="50"/>
      <c r="E41" s="44"/>
      <c r="F41" s="44"/>
      <c r="G41" s="47">
        <v>5.27</v>
      </c>
      <c r="H41" s="50">
        <v>0.08</v>
      </c>
      <c r="I41" s="50"/>
      <c r="J41" s="47"/>
      <c r="K41" s="47"/>
      <c r="L41" s="47">
        <v>0.95</v>
      </c>
      <c r="M41" s="50">
        <v>0.02</v>
      </c>
      <c r="N41" s="50"/>
      <c r="O41" s="47"/>
      <c r="P41" s="47"/>
      <c r="Q41" s="47">
        <v>24.16</v>
      </c>
      <c r="R41" s="50">
        <v>0.45</v>
      </c>
    </row>
    <row r="42" spans="1:18" ht="9" customHeight="1">
      <c r="A42" s="41"/>
      <c r="B42" s="41"/>
      <c r="C42" s="41"/>
      <c r="D42" s="41"/>
      <c r="E42" s="44"/>
      <c r="F42" s="44"/>
      <c r="G42" s="44"/>
      <c r="H42" s="44"/>
      <c r="I42" s="46"/>
      <c r="J42" s="46"/>
      <c r="K42" s="46"/>
      <c r="L42" s="46"/>
      <c r="M42" s="46"/>
      <c r="N42" s="46"/>
      <c r="O42" s="46"/>
      <c r="P42" s="46"/>
      <c r="Q42" s="46"/>
      <c r="R42" s="49"/>
    </row>
    <row r="43" spans="1:18" ht="12.75">
      <c r="A43" s="47"/>
      <c r="B43" s="41" t="s">
        <v>67</v>
      </c>
      <c r="C43" s="46">
        <f>AVERAGE(H41,M41,R41)</f>
        <v>0.18333333333333335</v>
      </c>
      <c r="D43" s="47"/>
      <c r="E43" s="44"/>
      <c r="F43" s="44"/>
      <c r="G43" s="44"/>
      <c r="H43" s="44"/>
      <c r="I43" s="47"/>
      <c r="J43" s="47"/>
      <c r="K43" s="47"/>
      <c r="L43" s="47"/>
      <c r="M43" s="47"/>
      <c r="N43" s="47"/>
      <c r="O43" s="47"/>
      <c r="P43" s="47"/>
      <c r="Q43" s="47"/>
      <c r="R43" s="49"/>
    </row>
    <row r="44" spans="1:18" ht="12.75">
      <c r="A44" s="41"/>
      <c r="B44" s="41" t="s">
        <v>68</v>
      </c>
      <c r="C44" s="47">
        <f>AVERAGE(G41,L41,Q41)</f>
        <v>10.126666666666667</v>
      </c>
      <c r="D44" s="41"/>
      <c r="E44" s="44"/>
      <c r="F44" s="44"/>
      <c r="G44" s="44"/>
      <c r="H44" s="44"/>
      <c r="I44" s="49"/>
      <c r="J44" s="49"/>
      <c r="K44" s="49"/>
      <c r="L44" s="49"/>
      <c r="M44" s="49"/>
      <c r="N44" s="49"/>
      <c r="O44" s="49"/>
      <c r="P44" s="49"/>
      <c r="Q44" s="49"/>
      <c r="R44" s="49"/>
    </row>
    <row r="85" spans="1:18" ht="12.75">
      <c r="A85" s="2"/>
      <c r="B85" s="2"/>
      <c r="C85" s="2"/>
      <c r="D85" s="2"/>
      <c r="E85" s="4"/>
      <c r="F85" s="4"/>
      <c r="G85" s="4"/>
      <c r="J85" s="7"/>
      <c r="K85" s="7"/>
      <c r="L85" s="4"/>
      <c r="M85" s="6"/>
      <c r="N85" s="7"/>
      <c r="O85" s="7"/>
      <c r="P85" s="7"/>
      <c r="Q85" s="7"/>
      <c r="R85" s="7"/>
    </row>
    <row r="86" spans="1:18" ht="12.75">
      <c r="A86" s="2"/>
      <c r="B86" s="2"/>
      <c r="C86" s="3"/>
      <c r="D86" s="3"/>
      <c r="E86" s="4"/>
      <c r="F86" s="4"/>
      <c r="G86" s="4"/>
      <c r="H86" s="4"/>
      <c r="I86" s="3"/>
      <c r="J86" s="4"/>
      <c r="K86" s="4"/>
      <c r="L86" s="4"/>
      <c r="M86" s="4"/>
      <c r="N86" s="3"/>
      <c r="O86" s="7"/>
      <c r="P86" s="7"/>
      <c r="Q86" s="3"/>
      <c r="R86" s="3"/>
    </row>
    <row r="87" spans="1:18" ht="12.75">
      <c r="A87" s="2"/>
      <c r="B87" s="2"/>
      <c r="C87" s="3"/>
      <c r="D87" s="3"/>
      <c r="E87" s="4"/>
      <c r="F87" s="4"/>
      <c r="G87" s="4"/>
      <c r="H87" s="4"/>
      <c r="I87" s="3"/>
      <c r="J87" s="7"/>
      <c r="K87" s="7"/>
      <c r="L87" s="4"/>
      <c r="M87" s="3"/>
      <c r="N87" s="3"/>
      <c r="O87" s="7"/>
      <c r="P87" s="7"/>
      <c r="Q87" s="5"/>
      <c r="R87" s="5"/>
    </row>
  </sheetData>
  <printOptions headings="1" horizontalCentered="1"/>
  <pageMargins left="0.25" right="0.25" top="0.5" bottom="0.5" header="0.25" footer="0.25"/>
  <pageSetup horizontalDpi="600" verticalDpi="600" orientation="landscape" pageOrder="overThenDown" scale="80" r:id="rId1"/>
  <headerFooter alignWithMargins="0">
    <oddFooter>&amp;C&amp;P, &amp;A,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Springsteen</dc:creator>
  <cp:keywords/>
  <dc:description/>
  <cp:lastModifiedBy>Alan Nguyen</cp:lastModifiedBy>
  <cp:lastPrinted>2004-02-24T21:43:48Z</cp:lastPrinted>
  <dcterms:created xsi:type="dcterms:W3CDTF">2000-01-10T00:44:42Z</dcterms:created>
  <dcterms:modified xsi:type="dcterms:W3CDTF">2005-03-10T22:59:51Z</dcterms:modified>
  <cp:category/>
  <cp:version/>
  <cp:contentType/>
  <cp:contentStatus/>
</cp:coreProperties>
</file>