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0" windowWidth="12030" windowHeight="6570" tabRatio="832" activeTab="0"/>
  </bookViews>
  <sheets>
    <sheet name="list" sheetId="1" r:id="rId1"/>
    <sheet name="source" sheetId="2" r:id="rId2"/>
    <sheet name="cond" sheetId="3" r:id="rId3"/>
    <sheet name="emiss 1" sheetId="4" r:id="rId4"/>
    <sheet name="emiss 2" sheetId="5" r:id="rId5"/>
    <sheet name="feed" sheetId="6" r:id="rId6"/>
    <sheet name="process" sheetId="7" r:id="rId7"/>
    <sheet name="df c1" sheetId="8" r:id="rId8"/>
    <sheet name="df c2" sheetId="9" r:id="rId9"/>
    <sheet name="df c3" sheetId="10" r:id="rId10"/>
    <sheet name="df c4" sheetId="11" r:id="rId11"/>
  </sheets>
  <definedNames>
    <definedName name="_xlnm.Print_Titles" localSheetId="5">'feed'!$B:$B</definedName>
  </definedNames>
  <calcPr fullCalcOnLoad="1"/>
</workbook>
</file>

<file path=xl/sharedStrings.xml><?xml version="1.0" encoding="utf-8"?>
<sst xmlns="http://schemas.openxmlformats.org/spreadsheetml/2006/main" count="2295" uniqueCount="266">
  <si>
    <t>EPA ID No.</t>
  </si>
  <si>
    <t>Facility Name</t>
  </si>
  <si>
    <t>Facility Location</t>
  </si>
  <si>
    <t xml:space="preserve">    City</t>
  </si>
  <si>
    <t xml:space="preserve">    State</t>
  </si>
  <si>
    <t>Unit ID Name/No.</t>
  </si>
  <si>
    <t>Other Sister Facilities</t>
  </si>
  <si>
    <t>APCS Characteristics</t>
  </si>
  <si>
    <t>Stack Characteristics</t>
  </si>
  <si>
    <t xml:space="preserve">    Diameter (ft)</t>
  </si>
  <si>
    <t xml:space="preserve">    Height (ft)</t>
  </si>
  <si>
    <t>Permitting Status</t>
  </si>
  <si>
    <t>Units</t>
  </si>
  <si>
    <t>PM</t>
  </si>
  <si>
    <t>gr/dscf</t>
  </si>
  <si>
    <t>y</t>
  </si>
  <si>
    <t>ppmv</t>
  </si>
  <si>
    <t>dscfm</t>
  </si>
  <si>
    <t>%</t>
  </si>
  <si>
    <t>°F</t>
  </si>
  <si>
    <t>Facility Name and ID:</t>
  </si>
  <si>
    <t>Condition ID:</t>
  </si>
  <si>
    <t>Condition/Test Date:</t>
  </si>
  <si>
    <t>I-TEF</t>
  </si>
  <si>
    <t>Wght Fact</t>
  </si>
  <si>
    <t>Total</t>
  </si>
  <si>
    <t xml:space="preserve"> TEQ</t>
  </si>
  <si>
    <t>TEQ</t>
  </si>
  <si>
    <t>2,3,7,8-TCDD</t>
  </si>
  <si>
    <t>1,2,3,7,8-PCDD</t>
  </si>
  <si>
    <t>1,2,3,4,7,8-HxCDD</t>
  </si>
  <si>
    <t>1,2,3,6,7,8-HxCDD</t>
  </si>
  <si>
    <t>1,2,3,7,8,9-HxCDD</t>
  </si>
  <si>
    <t>1,2,3,4,6,7,8-HpCDD</t>
  </si>
  <si>
    <t>OCDD</t>
  </si>
  <si>
    <t>2,3,7,8-TCDF</t>
  </si>
  <si>
    <t>1,2,3,7,8-PCDF</t>
  </si>
  <si>
    <t>2,3,4,7,8-PCDF</t>
  </si>
  <si>
    <t>1,2,3,4,7,8-HxCDF</t>
  </si>
  <si>
    <t>1,2,3,6,7,8-HxCDF</t>
  </si>
  <si>
    <t>2,3,4,6,7,8-HxCDF</t>
  </si>
  <si>
    <t>1,2,3,7,8,9-HxCDF</t>
  </si>
  <si>
    <t>1,2,3,4,6,7,8-HpCDF</t>
  </si>
  <si>
    <t>1,2,3,4,7,8,9-HpCDF</t>
  </si>
  <si>
    <t>OCDF</t>
  </si>
  <si>
    <t>Gas sample volume (dscf)</t>
  </si>
  <si>
    <t>PCDD/PCDF (ng/dscm @ 7% O2)</t>
  </si>
  <si>
    <t>Cond Avg</t>
  </si>
  <si>
    <t>Feedstream Description</t>
  </si>
  <si>
    <t>g/hr</t>
  </si>
  <si>
    <t>Heating Value</t>
  </si>
  <si>
    <t>Btu/lb</t>
  </si>
  <si>
    <t>Ash</t>
  </si>
  <si>
    <t>Chlorine</t>
  </si>
  <si>
    <t>HCl</t>
  </si>
  <si>
    <t>Cl2</t>
  </si>
  <si>
    <t>DRE</t>
  </si>
  <si>
    <t>lb/hr</t>
  </si>
  <si>
    <t>Density</t>
  </si>
  <si>
    <t>Run 1</t>
  </si>
  <si>
    <t>Run 2</t>
  </si>
  <si>
    <t>Run 3</t>
  </si>
  <si>
    <r>
      <t>o</t>
    </r>
    <r>
      <rPr>
        <sz val="10"/>
        <rFont val="Arial"/>
        <family val="2"/>
      </rPr>
      <t>F</t>
    </r>
  </si>
  <si>
    <t>MM Btu/hr</t>
  </si>
  <si>
    <t>MMBtu/hr</t>
  </si>
  <si>
    <t>ug/dscm</t>
  </si>
  <si>
    <t>SVM</t>
  </si>
  <si>
    <t>LVM</t>
  </si>
  <si>
    <t>O2 (%)</t>
  </si>
  <si>
    <t>TEQ Cond Avg</t>
  </si>
  <si>
    <t>Total Cond Avg</t>
  </si>
  <si>
    <t>Stack Gas Flowrate</t>
  </si>
  <si>
    <t>Oxygen</t>
  </si>
  <si>
    <t>mg/dscm</t>
  </si>
  <si>
    <t>Stack Gas Emissions</t>
  </si>
  <si>
    <t>CO</t>
  </si>
  <si>
    <t>HC</t>
  </si>
  <si>
    <t>Combustor Characteristics</t>
  </si>
  <si>
    <t>7% O2</t>
  </si>
  <si>
    <t>Process Information</t>
  </si>
  <si>
    <t>1/2 ND</t>
  </si>
  <si>
    <t>PCDD/PCDF</t>
  </si>
  <si>
    <t>Hazardous Wastes</t>
  </si>
  <si>
    <t>Supplemental Fuel</t>
  </si>
  <si>
    <t>POHC DRE</t>
  </si>
  <si>
    <t>Capacity (MMBtu/hr)</t>
  </si>
  <si>
    <t xml:space="preserve">    Gas Velocity (ft/sec)</t>
  </si>
  <si>
    <t xml:space="preserve">    Gas Temperature (°F)</t>
  </si>
  <si>
    <t>Feedrate MTEC Calculations</t>
  </si>
  <si>
    <t>Phase II ID No.</t>
  </si>
  <si>
    <t>Source Description</t>
  </si>
  <si>
    <t>Soot Blowing</t>
  </si>
  <si>
    <t>Haz Waste Description</t>
  </si>
  <si>
    <t xml:space="preserve">   Temperature</t>
  </si>
  <si>
    <t xml:space="preserve">   Stack Gas Flowrate</t>
  </si>
  <si>
    <t>Lead</t>
  </si>
  <si>
    <t>Antimony</t>
  </si>
  <si>
    <t>Arsenic</t>
  </si>
  <si>
    <t>Barium</t>
  </si>
  <si>
    <t>Beryllium</t>
  </si>
  <si>
    <t>Cadmium</t>
  </si>
  <si>
    <t>Mercury</t>
  </si>
  <si>
    <t>Nickel</t>
  </si>
  <si>
    <t>Selenium</t>
  </si>
  <si>
    <t>Silver</t>
  </si>
  <si>
    <t>Thallium</t>
  </si>
  <si>
    <t>Comments</t>
  </si>
  <si>
    <t>Trial Burn</t>
  </si>
  <si>
    <t>PM, HCl/Cl2</t>
  </si>
  <si>
    <t>POHC Feedrate</t>
  </si>
  <si>
    <t>Emission Rate</t>
  </si>
  <si>
    <t xml:space="preserve">   O2</t>
  </si>
  <si>
    <t xml:space="preserve">   Moisture</t>
  </si>
  <si>
    <t>Copper</t>
  </si>
  <si>
    <t>CO (RA)</t>
  </si>
  <si>
    <t>Chromium</t>
  </si>
  <si>
    <t>Total Chlorine</t>
  </si>
  <si>
    <t>Sampling Train</t>
  </si>
  <si>
    <t>Zinc</t>
  </si>
  <si>
    <t>Trial burn</t>
  </si>
  <si>
    <t>Risk burn</t>
  </si>
  <si>
    <t>*</t>
  </si>
  <si>
    <t>Thermal Feedrate</t>
  </si>
  <si>
    <t>Feed Rate</t>
  </si>
  <si>
    <t>HWC Burn Status (Date if Terminated)</t>
  </si>
  <si>
    <t>Total TCDD</t>
  </si>
  <si>
    <t>Total PCDD</t>
  </si>
  <si>
    <t>Total HxCDD</t>
  </si>
  <si>
    <t>Total HpCDD</t>
  </si>
  <si>
    <t>Total TCDF</t>
  </si>
  <si>
    <t>Total PCDF</t>
  </si>
  <si>
    <t>Total HxCDF</t>
  </si>
  <si>
    <t>Total HpCDF</t>
  </si>
  <si>
    <t xml:space="preserve">POHC </t>
  </si>
  <si>
    <t>PCDD/PCDF (ng in sample)</t>
  </si>
  <si>
    <t>kg/L</t>
  </si>
  <si>
    <t>Tooele Army Depot</t>
  </si>
  <si>
    <t>Tooele</t>
  </si>
  <si>
    <t>Utah</t>
  </si>
  <si>
    <t>APE 1236M1 DF</t>
  </si>
  <si>
    <t>Propellant, ammunitions.</t>
  </si>
  <si>
    <t>PM, CO, PCDD/F</t>
  </si>
  <si>
    <t>PM, CO, PCDD/F, HCl/Cl2, metals</t>
  </si>
  <si>
    <t>July 12- 14, 2000</t>
  </si>
  <si>
    <t>Trial burn, M9 propellant feed</t>
  </si>
  <si>
    <t>July 19-21, 2000</t>
  </si>
  <si>
    <t>Trial burn, M1 propellant/ HCB powder</t>
  </si>
  <si>
    <t>July 24-26, 2000</t>
  </si>
  <si>
    <t>Trial burn, 0.5 caliber M17 tracer/ Cr powder. Max oper cond.</t>
  </si>
  <si>
    <t>3008C1</t>
  </si>
  <si>
    <t>CO (MHRA)</t>
  </si>
  <si>
    <t>PCDD/F</t>
  </si>
  <si>
    <t>Metals</t>
  </si>
  <si>
    <t>HCB</t>
  </si>
  <si>
    <t>2,4-DNT</t>
  </si>
  <si>
    <t>Aluminum</t>
  </si>
  <si>
    <t xml:space="preserve">3008C1 </t>
  </si>
  <si>
    <t>M9 Propellant</t>
  </si>
  <si>
    <t>PEP</t>
  </si>
  <si>
    <t>3008C2</t>
  </si>
  <si>
    <t>M1 Propellant</t>
  </si>
  <si>
    <t>3008C3</t>
  </si>
  <si>
    <t>0.5 Cal M17</t>
  </si>
  <si>
    <t>Cr Powder</t>
  </si>
  <si>
    <t>items/hr</t>
  </si>
  <si>
    <t>Tier II for Sb, Ba, Cr  and tier III for Pb</t>
  </si>
  <si>
    <t>Detected in sample volume (pg)</t>
  </si>
  <si>
    <t>3008C1 Trial burn</t>
  </si>
  <si>
    <t>Retort Speed</t>
  </si>
  <si>
    <t>rpm</t>
  </si>
  <si>
    <t>Afterburner Temperature</t>
  </si>
  <si>
    <t>Baghouse Diff. Press.</t>
  </si>
  <si>
    <t>Bahouse Temperature</t>
  </si>
  <si>
    <t>Kiln Feed End Draft</t>
  </si>
  <si>
    <t>Kiln Feed End Temperature</t>
  </si>
  <si>
    <t>Kiln Burner End Temperature</t>
  </si>
  <si>
    <t>in W.C</t>
  </si>
  <si>
    <t>in. H2O</t>
  </si>
  <si>
    <t>3008C2 Trial burn</t>
  </si>
  <si>
    <t>3008C3 Trial burn</t>
  </si>
  <si>
    <t>Risk burn, "normal" operation risk burn</t>
  </si>
  <si>
    <t xml:space="preserve">Risk Burn </t>
  </si>
  <si>
    <t>3008C4</t>
  </si>
  <si>
    <t>May 8-10, 2001</t>
  </si>
  <si>
    <t>3008C4 Risk burn</t>
  </si>
  <si>
    <t>nd</t>
  </si>
  <si>
    <t>PM, metals, PCDD/F</t>
  </si>
  <si>
    <t>Trial Burn Report. July 2000</t>
  </si>
  <si>
    <t>Risk Burn Report. May 2001</t>
  </si>
  <si>
    <t>Tooele Army Depot North</t>
  </si>
  <si>
    <t>UT3213820894</t>
  </si>
  <si>
    <t>Combustor Type</t>
  </si>
  <si>
    <t>Combustor Class</t>
  </si>
  <si>
    <t/>
  </si>
  <si>
    <t>CO(MHRA)</t>
  </si>
  <si>
    <t>347B1</t>
  </si>
  <si>
    <t>347B2</t>
  </si>
  <si>
    <t>347B3</t>
  </si>
  <si>
    <t>347B4</t>
  </si>
  <si>
    <t>TEST SERIES 2</t>
  </si>
  <si>
    <t>TEST SERIES 3</t>
  </si>
  <si>
    <t>TEST SERIES 5</t>
  </si>
  <si>
    <t>August 13-16, 1993</t>
  </si>
  <si>
    <t>3008C9</t>
  </si>
  <si>
    <t>3008B1</t>
  </si>
  <si>
    <t>3008B2</t>
  </si>
  <si>
    <t>3008B4</t>
  </si>
  <si>
    <t>R1</t>
  </si>
  <si>
    <t>R2</t>
  </si>
  <si>
    <t>R3</t>
  </si>
  <si>
    <t>Aug 17-19, 1993</t>
  </si>
  <si>
    <t>Aug 20-25, 1993</t>
  </si>
  <si>
    <t>Aug 26-27, 1993</t>
  </si>
  <si>
    <t>3008B3</t>
  </si>
  <si>
    <t>TEST SERIES 1</t>
  </si>
  <si>
    <t>August 11-12, 1993</t>
  </si>
  <si>
    <t>Stack Gas Emissions 1</t>
  </si>
  <si>
    <t>Condition Description</t>
  </si>
  <si>
    <t>Report Name/Date</t>
  </si>
  <si>
    <t>Report Prepare</t>
  </si>
  <si>
    <t>Testing Firm</t>
  </si>
  <si>
    <t>Testing Dates</t>
  </si>
  <si>
    <t>Condition Descr</t>
  </si>
  <si>
    <t>Content</t>
  </si>
  <si>
    <t>Feedstream 2</t>
  </si>
  <si>
    <t>Full ND</t>
  </si>
  <si>
    <t>Cyclone has a 90-95% removal efficiency for particles 10 microns or larger. Afterburner is built by Southern Technology Inc, designed to raise the temperature of the exhaust gases from the kiln. High temperature cast ceramic filters bahouse which is built by JT Systems Inc.</t>
  </si>
  <si>
    <t>C/AB/FF</t>
  </si>
  <si>
    <t>New APCS, old APCS (pre 2000 testing) used low temperature baghouse</t>
  </si>
  <si>
    <t>TEAD-N Incinerator Trial Burn Report, 6 December 1993, Air Pollution Emission Assessment No. 42-21-M665-93, RCRA Trial Burn for Deactivation Furnace, Tooele, Utah, 9-31 Autust 1993, Prepared by the U.S. Army Environmental Hygiene Agency</t>
  </si>
  <si>
    <t>b1</t>
  </si>
  <si>
    <t>E1</t>
  </si>
  <si>
    <t>E2</t>
  </si>
  <si>
    <t>E3</t>
  </si>
  <si>
    <t>Cond Dates</t>
  </si>
  <si>
    <t>Number of Sister Facilities</t>
  </si>
  <si>
    <t>APCS Detailed Acronym</t>
  </si>
  <si>
    <t>APCS General Class</t>
  </si>
  <si>
    <t>Liq, solid</t>
  </si>
  <si>
    <t>Oil</t>
  </si>
  <si>
    <t>Designed to ignite the ammunition items and effectively incinerate reactive components from the metal shells. Equiped with a Hauck 783 proportioning burner located at the discharge end. The burner has a turndown ratio of 4:1. Operated at 800-1100F and slight negative pressure.</t>
  </si>
  <si>
    <t>source</t>
  </si>
  <si>
    <t>cond</t>
  </si>
  <si>
    <t>emiss 1</t>
  </si>
  <si>
    <t>emiss 2</t>
  </si>
  <si>
    <t>feed</t>
  </si>
  <si>
    <t>process</t>
  </si>
  <si>
    <t>df c1</t>
  </si>
  <si>
    <t>df c2</t>
  </si>
  <si>
    <t>df c3</t>
  </si>
  <si>
    <t>df c4</t>
  </si>
  <si>
    <t>Rotary hearth</t>
  </si>
  <si>
    <t>Onsite incinerator, DoD munitions popping, government</t>
  </si>
  <si>
    <t>C, FF</t>
  </si>
  <si>
    <t>Feedstream Number</t>
  </si>
  <si>
    <t>Feed Class</t>
  </si>
  <si>
    <t>Solid HW</t>
  </si>
  <si>
    <t>F1</t>
  </si>
  <si>
    <t>F2</t>
  </si>
  <si>
    <t>F3</t>
  </si>
  <si>
    <t>F4</t>
  </si>
  <si>
    <t>F5</t>
  </si>
  <si>
    <t>Feed Class 2</t>
  </si>
  <si>
    <t>Estimated Firing Rate</t>
  </si>
  <si>
    <t>Dinitroglycerin</t>
  </si>
  <si>
    <t>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</si>
</sst>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000"/>
    <numFmt numFmtId="167" formatCode="0.000"/>
    <numFmt numFmtId="168" formatCode="#,##0.000"/>
    <numFmt numFmtId="169" formatCode="#,##0.0000"/>
    <numFmt numFmtId="170" formatCode="0.000000"/>
    <numFmt numFmtId="171" formatCode="0.00000"/>
    <numFmt numFmtId="172" formatCode="mmm\-yyyy"/>
    <numFmt numFmtId="173" formatCode="&quot;$&quot;#,##0.0"/>
    <numFmt numFmtId="174" formatCode="#,##0.0"/>
    <numFmt numFmtId="175" formatCode="0.00000000"/>
    <numFmt numFmtId="176" formatCode="0.0000000"/>
    <numFmt numFmtId="177" formatCode="mm/dd/yy"/>
  </numFmts>
  <fonts count="6">
    <font>
      <sz val="10"/>
      <name val="Arial"/>
      <family val="0"/>
    </font>
    <font>
      <sz val="10"/>
      <name val="Helv"/>
      <family val="0"/>
    </font>
    <font>
      <u val="single"/>
      <sz val="10"/>
      <color indexed="12"/>
      <name val="Arial"/>
      <family val="0"/>
    </font>
    <font>
      <b/>
      <sz val="10"/>
      <name val="Arial"/>
      <family val="2"/>
    </font>
    <font>
      <vertAlign val="superscript"/>
      <sz val="10"/>
      <name val="Arial"/>
      <family val="2"/>
    </font>
    <font>
      <i/>
      <sz val="10"/>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1" fillId="0" borderId="0" xfId="0" applyFont="1" applyAlignment="1">
      <alignment/>
    </xf>
    <xf numFmtId="0" fontId="1" fillId="0" borderId="0" xfId="0" applyFont="1" applyBorder="1" applyAlignment="1">
      <alignment/>
    </xf>
    <xf numFmtId="166" fontId="1" fillId="0" borderId="0" xfId="0" applyNumberFormat="1" applyFont="1" applyBorder="1" applyAlignment="1">
      <alignment/>
    </xf>
    <xf numFmtId="165" fontId="1" fillId="0" borderId="0" xfId="0" applyNumberFormat="1" applyFont="1" applyBorder="1" applyAlignment="1">
      <alignment/>
    </xf>
    <xf numFmtId="167" fontId="1" fillId="0" borderId="0" xfId="0" applyNumberFormat="1" applyFont="1" applyBorder="1" applyAlignment="1">
      <alignment/>
    </xf>
    <xf numFmtId="165" fontId="0" fillId="0" borderId="0" xfId="0" applyNumberFormat="1" applyAlignment="1">
      <alignment/>
    </xf>
    <xf numFmtId="2" fontId="1" fillId="0" borderId="0" xfId="0" applyNumberFormat="1" applyFont="1" applyBorder="1" applyAlignment="1">
      <alignment/>
    </xf>
    <xf numFmtId="0" fontId="3" fillId="0" borderId="0" xfId="0" applyFont="1" applyAlignment="1">
      <alignment/>
    </xf>
    <xf numFmtId="0" fontId="4" fillId="0" borderId="0" xfId="0" applyFont="1" applyAlignment="1">
      <alignment/>
    </xf>
    <xf numFmtId="0" fontId="0" fillId="0" borderId="0" xfId="0" applyFont="1" applyFill="1" applyBorder="1" applyAlignment="1">
      <alignment horizontal="left"/>
    </xf>
    <xf numFmtId="165"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0" fontId="0" fillId="0" borderId="0" xfId="0" applyFont="1" applyBorder="1" applyAlignment="1">
      <alignment horizontal="left"/>
    </xf>
    <xf numFmtId="165" fontId="0" fillId="0" borderId="0" xfId="0" applyNumberFormat="1" applyFont="1" applyBorder="1" applyAlignment="1">
      <alignment horizontal="right"/>
    </xf>
    <xf numFmtId="1" fontId="0" fillId="0" borderId="0" xfId="0" applyNumberFormat="1" applyFont="1" applyBorder="1" applyAlignment="1">
      <alignment horizontal="right"/>
    </xf>
    <xf numFmtId="1" fontId="0" fillId="0" borderId="0" xfId="0" applyNumberFormat="1" applyFont="1" applyBorder="1" applyAlignment="1">
      <alignment horizontal="center"/>
    </xf>
    <xf numFmtId="0" fontId="0" fillId="0" borderId="0" xfId="0" applyFont="1" applyAlignment="1">
      <alignment/>
    </xf>
    <xf numFmtId="0" fontId="0" fillId="0" borderId="0" xfId="0" applyFont="1" applyAlignment="1">
      <alignment horizontal="left"/>
    </xf>
    <xf numFmtId="165" fontId="0" fillId="0" borderId="0" xfId="0" applyNumberFormat="1" applyFont="1" applyAlignment="1">
      <alignment horizontal="left"/>
    </xf>
    <xf numFmtId="164" fontId="0" fillId="0" borderId="0" xfId="0" applyNumberFormat="1" applyFont="1" applyAlignment="1">
      <alignment horizontal="left"/>
    </xf>
    <xf numFmtId="0" fontId="3" fillId="0" borderId="0" xfId="0" applyFont="1" applyFill="1" applyBorder="1" applyAlignment="1">
      <alignment/>
    </xf>
    <xf numFmtId="0" fontId="0" fillId="0" borderId="0" xfId="0" applyFont="1" applyFill="1" applyBorder="1" applyAlignment="1">
      <alignment/>
    </xf>
    <xf numFmtId="0" fontId="0" fillId="0" borderId="0" xfId="0" applyNumberFormat="1" applyFont="1" applyFill="1" applyBorder="1" applyAlignment="1">
      <alignment/>
    </xf>
    <xf numFmtId="0" fontId="0" fillId="0" borderId="0" xfId="0" applyFont="1" applyFill="1" applyBorder="1" applyAlignment="1">
      <alignment horizontal="center"/>
    </xf>
    <xf numFmtId="0" fontId="0" fillId="0" borderId="0" xfId="0" applyNumberFormat="1" applyFont="1" applyFill="1" applyBorder="1" applyAlignment="1">
      <alignment horizontal="center"/>
    </xf>
    <xf numFmtId="0" fontId="3" fillId="0" borderId="0" xfId="0" applyFont="1" applyFill="1" applyBorder="1" applyAlignment="1">
      <alignment horizontal="left"/>
    </xf>
    <xf numFmtId="0" fontId="0" fillId="0" borderId="0" xfId="0" applyNumberFormat="1" applyFont="1" applyAlignment="1">
      <alignment/>
    </xf>
    <xf numFmtId="166" fontId="0" fillId="0" borderId="0" xfId="0" applyNumberFormat="1" applyFont="1" applyFill="1" applyBorder="1" applyAlignment="1">
      <alignment/>
    </xf>
    <xf numFmtId="165" fontId="0" fillId="0" borderId="0" xfId="0" applyNumberFormat="1" applyFont="1" applyFill="1" applyBorder="1" applyAlignment="1">
      <alignment/>
    </xf>
    <xf numFmtId="0" fontId="0" fillId="0" borderId="0" xfId="0" applyFont="1" applyFill="1" applyBorder="1" applyAlignment="1">
      <alignment horizontal="right"/>
    </xf>
    <xf numFmtId="0" fontId="0" fillId="0" borderId="0" xfId="0" applyNumberFormat="1" applyFont="1" applyFill="1" applyBorder="1" applyAlignment="1">
      <alignment horizontal="right"/>
    </xf>
    <xf numFmtId="1" fontId="0" fillId="0" borderId="0" xfId="0" applyNumberFormat="1" applyFont="1" applyFill="1" applyBorder="1" applyAlignment="1">
      <alignment/>
    </xf>
    <xf numFmtId="2" fontId="0" fillId="0" borderId="0" xfId="0" applyNumberFormat="1" applyFont="1" applyFill="1" applyBorder="1" applyAlignment="1">
      <alignment/>
    </xf>
    <xf numFmtId="11" fontId="0" fillId="0" borderId="0" xfId="0" applyNumberFormat="1" applyFont="1" applyFill="1" applyBorder="1" applyAlignment="1">
      <alignment horizontal="right"/>
    </xf>
    <xf numFmtId="11" fontId="0" fillId="0" borderId="0" xfId="0" applyNumberFormat="1" applyFont="1" applyFill="1" applyBorder="1" applyAlignment="1">
      <alignment/>
    </xf>
    <xf numFmtId="171" fontId="0" fillId="0" borderId="0" xfId="0" applyNumberFormat="1" applyFont="1" applyFill="1" applyBorder="1" applyAlignment="1">
      <alignment/>
    </xf>
    <xf numFmtId="0" fontId="3"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center"/>
    </xf>
    <xf numFmtId="174" fontId="0" fillId="0" borderId="0" xfId="0" applyNumberFormat="1" applyFont="1" applyBorder="1" applyAlignment="1">
      <alignment horizontal="right"/>
    </xf>
    <xf numFmtId="165" fontId="0" fillId="0" borderId="0" xfId="0" applyNumberFormat="1" applyFont="1" applyBorder="1" applyAlignment="1">
      <alignment/>
    </xf>
    <xf numFmtId="2" fontId="0" fillId="0" borderId="0" xfId="0" applyNumberFormat="1" applyFont="1" applyBorder="1" applyAlignment="1">
      <alignment horizontal="right"/>
    </xf>
    <xf numFmtId="167" fontId="0" fillId="0" borderId="0" xfId="0" applyNumberFormat="1" applyFont="1" applyBorder="1" applyAlignment="1">
      <alignment horizontal="right"/>
    </xf>
    <xf numFmtId="166" fontId="0" fillId="0" borderId="0" xfId="0" applyNumberFormat="1" applyFont="1" applyBorder="1" applyAlignment="1">
      <alignment horizontal="right"/>
    </xf>
    <xf numFmtId="167"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Alignment="1">
      <alignment/>
    </xf>
    <xf numFmtId="2" fontId="0" fillId="0" borderId="0" xfId="0" applyNumberFormat="1" applyFont="1" applyAlignment="1">
      <alignment/>
    </xf>
    <xf numFmtId="11" fontId="0" fillId="0" borderId="0" xfId="0" applyNumberFormat="1" applyFont="1" applyBorder="1" applyAlignment="1">
      <alignment/>
    </xf>
    <xf numFmtId="166" fontId="0" fillId="0" borderId="0" xfId="0" applyNumberFormat="1" applyFont="1" applyBorder="1" applyAlignment="1">
      <alignment/>
    </xf>
    <xf numFmtId="11" fontId="0" fillId="0" borderId="0" xfId="0" applyNumberFormat="1" applyFont="1" applyBorder="1" applyAlignment="1">
      <alignment horizontal="left"/>
    </xf>
    <xf numFmtId="166" fontId="0" fillId="0" borderId="0" xfId="0" applyNumberFormat="1" applyFont="1" applyBorder="1" applyAlignment="1">
      <alignment horizontal="center"/>
    </xf>
    <xf numFmtId="11" fontId="0" fillId="0" borderId="0" xfId="0" applyNumberFormat="1" applyFont="1" applyBorder="1" applyAlignment="1">
      <alignment horizontal="center"/>
    </xf>
    <xf numFmtId="1" fontId="0" fillId="0" borderId="0" xfId="0" applyNumberFormat="1" applyFont="1" applyBorder="1" applyAlignment="1">
      <alignment horizontal="centerContinuous"/>
    </xf>
    <xf numFmtId="1" fontId="0" fillId="0" borderId="0" xfId="0" applyNumberFormat="1" applyFont="1" applyBorder="1" applyAlignment="1">
      <alignment/>
    </xf>
    <xf numFmtId="1" fontId="0" fillId="0" borderId="0" xfId="0" applyNumberFormat="1" applyFont="1" applyAlignment="1">
      <alignment/>
    </xf>
    <xf numFmtId="0" fontId="3" fillId="0" borderId="0" xfId="0" applyFont="1" applyBorder="1" applyAlignment="1">
      <alignment/>
    </xf>
    <xf numFmtId="0" fontId="0" fillId="0" borderId="0" xfId="0" applyFont="1" applyAlignment="1">
      <alignment vertical="top" wrapText="1"/>
    </xf>
    <xf numFmtId="0" fontId="1" fillId="0" borderId="0" xfId="0" applyFont="1" applyAlignment="1">
      <alignment vertical="top" wrapText="1"/>
    </xf>
    <xf numFmtId="0" fontId="0" fillId="0" borderId="0" xfId="0" applyFont="1" applyAlignment="1">
      <alignment horizontal="left" vertical="top" wrapText="1"/>
    </xf>
    <xf numFmtId="0" fontId="5" fillId="0" borderId="0" xfId="0" applyFont="1" applyBorder="1" applyAlignment="1">
      <alignment horizontal="left"/>
    </xf>
    <xf numFmtId="2" fontId="0" fillId="0" borderId="0" xfId="0" applyNumberFormat="1" applyFont="1" applyAlignment="1">
      <alignment horizontal="left"/>
    </xf>
    <xf numFmtId="0" fontId="0" fillId="0" borderId="0" xfId="0" applyFont="1" applyAlignment="1">
      <alignment wrapText="1"/>
    </xf>
    <xf numFmtId="167" fontId="0" fillId="0" borderId="0" xfId="0" applyNumberFormat="1" applyFont="1" applyFill="1" applyBorder="1" applyAlignment="1">
      <alignment horizontal="right"/>
    </xf>
    <xf numFmtId="2" fontId="0" fillId="0" borderId="0" xfId="0" applyNumberFormat="1" applyAlignment="1">
      <alignment/>
    </xf>
    <xf numFmtId="0" fontId="0" fillId="0" borderId="0" xfId="0" applyBorder="1" applyAlignment="1">
      <alignment/>
    </xf>
    <xf numFmtId="0" fontId="0" fillId="0" borderId="0" xfId="0" applyNumberFormat="1" applyBorder="1" applyAlignment="1">
      <alignment/>
    </xf>
    <xf numFmtId="166" fontId="0" fillId="0" borderId="0" xfId="0" applyNumberFormat="1" applyBorder="1" applyAlignment="1">
      <alignment/>
    </xf>
    <xf numFmtId="165" fontId="0" fillId="0" borderId="0" xfId="0" applyNumberFormat="1" applyBorder="1" applyAlignment="1">
      <alignment/>
    </xf>
    <xf numFmtId="0" fontId="0" fillId="0" borderId="0" xfId="0" applyAlignment="1">
      <alignment horizontal="left"/>
    </xf>
    <xf numFmtId="0" fontId="0"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top" wrapText="1"/>
    </xf>
    <xf numFmtId="177" fontId="0" fillId="0" borderId="0" xfId="0" applyNumberFormat="1" applyAlignment="1">
      <alignment horizontal="left"/>
    </xf>
    <xf numFmtId="0" fontId="0" fillId="0" borderId="0" xfId="0" applyAlignment="1">
      <alignment horizontal="center"/>
    </xf>
    <xf numFmtId="0" fontId="0" fillId="0" borderId="0" xfId="0" applyAlignment="1">
      <alignment horizontal="left" vertical="top" wrapText="1"/>
    </xf>
    <xf numFmtId="0" fontId="0" fillId="0" borderId="0" xfId="0" applyFont="1" applyAlignment="1">
      <alignment vertical="top"/>
    </xf>
    <xf numFmtId="17" fontId="1" fillId="0" borderId="0" xfId="0" applyNumberFormat="1" applyFont="1" applyAlignment="1">
      <alignment horizontal="left"/>
    </xf>
    <xf numFmtId="17" fontId="0" fillId="0" borderId="0" xfId="0" applyNumberFormat="1" applyFont="1" applyAlignment="1">
      <alignment horizontal="left"/>
    </xf>
    <xf numFmtId="17" fontId="0" fillId="0" borderId="0" xfId="0" applyNumberFormat="1" applyAlignment="1">
      <alignment horizontal="left"/>
    </xf>
    <xf numFmtId="2" fontId="0" fillId="0" borderId="0" xfId="0" applyNumberForma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
  <sheetViews>
    <sheetView tabSelected="1" workbookViewId="0" topLeftCell="A1">
      <selection activeCell="D25" sqref="D25"/>
    </sheetView>
  </sheetViews>
  <sheetFormatPr defaultColWidth="9.140625" defaultRowHeight="12.75"/>
  <sheetData>
    <row r="1" ht="12.75">
      <c r="A1" t="s">
        <v>241</v>
      </c>
    </row>
    <row r="2" ht="12.75">
      <c r="A2" t="s">
        <v>242</v>
      </c>
    </row>
    <row r="3" ht="12.75">
      <c r="A3" t="s">
        <v>243</v>
      </c>
    </row>
    <row r="4" ht="12.75">
      <c r="A4" t="s">
        <v>244</v>
      </c>
    </row>
    <row r="5" ht="12.75">
      <c r="A5" t="s">
        <v>245</v>
      </c>
    </row>
    <row r="6" ht="12.75">
      <c r="A6" t="s">
        <v>246</v>
      </c>
    </row>
    <row r="7" ht="12.75">
      <c r="A7" t="s">
        <v>247</v>
      </c>
    </row>
    <row r="8" ht="12.75">
      <c r="A8" t="s">
        <v>248</v>
      </c>
    </row>
    <row r="9" ht="12.75">
      <c r="A9" t="s">
        <v>249</v>
      </c>
    </row>
    <row r="10" ht="12.75">
      <c r="A10" t="s">
        <v>250</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R87"/>
  <sheetViews>
    <sheetView zoomScale="75" zoomScaleNormal="75" workbookViewId="0" topLeftCell="A14">
      <selection activeCell="B33" sqref="B33"/>
    </sheetView>
  </sheetViews>
  <sheetFormatPr defaultColWidth="9.140625" defaultRowHeight="12.75"/>
  <cols>
    <col min="1" max="1" width="1.7109375" style="0" customWidth="1"/>
    <col min="2" max="2" width="20.00390625" style="0" customWidth="1"/>
    <col min="3" max="3" width="7.7109375" style="0" customWidth="1"/>
    <col min="4" max="4" width="4.57421875" style="0" customWidth="1"/>
    <col min="5" max="5" width="9.421875" style="0" customWidth="1"/>
    <col min="6" max="6" width="9.8515625" style="0" customWidth="1"/>
    <col min="7" max="7" width="12.421875" style="0" bestFit="1" customWidth="1"/>
    <col min="8" max="8" width="9.8515625" style="0" customWidth="1"/>
    <col min="9" max="9" width="3.421875" style="0" customWidth="1"/>
    <col min="11" max="11" width="9.28125" style="0" customWidth="1"/>
    <col min="13" max="13" width="9.28125" style="0" customWidth="1"/>
    <col min="14" max="14" width="4.00390625" style="0" customWidth="1"/>
    <col min="16" max="16" width="9.00390625" style="0" customWidth="1"/>
    <col min="18" max="18" width="9.00390625" style="0" customWidth="1"/>
  </cols>
  <sheetData>
    <row r="1" spans="1:18" ht="12.75">
      <c r="A1" s="58" t="s">
        <v>81</v>
      </c>
      <c r="B1" s="38"/>
      <c r="C1" s="38"/>
      <c r="D1" s="38"/>
      <c r="E1" s="50"/>
      <c r="F1" s="51"/>
      <c r="G1" s="50"/>
      <c r="H1" s="51"/>
      <c r="I1" s="50"/>
      <c r="J1" s="50"/>
      <c r="K1" s="50"/>
      <c r="L1" s="50"/>
      <c r="M1" s="50"/>
      <c r="N1" s="50"/>
      <c r="O1" s="50"/>
      <c r="P1" s="50"/>
      <c r="Q1" s="50"/>
      <c r="R1" s="50"/>
    </row>
    <row r="2" spans="1:18" ht="12.75">
      <c r="A2" s="38" t="s">
        <v>265</v>
      </c>
      <c r="B2" s="38"/>
      <c r="C2" s="38"/>
      <c r="D2" s="38"/>
      <c r="E2" s="50"/>
      <c r="F2" s="51"/>
      <c r="G2" s="50"/>
      <c r="H2" s="51"/>
      <c r="I2" s="50"/>
      <c r="J2" s="50"/>
      <c r="K2" s="50"/>
      <c r="L2" s="50"/>
      <c r="M2" s="50"/>
      <c r="N2" s="50"/>
      <c r="O2" s="50"/>
      <c r="P2" s="50"/>
      <c r="Q2" s="50"/>
      <c r="R2" s="50"/>
    </row>
    <row r="3" spans="1:18" ht="12.75">
      <c r="A3" s="38" t="s">
        <v>20</v>
      </c>
      <c r="B3" s="38"/>
      <c r="C3" s="13" t="str">
        <f>source!C5</f>
        <v>Tooele Army Depot North</v>
      </c>
      <c r="D3" s="13"/>
      <c r="E3" s="50"/>
      <c r="F3" s="51"/>
      <c r="G3" s="50"/>
      <c r="H3" s="51"/>
      <c r="I3" s="50"/>
      <c r="J3" s="50"/>
      <c r="K3" s="50"/>
      <c r="L3" s="50"/>
      <c r="M3" s="50"/>
      <c r="N3" s="50"/>
      <c r="O3" s="50"/>
      <c r="P3" s="50"/>
      <c r="Q3" s="50"/>
      <c r="R3" s="50"/>
    </row>
    <row r="4" spans="1:18" ht="12.75">
      <c r="A4" s="38" t="s">
        <v>21</v>
      </c>
      <c r="B4" s="38"/>
      <c r="C4" s="13" t="s">
        <v>161</v>
      </c>
      <c r="D4" s="13"/>
      <c r="E4" s="52"/>
      <c r="F4" s="53"/>
      <c r="G4" s="52"/>
      <c r="H4" s="53"/>
      <c r="I4" s="52"/>
      <c r="J4" s="52"/>
      <c r="K4" s="52"/>
      <c r="L4" s="52"/>
      <c r="M4" s="52"/>
      <c r="N4" s="52"/>
      <c r="O4" s="52"/>
      <c r="P4" s="52"/>
      <c r="Q4" s="52"/>
      <c r="R4" s="52"/>
    </row>
    <row r="5" spans="1:18" ht="12.75">
      <c r="A5" s="38" t="s">
        <v>22</v>
      </c>
      <c r="B5" s="38"/>
      <c r="C5" s="17" t="str">
        <f>cond!C30</f>
        <v>Trial burn, 0.5 caliber M17 tracer/ Cr powder. Max oper cond.</v>
      </c>
      <c r="D5" s="17"/>
      <c r="E5" s="17"/>
      <c r="F5" s="17"/>
      <c r="G5" s="17"/>
      <c r="H5" s="17"/>
      <c r="I5" s="17"/>
      <c r="J5" s="17"/>
      <c r="K5" s="50"/>
      <c r="L5" s="17"/>
      <c r="M5" s="50"/>
      <c r="N5" s="50"/>
      <c r="O5" s="50"/>
      <c r="P5" s="50"/>
      <c r="Q5" s="50"/>
      <c r="R5" s="50"/>
    </row>
    <row r="6" spans="1:18" ht="12.75">
      <c r="A6" s="38"/>
      <c r="B6" s="38"/>
      <c r="C6" s="40"/>
      <c r="D6" s="40"/>
      <c r="E6" s="54"/>
      <c r="F6" s="51"/>
      <c r="G6" s="54"/>
      <c r="H6" s="51"/>
      <c r="I6" s="50"/>
      <c r="J6" s="54"/>
      <c r="K6" s="50"/>
      <c r="L6" s="54"/>
      <c r="M6" s="50"/>
      <c r="N6" s="50"/>
      <c r="O6" s="54"/>
      <c r="P6" s="50"/>
      <c r="Q6" s="54"/>
      <c r="R6" s="50"/>
    </row>
    <row r="7" spans="1:18" ht="12.75">
      <c r="A7" s="38"/>
      <c r="B7" s="38"/>
      <c r="C7" s="40" t="s">
        <v>23</v>
      </c>
      <c r="D7" s="40"/>
      <c r="E7" s="55" t="s">
        <v>59</v>
      </c>
      <c r="F7" s="55"/>
      <c r="G7" s="55"/>
      <c r="H7" s="55"/>
      <c r="I7" s="16"/>
      <c r="J7" s="55" t="s">
        <v>60</v>
      </c>
      <c r="K7" s="55"/>
      <c r="L7" s="55"/>
      <c r="M7" s="55"/>
      <c r="N7" s="16"/>
      <c r="O7" s="55" t="s">
        <v>61</v>
      </c>
      <c r="P7" s="55"/>
      <c r="Q7" s="55"/>
      <c r="R7" s="55"/>
    </row>
    <row r="8" spans="1:18" ht="12.75">
      <c r="A8" s="38"/>
      <c r="B8" s="38"/>
      <c r="C8" s="40" t="s">
        <v>24</v>
      </c>
      <c r="D8" s="38"/>
      <c r="E8" s="54" t="s">
        <v>25</v>
      </c>
      <c r="F8" s="53" t="s">
        <v>26</v>
      </c>
      <c r="G8" s="54" t="s">
        <v>25</v>
      </c>
      <c r="H8" s="53" t="s">
        <v>26</v>
      </c>
      <c r="I8" s="50"/>
      <c r="J8" s="54" t="s">
        <v>25</v>
      </c>
      <c r="K8" s="54" t="s">
        <v>27</v>
      </c>
      <c r="L8" s="54" t="s">
        <v>25</v>
      </c>
      <c r="M8" s="54" t="s">
        <v>27</v>
      </c>
      <c r="N8" s="50"/>
      <c r="O8" s="54" t="s">
        <v>25</v>
      </c>
      <c r="P8" s="54" t="s">
        <v>27</v>
      </c>
      <c r="Q8" s="54" t="s">
        <v>25</v>
      </c>
      <c r="R8" s="54" t="s">
        <v>27</v>
      </c>
    </row>
    <row r="9" spans="1:18" ht="12.75">
      <c r="A9" s="38"/>
      <c r="B9" s="38"/>
      <c r="C9" s="40"/>
      <c r="D9" s="38"/>
      <c r="E9" s="54" t="s">
        <v>225</v>
      </c>
      <c r="F9" s="54" t="s">
        <v>225</v>
      </c>
      <c r="G9" s="54" t="s">
        <v>80</v>
      </c>
      <c r="H9" s="53" t="s">
        <v>80</v>
      </c>
      <c r="I9" s="50"/>
      <c r="J9" s="54" t="s">
        <v>225</v>
      </c>
      <c r="K9" s="54" t="s">
        <v>225</v>
      </c>
      <c r="L9" s="54" t="s">
        <v>80</v>
      </c>
      <c r="M9" s="53" t="s">
        <v>80</v>
      </c>
      <c r="N9" s="50"/>
      <c r="O9" s="54" t="s">
        <v>225</v>
      </c>
      <c r="P9" s="54" t="s">
        <v>225</v>
      </c>
      <c r="Q9" s="54" t="s">
        <v>80</v>
      </c>
      <c r="R9" s="53" t="s">
        <v>80</v>
      </c>
    </row>
    <row r="10" spans="1:18" ht="12.75">
      <c r="A10" s="38" t="s">
        <v>166</v>
      </c>
      <c r="B10" s="38"/>
      <c r="C10" s="38"/>
      <c r="D10" s="38"/>
      <c r="E10" s="50"/>
      <c r="F10" s="51"/>
      <c r="G10" s="50"/>
      <c r="H10" s="51"/>
      <c r="I10" s="50"/>
      <c r="J10" s="50"/>
      <c r="K10" s="50"/>
      <c r="L10" s="50"/>
      <c r="M10" s="50"/>
      <c r="N10" s="50"/>
      <c r="O10" s="42"/>
      <c r="P10" s="50"/>
      <c r="Q10" s="50"/>
      <c r="R10" s="50"/>
    </row>
    <row r="11" spans="1:18" ht="12.75">
      <c r="A11" s="38"/>
      <c r="B11" s="38" t="s">
        <v>28</v>
      </c>
      <c r="C11" s="40">
        <v>1</v>
      </c>
      <c r="D11" s="40"/>
      <c r="E11" s="47"/>
      <c r="F11" s="47">
        <f aca="true" t="shared" si="0" ref="F11:F35">IF(E11="","",E11*$C11)</f>
      </c>
      <c r="G11" s="47">
        <f aca="true" t="shared" si="1" ref="G11:G35">IF(E11=0,"",IF(D11="nd",E11/2,E11))</f>
      </c>
      <c r="H11" s="47">
        <f aca="true" t="shared" si="2" ref="H11:H35">IF(G11="","",G11*$C11)</f>
      </c>
      <c r="I11" s="51"/>
      <c r="J11" s="17"/>
      <c r="K11" s="47">
        <f aca="true" t="shared" si="3" ref="K11:M35">IF(J11="","",J11*$C11)</f>
      </c>
      <c r="L11" s="47">
        <f>IF(J11=0,"",IF(I11="nd",J11/2,J11))</f>
      </c>
      <c r="M11" s="47">
        <f t="shared" si="3"/>
      </c>
      <c r="N11" s="51"/>
      <c r="O11" s="56"/>
      <c r="P11" s="56">
        <f aca="true" t="shared" si="4" ref="P11:P35">IF(O11="","",O11*$C11)</f>
      </c>
      <c r="Q11" s="56">
        <f>IF(O11=0,"",IF(N11="nd",O11/2,O11))</f>
      </c>
      <c r="R11" s="56">
        <f aca="true" t="shared" si="5" ref="R11:R35">IF(Q11="","",Q11*$C11)</f>
      </c>
    </row>
    <row r="12" spans="1:18" ht="12.75">
      <c r="A12" s="38"/>
      <c r="B12" s="38" t="s">
        <v>125</v>
      </c>
      <c r="C12" s="40">
        <v>0</v>
      </c>
      <c r="D12" s="40"/>
      <c r="E12" s="47">
        <v>120</v>
      </c>
      <c r="F12" s="47">
        <f t="shared" si="0"/>
        <v>0</v>
      </c>
      <c r="G12" s="47">
        <f>IF(E12=0,"",IF(D12="nd",E12/2,E12))</f>
        <v>120</v>
      </c>
      <c r="H12" s="47">
        <f t="shared" si="2"/>
        <v>0</v>
      </c>
      <c r="I12" s="47"/>
      <c r="J12" s="47">
        <v>10</v>
      </c>
      <c r="K12" s="47">
        <f t="shared" si="3"/>
        <v>0</v>
      </c>
      <c r="L12" s="47">
        <f>IF(J12=0,"",IF(I12="nd",J12/2,J12))</f>
        <v>10</v>
      </c>
      <c r="M12" s="47">
        <f t="shared" si="3"/>
        <v>0</v>
      </c>
      <c r="N12" s="47"/>
      <c r="O12" s="47">
        <v>69</v>
      </c>
      <c r="P12" s="47">
        <f t="shared" si="4"/>
        <v>0</v>
      </c>
      <c r="Q12" s="47">
        <f>IF(O12=0,"",IF(N12="nd",O12/2,O12))</f>
        <v>69</v>
      </c>
      <c r="R12" s="47">
        <f t="shared" si="5"/>
        <v>0</v>
      </c>
    </row>
    <row r="13" spans="1:18" ht="12.75">
      <c r="A13" s="38"/>
      <c r="B13" s="38" t="s">
        <v>29</v>
      </c>
      <c r="C13" s="40">
        <v>0.5</v>
      </c>
      <c r="D13" s="40"/>
      <c r="E13" s="47"/>
      <c r="F13" s="47">
        <f t="shared" si="0"/>
      </c>
      <c r="G13" s="47">
        <f t="shared" si="1"/>
      </c>
      <c r="H13" s="47">
        <f t="shared" si="2"/>
      </c>
      <c r="I13" s="47"/>
      <c r="J13" s="47"/>
      <c r="K13" s="47">
        <f t="shared" si="3"/>
      </c>
      <c r="L13" s="47">
        <f aca="true" t="shared" si="6" ref="L13:L27">IF(J13=0,"",IF(I13="nd",J13/2,J13))</f>
      </c>
      <c r="M13" s="47">
        <f t="shared" si="3"/>
      </c>
      <c r="N13" s="47"/>
      <c r="O13" s="49"/>
      <c r="P13" s="47">
        <f t="shared" si="4"/>
      </c>
      <c r="Q13" s="47">
        <f aca="true" t="shared" si="7" ref="Q13:Q35">IF(O13=0,"",IF(N13="nd",O13/2,O13))</f>
      </c>
      <c r="R13" s="47">
        <f t="shared" si="5"/>
      </c>
    </row>
    <row r="14" spans="1:18" ht="12.75">
      <c r="A14" s="38"/>
      <c r="B14" s="38" t="s">
        <v>126</v>
      </c>
      <c r="C14" s="40">
        <v>0</v>
      </c>
      <c r="D14" s="40"/>
      <c r="E14" s="47">
        <v>66</v>
      </c>
      <c r="F14" s="47">
        <f t="shared" si="0"/>
        <v>0</v>
      </c>
      <c r="G14" s="47">
        <f>IF(E14=0,"",IF(D14="nd",E14/2,E14))</f>
        <v>66</v>
      </c>
      <c r="H14" s="47">
        <f t="shared" si="2"/>
        <v>0</v>
      </c>
      <c r="I14" s="47"/>
      <c r="J14" s="47"/>
      <c r="K14" s="47">
        <f t="shared" si="3"/>
      </c>
      <c r="L14" s="47">
        <f>IF(J14=0,"",IF(I14="nd",J14/2,J14))</f>
      </c>
      <c r="M14" s="47">
        <f t="shared" si="3"/>
      </c>
      <c r="N14" s="47"/>
      <c r="O14" s="49">
        <v>41</v>
      </c>
      <c r="P14" s="47">
        <f t="shared" si="4"/>
        <v>0</v>
      </c>
      <c r="Q14" s="47">
        <f>IF(O14=0,"",IF(N14="nd",O14/2,O14))</f>
        <v>41</v>
      </c>
      <c r="R14" s="47">
        <f t="shared" si="5"/>
        <v>0</v>
      </c>
    </row>
    <row r="15" spans="1:18" ht="12.75">
      <c r="A15" s="38"/>
      <c r="B15" s="38" t="s">
        <v>30</v>
      </c>
      <c r="C15" s="40">
        <v>0.1</v>
      </c>
      <c r="D15" s="40"/>
      <c r="E15" s="47"/>
      <c r="F15" s="47">
        <f t="shared" si="0"/>
      </c>
      <c r="G15" s="47">
        <f t="shared" si="1"/>
      </c>
      <c r="H15" s="47">
        <f t="shared" si="2"/>
      </c>
      <c r="I15" s="47"/>
      <c r="J15" s="47"/>
      <c r="K15" s="47">
        <f t="shared" si="3"/>
      </c>
      <c r="L15" s="47">
        <f t="shared" si="6"/>
      </c>
      <c r="M15" s="47">
        <f t="shared" si="3"/>
      </c>
      <c r="N15" s="47"/>
      <c r="O15" s="49"/>
      <c r="P15" s="47">
        <f t="shared" si="4"/>
      </c>
      <c r="Q15" s="47">
        <f t="shared" si="7"/>
      </c>
      <c r="R15" s="47">
        <f t="shared" si="5"/>
      </c>
    </row>
    <row r="16" spans="1:18" ht="12.75">
      <c r="A16" s="38"/>
      <c r="B16" s="38" t="s">
        <v>31</v>
      </c>
      <c r="C16" s="40">
        <v>0.1</v>
      </c>
      <c r="D16" s="40"/>
      <c r="E16" s="47"/>
      <c r="F16" s="47">
        <f t="shared" si="0"/>
      </c>
      <c r="G16" s="47">
        <f t="shared" si="1"/>
      </c>
      <c r="H16" s="47">
        <f t="shared" si="2"/>
      </c>
      <c r="I16" s="47"/>
      <c r="J16" s="47"/>
      <c r="K16" s="47">
        <f t="shared" si="3"/>
      </c>
      <c r="L16" s="47">
        <f t="shared" si="6"/>
      </c>
      <c r="M16" s="47">
        <f t="shared" si="3"/>
      </c>
      <c r="N16" s="47"/>
      <c r="O16" s="49"/>
      <c r="P16" s="47">
        <f t="shared" si="4"/>
      </c>
      <c r="Q16" s="47">
        <f t="shared" si="7"/>
      </c>
      <c r="R16" s="47">
        <f t="shared" si="5"/>
      </c>
    </row>
    <row r="17" spans="1:18" ht="12.75">
      <c r="A17" s="38"/>
      <c r="B17" s="38" t="s">
        <v>32</v>
      </c>
      <c r="C17" s="40">
        <v>0.1</v>
      </c>
      <c r="D17" s="40"/>
      <c r="E17" s="47"/>
      <c r="F17" s="47">
        <f t="shared" si="0"/>
      </c>
      <c r="G17" s="47">
        <f t="shared" si="1"/>
      </c>
      <c r="H17" s="47">
        <f t="shared" si="2"/>
      </c>
      <c r="I17" s="47"/>
      <c r="J17" s="47"/>
      <c r="K17" s="47">
        <f t="shared" si="3"/>
      </c>
      <c r="L17" s="47">
        <f t="shared" si="6"/>
      </c>
      <c r="M17" s="47">
        <f t="shared" si="3"/>
      </c>
      <c r="N17" s="47"/>
      <c r="O17" s="49"/>
      <c r="P17" s="47">
        <f t="shared" si="4"/>
      </c>
      <c r="Q17" s="47">
        <f t="shared" si="7"/>
      </c>
      <c r="R17" s="47">
        <f t="shared" si="5"/>
      </c>
    </row>
    <row r="18" spans="1:18" ht="12.75">
      <c r="A18" s="38"/>
      <c r="B18" s="38" t="s">
        <v>127</v>
      </c>
      <c r="C18" s="40">
        <v>0</v>
      </c>
      <c r="D18" s="40"/>
      <c r="E18" s="47">
        <v>210</v>
      </c>
      <c r="F18" s="47">
        <f t="shared" si="0"/>
        <v>0</v>
      </c>
      <c r="G18" s="47">
        <f>IF(E18=0,"",IF(D18="nd",E18/2,E18))</f>
        <v>210</v>
      </c>
      <c r="H18" s="47">
        <f t="shared" si="2"/>
        <v>0</v>
      </c>
      <c r="I18" s="47"/>
      <c r="J18" s="47"/>
      <c r="K18" s="47">
        <f t="shared" si="3"/>
      </c>
      <c r="L18" s="47">
        <f>IF(J18=0,"",IF(I18="nd",J18/2,J18))</f>
      </c>
      <c r="M18" s="47">
        <f t="shared" si="3"/>
      </c>
      <c r="N18" s="47"/>
      <c r="O18" s="49"/>
      <c r="P18" s="47">
        <f t="shared" si="4"/>
      </c>
      <c r="Q18" s="47">
        <f>IF(O18=0,"",IF(N18="nd",O18/2,O18))</f>
      </c>
      <c r="R18" s="47">
        <f t="shared" si="5"/>
      </c>
    </row>
    <row r="19" spans="1:18" ht="12.75">
      <c r="A19" s="38"/>
      <c r="B19" s="38" t="s">
        <v>33</v>
      </c>
      <c r="C19" s="40">
        <v>0.01</v>
      </c>
      <c r="D19" s="40"/>
      <c r="E19" s="47">
        <v>198</v>
      </c>
      <c r="F19" s="47">
        <f t="shared" si="0"/>
        <v>1.98</v>
      </c>
      <c r="G19" s="47">
        <f t="shared" si="1"/>
        <v>198</v>
      </c>
      <c r="H19" s="47">
        <f t="shared" si="2"/>
        <v>1.98</v>
      </c>
      <c r="I19" s="47"/>
      <c r="J19" s="47">
        <v>69</v>
      </c>
      <c r="K19" s="47">
        <f t="shared" si="3"/>
        <v>0.6900000000000001</v>
      </c>
      <c r="L19" s="47">
        <f t="shared" si="6"/>
        <v>69</v>
      </c>
      <c r="M19" s="47">
        <f t="shared" si="3"/>
        <v>0.6900000000000001</v>
      </c>
      <c r="N19" s="47"/>
      <c r="O19" s="49">
        <v>113</v>
      </c>
      <c r="P19" s="47">
        <f t="shared" si="4"/>
        <v>1.1300000000000001</v>
      </c>
      <c r="Q19" s="47">
        <f t="shared" si="7"/>
        <v>113</v>
      </c>
      <c r="R19" s="47">
        <f t="shared" si="5"/>
        <v>1.1300000000000001</v>
      </c>
    </row>
    <row r="20" spans="1:18" ht="12.75">
      <c r="A20" s="38"/>
      <c r="B20" s="38" t="s">
        <v>128</v>
      </c>
      <c r="C20" s="40">
        <v>0</v>
      </c>
      <c r="D20" s="40"/>
      <c r="E20" s="47">
        <v>420</v>
      </c>
      <c r="F20" s="47">
        <f t="shared" si="0"/>
        <v>0</v>
      </c>
      <c r="G20" s="47">
        <f>IF(E20=0,"",IF(D20="nd",E20/2,E20))</f>
        <v>420</v>
      </c>
      <c r="H20" s="47">
        <f t="shared" si="2"/>
        <v>0</v>
      </c>
      <c r="I20" s="47"/>
      <c r="J20" s="47">
        <v>130</v>
      </c>
      <c r="K20" s="47">
        <f t="shared" si="3"/>
        <v>0</v>
      </c>
      <c r="L20" s="47">
        <f>IF(J20=0,"",IF(I20="nd",J20/2,J20))</f>
        <v>130</v>
      </c>
      <c r="M20" s="47">
        <f t="shared" si="3"/>
        <v>0</v>
      </c>
      <c r="N20" s="47"/>
      <c r="O20" s="49">
        <v>230</v>
      </c>
      <c r="P20" s="47">
        <f t="shared" si="4"/>
        <v>0</v>
      </c>
      <c r="Q20" s="47">
        <f>IF(O20=0,"",IF(N20="nd",O20/2,O20))</f>
        <v>230</v>
      </c>
      <c r="R20" s="47">
        <f t="shared" si="5"/>
        <v>0</v>
      </c>
    </row>
    <row r="21" spans="1:18" ht="12.75">
      <c r="A21" s="38"/>
      <c r="B21" s="38" t="s">
        <v>34</v>
      </c>
      <c r="C21" s="40">
        <v>0.001</v>
      </c>
      <c r="D21" s="40"/>
      <c r="E21" s="47">
        <v>1600</v>
      </c>
      <c r="F21" s="47">
        <f t="shared" si="0"/>
        <v>1.6</v>
      </c>
      <c r="G21" s="47">
        <f t="shared" si="1"/>
        <v>1600</v>
      </c>
      <c r="H21" s="47">
        <f t="shared" si="2"/>
        <v>1.6</v>
      </c>
      <c r="I21" s="47"/>
      <c r="J21" s="47">
        <v>800</v>
      </c>
      <c r="K21" s="47">
        <f t="shared" si="3"/>
        <v>0.8</v>
      </c>
      <c r="L21" s="47">
        <f t="shared" si="6"/>
        <v>800</v>
      </c>
      <c r="M21" s="47">
        <f t="shared" si="3"/>
        <v>0.8</v>
      </c>
      <c r="N21" s="47"/>
      <c r="O21" s="49">
        <v>780</v>
      </c>
      <c r="P21" s="47">
        <f t="shared" si="4"/>
        <v>0.78</v>
      </c>
      <c r="Q21" s="47">
        <f t="shared" si="7"/>
        <v>780</v>
      </c>
      <c r="R21" s="47">
        <f t="shared" si="5"/>
        <v>0.78</v>
      </c>
    </row>
    <row r="22" spans="1:18" ht="12.75">
      <c r="A22" s="38"/>
      <c r="B22" s="38" t="s">
        <v>35</v>
      </c>
      <c r="C22" s="40">
        <v>0.1</v>
      </c>
      <c r="D22" s="40"/>
      <c r="E22" s="47">
        <v>350</v>
      </c>
      <c r="F22" s="47">
        <f t="shared" si="0"/>
        <v>35</v>
      </c>
      <c r="G22" s="47">
        <f t="shared" si="1"/>
        <v>350</v>
      </c>
      <c r="H22" s="47">
        <f t="shared" si="2"/>
        <v>35</v>
      </c>
      <c r="I22" s="47"/>
      <c r="J22" s="47">
        <v>43</v>
      </c>
      <c r="K22" s="47">
        <f t="shared" si="3"/>
        <v>4.3</v>
      </c>
      <c r="L22" s="47">
        <f t="shared" si="6"/>
        <v>43</v>
      </c>
      <c r="M22" s="47">
        <f t="shared" si="3"/>
        <v>4.3</v>
      </c>
      <c r="N22" s="47"/>
      <c r="O22" s="49">
        <v>54</v>
      </c>
      <c r="P22" s="47">
        <f t="shared" si="4"/>
        <v>5.4</v>
      </c>
      <c r="Q22" s="47">
        <f t="shared" si="7"/>
        <v>54</v>
      </c>
      <c r="R22" s="47">
        <f t="shared" si="5"/>
        <v>5.4</v>
      </c>
    </row>
    <row r="23" spans="1:18" ht="12.75">
      <c r="A23" s="38"/>
      <c r="B23" s="38" t="s">
        <v>129</v>
      </c>
      <c r="C23" s="40">
        <v>0</v>
      </c>
      <c r="D23" s="40"/>
      <c r="E23" s="47">
        <v>1600</v>
      </c>
      <c r="F23" s="47">
        <f t="shared" si="0"/>
        <v>0</v>
      </c>
      <c r="G23" s="47">
        <f>IF(E23=0,"",IF(D23="nd",E23/2,E23))</f>
        <v>1600</v>
      </c>
      <c r="H23" s="47">
        <f t="shared" si="2"/>
        <v>0</v>
      </c>
      <c r="I23" s="47"/>
      <c r="J23" s="47">
        <v>1000</v>
      </c>
      <c r="K23" s="47">
        <f t="shared" si="3"/>
        <v>0</v>
      </c>
      <c r="L23" s="47">
        <f>IF(J23=0,"",IF(I23="nd",J23/2,J23))</f>
        <v>1000</v>
      </c>
      <c r="M23" s="47">
        <f t="shared" si="3"/>
        <v>0</v>
      </c>
      <c r="N23" s="47"/>
      <c r="O23" s="49">
        <v>2300</v>
      </c>
      <c r="P23" s="47">
        <f t="shared" si="4"/>
        <v>0</v>
      </c>
      <c r="Q23" s="47">
        <f>IF(O23=0,"",IF(N23="nd",O23/2,O23))</f>
        <v>2300</v>
      </c>
      <c r="R23" s="47">
        <f t="shared" si="5"/>
        <v>0</v>
      </c>
    </row>
    <row r="24" spans="1:18" ht="12.75">
      <c r="A24" s="38"/>
      <c r="B24" s="38" t="s">
        <v>36</v>
      </c>
      <c r="C24" s="40">
        <v>0.05</v>
      </c>
      <c r="D24" s="40"/>
      <c r="E24" s="47"/>
      <c r="F24" s="47">
        <f t="shared" si="0"/>
      </c>
      <c r="G24" s="47">
        <f t="shared" si="1"/>
      </c>
      <c r="H24" s="47">
        <f t="shared" si="2"/>
      </c>
      <c r="I24" s="47"/>
      <c r="J24" s="47"/>
      <c r="K24" s="47">
        <f t="shared" si="3"/>
      </c>
      <c r="L24" s="47">
        <f t="shared" si="6"/>
      </c>
      <c r="M24" s="47">
        <f t="shared" si="3"/>
      </c>
      <c r="N24" s="47"/>
      <c r="O24" s="49"/>
      <c r="P24" s="47">
        <f t="shared" si="4"/>
      </c>
      <c r="Q24" s="47">
        <f t="shared" si="7"/>
      </c>
      <c r="R24" s="47">
        <f t="shared" si="5"/>
      </c>
    </row>
    <row r="25" spans="1:18" ht="12.75">
      <c r="A25" s="38"/>
      <c r="B25" s="38" t="s">
        <v>37</v>
      </c>
      <c r="C25" s="40">
        <v>0.5</v>
      </c>
      <c r="D25" s="40"/>
      <c r="E25" s="47">
        <v>60</v>
      </c>
      <c r="F25" s="47">
        <f t="shared" si="0"/>
        <v>30</v>
      </c>
      <c r="G25" s="47">
        <f t="shared" si="1"/>
        <v>60</v>
      </c>
      <c r="H25" s="47">
        <f t="shared" si="2"/>
        <v>30</v>
      </c>
      <c r="I25" s="47"/>
      <c r="J25" s="47"/>
      <c r="K25" s="47">
        <f t="shared" si="3"/>
      </c>
      <c r="L25" s="47">
        <f t="shared" si="6"/>
      </c>
      <c r="M25" s="47">
        <f t="shared" si="3"/>
      </c>
      <c r="N25" s="47"/>
      <c r="O25" s="49">
        <v>56</v>
      </c>
      <c r="P25" s="47">
        <f t="shared" si="4"/>
        <v>28</v>
      </c>
      <c r="Q25" s="47">
        <f t="shared" si="7"/>
        <v>56</v>
      </c>
      <c r="R25" s="47">
        <f t="shared" si="5"/>
        <v>28</v>
      </c>
    </row>
    <row r="26" spans="1:18" ht="12.75">
      <c r="A26" s="38"/>
      <c r="B26" s="38" t="s">
        <v>130</v>
      </c>
      <c r="C26" s="40">
        <v>0</v>
      </c>
      <c r="D26" s="40"/>
      <c r="E26" s="47">
        <v>500</v>
      </c>
      <c r="F26" s="47">
        <f t="shared" si="0"/>
        <v>0</v>
      </c>
      <c r="G26" s="47">
        <f>IF(E26=0,"",IF(D26="nd",E26/2,E26))</f>
        <v>500</v>
      </c>
      <c r="H26" s="47">
        <f t="shared" si="2"/>
        <v>0</v>
      </c>
      <c r="I26" s="47"/>
      <c r="J26" s="47">
        <v>160</v>
      </c>
      <c r="K26" s="47">
        <f t="shared" si="3"/>
        <v>0</v>
      </c>
      <c r="L26" s="47">
        <f>IF(J26=0,"",IF(I26="nd",J26/2,J26))</f>
        <v>160</v>
      </c>
      <c r="M26" s="47">
        <f t="shared" si="3"/>
        <v>0</v>
      </c>
      <c r="N26" s="47"/>
      <c r="O26" s="49">
        <v>220</v>
      </c>
      <c r="P26" s="47">
        <f t="shared" si="4"/>
        <v>0</v>
      </c>
      <c r="Q26" s="47">
        <f>IF(O26=0,"",IF(N26="nd",O26/2,O26))</f>
        <v>220</v>
      </c>
      <c r="R26" s="47">
        <f t="shared" si="5"/>
        <v>0</v>
      </c>
    </row>
    <row r="27" spans="1:18" ht="12.75">
      <c r="A27" s="38"/>
      <c r="B27" s="38" t="s">
        <v>38</v>
      </c>
      <c r="C27" s="40">
        <v>0.1</v>
      </c>
      <c r="D27" s="40"/>
      <c r="E27" s="47">
        <v>70</v>
      </c>
      <c r="F27" s="47">
        <f t="shared" si="0"/>
        <v>7</v>
      </c>
      <c r="G27" s="47">
        <f t="shared" si="1"/>
        <v>70</v>
      </c>
      <c r="H27" s="47">
        <f t="shared" si="2"/>
        <v>7</v>
      </c>
      <c r="I27" s="47"/>
      <c r="J27" s="49"/>
      <c r="K27" s="47">
        <f t="shared" si="3"/>
      </c>
      <c r="L27" s="47">
        <f t="shared" si="6"/>
      </c>
      <c r="M27" s="47">
        <f t="shared" si="3"/>
      </c>
      <c r="N27" s="47"/>
      <c r="O27" s="49"/>
      <c r="P27" s="47">
        <f t="shared" si="4"/>
      </c>
      <c r="Q27" s="47">
        <f t="shared" si="7"/>
      </c>
      <c r="R27" s="47">
        <f t="shared" si="5"/>
      </c>
    </row>
    <row r="28" spans="1:18" ht="12.75">
      <c r="A28" s="38"/>
      <c r="B28" s="38" t="s">
        <v>39</v>
      </c>
      <c r="C28" s="40">
        <v>0.1</v>
      </c>
      <c r="D28" s="40"/>
      <c r="E28" s="47"/>
      <c r="F28" s="47">
        <f t="shared" si="0"/>
      </c>
      <c r="G28" s="47">
        <f t="shared" si="1"/>
      </c>
      <c r="H28" s="47">
        <f t="shared" si="2"/>
      </c>
      <c r="I28" s="47"/>
      <c r="J28" s="49"/>
      <c r="K28" s="47">
        <f t="shared" si="3"/>
      </c>
      <c r="L28" s="47">
        <f aca="true" t="shared" si="8" ref="L28:L35">IF(J28=0,"",IF(I28="nd",J28/2,J28))</f>
      </c>
      <c r="M28" s="47">
        <f t="shared" si="3"/>
      </c>
      <c r="N28" s="47"/>
      <c r="O28" s="49"/>
      <c r="P28" s="47">
        <f t="shared" si="4"/>
      </c>
      <c r="Q28" s="47">
        <f t="shared" si="7"/>
      </c>
      <c r="R28" s="47">
        <f t="shared" si="5"/>
      </c>
    </row>
    <row r="29" spans="1:18" ht="12.75">
      <c r="A29" s="38"/>
      <c r="B29" s="38" t="s">
        <v>40</v>
      </c>
      <c r="C29" s="40">
        <v>0.1</v>
      </c>
      <c r="D29" s="40"/>
      <c r="E29" s="47"/>
      <c r="F29" s="47">
        <f t="shared" si="0"/>
      </c>
      <c r="G29" s="47">
        <f t="shared" si="1"/>
      </c>
      <c r="H29" s="47">
        <f t="shared" si="2"/>
      </c>
      <c r="I29" s="47"/>
      <c r="J29" s="49"/>
      <c r="K29" s="47">
        <f t="shared" si="3"/>
      </c>
      <c r="L29" s="47">
        <f t="shared" si="8"/>
      </c>
      <c r="M29" s="47">
        <f t="shared" si="3"/>
      </c>
      <c r="N29" s="47"/>
      <c r="O29" s="49"/>
      <c r="P29" s="47">
        <f t="shared" si="4"/>
      </c>
      <c r="Q29" s="47">
        <f t="shared" si="7"/>
      </c>
      <c r="R29" s="47">
        <f t="shared" si="5"/>
      </c>
    </row>
    <row r="30" spans="1:18" ht="12.75">
      <c r="A30" s="38"/>
      <c r="B30" s="38" t="s">
        <v>41</v>
      </c>
      <c r="C30" s="40">
        <v>0.1</v>
      </c>
      <c r="D30" s="40"/>
      <c r="E30" s="47"/>
      <c r="F30" s="47">
        <f t="shared" si="0"/>
      </c>
      <c r="G30" s="47">
        <f t="shared" si="1"/>
      </c>
      <c r="H30" s="47">
        <f t="shared" si="2"/>
      </c>
      <c r="I30" s="47"/>
      <c r="J30" s="49"/>
      <c r="K30" s="47">
        <f t="shared" si="3"/>
      </c>
      <c r="L30" s="47">
        <f t="shared" si="8"/>
      </c>
      <c r="M30" s="47">
        <f t="shared" si="3"/>
      </c>
      <c r="N30" s="47"/>
      <c r="O30" s="49"/>
      <c r="P30" s="47">
        <f t="shared" si="4"/>
      </c>
      <c r="Q30" s="47">
        <f t="shared" si="7"/>
      </c>
      <c r="R30" s="47">
        <f t="shared" si="5"/>
      </c>
    </row>
    <row r="31" spans="1:18" ht="12.75">
      <c r="A31" s="38"/>
      <c r="B31" s="38" t="s">
        <v>131</v>
      </c>
      <c r="C31" s="40">
        <v>0</v>
      </c>
      <c r="D31" s="40"/>
      <c r="E31" s="47">
        <v>170</v>
      </c>
      <c r="F31" s="47">
        <f t="shared" si="0"/>
        <v>0</v>
      </c>
      <c r="G31" s="47">
        <f>IF(E31=0,"",IF(D31="nd",E31/2,E31))</f>
        <v>170</v>
      </c>
      <c r="H31" s="47">
        <f t="shared" si="2"/>
        <v>0</v>
      </c>
      <c r="I31" s="47"/>
      <c r="J31" s="49"/>
      <c r="K31" s="47">
        <f t="shared" si="3"/>
      </c>
      <c r="L31" s="47">
        <f>IF(J31=0,"",IF(I31="nd",J31/2,J31))</f>
      </c>
      <c r="M31" s="47">
        <f t="shared" si="3"/>
      </c>
      <c r="N31" s="47"/>
      <c r="O31" s="49">
        <v>52</v>
      </c>
      <c r="P31" s="47">
        <f t="shared" si="4"/>
        <v>0</v>
      </c>
      <c r="Q31" s="47">
        <f>IF(O31=0,"",IF(N31="nd",O31/2,O31))</f>
        <v>52</v>
      </c>
      <c r="R31" s="47">
        <f t="shared" si="5"/>
        <v>0</v>
      </c>
    </row>
    <row r="32" spans="1:18" ht="12.75">
      <c r="A32" s="38"/>
      <c r="B32" s="38" t="s">
        <v>42</v>
      </c>
      <c r="C32" s="40">
        <v>0.01</v>
      </c>
      <c r="D32" s="40"/>
      <c r="E32" s="47">
        <v>130</v>
      </c>
      <c r="F32" s="47">
        <f t="shared" si="0"/>
        <v>1.3</v>
      </c>
      <c r="G32" s="47">
        <f t="shared" si="1"/>
        <v>130</v>
      </c>
      <c r="H32" s="47">
        <f t="shared" si="2"/>
        <v>1.3</v>
      </c>
      <c r="I32" s="47"/>
      <c r="J32" s="49"/>
      <c r="K32" s="47">
        <f t="shared" si="3"/>
      </c>
      <c r="L32" s="47">
        <f t="shared" si="8"/>
      </c>
      <c r="M32" s="47">
        <f t="shared" si="3"/>
      </c>
      <c r="N32" s="47"/>
      <c r="O32" s="49"/>
      <c r="P32" s="47">
        <f t="shared" si="4"/>
      </c>
      <c r="Q32" s="47">
        <f t="shared" si="7"/>
      </c>
      <c r="R32" s="47">
        <f t="shared" si="5"/>
      </c>
    </row>
    <row r="33" spans="1:18" ht="12.75">
      <c r="A33" s="38"/>
      <c r="B33" s="38" t="s">
        <v>43</v>
      </c>
      <c r="C33" s="40">
        <v>0.01</v>
      </c>
      <c r="D33" s="40"/>
      <c r="E33" s="47"/>
      <c r="F33" s="47">
        <f t="shared" si="0"/>
      </c>
      <c r="G33" s="47">
        <f t="shared" si="1"/>
      </c>
      <c r="H33" s="47">
        <f t="shared" si="2"/>
      </c>
      <c r="I33" s="47"/>
      <c r="J33" s="49"/>
      <c r="K33" s="47">
        <f t="shared" si="3"/>
      </c>
      <c r="L33" s="47">
        <f t="shared" si="8"/>
      </c>
      <c r="M33" s="47">
        <f t="shared" si="3"/>
      </c>
      <c r="N33" s="47"/>
      <c r="O33" s="49"/>
      <c r="P33" s="47">
        <f t="shared" si="4"/>
      </c>
      <c r="Q33" s="47">
        <f t="shared" si="7"/>
      </c>
      <c r="R33" s="47">
        <f t="shared" si="5"/>
      </c>
    </row>
    <row r="34" spans="1:18" ht="12.75">
      <c r="A34" s="38"/>
      <c r="B34" s="38" t="s">
        <v>132</v>
      </c>
      <c r="C34" s="40">
        <v>0</v>
      </c>
      <c r="D34" s="40"/>
      <c r="E34" s="47">
        <v>130</v>
      </c>
      <c r="F34" s="47">
        <f t="shared" si="0"/>
        <v>0</v>
      </c>
      <c r="G34" s="47">
        <f>IF(E34=0,"",IF(D34="nd",E34/2,E34))</f>
        <v>130</v>
      </c>
      <c r="H34" s="47">
        <f t="shared" si="2"/>
        <v>0</v>
      </c>
      <c r="I34" s="47"/>
      <c r="J34" s="49"/>
      <c r="K34" s="47">
        <f t="shared" si="3"/>
      </c>
      <c r="L34" s="47">
        <f>IF(J34=0,"",IF(I34="nd",J34/2,J34))</f>
      </c>
      <c r="M34" s="47">
        <f t="shared" si="3"/>
      </c>
      <c r="N34" s="47"/>
      <c r="O34" s="49"/>
      <c r="P34" s="47">
        <f t="shared" si="4"/>
      </c>
      <c r="Q34" s="47">
        <f>IF(O34=0,"",IF(N34="nd",O34/2,O34))</f>
      </c>
      <c r="R34" s="47">
        <f t="shared" si="5"/>
      </c>
    </row>
    <row r="35" spans="1:18" ht="12.75">
      <c r="A35" s="38"/>
      <c r="B35" s="38" t="s">
        <v>44</v>
      </c>
      <c r="C35" s="40">
        <v>0.001</v>
      </c>
      <c r="D35" s="40"/>
      <c r="E35" s="47"/>
      <c r="F35" s="47">
        <f t="shared" si="0"/>
      </c>
      <c r="G35" s="47">
        <f t="shared" si="1"/>
      </c>
      <c r="H35" s="47">
        <f t="shared" si="2"/>
      </c>
      <c r="I35" s="47"/>
      <c r="J35" s="49"/>
      <c r="K35" s="47">
        <f t="shared" si="3"/>
      </c>
      <c r="L35" s="47">
        <f t="shared" si="8"/>
      </c>
      <c r="M35" s="47">
        <f t="shared" si="3"/>
      </c>
      <c r="N35" s="47"/>
      <c r="O35" s="49"/>
      <c r="P35" s="47">
        <f t="shared" si="4"/>
      </c>
      <c r="Q35" s="47">
        <f t="shared" si="7"/>
      </c>
      <c r="R35" s="47">
        <f t="shared" si="5"/>
      </c>
    </row>
    <row r="36" spans="1:18" ht="12.75">
      <c r="A36" s="38"/>
      <c r="B36" s="38"/>
      <c r="C36" s="38"/>
      <c r="D36" s="38"/>
      <c r="E36" s="47"/>
      <c r="F36" s="51"/>
      <c r="G36" s="47"/>
      <c r="H36" s="51"/>
      <c r="I36" s="47"/>
      <c r="J36" s="17"/>
      <c r="K36" s="42"/>
      <c r="L36" s="42"/>
      <c r="M36" s="42"/>
      <c r="N36" s="47"/>
      <c r="O36" s="17"/>
      <c r="P36" s="50"/>
      <c r="Q36" s="47"/>
      <c r="R36" s="50"/>
    </row>
    <row r="37" spans="1:18" ht="12.75">
      <c r="A37" s="38"/>
      <c r="B37" s="38" t="s">
        <v>45</v>
      </c>
      <c r="C37" s="38"/>
      <c r="D37" s="38"/>
      <c r="E37" s="47"/>
      <c r="F37" s="47">
        <v>104.15</v>
      </c>
      <c r="G37" s="47">
        <v>104.15</v>
      </c>
      <c r="H37" s="47">
        <v>104.15</v>
      </c>
      <c r="I37" s="47"/>
      <c r="J37" s="47"/>
      <c r="K37" s="47">
        <v>114.76</v>
      </c>
      <c r="L37" s="47">
        <v>114.76</v>
      </c>
      <c r="M37" s="47">
        <v>114.76</v>
      </c>
      <c r="N37" s="47"/>
      <c r="O37" s="47"/>
      <c r="P37" s="47">
        <v>122.21</v>
      </c>
      <c r="Q37" s="47">
        <v>122.21</v>
      </c>
      <c r="R37" s="47">
        <v>122.21</v>
      </c>
    </row>
    <row r="38" spans="1:18" ht="12.75">
      <c r="A38" s="38"/>
      <c r="B38" s="38" t="s">
        <v>68</v>
      </c>
      <c r="C38" s="38"/>
      <c r="D38" s="38"/>
      <c r="E38" s="47"/>
      <c r="F38" s="47">
        <v>14.7</v>
      </c>
      <c r="G38" s="47">
        <v>14.7</v>
      </c>
      <c r="H38" s="47">
        <v>14.7</v>
      </c>
      <c r="I38" s="47"/>
      <c r="J38" s="47"/>
      <c r="K38" s="42">
        <v>14.4</v>
      </c>
      <c r="L38" s="42">
        <v>14.4</v>
      </c>
      <c r="M38" s="42">
        <v>14.4</v>
      </c>
      <c r="N38" s="47"/>
      <c r="O38" s="47"/>
      <c r="P38" s="47">
        <v>15</v>
      </c>
      <c r="Q38" s="47">
        <v>15</v>
      </c>
      <c r="R38" s="47">
        <v>15</v>
      </c>
    </row>
    <row r="39" spans="1:18" ht="12.75">
      <c r="A39" s="38"/>
      <c r="B39" s="38"/>
      <c r="C39" s="38"/>
      <c r="D39" s="38"/>
      <c r="E39" s="47"/>
      <c r="F39" s="17"/>
      <c r="G39" s="47"/>
      <c r="H39" s="17"/>
      <c r="I39" s="17"/>
      <c r="J39" s="47"/>
      <c r="K39" s="48"/>
      <c r="L39" s="42"/>
      <c r="M39" s="48"/>
      <c r="N39" s="47"/>
      <c r="O39" s="47"/>
      <c r="P39" s="47"/>
      <c r="Q39" s="47"/>
      <c r="R39" s="47"/>
    </row>
    <row r="40" spans="1:18" ht="12.75">
      <c r="A40" s="38"/>
      <c r="B40" s="38" t="s">
        <v>134</v>
      </c>
      <c r="C40" s="51"/>
      <c r="D40" s="51"/>
      <c r="E40" s="42"/>
      <c r="F40" s="47">
        <f>SUM(F11:F35)/1000</f>
        <v>0.07687999999999999</v>
      </c>
      <c r="G40" s="42">
        <f>SUM(G35,G34,G31,G26,G23,G21,G20,G18,G14,G12)/1000</f>
        <v>4.816</v>
      </c>
      <c r="H40" s="47">
        <f>SUM(H11:H35)/1000</f>
        <v>0.07687999999999999</v>
      </c>
      <c r="I40" s="51"/>
      <c r="J40" s="42"/>
      <c r="K40" s="47">
        <f>SUM(K11:K35)/1000</f>
        <v>0.00579</v>
      </c>
      <c r="L40" s="42">
        <f>SUM(L35,L34,L31,L26,L23,L21,L20,L18,L14,L12)/1000</f>
        <v>2.1</v>
      </c>
      <c r="M40" s="47">
        <f>SUM(M11:M35)/1000</f>
        <v>0.00579</v>
      </c>
      <c r="N40" s="51"/>
      <c r="O40" s="47"/>
      <c r="P40" s="47">
        <f>SUM(P11:P35)/1000</f>
        <v>0.03531</v>
      </c>
      <c r="Q40" s="42">
        <f>SUM(Q35,Q34,Q31,Q26,Q23,Q21,Q20,Q18,Q14,Q12)/1000</f>
        <v>3.692</v>
      </c>
      <c r="R40" s="47">
        <f>SUM(R11:R35)/1000</f>
        <v>0.03531</v>
      </c>
    </row>
    <row r="41" spans="1:18" ht="12.75">
      <c r="A41" s="38"/>
      <c r="B41" s="38" t="s">
        <v>46</v>
      </c>
      <c r="C41" s="51"/>
      <c r="D41" s="42">
        <f>(F41-H41)*2/F41*100</f>
        <v>0</v>
      </c>
      <c r="E41" s="47"/>
      <c r="F41" s="51">
        <f>(F40/F37/0.0283*(21-7)/(21-F38))</f>
        <v>0.05796357334723613</v>
      </c>
      <c r="G41" s="47">
        <f>(G40/G37/0.0283*(21-7)/(21-G38))</f>
        <v>3.631016769514688</v>
      </c>
      <c r="H41" s="51">
        <f>(H40/H37/0.0283*(21-7)/(21-H38))</f>
        <v>0.05796357334723613</v>
      </c>
      <c r="I41" s="42">
        <f>(K41-M41)*2/K41*100</f>
        <v>0</v>
      </c>
      <c r="J41" s="47"/>
      <c r="K41" s="51">
        <f>(K40/K37/0.0283*(21-7)/(21-K38))</f>
        <v>0.003781687941717107</v>
      </c>
      <c r="L41" s="47">
        <f>(L40/L37/0.0283*(21-7)/(21-L38))</f>
        <v>1.3715966627989506</v>
      </c>
      <c r="M41" s="51">
        <f>(M40/M37/0.0283*(21-7)/(21-M38))</f>
        <v>0.003781687941717107</v>
      </c>
      <c r="N41" s="42">
        <f>(P41-R41)*2/P41*100</f>
        <v>0</v>
      </c>
      <c r="O41" s="47"/>
      <c r="P41" s="51">
        <f>(P40/P37/0.0283*(21-7)/(21-P38))</f>
        <v>0.023822170202886017</v>
      </c>
      <c r="Q41" s="47">
        <f>(Q40/Q37/0.0283*(21-7)/(21-Q38))</f>
        <v>2.490836941066417</v>
      </c>
      <c r="R41" s="51">
        <f>(R40/R37/0.0283*(21-7)/(21-R38))</f>
        <v>0.023822170202886017</v>
      </c>
    </row>
    <row r="42" spans="1:18" ht="12.75">
      <c r="A42" s="38"/>
      <c r="B42" s="38"/>
      <c r="C42" s="38"/>
      <c r="D42" s="38"/>
      <c r="E42" s="46"/>
      <c r="F42" s="51"/>
      <c r="G42" s="46"/>
      <c r="H42" s="51"/>
      <c r="I42" s="46"/>
      <c r="J42" s="46"/>
      <c r="K42" s="46"/>
      <c r="L42" s="46"/>
      <c r="M42" s="46"/>
      <c r="N42" s="46"/>
      <c r="O42" s="46"/>
      <c r="P42" s="50"/>
      <c r="Q42" s="46"/>
      <c r="R42" s="50"/>
    </row>
    <row r="43" spans="1:18" ht="12.75">
      <c r="A43" s="47"/>
      <c r="B43" s="38" t="s">
        <v>69</v>
      </c>
      <c r="C43" s="46">
        <f>AVERAGE(H41,M41,R41)</f>
        <v>0.02852247716394642</v>
      </c>
      <c r="D43" s="47"/>
      <c r="E43" s="47"/>
      <c r="F43" s="51"/>
      <c r="G43" s="47"/>
      <c r="H43" s="51"/>
      <c r="I43" s="47"/>
      <c r="J43" s="47"/>
      <c r="K43" s="47"/>
      <c r="L43" s="47"/>
      <c r="M43" s="47"/>
      <c r="N43" s="47"/>
      <c r="O43" s="47"/>
      <c r="P43" s="50"/>
      <c r="Q43" s="47"/>
      <c r="R43" s="50"/>
    </row>
    <row r="44" spans="1:18" ht="12.75">
      <c r="A44" s="38"/>
      <c r="B44" s="38" t="s">
        <v>70</v>
      </c>
      <c r="C44" s="47">
        <f>AVERAGE(G41,L41,Q41)</f>
        <v>2.4978167911266858</v>
      </c>
      <c r="D44" s="38"/>
      <c r="E44" s="50"/>
      <c r="F44" s="51"/>
      <c r="G44" s="50"/>
      <c r="H44" s="51"/>
      <c r="I44" s="50"/>
      <c r="J44" s="50"/>
      <c r="K44" s="50"/>
      <c r="L44" s="50"/>
      <c r="M44" s="50"/>
      <c r="N44" s="50"/>
      <c r="O44" s="50"/>
      <c r="P44" s="50"/>
      <c r="Q44" s="50"/>
      <c r="R44" s="50"/>
    </row>
    <row r="85" spans="1:18" ht="12.75">
      <c r="A85" s="2"/>
      <c r="B85" s="2"/>
      <c r="C85" s="2"/>
      <c r="D85" s="2"/>
      <c r="E85" s="7"/>
      <c r="G85" s="7"/>
      <c r="J85" s="7"/>
      <c r="K85" s="6"/>
      <c r="L85" s="4"/>
      <c r="M85" s="6"/>
      <c r="N85" s="7"/>
      <c r="O85" s="7"/>
      <c r="P85" s="7"/>
      <c r="Q85" s="7"/>
      <c r="R85" s="7"/>
    </row>
    <row r="86" spans="1:18" ht="12.75">
      <c r="A86" s="2"/>
      <c r="B86" s="2"/>
      <c r="C86" s="3"/>
      <c r="D86" s="3"/>
      <c r="E86" s="4"/>
      <c r="F86" s="7"/>
      <c r="G86" s="4"/>
      <c r="H86" s="7"/>
      <c r="I86" s="3"/>
      <c r="J86" s="4"/>
      <c r="K86" s="4"/>
      <c r="L86" s="4"/>
      <c r="M86" s="4"/>
      <c r="N86" s="3"/>
      <c r="O86" s="7"/>
      <c r="P86" s="3"/>
      <c r="Q86" s="3"/>
      <c r="R86" s="3"/>
    </row>
    <row r="87" spans="1:18" ht="12.75">
      <c r="A87" s="2"/>
      <c r="B87" s="2"/>
      <c r="C87" s="3"/>
      <c r="D87" s="3"/>
      <c r="E87" s="7"/>
      <c r="F87" s="3"/>
      <c r="G87" s="5"/>
      <c r="H87" s="3"/>
      <c r="I87" s="3"/>
      <c r="J87" s="7"/>
      <c r="K87" s="3"/>
      <c r="L87" s="4"/>
      <c r="M87" s="3"/>
      <c r="N87" s="3"/>
      <c r="O87" s="7"/>
      <c r="P87" s="5"/>
      <c r="Q87" s="5"/>
      <c r="R87" s="5"/>
    </row>
  </sheetData>
  <printOptions headings="1" horizontalCentered="1"/>
  <pageMargins left="0.25" right="0.25" top="0.5" bottom="0.5" header="0.25" footer="0.25"/>
  <pageSetup horizontalDpi="600" verticalDpi="600" orientation="landscape" pageOrder="overThenDown" scale="80" r:id="rId1"/>
  <headerFooter alignWithMargins="0">
    <oddFooter>&amp;C&amp;P, &amp;A, &amp;F</oddFooter>
  </headerFooter>
</worksheet>
</file>

<file path=xl/worksheets/sheet11.xml><?xml version="1.0" encoding="utf-8"?>
<worksheet xmlns="http://schemas.openxmlformats.org/spreadsheetml/2006/main" xmlns:r="http://schemas.openxmlformats.org/officeDocument/2006/relationships">
  <dimension ref="A1:R87"/>
  <sheetViews>
    <sheetView zoomScale="75" zoomScaleNormal="75" workbookViewId="0" topLeftCell="A1">
      <selection activeCell="B33" sqref="B33"/>
    </sheetView>
  </sheetViews>
  <sheetFormatPr defaultColWidth="9.140625" defaultRowHeight="12.75"/>
  <cols>
    <col min="1" max="1" width="1.7109375" style="0" customWidth="1"/>
    <col min="2" max="2" width="20.00390625" style="0" customWidth="1"/>
    <col min="3" max="3" width="7.7109375" style="0" customWidth="1"/>
    <col min="4" max="4" width="5.421875" style="0" customWidth="1"/>
    <col min="5" max="5" width="9.421875" style="0" customWidth="1"/>
    <col min="6" max="6" width="9.8515625" style="0" customWidth="1"/>
    <col min="7" max="7" width="12.421875" style="0" bestFit="1" customWidth="1"/>
    <col min="8" max="8" width="9.8515625" style="0" customWidth="1"/>
    <col min="9" max="9" width="5.140625" style="0" customWidth="1"/>
    <col min="11" max="11" width="9.28125" style="0" customWidth="1"/>
    <col min="13" max="13" width="9.28125" style="0" customWidth="1"/>
    <col min="14" max="14" width="5.421875" style="0" customWidth="1"/>
    <col min="16" max="16" width="9.00390625" style="0" customWidth="1"/>
    <col min="18" max="18" width="9.00390625" style="0" customWidth="1"/>
  </cols>
  <sheetData>
    <row r="1" spans="1:18" ht="12.75">
      <c r="A1" s="58" t="s">
        <v>81</v>
      </c>
      <c r="B1" s="38"/>
      <c r="C1" s="38"/>
      <c r="D1" s="38"/>
      <c r="E1" s="50"/>
      <c r="F1" s="51"/>
      <c r="G1" s="50"/>
      <c r="H1" s="51"/>
      <c r="I1" s="50"/>
      <c r="J1" s="50"/>
      <c r="K1" s="50"/>
      <c r="L1" s="50"/>
      <c r="M1" s="50"/>
      <c r="N1" s="50"/>
      <c r="O1" s="50"/>
      <c r="P1" s="50"/>
      <c r="Q1" s="50"/>
      <c r="R1" s="50"/>
    </row>
    <row r="2" spans="1:18" ht="12.75">
      <c r="A2" s="38" t="s">
        <v>265</v>
      </c>
      <c r="B2" s="38"/>
      <c r="C2" s="38"/>
      <c r="D2" s="38"/>
      <c r="E2" s="50"/>
      <c r="F2" s="51"/>
      <c r="G2" s="50"/>
      <c r="H2" s="51"/>
      <c r="I2" s="50"/>
      <c r="J2" s="50"/>
      <c r="K2" s="50"/>
      <c r="L2" s="50"/>
      <c r="M2" s="50"/>
      <c r="N2" s="50"/>
      <c r="O2" s="50"/>
      <c r="P2" s="50"/>
      <c r="Q2" s="50"/>
      <c r="R2" s="50"/>
    </row>
    <row r="3" spans="1:18" ht="12.75">
      <c r="A3" s="38" t="s">
        <v>20</v>
      </c>
      <c r="B3" s="38"/>
      <c r="C3" s="13" t="str">
        <f>source!C5</f>
        <v>Tooele Army Depot North</v>
      </c>
      <c r="D3" s="13"/>
      <c r="E3" s="50"/>
      <c r="F3" s="51"/>
      <c r="G3" s="50"/>
      <c r="H3" s="51"/>
      <c r="I3" s="50"/>
      <c r="J3" s="50"/>
      <c r="K3" s="50"/>
      <c r="L3" s="50"/>
      <c r="M3" s="50"/>
      <c r="N3" s="50"/>
      <c r="O3" s="50"/>
      <c r="P3" s="50"/>
      <c r="Q3" s="50"/>
      <c r="R3" s="50"/>
    </row>
    <row r="4" spans="1:18" ht="12.75">
      <c r="A4" s="38" t="s">
        <v>21</v>
      </c>
      <c r="B4" s="38"/>
      <c r="C4" s="13" t="s">
        <v>182</v>
      </c>
      <c r="D4" s="13"/>
      <c r="E4" s="52"/>
      <c r="F4" s="53"/>
      <c r="G4" s="52"/>
      <c r="H4" s="53"/>
      <c r="I4" s="52"/>
      <c r="J4" s="52"/>
      <c r="K4" s="52"/>
      <c r="L4" s="52"/>
      <c r="M4" s="52"/>
      <c r="N4" s="52"/>
      <c r="O4" s="52"/>
      <c r="P4" s="52"/>
      <c r="Q4" s="52"/>
      <c r="R4" s="52"/>
    </row>
    <row r="5" spans="1:18" ht="12.75">
      <c r="A5" s="38" t="s">
        <v>22</v>
      </c>
      <c r="B5" s="38"/>
      <c r="C5" s="17" t="str">
        <f>cond!C40</f>
        <v>Risk burn, "normal" operation risk burn</v>
      </c>
      <c r="D5" s="17"/>
      <c r="E5" s="17"/>
      <c r="F5" s="17"/>
      <c r="G5" s="17"/>
      <c r="H5" s="17"/>
      <c r="I5" s="17"/>
      <c r="J5" s="17"/>
      <c r="K5" s="50"/>
      <c r="L5" s="17"/>
      <c r="M5" s="50"/>
      <c r="N5" s="50"/>
      <c r="O5" s="50"/>
      <c r="P5" s="50"/>
      <c r="Q5" s="50"/>
      <c r="R5" s="50"/>
    </row>
    <row r="6" spans="1:18" ht="12.75">
      <c r="A6" s="38"/>
      <c r="B6" s="38"/>
      <c r="C6" s="40"/>
      <c r="D6" s="40"/>
      <c r="E6" s="54"/>
      <c r="F6" s="51"/>
      <c r="G6" s="54"/>
      <c r="H6" s="51"/>
      <c r="I6" s="50"/>
      <c r="J6" s="54"/>
      <c r="K6" s="50"/>
      <c r="L6" s="54"/>
      <c r="M6" s="50"/>
      <c r="N6" s="50"/>
      <c r="O6" s="54"/>
      <c r="P6" s="50"/>
      <c r="Q6" s="54"/>
      <c r="R6" s="50"/>
    </row>
    <row r="7" spans="1:18" ht="12.75">
      <c r="A7" s="38"/>
      <c r="B7" s="38"/>
      <c r="C7" s="40" t="s">
        <v>23</v>
      </c>
      <c r="D7" s="40"/>
      <c r="E7" s="55" t="s">
        <v>59</v>
      </c>
      <c r="F7" s="55"/>
      <c r="G7" s="55"/>
      <c r="H7" s="55"/>
      <c r="I7" s="16"/>
      <c r="J7" s="55" t="s">
        <v>60</v>
      </c>
      <c r="K7" s="55"/>
      <c r="L7" s="55"/>
      <c r="M7" s="55"/>
      <c r="N7" s="16"/>
      <c r="O7" s="55" t="s">
        <v>61</v>
      </c>
      <c r="P7" s="55"/>
      <c r="Q7" s="55"/>
      <c r="R7" s="55"/>
    </row>
    <row r="8" spans="1:18" ht="12.75">
      <c r="A8" s="38"/>
      <c r="B8" s="38"/>
      <c r="C8" s="40" t="s">
        <v>24</v>
      </c>
      <c r="D8" s="38"/>
      <c r="E8" s="54" t="s">
        <v>25</v>
      </c>
      <c r="F8" s="53" t="s">
        <v>26</v>
      </c>
      <c r="G8" s="54" t="s">
        <v>25</v>
      </c>
      <c r="H8" s="53" t="s">
        <v>26</v>
      </c>
      <c r="I8" s="50"/>
      <c r="J8" s="54" t="s">
        <v>25</v>
      </c>
      <c r="K8" s="54" t="s">
        <v>27</v>
      </c>
      <c r="L8" s="54" t="s">
        <v>25</v>
      </c>
      <c r="M8" s="54" t="s">
        <v>27</v>
      </c>
      <c r="N8" s="50"/>
      <c r="O8" s="54" t="s">
        <v>25</v>
      </c>
      <c r="P8" s="54" t="s">
        <v>27</v>
      </c>
      <c r="Q8" s="54" t="s">
        <v>25</v>
      </c>
      <c r="R8" s="54" t="s">
        <v>27</v>
      </c>
    </row>
    <row r="9" spans="1:18" ht="12.75">
      <c r="A9" s="38"/>
      <c r="B9" s="38"/>
      <c r="C9" s="40"/>
      <c r="D9" s="38"/>
      <c r="E9" s="54" t="s">
        <v>225</v>
      </c>
      <c r="F9" s="54" t="s">
        <v>225</v>
      </c>
      <c r="G9" s="54" t="s">
        <v>80</v>
      </c>
      <c r="H9" s="53" t="s">
        <v>80</v>
      </c>
      <c r="I9" s="50"/>
      <c r="J9" s="54" t="s">
        <v>225</v>
      </c>
      <c r="K9" s="54" t="s">
        <v>225</v>
      </c>
      <c r="L9" s="54" t="s">
        <v>80</v>
      </c>
      <c r="M9" s="53" t="s">
        <v>80</v>
      </c>
      <c r="N9" s="50"/>
      <c r="O9" s="54" t="s">
        <v>225</v>
      </c>
      <c r="P9" s="54" t="s">
        <v>225</v>
      </c>
      <c r="Q9" s="54" t="s">
        <v>80</v>
      </c>
      <c r="R9" s="53" t="s">
        <v>80</v>
      </c>
    </row>
    <row r="10" spans="1:18" ht="12.75">
      <c r="A10" s="38" t="s">
        <v>166</v>
      </c>
      <c r="B10" s="38"/>
      <c r="C10" s="38"/>
      <c r="D10" s="38"/>
      <c r="E10" s="50"/>
      <c r="F10" s="51"/>
      <c r="G10" s="50"/>
      <c r="H10" s="51"/>
      <c r="I10" s="50"/>
      <c r="J10" s="50"/>
      <c r="K10" s="50"/>
      <c r="L10" s="50"/>
      <c r="M10" s="50"/>
      <c r="N10" s="50"/>
      <c r="O10" s="42"/>
      <c r="P10" s="50"/>
      <c r="Q10" s="50"/>
      <c r="R10" s="50"/>
    </row>
    <row r="11" spans="1:18" ht="12.75">
      <c r="A11" s="38"/>
      <c r="B11" s="38" t="s">
        <v>28</v>
      </c>
      <c r="C11" s="40">
        <v>1</v>
      </c>
      <c r="D11" s="40" t="s">
        <v>185</v>
      </c>
      <c r="E11" s="47">
        <v>6.37</v>
      </c>
      <c r="F11" s="47">
        <f aca="true" t="shared" si="0" ref="F11:H35">IF(E11="","",E11*$C11)</f>
        <v>6.37</v>
      </c>
      <c r="G11" s="47">
        <f aca="true" t="shared" si="1" ref="G11:G35">IF(E11=0,"",IF(D11="nd",E11/2,E11))</f>
        <v>3.185</v>
      </c>
      <c r="H11" s="47">
        <f t="shared" si="0"/>
        <v>3.185</v>
      </c>
      <c r="I11" s="47" t="s">
        <v>185</v>
      </c>
      <c r="J11" s="49">
        <v>5.2</v>
      </c>
      <c r="K11" s="47">
        <f aca="true" t="shared" si="2" ref="K11:K35">IF(J11="","",J11*$C11)</f>
        <v>5.2</v>
      </c>
      <c r="L11" s="47">
        <f aca="true" t="shared" si="3" ref="L11:L35">IF(J11=0,"",IF(I11="nd",J11/2,J11))</f>
        <v>2.6</v>
      </c>
      <c r="M11" s="47">
        <f aca="true" t="shared" si="4" ref="M11:M35">IF(L11="","",L11*$C11)</f>
        <v>2.6</v>
      </c>
      <c r="N11" s="47" t="s">
        <v>185</v>
      </c>
      <c r="O11" s="47">
        <v>4.2</v>
      </c>
      <c r="P11" s="47">
        <f aca="true" t="shared" si="5" ref="P11:P35">IF(O11="","",O11*$C11)</f>
        <v>4.2</v>
      </c>
      <c r="Q11" s="47">
        <f>IF(O11=0,"",IF(N11="nd",O11/2,O11))</f>
        <v>2.1</v>
      </c>
      <c r="R11" s="47">
        <f aca="true" t="shared" si="6" ref="R11:R35">IF(Q11="","",Q11*$C11)</f>
        <v>2.1</v>
      </c>
    </row>
    <row r="12" spans="1:18" ht="12.75">
      <c r="A12" s="38"/>
      <c r="B12" s="38" t="s">
        <v>125</v>
      </c>
      <c r="C12" s="40">
        <v>0</v>
      </c>
      <c r="D12" s="40"/>
      <c r="E12" s="47">
        <v>401.9</v>
      </c>
      <c r="F12" s="47">
        <f t="shared" si="0"/>
        <v>0</v>
      </c>
      <c r="G12" s="47">
        <f aca="true" t="shared" si="7" ref="G12:G18">IF(E12=0,"",IF(D12="nd",E12/2,E12))</f>
        <v>401.9</v>
      </c>
      <c r="H12" s="47">
        <f t="shared" si="0"/>
        <v>0</v>
      </c>
      <c r="I12" s="47"/>
      <c r="J12" s="33">
        <v>232.2</v>
      </c>
      <c r="K12" s="47">
        <f t="shared" si="2"/>
        <v>0</v>
      </c>
      <c r="L12" s="47">
        <f t="shared" si="3"/>
        <v>232.2</v>
      </c>
      <c r="M12" s="47">
        <f t="shared" si="4"/>
        <v>0</v>
      </c>
      <c r="N12" s="47"/>
      <c r="O12" s="47">
        <v>242.1</v>
      </c>
      <c r="P12" s="47">
        <f t="shared" si="5"/>
        <v>0</v>
      </c>
      <c r="Q12" s="47">
        <f>IF(O12=0,"",IF(N12="nd",O12/2,O12))</f>
        <v>242.1</v>
      </c>
      <c r="R12" s="47">
        <f t="shared" si="6"/>
        <v>0</v>
      </c>
    </row>
    <row r="13" spans="1:18" ht="12.75">
      <c r="A13" s="38"/>
      <c r="B13" s="38" t="s">
        <v>29</v>
      </c>
      <c r="C13" s="40">
        <v>0.5</v>
      </c>
      <c r="D13" s="40" t="s">
        <v>185</v>
      </c>
      <c r="E13" s="66">
        <v>20.3</v>
      </c>
      <c r="F13" s="47">
        <f t="shared" si="0"/>
        <v>10.15</v>
      </c>
      <c r="G13" s="47">
        <f t="shared" si="7"/>
        <v>10.15</v>
      </c>
      <c r="H13" s="47">
        <f t="shared" si="0"/>
        <v>5.075</v>
      </c>
      <c r="I13" s="47" t="s">
        <v>185</v>
      </c>
      <c r="J13" s="49">
        <v>10.2</v>
      </c>
      <c r="K13" s="47">
        <f t="shared" si="2"/>
        <v>5.1</v>
      </c>
      <c r="L13" s="47">
        <f t="shared" si="3"/>
        <v>5.1</v>
      </c>
      <c r="M13" s="47">
        <f t="shared" si="4"/>
        <v>2.55</v>
      </c>
      <c r="N13" s="47" t="s">
        <v>185</v>
      </c>
      <c r="O13" s="49">
        <v>10.5</v>
      </c>
      <c r="P13" s="47">
        <f t="shared" si="5"/>
        <v>5.25</v>
      </c>
      <c r="Q13" s="47">
        <f aca="true" t="shared" si="8" ref="Q13:Q35">IF(O13=0,"",IF(N13="nd",O13/2,O13))</f>
        <v>5.25</v>
      </c>
      <c r="R13" s="47">
        <f t="shared" si="6"/>
        <v>2.625</v>
      </c>
    </row>
    <row r="14" spans="1:18" ht="12.75">
      <c r="A14" s="38"/>
      <c r="B14" s="38" t="s">
        <v>126</v>
      </c>
      <c r="C14" s="40">
        <v>0</v>
      </c>
      <c r="D14" s="40"/>
      <c r="E14" s="47">
        <v>344.1</v>
      </c>
      <c r="F14" s="47">
        <f t="shared" si="0"/>
        <v>0</v>
      </c>
      <c r="G14" s="47">
        <f t="shared" si="7"/>
        <v>344.1</v>
      </c>
      <c r="H14" s="47">
        <f t="shared" si="0"/>
        <v>0</v>
      </c>
      <c r="I14" s="47"/>
      <c r="J14" s="49">
        <v>194.05</v>
      </c>
      <c r="K14" s="47">
        <f t="shared" si="2"/>
        <v>0</v>
      </c>
      <c r="L14" s="47">
        <f t="shared" si="3"/>
        <v>194.05</v>
      </c>
      <c r="M14" s="47">
        <f t="shared" si="4"/>
        <v>0</v>
      </c>
      <c r="N14" s="47"/>
      <c r="O14" s="49">
        <v>232.7</v>
      </c>
      <c r="P14" s="47">
        <f t="shared" si="5"/>
        <v>0</v>
      </c>
      <c r="Q14" s="47">
        <f>IF(O14=0,"",IF(N14="nd",O14/2,O14))</f>
        <v>232.7</v>
      </c>
      <c r="R14" s="47">
        <f t="shared" si="6"/>
        <v>0</v>
      </c>
    </row>
    <row r="15" spans="1:18" ht="12.75">
      <c r="A15" s="38"/>
      <c r="B15" s="38" t="s">
        <v>30</v>
      </c>
      <c r="C15" s="40">
        <v>0.1</v>
      </c>
      <c r="D15" s="40" t="s">
        <v>185</v>
      </c>
      <c r="E15" s="47">
        <v>19.3</v>
      </c>
      <c r="F15" s="47">
        <f t="shared" si="0"/>
        <v>1.9300000000000002</v>
      </c>
      <c r="G15" s="47">
        <f t="shared" si="7"/>
        <v>9.65</v>
      </c>
      <c r="H15" s="47">
        <f t="shared" si="0"/>
        <v>0.9650000000000001</v>
      </c>
      <c r="I15" s="47" t="s">
        <v>185</v>
      </c>
      <c r="J15" s="49">
        <v>10.8</v>
      </c>
      <c r="K15" s="47">
        <f t="shared" si="2"/>
        <v>1.08</v>
      </c>
      <c r="L15" s="47">
        <f t="shared" si="3"/>
        <v>5.4</v>
      </c>
      <c r="M15" s="47">
        <f t="shared" si="4"/>
        <v>0.54</v>
      </c>
      <c r="N15" s="47" t="s">
        <v>185</v>
      </c>
      <c r="O15" s="49">
        <v>8.2</v>
      </c>
      <c r="P15" s="47">
        <f t="shared" si="5"/>
        <v>0.82</v>
      </c>
      <c r="Q15" s="47">
        <f t="shared" si="8"/>
        <v>4.1</v>
      </c>
      <c r="R15" s="47">
        <f t="shared" si="6"/>
        <v>0.41</v>
      </c>
    </row>
    <row r="16" spans="1:18" ht="12.75">
      <c r="A16" s="38"/>
      <c r="B16" s="38" t="s">
        <v>31</v>
      </c>
      <c r="C16" s="40">
        <v>0.1</v>
      </c>
      <c r="D16" s="40" t="s">
        <v>185</v>
      </c>
      <c r="E16" s="47">
        <v>50.4</v>
      </c>
      <c r="F16" s="47">
        <f t="shared" si="0"/>
        <v>5.04</v>
      </c>
      <c r="G16" s="47">
        <f t="shared" si="7"/>
        <v>25.2</v>
      </c>
      <c r="H16" s="47">
        <f t="shared" si="0"/>
        <v>2.52</v>
      </c>
      <c r="I16" s="47" t="s">
        <v>185</v>
      </c>
      <c r="J16" s="49">
        <v>15.2</v>
      </c>
      <c r="K16" s="47">
        <f t="shared" si="2"/>
        <v>1.52</v>
      </c>
      <c r="L16" s="47">
        <f t="shared" si="3"/>
        <v>7.6</v>
      </c>
      <c r="M16" s="47">
        <f t="shared" si="4"/>
        <v>0.76</v>
      </c>
      <c r="N16" s="47" t="s">
        <v>185</v>
      </c>
      <c r="O16" s="49">
        <v>16.9</v>
      </c>
      <c r="P16" s="47">
        <f t="shared" si="5"/>
        <v>1.69</v>
      </c>
      <c r="Q16" s="47">
        <f t="shared" si="8"/>
        <v>8.45</v>
      </c>
      <c r="R16" s="47">
        <f t="shared" si="6"/>
        <v>0.845</v>
      </c>
    </row>
    <row r="17" spans="1:18" ht="12.75">
      <c r="A17" s="38"/>
      <c r="B17" s="38" t="s">
        <v>32</v>
      </c>
      <c r="C17" s="40">
        <v>0.1</v>
      </c>
      <c r="D17" s="40" t="s">
        <v>185</v>
      </c>
      <c r="E17" s="47">
        <v>50.2</v>
      </c>
      <c r="F17" s="47">
        <f t="shared" si="0"/>
        <v>5.0200000000000005</v>
      </c>
      <c r="G17" s="47">
        <f t="shared" si="7"/>
        <v>25.1</v>
      </c>
      <c r="H17" s="47">
        <f t="shared" si="0"/>
        <v>2.5100000000000002</v>
      </c>
      <c r="I17" s="47" t="s">
        <v>185</v>
      </c>
      <c r="J17" s="49">
        <v>27</v>
      </c>
      <c r="K17" s="47">
        <f t="shared" si="2"/>
        <v>2.7</v>
      </c>
      <c r="L17" s="47">
        <f t="shared" si="3"/>
        <v>13.5</v>
      </c>
      <c r="M17" s="47">
        <f t="shared" si="4"/>
        <v>1.35</v>
      </c>
      <c r="N17" s="47" t="s">
        <v>185</v>
      </c>
      <c r="O17" s="49">
        <v>25.6</v>
      </c>
      <c r="P17" s="47">
        <f t="shared" si="5"/>
        <v>2.5600000000000005</v>
      </c>
      <c r="Q17" s="47">
        <f t="shared" si="8"/>
        <v>12.8</v>
      </c>
      <c r="R17" s="47">
        <f t="shared" si="6"/>
        <v>1.2800000000000002</v>
      </c>
    </row>
    <row r="18" spans="1:18" ht="12.75">
      <c r="A18" s="38"/>
      <c r="B18" s="38" t="s">
        <v>127</v>
      </c>
      <c r="C18" s="40">
        <v>0</v>
      </c>
      <c r="D18" s="40"/>
      <c r="E18" s="47">
        <v>505</v>
      </c>
      <c r="F18" s="47">
        <f t="shared" si="0"/>
        <v>0</v>
      </c>
      <c r="G18" s="47">
        <f t="shared" si="7"/>
        <v>505</v>
      </c>
      <c r="H18" s="47">
        <f t="shared" si="0"/>
        <v>0</v>
      </c>
      <c r="I18" s="47"/>
      <c r="J18" s="49">
        <v>125.5</v>
      </c>
      <c r="K18" s="47">
        <f t="shared" si="2"/>
        <v>0</v>
      </c>
      <c r="L18" s="47">
        <f t="shared" si="3"/>
        <v>125.5</v>
      </c>
      <c r="M18" s="47">
        <f t="shared" si="4"/>
        <v>0</v>
      </c>
      <c r="N18" s="47"/>
      <c r="O18" s="49">
        <v>146.5</v>
      </c>
      <c r="P18" s="47">
        <f t="shared" si="5"/>
        <v>0</v>
      </c>
      <c r="Q18" s="47">
        <f>IF(O18=0,"",IF(N18="nd",O18/2,O18))</f>
        <v>146.5</v>
      </c>
      <c r="R18" s="47">
        <f t="shared" si="6"/>
        <v>0</v>
      </c>
    </row>
    <row r="19" spans="1:18" ht="12.75">
      <c r="A19" s="38"/>
      <c r="B19" s="38" t="s">
        <v>33</v>
      </c>
      <c r="C19" s="40">
        <v>0.01</v>
      </c>
      <c r="D19" s="40"/>
      <c r="E19" s="47">
        <v>364</v>
      </c>
      <c r="F19" s="47">
        <f t="shared" si="0"/>
        <v>3.64</v>
      </c>
      <c r="G19" s="47">
        <f t="shared" si="1"/>
        <v>364</v>
      </c>
      <c r="H19" s="47">
        <f t="shared" si="0"/>
        <v>3.64</v>
      </c>
      <c r="I19" s="47"/>
      <c r="J19" s="49">
        <v>193.5</v>
      </c>
      <c r="K19" s="47">
        <f t="shared" si="2"/>
        <v>1.935</v>
      </c>
      <c r="L19" s="47">
        <f t="shared" si="3"/>
        <v>193.5</v>
      </c>
      <c r="M19" s="47">
        <f t="shared" si="4"/>
        <v>1.935</v>
      </c>
      <c r="N19" s="47"/>
      <c r="O19" s="49">
        <v>230</v>
      </c>
      <c r="P19" s="47">
        <f t="shared" si="5"/>
        <v>2.3000000000000003</v>
      </c>
      <c r="Q19" s="47">
        <f t="shared" si="8"/>
        <v>230</v>
      </c>
      <c r="R19" s="47">
        <f t="shared" si="6"/>
        <v>2.3000000000000003</v>
      </c>
    </row>
    <row r="20" spans="1:18" ht="12.75">
      <c r="A20" s="38"/>
      <c r="B20" s="38" t="s">
        <v>128</v>
      </c>
      <c r="C20" s="40">
        <v>0</v>
      </c>
      <c r="D20" s="40"/>
      <c r="E20" s="47">
        <v>715</v>
      </c>
      <c r="F20" s="47">
        <f>IF(E20="","",E20*$C20)</f>
        <v>0</v>
      </c>
      <c r="G20" s="47">
        <f>IF(E20=0,"",IF(D20="nd",E20/2,E20))</f>
        <v>715</v>
      </c>
      <c r="H20" s="47">
        <f>IF(G20="","",G20*$C20)</f>
        <v>0</v>
      </c>
      <c r="I20" s="47"/>
      <c r="J20" s="49">
        <v>177.5</v>
      </c>
      <c r="K20" s="47">
        <f t="shared" si="2"/>
        <v>0</v>
      </c>
      <c r="L20" s="47">
        <f>IF(J20=0,"",IF(I20="nd",J20/2,J20))</f>
        <v>177.5</v>
      </c>
      <c r="M20" s="47">
        <f t="shared" si="4"/>
        <v>0</v>
      </c>
      <c r="N20" s="47"/>
      <c r="O20" s="49">
        <v>500</v>
      </c>
      <c r="P20" s="47">
        <f t="shared" si="5"/>
        <v>0</v>
      </c>
      <c r="Q20" s="47">
        <f>IF(O20=0,"",IF(N20="nd",O20/2,O20))</f>
        <v>500</v>
      </c>
      <c r="R20" s="47">
        <f t="shared" si="6"/>
        <v>0</v>
      </c>
    </row>
    <row r="21" spans="1:18" ht="12.75">
      <c r="A21" s="38"/>
      <c r="B21" s="38" t="s">
        <v>34</v>
      </c>
      <c r="C21" s="40">
        <v>0.001</v>
      </c>
      <c r="D21" s="40"/>
      <c r="E21" s="47">
        <v>1050</v>
      </c>
      <c r="F21" s="47">
        <f t="shared" si="0"/>
        <v>1.05</v>
      </c>
      <c r="G21" s="47">
        <f t="shared" si="1"/>
        <v>1050</v>
      </c>
      <c r="H21" s="47">
        <f t="shared" si="0"/>
        <v>1.05</v>
      </c>
      <c r="I21" s="47"/>
      <c r="J21" s="49">
        <v>420</v>
      </c>
      <c r="K21" s="47">
        <f t="shared" si="2"/>
        <v>0.42</v>
      </c>
      <c r="L21" s="47">
        <f t="shared" si="3"/>
        <v>420</v>
      </c>
      <c r="M21" s="47">
        <f t="shared" si="4"/>
        <v>0.42</v>
      </c>
      <c r="N21" s="47"/>
      <c r="O21" s="49">
        <v>2390</v>
      </c>
      <c r="P21" s="47">
        <f t="shared" si="5"/>
        <v>2.39</v>
      </c>
      <c r="Q21" s="47">
        <f t="shared" si="8"/>
        <v>2390</v>
      </c>
      <c r="R21" s="47">
        <f t="shared" si="6"/>
        <v>2.39</v>
      </c>
    </row>
    <row r="22" spans="1:18" ht="12.75">
      <c r="A22" s="38"/>
      <c r="B22" s="38" t="s">
        <v>35</v>
      </c>
      <c r="C22" s="40">
        <v>0.1</v>
      </c>
      <c r="D22" s="40"/>
      <c r="E22" s="47">
        <v>95.9</v>
      </c>
      <c r="F22" s="47">
        <f t="shared" si="0"/>
        <v>9.590000000000002</v>
      </c>
      <c r="G22" s="47">
        <f t="shared" si="1"/>
        <v>95.9</v>
      </c>
      <c r="H22" s="47">
        <f t="shared" si="0"/>
        <v>9.590000000000002</v>
      </c>
      <c r="I22" s="47"/>
      <c r="J22" s="49">
        <v>47.75</v>
      </c>
      <c r="K22" s="47">
        <f t="shared" si="2"/>
        <v>4.775</v>
      </c>
      <c r="L22" s="47">
        <f t="shared" si="3"/>
        <v>47.75</v>
      </c>
      <c r="M22" s="47">
        <f t="shared" si="4"/>
        <v>4.775</v>
      </c>
      <c r="N22" s="47"/>
      <c r="O22" s="49">
        <v>44.3</v>
      </c>
      <c r="P22" s="47">
        <f t="shared" si="5"/>
        <v>4.43</v>
      </c>
      <c r="Q22" s="47">
        <f t="shared" si="8"/>
        <v>44.3</v>
      </c>
      <c r="R22" s="47">
        <f t="shared" si="6"/>
        <v>4.43</v>
      </c>
    </row>
    <row r="23" spans="1:18" ht="12.75">
      <c r="A23" s="38"/>
      <c r="B23" s="38" t="s">
        <v>129</v>
      </c>
      <c r="C23" s="40">
        <v>0</v>
      </c>
      <c r="D23" s="40"/>
      <c r="E23" s="47">
        <v>2151</v>
      </c>
      <c r="F23" s="47">
        <f>IF(E23="","",E23*$C23)</f>
        <v>0</v>
      </c>
      <c r="G23" s="47">
        <f>IF(E23=0,"",IF(D23="nd",E23/2,E23))</f>
        <v>2151</v>
      </c>
      <c r="H23" s="47">
        <f>IF(G23="","",G23*$C23)</f>
        <v>0</v>
      </c>
      <c r="I23" s="47"/>
      <c r="J23" s="49">
        <v>1339</v>
      </c>
      <c r="K23" s="47">
        <f t="shared" si="2"/>
        <v>0</v>
      </c>
      <c r="L23" s="47">
        <f>IF(J23=0,"",IF(I23="nd",J23/2,J23))</f>
        <v>1339</v>
      </c>
      <c r="M23" s="47">
        <f t="shared" si="4"/>
        <v>0</v>
      </c>
      <c r="N23" s="47"/>
      <c r="O23" s="49">
        <v>1153</v>
      </c>
      <c r="P23" s="47">
        <f t="shared" si="5"/>
        <v>0</v>
      </c>
      <c r="Q23" s="47">
        <f>IF(O23=0,"",IF(N23="nd",O23/2,O23))</f>
        <v>1153</v>
      </c>
      <c r="R23" s="47">
        <f t="shared" si="6"/>
        <v>0</v>
      </c>
    </row>
    <row r="24" spans="1:18" ht="12.75">
      <c r="A24" s="38"/>
      <c r="B24" s="38" t="s">
        <v>36</v>
      </c>
      <c r="C24" s="40">
        <v>0.05</v>
      </c>
      <c r="D24" s="40"/>
      <c r="E24" s="47">
        <v>76.45</v>
      </c>
      <c r="F24" s="47">
        <f t="shared" si="0"/>
        <v>3.8225000000000002</v>
      </c>
      <c r="G24" s="47">
        <f t="shared" si="1"/>
        <v>76.45</v>
      </c>
      <c r="H24" s="47">
        <f t="shared" si="0"/>
        <v>3.8225000000000002</v>
      </c>
      <c r="I24" s="47" t="s">
        <v>185</v>
      </c>
      <c r="J24" s="49">
        <v>40.2</v>
      </c>
      <c r="K24" s="47">
        <f t="shared" si="2"/>
        <v>2.0100000000000002</v>
      </c>
      <c r="L24" s="47">
        <f t="shared" si="3"/>
        <v>20.1</v>
      </c>
      <c r="M24" s="47">
        <f t="shared" si="4"/>
        <v>1.0050000000000001</v>
      </c>
      <c r="N24" s="47" t="s">
        <v>185</v>
      </c>
      <c r="O24" s="49">
        <v>35.8</v>
      </c>
      <c r="P24" s="47">
        <f t="shared" si="5"/>
        <v>1.79</v>
      </c>
      <c r="Q24" s="47">
        <f t="shared" si="8"/>
        <v>17.9</v>
      </c>
      <c r="R24" s="47">
        <f t="shared" si="6"/>
        <v>0.895</v>
      </c>
    </row>
    <row r="25" spans="1:18" ht="12.75">
      <c r="A25" s="38"/>
      <c r="B25" s="38" t="s">
        <v>37</v>
      </c>
      <c r="C25" s="40">
        <v>0.5</v>
      </c>
      <c r="D25" s="40"/>
      <c r="E25" s="47">
        <v>143.2</v>
      </c>
      <c r="F25" s="47">
        <f t="shared" si="0"/>
        <v>71.6</v>
      </c>
      <c r="G25" s="47">
        <f t="shared" si="1"/>
        <v>143.2</v>
      </c>
      <c r="H25" s="47">
        <f t="shared" si="0"/>
        <v>71.6</v>
      </c>
      <c r="I25" s="47"/>
      <c r="J25" s="49">
        <v>66.1</v>
      </c>
      <c r="K25" s="47">
        <f t="shared" si="2"/>
        <v>33.05</v>
      </c>
      <c r="L25" s="47">
        <f t="shared" si="3"/>
        <v>66.1</v>
      </c>
      <c r="M25" s="47">
        <f t="shared" si="4"/>
        <v>33.05</v>
      </c>
      <c r="N25" s="47" t="s">
        <v>185</v>
      </c>
      <c r="O25" s="49">
        <v>47.4</v>
      </c>
      <c r="P25" s="47">
        <f t="shared" si="5"/>
        <v>23.7</v>
      </c>
      <c r="Q25" s="47">
        <f t="shared" si="8"/>
        <v>23.7</v>
      </c>
      <c r="R25" s="47">
        <f t="shared" si="6"/>
        <v>11.85</v>
      </c>
    </row>
    <row r="26" spans="1:18" ht="12.75">
      <c r="A26" s="38"/>
      <c r="B26" s="38" t="s">
        <v>130</v>
      </c>
      <c r="C26" s="40">
        <v>0</v>
      </c>
      <c r="D26" s="40"/>
      <c r="E26" s="47">
        <v>1311.5</v>
      </c>
      <c r="F26" s="47">
        <f>IF(E26="","",E26*$C26)</f>
        <v>0</v>
      </c>
      <c r="G26" s="47">
        <f>IF(E26=0,"",IF(D26="nd",E26/2,E26))</f>
        <v>1311.5</v>
      </c>
      <c r="H26" s="47">
        <f>IF(G26="","",G26*$C26)</f>
        <v>0</v>
      </c>
      <c r="I26" s="47"/>
      <c r="J26" s="49">
        <v>501.5</v>
      </c>
      <c r="K26" s="47">
        <f t="shared" si="2"/>
        <v>0</v>
      </c>
      <c r="L26" s="47">
        <f>IF(J26=0,"",IF(I26="nd",J26/2,J26))</f>
        <v>501.5</v>
      </c>
      <c r="M26" s="47">
        <f t="shared" si="4"/>
        <v>0</v>
      </c>
      <c r="N26" s="47"/>
      <c r="O26" s="49">
        <v>370</v>
      </c>
      <c r="P26" s="47">
        <f t="shared" si="5"/>
        <v>0</v>
      </c>
      <c r="Q26" s="47">
        <f>IF(O26=0,"",IF(N26="nd",O26/2,O26))</f>
        <v>370</v>
      </c>
      <c r="R26" s="47">
        <f t="shared" si="6"/>
        <v>0</v>
      </c>
    </row>
    <row r="27" spans="1:18" ht="12.75">
      <c r="A27" s="38"/>
      <c r="B27" s="38" t="s">
        <v>38</v>
      </c>
      <c r="C27" s="40">
        <v>0.1</v>
      </c>
      <c r="D27" s="40"/>
      <c r="E27" s="47">
        <v>93.5</v>
      </c>
      <c r="F27" s="47">
        <f t="shared" si="0"/>
        <v>9.35</v>
      </c>
      <c r="G27" s="47">
        <f t="shared" si="1"/>
        <v>93.5</v>
      </c>
      <c r="H27" s="47">
        <f t="shared" si="0"/>
        <v>9.35</v>
      </c>
      <c r="I27" s="47" t="s">
        <v>185</v>
      </c>
      <c r="J27" s="49">
        <v>57</v>
      </c>
      <c r="K27" s="47">
        <f t="shared" si="2"/>
        <v>5.7</v>
      </c>
      <c r="L27" s="47">
        <f t="shared" si="3"/>
        <v>28.5</v>
      </c>
      <c r="M27" s="47">
        <f t="shared" si="4"/>
        <v>2.85</v>
      </c>
      <c r="N27" s="47"/>
      <c r="O27" s="49">
        <v>74</v>
      </c>
      <c r="P27" s="47">
        <f t="shared" si="5"/>
        <v>7.4</v>
      </c>
      <c r="Q27" s="47">
        <f t="shared" si="8"/>
        <v>74</v>
      </c>
      <c r="R27" s="47">
        <f t="shared" si="6"/>
        <v>7.4</v>
      </c>
    </row>
    <row r="28" spans="1:18" ht="12.75">
      <c r="A28" s="38"/>
      <c r="B28" s="38" t="s">
        <v>39</v>
      </c>
      <c r="C28" s="40">
        <v>0.1</v>
      </c>
      <c r="D28" s="40"/>
      <c r="E28" s="47">
        <v>113.35</v>
      </c>
      <c r="F28" s="47">
        <f t="shared" si="0"/>
        <v>11.335</v>
      </c>
      <c r="G28" s="47">
        <f t="shared" si="1"/>
        <v>113.35</v>
      </c>
      <c r="H28" s="47">
        <f t="shared" si="0"/>
        <v>11.335</v>
      </c>
      <c r="I28" s="47" t="s">
        <v>185</v>
      </c>
      <c r="J28" s="49">
        <v>42.8</v>
      </c>
      <c r="K28" s="47">
        <f t="shared" si="2"/>
        <v>4.28</v>
      </c>
      <c r="L28" s="47">
        <f t="shared" si="3"/>
        <v>21.4</v>
      </c>
      <c r="M28" s="47">
        <f t="shared" si="4"/>
        <v>2.14</v>
      </c>
      <c r="N28" s="47" t="s">
        <v>185</v>
      </c>
      <c r="O28" s="49">
        <v>40.1</v>
      </c>
      <c r="P28" s="47">
        <f t="shared" si="5"/>
        <v>4.010000000000001</v>
      </c>
      <c r="Q28" s="47">
        <f t="shared" si="8"/>
        <v>20.05</v>
      </c>
      <c r="R28" s="47">
        <f t="shared" si="6"/>
        <v>2.0050000000000003</v>
      </c>
    </row>
    <row r="29" spans="1:18" ht="12.75">
      <c r="A29" s="38"/>
      <c r="B29" s="38" t="s">
        <v>40</v>
      </c>
      <c r="C29" s="40">
        <v>0.1</v>
      </c>
      <c r="D29" s="40"/>
      <c r="E29" s="47">
        <v>134.3</v>
      </c>
      <c r="F29" s="47">
        <f t="shared" si="0"/>
        <v>13.430000000000001</v>
      </c>
      <c r="G29" s="47">
        <f t="shared" si="1"/>
        <v>134.3</v>
      </c>
      <c r="H29" s="47">
        <f t="shared" si="0"/>
        <v>13.430000000000001</v>
      </c>
      <c r="I29" s="47" t="s">
        <v>185</v>
      </c>
      <c r="J29" s="49">
        <v>50.7</v>
      </c>
      <c r="K29" s="47">
        <f t="shared" si="2"/>
        <v>5.07</v>
      </c>
      <c r="L29" s="47">
        <f t="shared" si="3"/>
        <v>25.35</v>
      </c>
      <c r="M29" s="47">
        <f t="shared" si="4"/>
        <v>2.535</v>
      </c>
      <c r="N29" s="47" t="s">
        <v>185</v>
      </c>
      <c r="O29" s="49">
        <v>44.5</v>
      </c>
      <c r="P29" s="47">
        <f t="shared" si="5"/>
        <v>4.45</v>
      </c>
      <c r="Q29" s="47">
        <f t="shared" si="8"/>
        <v>22.25</v>
      </c>
      <c r="R29" s="47">
        <f t="shared" si="6"/>
        <v>2.225</v>
      </c>
    </row>
    <row r="30" spans="1:18" ht="12.75">
      <c r="A30" s="38"/>
      <c r="B30" s="38" t="s">
        <v>41</v>
      </c>
      <c r="C30" s="40">
        <v>0.1</v>
      </c>
      <c r="D30" s="40" t="s">
        <v>185</v>
      </c>
      <c r="E30" s="47">
        <v>14.7</v>
      </c>
      <c r="F30" s="47">
        <f t="shared" si="0"/>
        <v>1.47</v>
      </c>
      <c r="G30" s="47">
        <f t="shared" si="1"/>
        <v>7.35</v>
      </c>
      <c r="H30" s="47">
        <f t="shared" si="0"/>
        <v>0.735</v>
      </c>
      <c r="I30" s="47" t="s">
        <v>185</v>
      </c>
      <c r="J30" s="49">
        <v>6.5</v>
      </c>
      <c r="K30" s="47">
        <f t="shared" si="2"/>
        <v>0.65</v>
      </c>
      <c r="L30" s="47">
        <f t="shared" si="3"/>
        <v>3.25</v>
      </c>
      <c r="M30" s="47">
        <f t="shared" si="4"/>
        <v>0.325</v>
      </c>
      <c r="N30" s="47" t="s">
        <v>185</v>
      </c>
      <c r="O30" s="49">
        <v>8.8</v>
      </c>
      <c r="P30" s="47">
        <f t="shared" si="5"/>
        <v>0.8800000000000001</v>
      </c>
      <c r="Q30" s="47">
        <f t="shared" si="8"/>
        <v>4.4</v>
      </c>
      <c r="R30" s="47">
        <f t="shared" si="6"/>
        <v>0.44000000000000006</v>
      </c>
    </row>
    <row r="31" spans="1:18" ht="12.75">
      <c r="A31" s="38"/>
      <c r="B31" s="38" t="s">
        <v>131</v>
      </c>
      <c r="C31" s="40">
        <v>0</v>
      </c>
      <c r="D31" s="40"/>
      <c r="E31" s="47">
        <v>737.5</v>
      </c>
      <c r="F31" s="47">
        <f>IF(E31="","",E31*$C31)</f>
        <v>0</v>
      </c>
      <c r="G31" s="47">
        <f>IF(E31=0,"",IF(D31="nd",E31/2,E31))</f>
        <v>737.5</v>
      </c>
      <c r="H31" s="47">
        <f>IF(G31="","",G31*$C31)</f>
        <v>0</v>
      </c>
      <c r="I31" s="47"/>
      <c r="J31" s="49">
        <v>93.5</v>
      </c>
      <c r="K31" s="47">
        <f t="shared" si="2"/>
        <v>0</v>
      </c>
      <c r="L31" s="47">
        <f>IF(J31=0,"",IF(I31="nd",J31/2,J31))</f>
        <v>93.5</v>
      </c>
      <c r="M31" s="47">
        <f t="shared" si="4"/>
        <v>0</v>
      </c>
      <c r="N31" s="47"/>
      <c r="O31" s="49">
        <v>156</v>
      </c>
      <c r="P31" s="47">
        <f t="shared" si="5"/>
        <v>0</v>
      </c>
      <c r="Q31" s="47">
        <f>IF(O31=0,"",IF(N31="nd",O31/2,O31))</f>
        <v>156</v>
      </c>
      <c r="R31" s="47">
        <f t="shared" si="6"/>
        <v>0</v>
      </c>
    </row>
    <row r="32" spans="1:18" ht="12.75">
      <c r="A32" s="38"/>
      <c r="B32" s="38" t="s">
        <v>42</v>
      </c>
      <c r="C32" s="40">
        <v>0.01</v>
      </c>
      <c r="D32" s="40"/>
      <c r="E32" s="47">
        <v>473.5</v>
      </c>
      <c r="F32" s="47">
        <f t="shared" si="0"/>
        <v>4.735</v>
      </c>
      <c r="G32" s="47">
        <f t="shared" si="1"/>
        <v>473.5</v>
      </c>
      <c r="H32" s="47">
        <f t="shared" si="0"/>
        <v>4.735</v>
      </c>
      <c r="I32" s="47"/>
      <c r="J32" s="49">
        <v>102.5</v>
      </c>
      <c r="K32" s="47">
        <f t="shared" si="2"/>
        <v>1.025</v>
      </c>
      <c r="L32" s="47">
        <f t="shared" si="3"/>
        <v>102.5</v>
      </c>
      <c r="M32" s="47">
        <f t="shared" si="4"/>
        <v>1.025</v>
      </c>
      <c r="N32" s="47"/>
      <c r="O32" s="49">
        <v>117.05</v>
      </c>
      <c r="P32" s="47">
        <f t="shared" si="5"/>
        <v>1.1705</v>
      </c>
      <c r="Q32" s="47">
        <f t="shared" si="8"/>
        <v>117.05</v>
      </c>
      <c r="R32" s="47">
        <f t="shared" si="6"/>
        <v>1.1705</v>
      </c>
    </row>
    <row r="33" spans="1:18" ht="12.75">
      <c r="A33" s="38"/>
      <c r="B33" s="38" t="s">
        <v>43</v>
      </c>
      <c r="C33" s="40">
        <v>0.01</v>
      </c>
      <c r="D33" s="40"/>
      <c r="E33" s="47">
        <v>93.5</v>
      </c>
      <c r="F33" s="47">
        <f t="shared" si="0"/>
        <v>0.935</v>
      </c>
      <c r="G33" s="47">
        <f t="shared" si="1"/>
        <v>93.5</v>
      </c>
      <c r="H33" s="47">
        <f t="shared" si="0"/>
        <v>0.935</v>
      </c>
      <c r="I33" s="47" t="s">
        <v>185</v>
      </c>
      <c r="J33" s="49">
        <v>18.7</v>
      </c>
      <c r="K33" s="47">
        <f t="shared" si="2"/>
        <v>0.187</v>
      </c>
      <c r="L33" s="47">
        <f t="shared" si="3"/>
        <v>9.35</v>
      </c>
      <c r="M33" s="47">
        <f t="shared" si="4"/>
        <v>0.0935</v>
      </c>
      <c r="N33" s="47" t="s">
        <v>185</v>
      </c>
      <c r="O33" s="49">
        <v>59</v>
      </c>
      <c r="P33" s="47">
        <f t="shared" si="5"/>
        <v>0.59</v>
      </c>
      <c r="Q33" s="47">
        <f t="shared" si="8"/>
        <v>29.5</v>
      </c>
      <c r="R33" s="47">
        <f t="shared" si="6"/>
        <v>0.295</v>
      </c>
    </row>
    <row r="34" spans="1:18" ht="12.75">
      <c r="A34" s="38"/>
      <c r="B34" s="38" t="s">
        <v>132</v>
      </c>
      <c r="C34" s="40">
        <v>0</v>
      </c>
      <c r="D34" s="40"/>
      <c r="E34" s="47">
        <v>773.5</v>
      </c>
      <c r="F34" s="47">
        <f>IF(E34="","",E34*$C34)</f>
        <v>0</v>
      </c>
      <c r="G34" s="47">
        <f>IF(E34=0,"",IF(D34="nd",E34/2,E34))</f>
        <v>773.5</v>
      </c>
      <c r="H34" s="47">
        <f>IF(G34="","",G34*$C34)</f>
        <v>0</v>
      </c>
      <c r="I34" s="47"/>
      <c r="J34" s="49">
        <v>102.5</v>
      </c>
      <c r="K34" s="47">
        <f t="shared" si="2"/>
        <v>0</v>
      </c>
      <c r="L34" s="47">
        <f>IF(J34=0,"",IF(I34="nd",J34/2,J34))</f>
        <v>102.5</v>
      </c>
      <c r="M34" s="47">
        <f t="shared" si="4"/>
        <v>0</v>
      </c>
      <c r="N34" s="47"/>
      <c r="O34" s="49">
        <v>146</v>
      </c>
      <c r="P34" s="47">
        <f t="shared" si="5"/>
        <v>0</v>
      </c>
      <c r="Q34" s="47">
        <f>IF(O34=0,"",IF(N34="nd",O34/2,O34))</f>
        <v>146</v>
      </c>
      <c r="R34" s="47">
        <f t="shared" si="6"/>
        <v>0</v>
      </c>
    </row>
    <row r="35" spans="1:18" ht="12.75">
      <c r="A35" s="38"/>
      <c r="B35" s="38" t="s">
        <v>44</v>
      </c>
      <c r="C35" s="40">
        <v>0.001</v>
      </c>
      <c r="D35" s="40"/>
      <c r="E35" s="47">
        <v>489.5</v>
      </c>
      <c r="F35" s="47">
        <f t="shared" si="0"/>
        <v>0.4895</v>
      </c>
      <c r="G35" s="47">
        <f t="shared" si="1"/>
        <v>489.5</v>
      </c>
      <c r="H35" s="47">
        <f t="shared" si="0"/>
        <v>0.4895</v>
      </c>
      <c r="I35" s="47" t="s">
        <v>185</v>
      </c>
      <c r="J35" s="49">
        <v>59</v>
      </c>
      <c r="K35" s="47">
        <f t="shared" si="2"/>
        <v>0.059000000000000004</v>
      </c>
      <c r="L35" s="47">
        <f t="shared" si="3"/>
        <v>29.5</v>
      </c>
      <c r="M35" s="47">
        <f t="shared" si="4"/>
        <v>0.029500000000000002</v>
      </c>
      <c r="N35" s="47" t="s">
        <v>185</v>
      </c>
      <c r="O35" s="49">
        <v>108</v>
      </c>
      <c r="P35" s="47">
        <f t="shared" si="5"/>
        <v>0.108</v>
      </c>
      <c r="Q35" s="47">
        <f t="shared" si="8"/>
        <v>54</v>
      </c>
      <c r="R35" s="47">
        <f t="shared" si="6"/>
        <v>0.054</v>
      </c>
    </row>
    <row r="36" spans="1:18" ht="12.75">
      <c r="A36" s="38"/>
      <c r="B36" s="38"/>
      <c r="C36" s="38"/>
      <c r="D36" s="38"/>
      <c r="E36" s="47"/>
      <c r="F36" s="51"/>
      <c r="G36" s="47"/>
      <c r="H36" s="51"/>
      <c r="I36" s="47"/>
      <c r="J36" s="17"/>
      <c r="K36" s="42"/>
      <c r="L36" s="42"/>
      <c r="M36" s="42"/>
      <c r="N36" s="47"/>
      <c r="O36" s="17"/>
      <c r="P36" s="50"/>
      <c r="Q36" s="47"/>
      <c r="R36" s="50"/>
    </row>
    <row r="37" spans="1:18" ht="12.75">
      <c r="A37" s="38"/>
      <c r="B37" s="38" t="s">
        <v>45</v>
      </c>
      <c r="C37" s="38"/>
      <c r="D37" s="38"/>
      <c r="E37" s="47"/>
      <c r="F37" s="47">
        <v>124.271</v>
      </c>
      <c r="G37" s="47">
        <v>124.271</v>
      </c>
      <c r="H37" s="47">
        <v>124.271</v>
      </c>
      <c r="I37" s="47"/>
      <c r="J37" s="47"/>
      <c r="K37" s="47">
        <v>122.198</v>
      </c>
      <c r="L37" s="47">
        <v>122.198</v>
      </c>
      <c r="M37" s="47">
        <v>122.198</v>
      </c>
      <c r="N37" s="47"/>
      <c r="O37" s="47"/>
      <c r="P37" s="47">
        <v>120.767</v>
      </c>
      <c r="Q37" s="47">
        <v>120.767</v>
      </c>
      <c r="R37" s="47">
        <v>120.767</v>
      </c>
    </row>
    <row r="38" spans="1:18" ht="12.75">
      <c r="A38" s="38"/>
      <c r="B38" s="38" t="s">
        <v>68</v>
      </c>
      <c r="C38" s="38"/>
      <c r="D38" s="38"/>
      <c r="E38" s="47"/>
      <c r="F38" s="47">
        <v>15.2</v>
      </c>
      <c r="G38" s="47">
        <v>15.2</v>
      </c>
      <c r="H38" s="47">
        <v>15.2</v>
      </c>
      <c r="I38" s="47"/>
      <c r="J38" s="47"/>
      <c r="K38" s="42">
        <v>14.67</v>
      </c>
      <c r="L38" s="42">
        <v>14.67</v>
      </c>
      <c r="M38" s="42">
        <v>14.67</v>
      </c>
      <c r="N38" s="47"/>
      <c r="O38" s="47"/>
      <c r="P38" s="47">
        <v>14.8</v>
      </c>
      <c r="Q38" s="47">
        <v>14.8</v>
      </c>
      <c r="R38" s="47">
        <v>14.8</v>
      </c>
    </row>
    <row r="39" spans="1:18" ht="12.75">
      <c r="A39" s="38"/>
      <c r="B39" s="38"/>
      <c r="C39" s="38"/>
      <c r="D39" s="38"/>
      <c r="E39" s="47"/>
      <c r="F39" s="17"/>
      <c r="G39" s="47"/>
      <c r="H39" s="17"/>
      <c r="I39" s="17"/>
      <c r="J39" s="47"/>
      <c r="K39" s="48"/>
      <c r="L39" s="42"/>
      <c r="M39" s="48"/>
      <c r="N39" s="47"/>
      <c r="O39" s="47"/>
      <c r="P39" s="47"/>
      <c r="Q39" s="47"/>
      <c r="R39" s="47"/>
    </row>
    <row r="40" spans="1:18" ht="12.75">
      <c r="A40" s="38"/>
      <c r="B40" s="38" t="s">
        <v>134</v>
      </c>
      <c r="C40" s="51"/>
      <c r="D40" s="51"/>
      <c r="E40" s="42"/>
      <c r="F40" s="47">
        <f>SUM(F11:F35)/1000</f>
        <v>0.159957</v>
      </c>
      <c r="G40" s="42">
        <f>SUM(G35,G34,G31,G26,G23,G21,G20,G18,G14,G12)/1000</f>
        <v>8.479</v>
      </c>
      <c r="H40" s="47">
        <f>SUM(H11:H35)/1000</f>
        <v>0.144967</v>
      </c>
      <c r="I40" s="51"/>
      <c r="J40" s="42"/>
      <c r="K40" s="47">
        <f>SUM(K11:K35)/1000</f>
        <v>0.07476100000000001</v>
      </c>
      <c r="L40" s="42">
        <f>SUM(L35,L34,L31,L26,L23,L21,L20,L18,L14,L12)/1000</f>
        <v>3.21525</v>
      </c>
      <c r="M40" s="47">
        <f>SUM(M11:M35)/1000</f>
        <v>0.05798300000000001</v>
      </c>
      <c r="N40" s="51"/>
      <c r="O40" s="47"/>
      <c r="P40" s="47">
        <f>SUM(P11:P35)/1000</f>
        <v>0.06773850000000001</v>
      </c>
      <c r="Q40" s="42">
        <f>SUM(Q35,Q34,Q31,Q26,Q23,Q21,Q20,Q18,Q14,Q12)/1000</f>
        <v>5.3903</v>
      </c>
      <c r="R40" s="47">
        <f>SUM(R11:R35)/1000</f>
        <v>0.0427145</v>
      </c>
    </row>
    <row r="41" spans="1:18" ht="12.75">
      <c r="A41" s="38"/>
      <c r="B41" s="38" t="s">
        <v>46</v>
      </c>
      <c r="C41" s="51"/>
      <c r="D41" s="42">
        <f>(F41-H41)*2/F41*100</f>
        <v>18.742537056833985</v>
      </c>
      <c r="E41" s="47"/>
      <c r="F41" s="51">
        <f>(F40/F37/0.0283*(21-7)/(21-F38))</f>
        <v>0.10978602572699411</v>
      </c>
      <c r="G41" s="47">
        <f>(G40/G37/0.0283*(21-7)/(21-G38))</f>
        <v>5.819537201492795</v>
      </c>
      <c r="H41" s="51">
        <f>(H40/H37/0.0283*(21-7)/(21-H38))</f>
        <v>0.09949768244944053</v>
      </c>
      <c r="I41" s="42">
        <f>(K41-M41)*2/K41*100</f>
        <v>44.88436484263182</v>
      </c>
      <c r="J41" s="47"/>
      <c r="K41" s="51">
        <f>(K40/K37/0.0283*(21-7)/(21-K38))</f>
        <v>0.04781331926697672</v>
      </c>
      <c r="L41" s="47">
        <f>(L40/L37/0.0283*(21-7)/(21-L38))</f>
        <v>2.056309770778172</v>
      </c>
      <c r="M41" s="51">
        <f>(M40/M37/0.0283*(21-7)/(21-M38))</f>
        <v>0.03708296693539562</v>
      </c>
      <c r="N41" s="42">
        <f>(P41-R41)*2/P41*100</f>
        <v>73.88412793315474</v>
      </c>
      <c r="O41" s="47"/>
      <c r="P41" s="51">
        <f>(P40/P37/0.0283*(21-7)/(21-P38))</f>
        <v>0.04475455137169534</v>
      </c>
      <c r="Q41" s="47">
        <f>(Q40/Q37/0.0283*(21-7)/(21-Q38))</f>
        <v>3.5613492808203504</v>
      </c>
      <c r="R41" s="51">
        <f>(R40/R37/0.0283*(21-7)/(21-R38))</f>
        <v>0.028221296376008915</v>
      </c>
    </row>
    <row r="42" spans="1:18" ht="12.75">
      <c r="A42" s="38"/>
      <c r="B42" s="38"/>
      <c r="C42" s="38"/>
      <c r="D42" s="38"/>
      <c r="E42" s="46"/>
      <c r="F42" s="51"/>
      <c r="G42" s="46"/>
      <c r="H42" s="51"/>
      <c r="I42" s="46"/>
      <c r="J42" s="46"/>
      <c r="K42" s="46"/>
      <c r="L42" s="46"/>
      <c r="M42" s="46"/>
      <c r="N42" s="46"/>
      <c r="O42" s="46"/>
      <c r="P42" s="50"/>
      <c r="Q42" s="46"/>
      <c r="R42" s="50"/>
    </row>
    <row r="43" spans="1:18" ht="12.75">
      <c r="A43" s="47"/>
      <c r="B43" s="38" t="s">
        <v>69</v>
      </c>
      <c r="C43" s="46">
        <f>AVERAGE(H41,M41,R41)</f>
        <v>0.0549339819202817</v>
      </c>
      <c r="D43" s="47"/>
      <c r="E43" s="47"/>
      <c r="F43" s="51"/>
      <c r="G43" s="47"/>
      <c r="H43" s="51"/>
      <c r="I43" s="47"/>
      <c r="J43" s="47"/>
      <c r="K43" s="47"/>
      <c r="L43" s="47"/>
      <c r="M43" s="47"/>
      <c r="N43" s="47"/>
      <c r="O43" s="47"/>
      <c r="P43" s="50"/>
      <c r="Q43" s="47"/>
      <c r="R43" s="50"/>
    </row>
    <row r="44" spans="1:18" ht="12.75">
      <c r="A44" s="38"/>
      <c r="B44" s="38" t="s">
        <v>70</v>
      </c>
      <c r="C44" s="42">
        <f>AVERAGE(G41,L41,Q41)</f>
        <v>3.812398751030439</v>
      </c>
      <c r="D44" s="38"/>
      <c r="E44" s="50"/>
      <c r="F44" s="51"/>
      <c r="G44" s="50"/>
      <c r="H44" s="51"/>
      <c r="I44" s="50"/>
      <c r="J44" s="50"/>
      <c r="K44" s="50"/>
      <c r="L44" s="50"/>
      <c r="M44" s="50"/>
      <c r="N44" s="50"/>
      <c r="O44" s="50"/>
      <c r="P44" s="50"/>
      <c r="Q44" s="50"/>
      <c r="R44" s="50"/>
    </row>
    <row r="85" spans="1:18" ht="12.75">
      <c r="A85" s="2"/>
      <c r="B85" s="2"/>
      <c r="C85" s="2"/>
      <c r="D85" s="2"/>
      <c r="E85" s="7"/>
      <c r="G85" s="7"/>
      <c r="J85" s="7"/>
      <c r="K85" s="6"/>
      <c r="L85" s="4"/>
      <c r="M85" s="6"/>
      <c r="N85" s="7"/>
      <c r="O85" s="7"/>
      <c r="P85" s="7"/>
      <c r="Q85" s="7"/>
      <c r="R85" s="7"/>
    </row>
    <row r="86" spans="1:18" ht="12.75">
      <c r="A86" s="2"/>
      <c r="B86" s="2"/>
      <c r="C86" s="3"/>
      <c r="D86" s="3"/>
      <c r="E86" s="4"/>
      <c r="F86" s="7"/>
      <c r="G86" s="4"/>
      <c r="H86" s="7"/>
      <c r="I86" s="3"/>
      <c r="J86" s="4"/>
      <c r="K86" s="4"/>
      <c r="L86" s="4"/>
      <c r="M86" s="4"/>
      <c r="N86" s="3"/>
      <c r="O86" s="7"/>
      <c r="P86" s="3"/>
      <c r="Q86" s="3"/>
      <c r="R86" s="3"/>
    </row>
    <row r="87" spans="1:18" ht="12.75">
      <c r="A87" s="2"/>
      <c r="B87" s="2"/>
      <c r="C87" s="3"/>
      <c r="D87" s="3"/>
      <c r="E87" s="7"/>
      <c r="F87" s="3"/>
      <c r="G87" s="5"/>
      <c r="H87" s="3"/>
      <c r="I87" s="3"/>
      <c r="J87" s="7"/>
      <c r="K87" s="3"/>
      <c r="L87" s="4"/>
      <c r="M87" s="3"/>
      <c r="N87" s="3"/>
      <c r="O87" s="7"/>
      <c r="P87" s="5"/>
      <c r="Q87" s="5"/>
      <c r="R87" s="5"/>
    </row>
  </sheetData>
  <printOptions headings="1" horizontalCentered="1"/>
  <pageMargins left="0.25" right="0.25" top="0.5" bottom="0.5" header="0.25" footer="0.25"/>
  <pageSetup horizontalDpi="600" verticalDpi="600" orientation="landscape" pageOrder="overThenDown" scale="70" r:id="rId1"/>
  <headerFooter alignWithMargins="0">
    <oddFooter>&amp;C&amp;P, &amp;A, &amp;F</oddFooter>
  </headerFooter>
</worksheet>
</file>

<file path=xl/worksheets/sheet2.xml><?xml version="1.0" encoding="utf-8"?>
<worksheet xmlns="http://schemas.openxmlformats.org/spreadsheetml/2006/main" xmlns:r="http://schemas.openxmlformats.org/officeDocument/2006/relationships">
  <dimension ref="B1:C32"/>
  <sheetViews>
    <sheetView workbookViewId="0" topLeftCell="B1">
      <selection activeCell="B33" sqref="B33"/>
    </sheetView>
  </sheetViews>
  <sheetFormatPr defaultColWidth="9.140625" defaultRowHeight="12.75"/>
  <cols>
    <col min="1" max="1" width="2.8515625" style="17" hidden="1" customWidth="1"/>
    <col min="2" max="2" width="23.8515625" style="17" customWidth="1"/>
    <col min="3" max="3" width="64.28125" style="17" customWidth="1"/>
    <col min="4" max="16384" width="8.8515625" style="17" customWidth="1"/>
  </cols>
  <sheetData>
    <row r="1" ht="12.75">
      <c r="B1" s="8" t="s">
        <v>90</v>
      </c>
    </row>
    <row r="3" spans="2:3" ht="12.75">
      <c r="B3" s="17" t="s">
        <v>89</v>
      </c>
      <c r="C3" s="18">
        <v>3008</v>
      </c>
    </row>
    <row r="4" spans="2:3" ht="12.75">
      <c r="B4" s="17" t="s">
        <v>0</v>
      </c>
      <c r="C4" s="17" t="s">
        <v>190</v>
      </c>
    </row>
    <row r="5" spans="2:3" ht="12.75">
      <c r="B5" s="17" t="s">
        <v>1</v>
      </c>
      <c r="C5" s="17" t="s">
        <v>189</v>
      </c>
    </row>
    <row r="6" ht="12.75">
      <c r="B6" s="17" t="s">
        <v>2</v>
      </c>
    </row>
    <row r="7" spans="2:3" ht="12.75">
      <c r="B7" s="17" t="s">
        <v>3</v>
      </c>
      <c r="C7" s="17" t="s">
        <v>137</v>
      </c>
    </row>
    <row r="8" spans="2:3" ht="12.75">
      <c r="B8" s="17" t="s">
        <v>4</v>
      </c>
      <c r="C8" s="17" t="s">
        <v>138</v>
      </c>
    </row>
    <row r="9" spans="2:3" ht="12.75">
      <c r="B9" s="17" t="s">
        <v>5</v>
      </c>
      <c r="C9" s="17" t="s">
        <v>139</v>
      </c>
    </row>
    <row r="10" ht="12.75">
      <c r="B10" s="17" t="s">
        <v>6</v>
      </c>
    </row>
    <row r="11" spans="2:3" ht="12.75">
      <c r="B11" s="17" t="s">
        <v>235</v>
      </c>
      <c r="C11" s="18">
        <v>0</v>
      </c>
    </row>
    <row r="12" spans="2:3" ht="12.75">
      <c r="B12" s="17" t="s">
        <v>192</v>
      </c>
      <c r="C12" s="17" t="s">
        <v>252</v>
      </c>
    </row>
    <row r="13" spans="2:3" ht="12.75">
      <c r="B13" s="17" t="s">
        <v>191</v>
      </c>
      <c r="C13" s="17" t="s">
        <v>251</v>
      </c>
    </row>
    <row r="14" spans="2:3" s="59" customFormat="1" ht="51">
      <c r="B14" s="59" t="s">
        <v>77</v>
      </c>
      <c r="C14" s="59" t="s">
        <v>240</v>
      </c>
    </row>
    <row r="15" spans="2:3" s="59" customFormat="1" ht="12.75">
      <c r="B15" s="59" t="s">
        <v>85</v>
      </c>
      <c r="C15" s="61">
        <v>3</v>
      </c>
    </row>
    <row r="16" s="59" customFormat="1" ht="12.75">
      <c r="B16" s="17" t="s">
        <v>91</v>
      </c>
    </row>
    <row r="17" spans="2:3" s="59" customFormat="1" ht="12.75">
      <c r="B17" s="17" t="s">
        <v>236</v>
      </c>
      <c r="C17" s="59" t="s">
        <v>227</v>
      </c>
    </row>
    <row r="18" spans="2:3" s="59" customFormat="1" ht="12.75">
      <c r="B18" s="17" t="s">
        <v>237</v>
      </c>
      <c r="C18" s="59" t="s">
        <v>253</v>
      </c>
    </row>
    <row r="19" spans="2:3" ht="51">
      <c r="B19" s="59" t="s">
        <v>7</v>
      </c>
      <c r="C19" s="59" t="s">
        <v>226</v>
      </c>
    </row>
    <row r="20" spans="2:3" ht="12.75">
      <c r="B20" s="59"/>
      <c r="C20" s="59" t="s">
        <v>228</v>
      </c>
    </row>
    <row r="21" spans="2:3" ht="12.75">
      <c r="B21" s="17" t="s">
        <v>82</v>
      </c>
      <c r="C21" s="17" t="s">
        <v>238</v>
      </c>
    </row>
    <row r="22" spans="2:3" ht="12.75">
      <c r="B22" s="17" t="s">
        <v>92</v>
      </c>
      <c r="C22" s="64" t="s">
        <v>140</v>
      </c>
    </row>
    <row r="23" spans="2:3" ht="12.75">
      <c r="B23" s="17" t="s">
        <v>83</v>
      </c>
      <c r="C23" s="17" t="s">
        <v>239</v>
      </c>
    </row>
    <row r="24" ht="12.75" customHeight="1"/>
    <row r="25" spans="2:3" ht="12.75">
      <c r="B25" s="17" t="s">
        <v>8</v>
      </c>
      <c r="C25" s="18"/>
    </row>
    <row r="26" spans="2:3" ht="12.75">
      <c r="B26" s="17" t="s">
        <v>9</v>
      </c>
      <c r="C26" s="63">
        <f>20/12</f>
        <v>1.6666666666666667</v>
      </c>
    </row>
    <row r="27" spans="2:3" ht="12.75">
      <c r="B27" s="17" t="s">
        <v>10</v>
      </c>
      <c r="C27" s="18">
        <v>34</v>
      </c>
    </row>
    <row r="28" spans="2:3" ht="12.75">
      <c r="B28" s="17" t="s">
        <v>86</v>
      </c>
      <c r="C28" s="19">
        <v>51</v>
      </c>
    </row>
    <row r="29" spans="2:3" ht="14.25" customHeight="1">
      <c r="B29" s="17" t="s">
        <v>87</v>
      </c>
      <c r="C29" s="18">
        <v>500</v>
      </c>
    </row>
    <row r="30" ht="12" customHeight="1"/>
    <row r="31" spans="2:3" ht="12.75">
      <c r="B31" s="17" t="s">
        <v>11</v>
      </c>
      <c r="C31" s="17" t="s">
        <v>165</v>
      </c>
    </row>
    <row r="32" ht="12.75">
      <c r="B32" s="17" t="s">
        <v>124</v>
      </c>
    </row>
    <row r="33" ht="14.25" customHeight="1"/>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3.xml><?xml version="1.0" encoding="utf-8"?>
<worksheet xmlns="http://schemas.openxmlformats.org/spreadsheetml/2006/main" xmlns:r="http://schemas.openxmlformats.org/officeDocument/2006/relationships">
  <dimension ref="A1:K92"/>
  <sheetViews>
    <sheetView workbookViewId="0" topLeftCell="B1">
      <selection activeCell="B33" sqref="B33"/>
    </sheetView>
  </sheetViews>
  <sheetFormatPr defaultColWidth="9.140625" defaultRowHeight="12.75"/>
  <cols>
    <col min="1" max="1" width="6.57421875" style="0" hidden="1" customWidth="1"/>
    <col min="2" max="2" width="26.8515625" style="0" customWidth="1"/>
    <col min="3" max="3" width="59.7109375" style="71" customWidth="1"/>
  </cols>
  <sheetData>
    <row r="1" ht="12.75">
      <c r="B1" s="8" t="s">
        <v>217</v>
      </c>
    </row>
    <row r="3" spans="2:11" s="1" customFormat="1" ht="12.75">
      <c r="B3" s="8" t="s">
        <v>149</v>
      </c>
      <c r="C3" s="18"/>
      <c r="D3" s="17"/>
      <c r="E3" s="17"/>
      <c r="F3" s="17"/>
      <c r="G3" s="17"/>
      <c r="H3" s="17"/>
      <c r="I3" s="17"/>
      <c r="J3" s="17"/>
      <c r="K3" s="17"/>
    </row>
    <row r="4" spans="2:11" s="1" customFormat="1" ht="12.75">
      <c r="B4" s="17"/>
      <c r="C4" s="18"/>
      <c r="D4" s="17"/>
      <c r="E4" s="17"/>
      <c r="F4" s="17"/>
      <c r="G4" s="17"/>
      <c r="H4" s="17"/>
      <c r="I4" s="17"/>
      <c r="J4" s="17"/>
      <c r="K4" s="17"/>
    </row>
    <row r="5" spans="2:11" s="1" customFormat="1" ht="12.75">
      <c r="B5" s="17" t="s">
        <v>218</v>
      </c>
      <c r="C5" s="72" t="s">
        <v>187</v>
      </c>
      <c r="D5" s="17"/>
      <c r="E5" s="17"/>
      <c r="F5" s="17"/>
      <c r="G5" s="17"/>
      <c r="H5" s="17"/>
      <c r="I5" s="17"/>
      <c r="J5" s="17"/>
      <c r="K5" s="17"/>
    </row>
    <row r="6" spans="2:11" s="1" customFormat="1" ht="12.75">
      <c r="B6" s="17" t="s">
        <v>219</v>
      </c>
      <c r="C6" s="18" t="s">
        <v>136</v>
      </c>
      <c r="D6" s="17"/>
      <c r="E6" s="17"/>
      <c r="F6" s="17"/>
      <c r="G6" s="17"/>
      <c r="H6" s="17"/>
      <c r="I6" s="17"/>
      <c r="J6" s="17"/>
      <c r="K6" s="17"/>
    </row>
    <row r="7" spans="2:11" s="1" customFormat="1" ht="12.75">
      <c r="B7" s="17" t="s">
        <v>220</v>
      </c>
      <c r="C7" s="18"/>
      <c r="D7" s="17"/>
      <c r="E7" s="17"/>
      <c r="F7" s="17"/>
      <c r="G7" s="17"/>
      <c r="H7" s="17"/>
      <c r="I7" s="17"/>
      <c r="J7" s="17"/>
      <c r="K7" s="17"/>
    </row>
    <row r="8" spans="2:11" s="1" customFormat="1" ht="12.75">
      <c r="B8" s="17" t="s">
        <v>221</v>
      </c>
      <c r="C8" s="73" t="s">
        <v>143</v>
      </c>
      <c r="D8" s="17"/>
      <c r="E8" s="17"/>
      <c r="F8" s="17"/>
      <c r="G8" s="17"/>
      <c r="H8" s="17"/>
      <c r="I8" s="17"/>
      <c r="J8" s="17"/>
      <c r="K8" s="17"/>
    </row>
    <row r="9" spans="2:11" s="1" customFormat="1" ht="12.75">
      <c r="B9" s="17" t="s">
        <v>234</v>
      </c>
      <c r="C9" s="79">
        <v>36708</v>
      </c>
      <c r="D9" s="17"/>
      <c r="E9" s="17"/>
      <c r="F9" s="17"/>
      <c r="G9" s="17"/>
      <c r="H9" s="17"/>
      <c r="I9" s="17"/>
      <c r="J9" s="17"/>
      <c r="K9" s="17"/>
    </row>
    <row r="10" spans="2:11" s="1" customFormat="1" ht="12.75">
      <c r="B10" s="17" t="s">
        <v>222</v>
      </c>
      <c r="C10" s="18" t="s">
        <v>144</v>
      </c>
      <c r="D10" s="17"/>
      <c r="E10" s="17"/>
      <c r="F10" s="17"/>
      <c r="G10" s="17"/>
      <c r="H10" s="17"/>
      <c r="I10" s="17"/>
      <c r="J10" s="17"/>
      <c r="K10" s="17"/>
    </row>
    <row r="11" spans="2:11" s="1" customFormat="1" ht="12.75">
      <c r="B11" s="17" t="s">
        <v>223</v>
      </c>
      <c r="C11" s="20" t="s">
        <v>141</v>
      </c>
      <c r="D11" s="17"/>
      <c r="E11" s="17"/>
      <c r="F11" s="17"/>
      <c r="G11" s="17"/>
      <c r="H11" s="17"/>
      <c r="I11" s="17"/>
      <c r="J11" s="17"/>
      <c r="K11" s="17"/>
    </row>
    <row r="12" spans="2:11" s="1" customFormat="1" ht="12.75">
      <c r="B12" s="17"/>
      <c r="C12" s="20"/>
      <c r="D12" s="17"/>
      <c r="E12" s="17"/>
      <c r="F12" s="17"/>
      <c r="G12" s="17"/>
      <c r="H12" s="17"/>
      <c r="I12" s="17"/>
      <c r="J12" s="17"/>
      <c r="K12" s="17"/>
    </row>
    <row r="13" spans="2:11" s="1" customFormat="1" ht="12.75">
      <c r="B13" s="8" t="s">
        <v>159</v>
      </c>
      <c r="C13" s="18"/>
      <c r="D13" s="17"/>
      <c r="E13" s="17"/>
      <c r="F13" s="17"/>
      <c r="G13" s="17"/>
      <c r="H13" s="17"/>
      <c r="I13" s="17"/>
      <c r="J13" s="17"/>
      <c r="K13" s="17"/>
    </row>
    <row r="14" spans="2:11" s="1" customFormat="1" ht="12.75">
      <c r="B14" s="17"/>
      <c r="C14" s="18"/>
      <c r="D14" s="17"/>
      <c r="E14" s="17"/>
      <c r="F14" s="17"/>
      <c r="G14" s="17"/>
      <c r="H14" s="17"/>
      <c r="I14" s="17"/>
      <c r="J14" s="17"/>
      <c r="K14" s="17"/>
    </row>
    <row r="15" spans="2:11" s="1" customFormat="1" ht="12.75">
      <c r="B15" s="17" t="s">
        <v>218</v>
      </c>
      <c r="C15" s="72" t="s">
        <v>187</v>
      </c>
      <c r="D15" s="17"/>
      <c r="E15" s="17"/>
      <c r="F15" s="17"/>
      <c r="G15" s="17"/>
      <c r="H15" s="17"/>
      <c r="I15" s="17"/>
      <c r="J15" s="17"/>
      <c r="K15" s="17"/>
    </row>
    <row r="16" spans="2:11" s="1" customFormat="1" ht="12.75">
      <c r="B16" s="17" t="s">
        <v>219</v>
      </c>
      <c r="C16" s="18" t="s">
        <v>136</v>
      </c>
      <c r="D16" s="17"/>
      <c r="E16" s="17"/>
      <c r="F16" s="17"/>
      <c r="G16" s="17"/>
      <c r="H16" s="17"/>
      <c r="I16" s="17"/>
      <c r="J16" s="17"/>
      <c r="K16" s="17"/>
    </row>
    <row r="17" spans="2:11" s="1" customFormat="1" ht="12.75">
      <c r="B17" s="17" t="s">
        <v>220</v>
      </c>
      <c r="C17" s="18"/>
      <c r="D17" s="17"/>
      <c r="E17" s="17"/>
      <c r="F17" s="17"/>
      <c r="G17" s="17"/>
      <c r="H17" s="17"/>
      <c r="I17" s="17"/>
      <c r="J17" s="17"/>
      <c r="K17" s="17"/>
    </row>
    <row r="18" spans="2:11" s="1" customFormat="1" ht="12.75">
      <c r="B18" s="17" t="s">
        <v>221</v>
      </c>
      <c r="C18" s="20" t="s">
        <v>145</v>
      </c>
      <c r="D18" s="17"/>
      <c r="E18" s="17"/>
      <c r="F18" s="17"/>
      <c r="G18" s="17"/>
      <c r="H18" s="17"/>
      <c r="I18" s="17"/>
      <c r="J18" s="17"/>
      <c r="K18" s="17"/>
    </row>
    <row r="19" spans="2:11" s="1" customFormat="1" ht="12.75">
      <c r="B19" s="17" t="s">
        <v>234</v>
      </c>
      <c r="C19" s="79">
        <v>36708</v>
      </c>
      <c r="D19" s="17"/>
      <c r="E19" s="17"/>
      <c r="F19" s="17"/>
      <c r="G19" s="17"/>
      <c r="H19" s="17"/>
      <c r="I19" s="17"/>
      <c r="J19" s="17"/>
      <c r="K19" s="17"/>
    </row>
    <row r="20" spans="2:11" s="1" customFormat="1" ht="12.75">
      <c r="B20" s="17" t="s">
        <v>222</v>
      </c>
      <c r="C20" s="20" t="s">
        <v>146</v>
      </c>
      <c r="D20" s="17"/>
      <c r="E20" s="17"/>
      <c r="F20" s="17"/>
      <c r="G20" s="17"/>
      <c r="H20" s="17"/>
      <c r="I20" s="17"/>
      <c r="J20" s="17"/>
      <c r="K20" s="17"/>
    </row>
    <row r="21" spans="2:11" s="1" customFormat="1" ht="12.75">
      <c r="B21" s="17" t="s">
        <v>223</v>
      </c>
      <c r="C21" s="20" t="s">
        <v>141</v>
      </c>
      <c r="D21" s="17"/>
      <c r="E21" s="17"/>
      <c r="F21" s="17"/>
      <c r="G21" s="17"/>
      <c r="H21" s="17"/>
      <c r="I21" s="17"/>
      <c r="J21" s="17"/>
      <c r="K21" s="17"/>
    </row>
    <row r="22" spans="2:11" s="1" customFormat="1" ht="12.75">
      <c r="B22" s="17"/>
      <c r="C22" s="20"/>
      <c r="D22" s="17"/>
      <c r="E22" s="17"/>
      <c r="F22" s="17"/>
      <c r="G22" s="17"/>
      <c r="H22" s="17"/>
      <c r="I22" s="17"/>
      <c r="J22" s="17"/>
      <c r="K22" s="17"/>
    </row>
    <row r="23" spans="2:11" s="1" customFormat="1" ht="12.75">
      <c r="B23" s="8" t="s">
        <v>161</v>
      </c>
      <c r="C23" s="18"/>
      <c r="D23" s="17"/>
      <c r="E23" s="17"/>
      <c r="F23" s="17"/>
      <c r="G23" s="17"/>
      <c r="H23" s="17"/>
      <c r="I23" s="17"/>
      <c r="J23" s="17"/>
      <c r="K23" s="17"/>
    </row>
    <row r="24" spans="2:11" s="1" customFormat="1" ht="12.75">
      <c r="B24" s="17"/>
      <c r="C24" s="18"/>
      <c r="D24" s="17"/>
      <c r="E24" s="17"/>
      <c r="F24" s="17"/>
      <c r="G24" s="17"/>
      <c r="H24" s="17"/>
      <c r="I24" s="17"/>
      <c r="J24" s="17"/>
      <c r="K24" s="17"/>
    </row>
    <row r="25" spans="2:11" s="1" customFormat="1" ht="12.75">
      <c r="B25" s="17" t="s">
        <v>218</v>
      </c>
      <c r="C25" s="72" t="s">
        <v>187</v>
      </c>
      <c r="D25" s="17"/>
      <c r="E25" s="17"/>
      <c r="F25" s="17"/>
      <c r="G25" s="17"/>
      <c r="H25" s="17"/>
      <c r="I25" s="17"/>
      <c r="J25" s="17"/>
      <c r="K25" s="17"/>
    </row>
    <row r="26" spans="2:11" s="1" customFormat="1" ht="12.75">
      <c r="B26" s="17" t="s">
        <v>219</v>
      </c>
      <c r="C26" s="18" t="s">
        <v>136</v>
      </c>
      <c r="D26" s="17"/>
      <c r="E26" s="17"/>
      <c r="F26" s="17"/>
      <c r="G26" s="17"/>
      <c r="H26" s="17"/>
      <c r="I26" s="17"/>
      <c r="J26" s="17"/>
      <c r="K26" s="17"/>
    </row>
    <row r="27" spans="2:11" s="1" customFormat="1" ht="12.75">
      <c r="B27" s="17" t="s">
        <v>220</v>
      </c>
      <c r="C27" s="18"/>
      <c r="D27" s="17"/>
      <c r="E27" s="17"/>
      <c r="F27" s="17"/>
      <c r="G27" s="17"/>
      <c r="H27" s="17"/>
      <c r="I27" s="17"/>
      <c r="J27" s="17"/>
      <c r="K27" s="17"/>
    </row>
    <row r="28" spans="2:11" s="1" customFormat="1" ht="12.75">
      <c r="B28" s="17" t="s">
        <v>221</v>
      </c>
      <c r="C28" s="20" t="s">
        <v>147</v>
      </c>
      <c r="D28" s="17"/>
      <c r="E28" s="17"/>
      <c r="F28" s="17"/>
      <c r="G28" s="17"/>
      <c r="H28" s="17"/>
      <c r="I28" s="17"/>
      <c r="J28" s="17"/>
      <c r="K28" s="17"/>
    </row>
    <row r="29" spans="2:11" s="1" customFormat="1" ht="12.75">
      <c r="B29" s="17" t="s">
        <v>234</v>
      </c>
      <c r="C29" s="79">
        <v>36708</v>
      </c>
      <c r="D29" s="17"/>
      <c r="E29" s="17"/>
      <c r="F29" s="17"/>
      <c r="G29" s="17"/>
      <c r="H29" s="17"/>
      <c r="I29" s="17"/>
      <c r="J29" s="17"/>
      <c r="K29" s="17"/>
    </row>
    <row r="30" spans="2:11" s="60" customFormat="1" ht="12.75">
      <c r="B30" s="17" t="s">
        <v>222</v>
      </c>
      <c r="C30" s="74" t="s">
        <v>148</v>
      </c>
      <c r="D30" s="59"/>
      <c r="E30" s="59"/>
      <c r="F30" s="59"/>
      <c r="G30" s="59"/>
      <c r="H30" s="59"/>
      <c r="I30" s="59"/>
      <c r="J30" s="59"/>
      <c r="K30" s="59"/>
    </row>
    <row r="31" spans="2:11" s="1" customFormat="1" ht="12.75">
      <c r="B31" s="17" t="s">
        <v>223</v>
      </c>
      <c r="C31" s="20" t="s">
        <v>142</v>
      </c>
      <c r="D31" s="17"/>
      <c r="E31" s="17"/>
      <c r="F31" s="17"/>
      <c r="G31" s="17"/>
      <c r="H31" s="17"/>
      <c r="I31" s="17"/>
      <c r="J31" s="17"/>
      <c r="K31" s="17"/>
    </row>
    <row r="32" spans="2:11" s="1" customFormat="1" ht="12.75">
      <c r="B32" s="17"/>
      <c r="C32" s="20"/>
      <c r="D32" s="17"/>
      <c r="E32" s="17"/>
      <c r="F32" s="17"/>
      <c r="G32" s="17"/>
      <c r="H32" s="17"/>
      <c r="I32" s="17"/>
      <c r="J32" s="17"/>
      <c r="K32" s="17"/>
    </row>
    <row r="33" spans="2:11" s="1" customFormat="1" ht="12.75">
      <c r="B33" s="8" t="s">
        <v>182</v>
      </c>
      <c r="C33" s="18"/>
      <c r="D33" s="17"/>
      <c r="E33" s="17"/>
      <c r="F33" s="17"/>
      <c r="G33" s="17"/>
      <c r="H33" s="17"/>
      <c r="I33" s="17"/>
      <c r="J33" s="17"/>
      <c r="K33" s="17"/>
    </row>
    <row r="34" spans="2:11" s="1" customFormat="1" ht="12.75">
      <c r="B34" s="17"/>
      <c r="C34" s="18"/>
      <c r="D34" s="17"/>
      <c r="E34" s="17"/>
      <c r="F34" s="17"/>
      <c r="G34" s="17"/>
      <c r="H34" s="17"/>
      <c r="I34" s="17"/>
      <c r="J34" s="17"/>
      <c r="K34" s="17"/>
    </row>
    <row r="35" spans="2:11" s="1" customFormat="1" ht="12.75">
      <c r="B35" s="17" t="s">
        <v>218</v>
      </c>
      <c r="C35" s="20" t="s">
        <v>188</v>
      </c>
      <c r="D35" s="17"/>
      <c r="E35" s="17"/>
      <c r="F35" s="17"/>
      <c r="G35" s="17"/>
      <c r="H35" s="17"/>
      <c r="I35" s="17"/>
      <c r="J35" s="17"/>
      <c r="K35" s="17"/>
    </row>
    <row r="36" spans="2:11" s="1" customFormat="1" ht="12.75">
      <c r="B36" s="17" t="s">
        <v>219</v>
      </c>
      <c r="C36" s="18" t="s">
        <v>136</v>
      </c>
      <c r="D36" s="17"/>
      <c r="E36" s="17"/>
      <c r="F36" s="17"/>
      <c r="G36" s="17"/>
      <c r="H36" s="17"/>
      <c r="I36" s="17"/>
      <c r="J36" s="17"/>
      <c r="K36" s="17"/>
    </row>
    <row r="37" spans="2:11" s="1" customFormat="1" ht="12.75">
      <c r="B37" s="17" t="s">
        <v>220</v>
      </c>
      <c r="C37" s="18"/>
      <c r="D37" s="17"/>
      <c r="E37" s="17"/>
      <c r="F37" s="17"/>
      <c r="G37" s="17"/>
      <c r="H37" s="17"/>
      <c r="I37" s="17"/>
      <c r="J37" s="17"/>
      <c r="K37" s="17"/>
    </row>
    <row r="38" spans="2:11" s="1" customFormat="1" ht="12.75">
      <c r="B38" s="17" t="s">
        <v>221</v>
      </c>
      <c r="C38" s="20" t="s">
        <v>183</v>
      </c>
      <c r="D38" s="17"/>
      <c r="E38" s="17"/>
      <c r="F38" s="17"/>
      <c r="G38" s="17"/>
      <c r="H38" s="17"/>
      <c r="I38" s="17"/>
      <c r="J38" s="17"/>
      <c r="K38" s="17"/>
    </row>
    <row r="39" spans="2:11" s="1" customFormat="1" ht="12.75">
      <c r="B39" s="17" t="s">
        <v>234</v>
      </c>
      <c r="C39" s="80">
        <v>37012</v>
      </c>
      <c r="D39" s="17"/>
      <c r="E39" s="17"/>
      <c r="F39" s="17"/>
      <c r="G39" s="17"/>
      <c r="H39" s="17"/>
      <c r="I39" s="17"/>
      <c r="J39" s="17"/>
      <c r="K39" s="17"/>
    </row>
    <row r="40" spans="2:11" s="1" customFormat="1" ht="12.75">
      <c r="B40" s="17" t="s">
        <v>222</v>
      </c>
      <c r="C40" s="74" t="s">
        <v>180</v>
      </c>
      <c r="D40" s="17"/>
      <c r="E40" s="17"/>
      <c r="F40" s="17"/>
      <c r="G40" s="17"/>
      <c r="H40" s="17"/>
      <c r="I40" s="17"/>
      <c r="J40" s="17"/>
      <c r="K40" s="17"/>
    </row>
    <row r="41" spans="2:11" s="1" customFormat="1" ht="12.75">
      <c r="B41" s="17" t="s">
        <v>223</v>
      </c>
      <c r="C41" s="61" t="s">
        <v>186</v>
      </c>
      <c r="D41" s="17"/>
      <c r="E41" s="17"/>
      <c r="F41" s="17"/>
      <c r="G41" s="17"/>
      <c r="H41" s="17"/>
      <c r="I41" s="17"/>
      <c r="J41" s="17"/>
      <c r="K41" s="17"/>
    </row>
    <row r="42" spans="2:11" s="1" customFormat="1" ht="12.75">
      <c r="B42" s="17"/>
      <c r="C42" s="61"/>
      <c r="D42" s="17"/>
      <c r="E42" s="17"/>
      <c r="F42" s="17"/>
      <c r="G42" s="17"/>
      <c r="H42" s="17"/>
      <c r="I42" s="17"/>
      <c r="J42" s="17"/>
      <c r="K42" s="17"/>
    </row>
    <row r="43" ht="12.75">
      <c r="B43" s="8" t="s">
        <v>203</v>
      </c>
    </row>
    <row r="45" spans="2:3" ht="51">
      <c r="B45" s="78" t="s">
        <v>218</v>
      </c>
      <c r="C45" s="77" t="s">
        <v>229</v>
      </c>
    </row>
    <row r="46" ht="12.75">
      <c r="B46" s="17" t="s">
        <v>219</v>
      </c>
    </row>
    <row r="47" ht="12.75">
      <c r="B47" s="17" t="s">
        <v>220</v>
      </c>
    </row>
    <row r="48" spans="2:3" ht="12.75">
      <c r="B48" s="17" t="s">
        <v>221</v>
      </c>
      <c r="C48" s="71" t="s">
        <v>215</v>
      </c>
    </row>
    <row r="49" spans="2:3" ht="12.75">
      <c r="B49" s="17" t="s">
        <v>234</v>
      </c>
      <c r="C49" s="81">
        <v>34182</v>
      </c>
    </row>
    <row r="50" spans="1:3" ht="12.75">
      <c r="A50" t="s">
        <v>195</v>
      </c>
      <c r="B50" s="17" t="s">
        <v>222</v>
      </c>
      <c r="C50" s="71" t="s">
        <v>214</v>
      </c>
    </row>
    <row r="51" spans="1:2" ht="12.75">
      <c r="A51" t="s">
        <v>195</v>
      </c>
      <c r="B51" s="17" t="s">
        <v>223</v>
      </c>
    </row>
    <row r="53" ht="12.75">
      <c r="B53" s="8" t="s">
        <v>204</v>
      </c>
    </row>
    <row r="55" spans="2:3" ht="51">
      <c r="B55" s="78" t="s">
        <v>218</v>
      </c>
      <c r="C55" s="77" t="s">
        <v>229</v>
      </c>
    </row>
    <row r="56" ht="12.75">
      <c r="B56" s="17" t="s">
        <v>219</v>
      </c>
    </row>
    <row r="57" ht="12.75">
      <c r="B57" s="17" t="s">
        <v>220</v>
      </c>
    </row>
    <row r="58" spans="1:3" ht="12.75">
      <c r="A58" t="s">
        <v>195</v>
      </c>
      <c r="B58" s="17" t="s">
        <v>221</v>
      </c>
      <c r="C58" s="71" t="s">
        <v>202</v>
      </c>
    </row>
    <row r="59" spans="2:3" ht="12.75">
      <c r="B59" s="17" t="s">
        <v>234</v>
      </c>
      <c r="C59" s="81">
        <v>34182</v>
      </c>
    </row>
    <row r="60" spans="1:3" ht="12.75">
      <c r="A60" t="s">
        <v>195</v>
      </c>
      <c r="B60" s="17" t="s">
        <v>222</v>
      </c>
      <c r="C60" s="71" t="s">
        <v>199</v>
      </c>
    </row>
    <row r="61" spans="1:2" ht="12.75">
      <c r="A61" t="s">
        <v>195</v>
      </c>
      <c r="B61" s="17" t="s">
        <v>223</v>
      </c>
    </row>
    <row r="62" ht="12.75">
      <c r="C62" s="75"/>
    </row>
    <row r="63" spans="2:3" ht="12.75">
      <c r="B63" s="8" t="s">
        <v>205</v>
      </c>
      <c r="C63" s="75"/>
    </row>
    <row r="64" spans="2:3" ht="12.75">
      <c r="B64" s="8"/>
      <c r="C64" s="75"/>
    </row>
    <row r="65" spans="2:3" ht="51">
      <c r="B65" s="78" t="s">
        <v>218</v>
      </c>
      <c r="C65" s="77" t="s">
        <v>229</v>
      </c>
    </row>
    <row r="66" ht="12.75">
      <c r="B66" s="17" t="s">
        <v>219</v>
      </c>
    </row>
    <row r="67" ht="12.75">
      <c r="B67" s="17" t="s">
        <v>220</v>
      </c>
    </row>
    <row r="68" spans="2:3" ht="12.75">
      <c r="B68" s="17" t="s">
        <v>221</v>
      </c>
      <c r="C68" s="75"/>
    </row>
    <row r="69" spans="1:3" ht="12.75">
      <c r="A69" t="s">
        <v>196</v>
      </c>
      <c r="B69" s="17" t="s">
        <v>221</v>
      </c>
      <c r="C69" s="71" t="s">
        <v>210</v>
      </c>
    </row>
    <row r="70" spans="2:3" ht="12.75">
      <c r="B70" s="17" t="s">
        <v>234</v>
      </c>
      <c r="C70" s="81">
        <v>34182</v>
      </c>
    </row>
    <row r="71" spans="1:3" ht="12.75">
      <c r="A71" t="s">
        <v>196</v>
      </c>
      <c r="B71" s="17" t="s">
        <v>222</v>
      </c>
      <c r="C71" s="71" t="s">
        <v>200</v>
      </c>
    </row>
    <row r="72" spans="1:3" ht="12.75">
      <c r="A72" t="s">
        <v>196</v>
      </c>
      <c r="B72" s="17" t="s">
        <v>223</v>
      </c>
      <c r="C72" s="75"/>
    </row>
    <row r="73" ht="12.75">
      <c r="C73" s="75"/>
    </row>
    <row r="74" spans="2:3" ht="12.75">
      <c r="B74" s="8" t="s">
        <v>213</v>
      </c>
      <c r="C74" s="75"/>
    </row>
    <row r="75" ht="12.75">
      <c r="C75" s="75"/>
    </row>
    <row r="76" spans="2:3" ht="51">
      <c r="B76" s="78" t="s">
        <v>218</v>
      </c>
      <c r="C76" s="77" t="s">
        <v>229</v>
      </c>
    </row>
    <row r="77" ht="12.75">
      <c r="B77" s="17" t="s">
        <v>219</v>
      </c>
    </row>
    <row r="78" ht="12.75">
      <c r="B78" s="17" t="s">
        <v>220</v>
      </c>
    </row>
    <row r="79" spans="1:3" ht="12.75">
      <c r="A79" t="s">
        <v>197</v>
      </c>
      <c r="B79" s="17" t="s">
        <v>221</v>
      </c>
      <c r="C79" s="71" t="s">
        <v>211</v>
      </c>
    </row>
    <row r="80" spans="2:3" ht="12.75">
      <c r="B80" s="17" t="s">
        <v>234</v>
      </c>
      <c r="C80" s="81">
        <v>34182</v>
      </c>
    </row>
    <row r="81" spans="1:2" ht="12.75">
      <c r="A81" t="s">
        <v>197</v>
      </c>
      <c r="B81" s="17" t="s">
        <v>222</v>
      </c>
    </row>
    <row r="82" spans="1:2" ht="12.75">
      <c r="A82" t="s">
        <v>197</v>
      </c>
      <c r="B82" s="17" t="s">
        <v>223</v>
      </c>
    </row>
    <row r="83" ht="12.75">
      <c r="C83" s="75"/>
    </row>
    <row r="84" spans="2:3" ht="12.75">
      <c r="B84" s="8" t="s">
        <v>206</v>
      </c>
      <c r="C84" s="75"/>
    </row>
    <row r="85" ht="12.75">
      <c r="C85" s="75"/>
    </row>
    <row r="86" spans="2:3" ht="51">
      <c r="B86" s="78" t="s">
        <v>218</v>
      </c>
      <c r="C86" s="77" t="s">
        <v>229</v>
      </c>
    </row>
    <row r="87" ht="12.75">
      <c r="B87" s="17" t="s">
        <v>219</v>
      </c>
    </row>
    <row r="88" ht="12.75">
      <c r="B88" s="17" t="s">
        <v>220</v>
      </c>
    </row>
    <row r="89" spans="1:3" ht="12.75">
      <c r="A89" t="s">
        <v>198</v>
      </c>
      <c r="B89" s="17" t="s">
        <v>221</v>
      </c>
      <c r="C89" s="71" t="s">
        <v>212</v>
      </c>
    </row>
    <row r="90" spans="2:3" ht="12.75">
      <c r="B90" s="17" t="s">
        <v>234</v>
      </c>
      <c r="C90" s="81">
        <v>34182</v>
      </c>
    </row>
    <row r="91" spans="1:3" ht="12.75">
      <c r="A91" t="s">
        <v>198</v>
      </c>
      <c r="B91" s="17" t="s">
        <v>222</v>
      </c>
      <c r="C91" s="71" t="s">
        <v>201</v>
      </c>
    </row>
    <row r="92" ht="12.75">
      <c r="B92" s="17" t="s">
        <v>223</v>
      </c>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4.xml><?xml version="1.0" encoding="utf-8"?>
<worksheet xmlns="http://schemas.openxmlformats.org/spreadsheetml/2006/main" xmlns:r="http://schemas.openxmlformats.org/officeDocument/2006/relationships">
  <dimension ref="A1:M191"/>
  <sheetViews>
    <sheetView workbookViewId="0" topLeftCell="B1">
      <selection activeCell="B33" sqref="B33"/>
    </sheetView>
  </sheetViews>
  <sheetFormatPr defaultColWidth="9.140625" defaultRowHeight="12.75"/>
  <cols>
    <col min="1" max="1" width="9.140625" style="22" hidden="1" customWidth="1"/>
    <col min="2" max="2" width="21.140625" style="22" customWidth="1"/>
    <col min="3" max="3" width="11.28125" style="22" customWidth="1"/>
    <col min="4" max="4" width="8.8515625" style="10" customWidth="1"/>
    <col min="5" max="5" width="6.140625" style="10" customWidth="1"/>
    <col min="6" max="6" width="3.140625" style="10" customWidth="1"/>
    <col min="7" max="7" width="9.00390625" style="22" bestFit="1" customWidth="1"/>
    <col min="8" max="8" width="2.7109375" style="22" customWidth="1"/>
    <col min="9" max="9" width="9.00390625" style="23" bestFit="1" customWidth="1"/>
    <col min="10" max="10" width="2.8515625" style="22" customWidth="1"/>
    <col min="11" max="11" width="9.00390625" style="22" bestFit="1" customWidth="1"/>
    <col min="12" max="12" width="2.57421875" style="22" customWidth="1"/>
    <col min="13" max="13" width="9.28125" style="22" customWidth="1"/>
    <col min="14" max="14" width="2.140625" style="22" customWidth="1"/>
    <col min="15" max="16384" width="8.8515625" style="22" customWidth="1"/>
  </cols>
  <sheetData>
    <row r="1" spans="2:3" ht="12.75">
      <c r="B1" s="21" t="s">
        <v>74</v>
      </c>
      <c r="C1" s="21"/>
    </row>
    <row r="2" spans="2:12" ht="12.75">
      <c r="B2" s="24"/>
      <c r="C2" s="24"/>
      <c r="G2" s="24"/>
      <c r="H2" s="24"/>
      <c r="I2" s="25"/>
      <c r="J2" s="24"/>
      <c r="K2" s="24"/>
      <c r="L2" s="24"/>
    </row>
    <row r="3" spans="2:5" ht="12.75">
      <c r="B3" s="17"/>
      <c r="C3" s="17" t="s">
        <v>106</v>
      </c>
      <c r="D3" s="10" t="s">
        <v>12</v>
      </c>
      <c r="E3" s="10" t="s">
        <v>78</v>
      </c>
    </row>
    <row r="4" spans="2:12" ht="12.75">
      <c r="B4" s="17"/>
      <c r="C4" s="17"/>
      <c r="G4" s="24"/>
      <c r="H4" s="24"/>
      <c r="I4" s="25"/>
      <c r="J4" s="24"/>
      <c r="K4" s="24"/>
      <c r="L4" s="24"/>
    </row>
    <row r="5" spans="1:13" ht="12.75">
      <c r="A5" s="22">
        <v>1</v>
      </c>
      <c r="B5" s="26" t="s">
        <v>149</v>
      </c>
      <c r="C5" s="10" t="s">
        <v>107</v>
      </c>
      <c r="G5" s="24" t="s">
        <v>207</v>
      </c>
      <c r="H5" s="24"/>
      <c r="I5" s="25" t="s">
        <v>208</v>
      </c>
      <c r="J5" s="24"/>
      <c r="K5" s="24" t="s">
        <v>209</v>
      </c>
      <c r="L5" s="24"/>
      <c r="M5" s="22" t="s">
        <v>47</v>
      </c>
    </row>
    <row r="6" spans="2:12" ht="12.75">
      <c r="B6" s="10"/>
      <c r="C6" s="10"/>
      <c r="D6" s="17"/>
      <c r="E6" s="17"/>
      <c r="F6" s="17"/>
      <c r="G6" s="17"/>
      <c r="H6" s="17"/>
      <c r="I6" s="27"/>
      <c r="J6" s="17"/>
      <c r="K6" s="17"/>
      <c r="L6" s="24"/>
    </row>
    <row r="7" spans="2:13" ht="12.75">
      <c r="B7" s="10" t="s">
        <v>13</v>
      </c>
      <c r="C7" s="10" t="s">
        <v>231</v>
      </c>
      <c r="D7" s="10" t="s">
        <v>14</v>
      </c>
      <c r="E7" s="10" t="s">
        <v>15</v>
      </c>
      <c r="G7" s="17">
        <v>0.003</v>
      </c>
      <c r="H7" s="17"/>
      <c r="I7" s="27">
        <v>0.005</v>
      </c>
      <c r="J7" s="17"/>
      <c r="K7" s="17">
        <v>0.004</v>
      </c>
      <c r="L7" s="24"/>
      <c r="M7" s="28">
        <f>AVERAGE(K7,I7,G7)</f>
        <v>0.004</v>
      </c>
    </row>
    <row r="8" spans="2:13" ht="12.75">
      <c r="B8" s="10" t="s">
        <v>114</v>
      </c>
      <c r="C8" s="10" t="s">
        <v>231</v>
      </c>
      <c r="D8" s="10" t="s">
        <v>16</v>
      </c>
      <c r="E8" s="10" t="s">
        <v>15</v>
      </c>
      <c r="G8" s="30">
        <v>30.75</v>
      </c>
      <c r="H8" s="30"/>
      <c r="I8" s="31">
        <v>18.83</v>
      </c>
      <c r="J8" s="30"/>
      <c r="K8" s="30">
        <v>24.25</v>
      </c>
      <c r="L8" s="24"/>
      <c r="M8" s="33">
        <f>AVERAGE(K8,I8,G8)</f>
        <v>24.61</v>
      </c>
    </row>
    <row r="9" spans="2:13" ht="12.75">
      <c r="B9" s="10" t="s">
        <v>150</v>
      </c>
      <c r="C9" s="10" t="s">
        <v>231</v>
      </c>
      <c r="D9" s="10" t="s">
        <v>16</v>
      </c>
      <c r="E9" s="10" t="s">
        <v>15</v>
      </c>
      <c r="G9" s="30">
        <v>67.1</v>
      </c>
      <c r="H9" s="30"/>
      <c r="I9" s="31">
        <v>35.2</v>
      </c>
      <c r="J9" s="30"/>
      <c r="K9" s="30">
        <v>36.5</v>
      </c>
      <c r="L9" s="24"/>
      <c r="M9" s="33">
        <f>AVERAGE(K9,I9,G9)</f>
        <v>46.26666666666667</v>
      </c>
    </row>
    <row r="10" spans="2:13" ht="12.75">
      <c r="B10" s="10" t="s">
        <v>76</v>
      </c>
      <c r="C10" s="10" t="s">
        <v>231</v>
      </c>
      <c r="D10" s="10" t="s">
        <v>16</v>
      </c>
      <c r="E10" s="10" t="s">
        <v>15</v>
      </c>
      <c r="G10" s="30">
        <v>2.62</v>
      </c>
      <c r="H10" s="30"/>
      <c r="I10" s="31">
        <v>0.68</v>
      </c>
      <c r="J10" s="30"/>
      <c r="K10" s="30">
        <v>1.27</v>
      </c>
      <c r="L10" s="24"/>
      <c r="M10" s="33">
        <f>AVERAGE(K10,I10,G10)</f>
        <v>1.5233333333333334</v>
      </c>
    </row>
    <row r="11" spans="2:13" ht="12.75">
      <c r="B11" s="10"/>
      <c r="C11" s="10"/>
      <c r="G11" s="30"/>
      <c r="H11" s="30"/>
      <c r="I11" s="31"/>
      <c r="J11" s="30"/>
      <c r="K11" s="30"/>
      <c r="L11" s="24"/>
      <c r="M11" s="32"/>
    </row>
    <row r="12" spans="2:13" ht="12.75">
      <c r="B12" s="10" t="s">
        <v>84</v>
      </c>
      <c r="C12" s="10" t="s">
        <v>264</v>
      </c>
      <c r="G12" s="30"/>
      <c r="H12" s="30"/>
      <c r="I12" s="31"/>
      <c r="J12" s="30"/>
      <c r="K12" s="30"/>
      <c r="L12" s="24"/>
      <c r="M12" s="32"/>
    </row>
    <row r="13" spans="2:13" ht="12.75">
      <c r="B13" s="10" t="s">
        <v>109</v>
      </c>
      <c r="C13" s="10"/>
      <c r="D13" s="10" t="s">
        <v>57</v>
      </c>
      <c r="G13" s="30">
        <v>42.21</v>
      </c>
      <c r="H13" s="30"/>
      <c r="I13" s="31">
        <v>42.77</v>
      </c>
      <c r="J13" s="30"/>
      <c r="K13" s="30">
        <v>41.34</v>
      </c>
      <c r="L13" s="24"/>
      <c r="M13" s="32"/>
    </row>
    <row r="14" spans="2:13" ht="12.75">
      <c r="B14" s="10" t="s">
        <v>110</v>
      </c>
      <c r="C14" s="10" t="s">
        <v>232</v>
      </c>
      <c r="D14" s="10" t="s">
        <v>57</v>
      </c>
      <c r="G14" s="34">
        <v>4.845E-05</v>
      </c>
      <c r="H14" s="30"/>
      <c r="I14" s="34">
        <v>4.663E-06</v>
      </c>
      <c r="J14" s="30"/>
      <c r="K14" s="34">
        <v>5.879E-06</v>
      </c>
      <c r="L14" s="24"/>
      <c r="M14" s="35"/>
    </row>
    <row r="15" spans="2:13" ht="12.75">
      <c r="B15" s="10" t="s">
        <v>56</v>
      </c>
      <c r="C15" s="10" t="s">
        <v>232</v>
      </c>
      <c r="D15" s="10" t="s">
        <v>18</v>
      </c>
      <c r="G15" s="30">
        <v>99.9999</v>
      </c>
      <c r="H15" s="10"/>
      <c r="I15" s="30">
        <v>99.9999</v>
      </c>
      <c r="J15" s="10"/>
      <c r="K15" s="30">
        <v>99.9999</v>
      </c>
      <c r="L15" s="24"/>
      <c r="M15" s="32"/>
    </row>
    <row r="16" spans="2:13" ht="12.75">
      <c r="B16" s="10"/>
      <c r="C16" s="10"/>
      <c r="G16" s="30"/>
      <c r="H16" s="30"/>
      <c r="I16" s="31"/>
      <c r="J16" s="30"/>
      <c r="K16" s="30"/>
      <c r="L16" s="24"/>
      <c r="M16" s="32"/>
    </row>
    <row r="17" spans="2:13" ht="12.75">
      <c r="B17" s="10" t="s">
        <v>117</v>
      </c>
      <c r="C17" s="10" t="s">
        <v>13</v>
      </c>
      <c r="D17" s="10" t="s">
        <v>231</v>
      </c>
      <c r="L17" s="24"/>
      <c r="M17" s="33"/>
    </row>
    <row r="18" spans="2:13" ht="12.75">
      <c r="B18" s="10" t="s">
        <v>94</v>
      </c>
      <c r="C18" s="10"/>
      <c r="D18" s="10" t="s">
        <v>17</v>
      </c>
      <c r="G18" s="11">
        <f>156404/60</f>
        <v>2606.733333333333</v>
      </c>
      <c r="H18" s="29"/>
      <c r="I18" s="11">
        <f>172695/60</f>
        <v>2878.25</v>
      </c>
      <c r="J18" s="11"/>
      <c r="K18" s="11">
        <f>169898/60</f>
        <v>2831.633333333333</v>
      </c>
      <c r="L18" s="24"/>
      <c r="M18" s="29">
        <f>AVERAGE(K18,G18,I18)</f>
        <v>2772.2055555555557</v>
      </c>
    </row>
    <row r="19" spans="2:13" ht="12.75">
      <c r="B19" s="10" t="s">
        <v>111</v>
      </c>
      <c r="C19" s="10"/>
      <c r="D19" s="10" t="s">
        <v>18</v>
      </c>
      <c r="G19" s="30">
        <v>14.87</v>
      </c>
      <c r="H19" s="30"/>
      <c r="I19" s="31">
        <v>15</v>
      </c>
      <c r="J19" s="30"/>
      <c r="K19" s="30">
        <v>15</v>
      </c>
      <c r="M19" s="29">
        <f>AVERAGE(K19,G19,I19)</f>
        <v>14.956666666666665</v>
      </c>
    </row>
    <row r="20" spans="2:13" ht="12.75">
      <c r="B20" s="10" t="s">
        <v>112</v>
      </c>
      <c r="C20" s="10"/>
      <c r="D20" s="10" t="s">
        <v>18</v>
      </c>
      <c r="G20" s="30">
        <v>4.85</v>
      </c>
      <c r="H20" s="30"/>
      <c r="I20" s="31">
        <v>4.52</v>
      </c>
      <c r="J20" s="30"/>
      <c r="K20" s="30">
        <v>5.17</v>
      </c>
      <c r="M20" s="29">
        <f>AVERAGE(K20,G20,I20)</f>
        <v>4.846666666666667</v>
      </c>
    </row>
    <row r="21" spans="2:13" ht="12.75">
      <c r="B21" s="10" t="s">
        <v>93</v>
      </c>
      <c r="C21" s="10"/>
      <c r="D21" s="10" t="s">
        <v>19</v>
      </c>
      <c r="G21" s="30">
        <v>483</v>
      </c>
      <c r="H21" s="30"/>
      <c r="I21" s="31">
        <v>504</v>
      </c>
      <c r="J21" s="30"/>
      <c r="K21" s="30">
        <v>502</v>
      </c>
      <c r="M21" s="29">
        <f>AVERAGE(K21,G21,I21)</f>
        <v>496.3333333333333</v>
      </c>
    </row>
    <row r="22" spans="2:13" ht="12.75">
      <c r="B22" s="10"/>
      <c r="C22" s="10"/>
      <c r="G22" s="30"/>
      <c r="H22" s="30"/>
      <c r="I22" s="31"/>
      <c r="J22" s="30"/>
      <c r="K22" s="30"/>
      <c r="M22" s="33"/>
    </row>
    <row r="23" spans="2:13" ht="12.75">
      <c r="B23" s="10" t="s">
        <v>117</v>
      </c>
      <c r="C23" s="10" t="s">
        <v>56</v>
      </c>
      <c r="D23" s="10" t="s">
        <v>232</v>
      </c>
      <c r="G23" s="30"/>
      <c r="H23" s="30"/>
      <c r="I23" s="31"/>
      <c r="J23" s="30"/>
      <c r="K23" s="30"/>
      <c r="M23" s="33"/>
    </row>
    <row r="24" spans="2:13" ht="12.75">
      <c r="B24" s="10" t="s">
        <v>94</v>
      </c>
      <c r="C24" s="10"/>
      <c r="D24" s="10" t="s">
        <v>17</v>
      </c>
      <c r="G24" s="11">
        <f>157711/60</f>
        <v>2628.516666666667</v>
      </c>
      <c r="H24" s="11"/>
      <c r="I24" s="11">
        <f>172653/60</f>
        <v>2877.55</v>
      </c>
      <c r="J24" s="11"/>
      <c r="K24" s="11">
        <f>169583/60</f>
        <v>2826.383333333333</v>
      </c>
      <c r="M24" s="32">
        <f>AVERAGE(K24,G24,I24)</f>
        <v>2777.4833333333336</v>
      </c>
    </row>
    <row r="25" spans="2:13" ht="12.75">
      <c r="B25" s="10" t="s">
        <v>111</v>
      </c>
      <c r="C25" s="10"/>
      <c r="D25" s="10" t="s">
        <v>18</v>
      </c>
      <c r="G25" s="30"/>
      <c r="H25" s="30"/>
      <c r="I25" s="31"/>
      <c r="J25" s="30"/>
      <c r="K25" s="30"/>
      <c r="M25" s="32"/>
    </row>
    <row r="26" spans="2:13" ht="12.75">
      <c r="B26" s="10" t="s">
        <v>112</v>
      </c>
      <c r="C26" s="10"/>
      <c r="D26" s="10" t="s">
        <v>18</v>
      </c>
      <c r="G26" s="30"/>
      <c r="H26" s="30"/>
      <c r="I26" s="31"/>
      <c r="J26" s="30"/>
      <c r="K26" s="30"/>
      <c r="M26" s="32"/>
    </row>
    <row r="27" spans="2:13" ht="12.75">
      <c r="B27" s="10" t="s">
        <v>93</v>
      </c>
      <c r="C27" s="10"/>
      <c r="D27" s="10" t="s">
        <v>19</v>
      </c>
      <c r="G27" s="30"/>
      <c r="H27" s="30"/>
      <c r="I27" s="31"/>
      <c r="J27" s="30"/>
      <c r="K27" s="30"/>
      <c r="M27" s="32"/>
    </row>
    <row r="28" spans="2:13" ht="12.75">
      <c r="B28" s="10"/>
      <c r="C28" s="10"/>
      <c r="G28" s="30"/>
      <c r="H28" s="30"/>
      <c r="I28" s="31"/>
      <c r="J28" s="30"/>
      <c r="K28" s="30"/>
      <c r="M28" s="33"/>
    </row>
    <row r="29" spans="2:13" ht="12.75">
      <c r="B29" s="10" t="s">
        <v>117</v>
      </c>
      <c r="C29" s="10" t="s">
        <v>151</v>
      </c>
      <c r="D29" s="10" t="s">
        <v>233</v>
      </c>
      <c r="G29" s="30"/>
      <c r="H29" s="30"/>
      <c r="I29" s="31"/>
      <c r="J29" s="30"/>
      <c r="K29" s="30"/>
      <c r="M29" s="33"/>
    </row>
    <row r="30" spans="2:13" ht="12.75">
      <c r="B30" s="10" t="s">
        <v>94</v>
      </c>
      <c r="C30" s="10"/>
      <c r="D30" s="10" t="s">
        <v>17</v>
      </c>
      <c r="G30" s="11">
        <f>156952/60</f>
        <v>2615.866666666667</v>
      </c>
      <c r="H30" s="11"/>
      <c r="I30" s="11">
        <f>173689/60</f>
        <v>2894.8166666666666</v>
      </c>
      <c r="J30" s="11"/>
      <c r="K30" s="11">
        <f>168334/60</f>
        <v>2805.5666666666666</v>
      </c>
      <c r="L30" s="29"/>
      <c r="M30" s="29">
        <f>AVERAGE(K30,G30,I30)</f>
        <v>2772.0833333333335</v>
      </c>
    </row>
    <row r="31" spans="2:13" ht="12.75">
      <c r="B31" s="10" t="s">
        <v>111</v>
      </c>
      <c r="C31" s="10"/>
      <c r="D31" s="10" t="s">
        <v>18</v>
      </c>
      <c r="G31" s="30">
        <v>14.87</v>
      </c>
      <c r="H31" s="30"/>
      <c r="I31" s="31">
        <v>15</v>
      </c>
      <c r="J31" s="30"/>
      <c r="K31" s="30">
        <v>15</v>
      </c>
      <c r="M31" s="32">
        <f>AVERAGE(K31,G31,I31)</f>
        <v>14.956666666666665</v>
      </c>
    </row>
    <row r="32" spans="2:13" ht="12.75">
      <c r="B32" s="10" t="s">
        <v>112</v>
      </c>
      <c r="C32" s="10"/>
      <c r="D32" s="10" t="s">
        <v>18</v>
      </c>
      <c r="G32" s="30">
        <v>4.77</v>
      </c>
      <c r="H32" s="30"/>
      <c r="I32" s="31">
        <v>4.2</v>
      </c>
      <c r="J32" s="30"/>
      <c r="K32" s="30">
        <v>5.05</v>
      </c>
      <c r="M32" s="32">
        <f>AVERAGE(K32,G32,I32)</f>
        <v>4.673333333333333</v>
      </c>
    </row>
    <row r="33" spans="2:13" ht="12.75">
      <c r="B33" s="10" t="s">
        <v>93</v>
      </c>
      <c r="C33" s="10"/>
      <c r="D33" s="10" t="s">
        <v>19</v>
      </c>
      <c r="G33" s="30">
        <v>477</v>
      </c>
      <c r="H33" s="30"/>
      <c r="I33" s="31">
        <v>505</v>
      </c>
      <c r="J33" s="30"/>
      <c r="K33" s="30">
        <v>506</v>
      </c>
      <c r="M33" s="32">
        <f>AVERAGE(K33,G33,I33)</f>
        <v>496</v>
      </c>
    </row>
    <row r="34" spans="2:13" ht="13.5" customHeight="1">
      <c r="B34" s="10"/>
      <c r="C34" s="10"/>
      <c r="G34" s="30"/>
      <c r="H34" s="30"/>
      <c r="I34" s="31"/>
      <c r="J34" s="30"/>
      <c r="K34" s="30"/>
      <c r="M34" s="33"/>
    </row>
    <row r="35" spans="1:13" ht="12.75">
      <c r="A35" s="22">
        <v>2</v>
      </c>
      <c r="B35" s="26" t="s">
        <v>159</v>
      </c>
      <c r="C35" s="10" t="s">
        <v>107</v>
      </c>
      <c r="G35" s="24" t="s">
        <v>207</v>
      </c>
      <c r="H35" s="24"/>
      <c r="I35" s="25" t="s">
        <v>208</v>
      </c>
      <c r="J35" s="24"/>
      <c r="K35" s="24" t="s">
        <v>209</v>
      </c>
      <c r="L35" s="24"/>
      <c r="M35" s="22" t="s">
        <v>47</v>
      </c>
    </row>
    <row r="36" spans="2:13" ht="12.75">
      <c r="B36" s="10"/>
      <c r="C36" s="10"/>
      <c r="G36" s="30"/>
      <c r="H36" s="30"/>
      <c r="I36" s="31"/>
      <c r="J36" s="30"/>
      <c r="K36" s="30"/>
      <c r="M36" s="33"/>
    </row>
    <row r="37" spans="2:13" ht="12.75">
      <c r="B37" s="10" t="s">
        <v>13</v>
      </c>
      <c r="C37" s="10" t="s">
        <v>231</v>
      </c>
      <c r="D37" s="10" t="s">
        <v>14</v>
      </c>
      <c r="E37" s="10" t="s">
        <v>15</v>
      </c>
      <c r="G37" s="30">
        <v>0.004</v>
      </c>
      <c r="H37" s="30"/>
      <c r="I37" s="31">
        <v>0.013</v>
      </c>
      <c r="J37" s="30"/>
      <c r="K37" s="30">
        <v>0.003</v>
      </c>
      <c r="M37" s="28">
        <f>AVERAGE(K37,I37,G37)</f>
        <v>0.006666666666666667</v>
      </c>
    </row>
    <row r="38" spans="2:13" ht="12.75">
      <c r="B38" s="10" t="s">
        <v>114</v>
      </c>
      <c r="C38" s="10" t="s">
        <v>231</v>
      </c>
      <c r="D38" s="10" t="s">
        <v>16</v>
      </c>
      <c r="E38" s="10" t="s">
        <v>15</v>
      </c>
      <c r="G38" s="30">
        <v>11.54</v>
      </c>
      <c r="H38" s="30"/>
      <c r="I38" s="31">
        <v>9.36</v>
      </c>
      <c r="J38" s="30"/>
      <c r="K38" s="30">
        <v>11.4</v>
      </c>
      <c r="M38" s="33">
        <f>AVERAGE(K38,I38,G38)</f>
        <v>10.766666666666666</v>
      </c>
    </row>
    <row r="39" spans="2:13" ht="12.75">
      <c r="B39" s="10" t="s">
        <v>150</v>
      </c>
      <c r="C39" s="10" t="s">
        <v>231</v>
      </c>
      <c r="D39" s="10" t="s">
        <v>16</v>
      </c>
      <c r="E39" s="10" t="s">
        <v>15</v>
      </c>
      <c r="G39" s="30">
        <v>15.1</v>
      </c>
      <c r="H39" s="30"/>
      <c r="I39" s="31">
        <v>13</v>
      </c>
      <c r="J39" s="30"/>
      <c r="K39" s="30">
        <v>15.1</v>
      </c>
      <c r="M39" s="33">
        <f>AVERAGE(K39,I39,G39)</f>
        <v>14.4</v>
      </c>
    </row>
    <row r="40" spans="2:13" ht="12.75">
      <c r="B40" s="10" t="s">
        <v>76</v>
      </c>
      <c r="C40" s="10" t="s">
        <v>231</v>
      </c>
      <c r="D40" s="10" t="s">
        <v>16</v>
      </c>
      <c r="E40" s="10" t="s">
        <v>15</v>
      </c>
      <c r="G40" s="30">
        <v>4.36</v>
      </c>
      <c r="H40" s="30"/>
      <c r="I40" s="31">
        <v>0.91</v>
      </c>
      <c r="J40" s="30"/>
      <c r="K40" s="30">
        <v>1.64</v>
      </c>
      <c r="M40" s="33">
        <f>AVERAGE(K40,I40,G40)</f>
        <v>2.3033333333333332</v>
      </c>
    </row>
    <row r="41" spans="2:13" ht="12.75">
      <c r="B41" s="10"/>
      <c r="C41" s="10"/>
      <c r="G41" s="30"/>
      <c r="H41" s="30"/>
      <c r="I41" s="31"/>
      <c r="J41" s="30"/>
      <c r="K41" s="30"/>
      <c r="M41" s="29"/>
    </row>
    <row r="42" spans="2:13" ht="12.75">
      <c r="B42" s="10" t="s">
        <v>133</v>
      </c>
      <c r="C42" s="10" t="s">
        <v>153</v>
      </c>
      <c r="G42" s="30"/>
      <c r="H42" s="30"/>
      <c r="I42" s="31"/>
      <c r="J42" s="30"/>
      <c r="K42" s="30"/>
      <c r="M42" s="33"/>
    </row>
    <row r="43" spans="2:13" ht="12.75">
      <c r="B43" s="10" t="s">
        <v>109</v>
      </c>
      <c r="C43" s="10"/>
      <c r="D43" s="10" t="s">
        <v>57</v>
      </c>
      <c r="G43" s="30">
        <v>3</v>
      </c>
      <c r="H43" s="30"/>
      <c r="I43" s="31">
        <v>3.05</v>
      </c>
      <c r="J43" s="30"/>
      <c r="K43" s="30">
        <v>3.05</v>
      </c>
      <c r="M43" s="33"/>
    </row>
    <row r="44" spans="2:13" ht="12.75">
      <c r="B44" s="10" t="s">
        <v>110</v>
      </c>
      <c r="C44" s="10" t="s">
        <v>232</v>
      </c>
      <c r="D44" s="10" t="s">
        <v>57</v>
      </c>
      <c r="G44" s="35">
        <v>1.275E-06</v>
      </c>
      <c r="I44" s="35">
        <v>4.067E-06</v>
      </c>
      <c r="K44" s="35">
        <v>6.383E-06</v>
      </c>
      <c r="L44" s="10"/>
      <c r="M44" s="35"/>
    </row>
    <row r="45" spans="2:13" ht="12.75">
      <c r="B45" s="10" t="s">
        <v>56</v>
      </c>
      <c r="C45" s="10" t="s">
        <v>232</v>
      </c>
      <c r="D45" s="10" t="s">
        <v>18</v>
      </c>
      <c r="G45" s="30">
        <v>99.9997</v>
      </c>
      <c r="H45" s="10"/>
      <c r="I45" s="30">
        <v>99.9989</v>
      </c>
      <c r="J45" s="10"/>
      <c r="K45" s="30">
        <v>99.9983</v>
      </c>
      <c r="L45" s="10"/>
      <c r="M45" s="30"/>
    </row>
    <row r="46" spans="2:13" ht="12.75">
      <c r="B46" s="10"/>
      <c r="C46" s="10"/>
      <c r="G46" s="30"/>
      <c r="H46" s="30"/>
      <c r="I46" s="31"/>
      <c r="J46" s="30"/>
      <c r="K46" s="30"/>
      <c r="M46" s="29"/>
    </row>
    <row r="47" spans="2:13" ht="12.75">
      <c r="B47" s="10" t="s">
        <v>133</v>
      </c>
      <c r="C47" s="10" t="s">
        <v>154</v>
      </c>
      <c r="G47" s="30"/>
      <c r="H47" s="30"/>
      <c r="I47" s="31"/>
      <c r="J47" s="30"/>
      <c r="K47" s="30"/>
      <c r="M47" s="33"/>
    </row>
    <row r="48" spans="2:13" ht="12.75">
      <c r="B48" s="10" t="s">
        <v>109</v>
      </c>
      <c r="C48" s="10"/>
      <c r="D48" s="10" t="s">
        <v>57</v>
      </c>
      <c r="G48" s="30">
        <v>11.11</v>
      </c>
      <c r="H48" s="30"/>
      <c r="I48" s="31">
        <v>11.25</v>
      </c>
      <c r="J48" s="30"/>
      <c r="K48" s="30">
        <v>11.28</v>
      </c>
      <c r="M48" s="33"/>
    </row>
    <row r="49" spans="2:13" ht="12.75">
      <c r="B49" s="10" t="s">
        <v>110</v>
      </c>
      <c r="C49" s="10" t="s">
        <v>232</v>
      </c>
      <c r="D49" s="10" t="s">
        <v>57</v>
      </c>
      <c r="G49" s="34">
        <v>5.015E-05</v>
      </c>
      <c r="H49" s="10"/>
      <c r="I49" s="34">
        <v>5.047E-06</v>
      </c>
      <c r="J49" s="10"/>
      <c r="K49" s="34">
        <v>5.137E-06</v>
      </c>
      <c r="L49" s="10"/>
      <c r="M49" s="35"/>
    </row>
    <row r="50" spans="2:13" ht="12.75">
      <c r="B50" s="10" t="s">
        <v>56</v>
      </c>
      <c r="C50" s="10" t="s">
        <v>232</v>
      </c>
      <c r="D50" s="10" t="s">
        <v>18</v>
      </c>
      <c r="G50" s="22">
        <v>99.9995</v>
      </c>
      <c r="I50" s="22">
        <v>99.9996</v>
      </c>
      <c r="K50" s="22">
        <v>99.9996</v>
      </c>
      <c r="L50" s="10"/>
      <c r="M50" s="30"/>
    </row>
    <row r="51" spans="2:13" ht="12.75">
      <c r="B51" s="10"/>
      <c r="C51" s="10"/>
      <c r="G51" s="30"/>
      <c r="H51" s="30"/>
      <c r="I51" s="31"/>
      <c r="J51" s="30"/>
      <c r="K51" s="30"/>
      <c r="M51" s="36"/>
    </row>
    <row r="52" spans="2:13" ht="12.75">
      <c r="B52" s="10" t="s">
        <v>117</v>
      </c>
      <c r="C52" s="10" t="s">
        <v>108</v>
      </c>
      <c r="D52" s="10" t="s">
        <v>231</v>
      </c>
      <c r="L52" s="24"/>
      <c r="M52" s="33"/>
    </row>
    <row r="53" spans="2:13" ht="12.75">
      <c r="B53" s="10" t="s">
        <v>94</v>
      </c>
      <c r="C53" s="10"/>
      <c r="D53" s="10" t="s">
        <v>17</v>
      </c>
      <c r="G53" s="11">
        <f>151409/60</f>
        <v>2523.483333333333</v>
      </c>
      <c r="H53" s="29"/>
      <c r="I53" s="11">
        <f>148027/60</f>
        <v>2467.116666666667</v>
      </c>
      <c r="J53" s="29"/>
      <c r="K53" s="11">
        <f>146537/60</f>
        <v>2442.2833333333333</v>
      </c>
      <c r="M53" s="29">
        <f>AVERAGE(K53,I53,G53)</f>
        <v>2477.6277777777777</v>
      </c>
    </row>
    <row r="54" spans="2:13" ht="12.75">
      <c r="B54" s="10" t="s">
        <v>111</v>
      </c>
      <c r="C54" s="10"/>
      <c r="D54" s="10" t="s">
        <v>18</v>
      </c>
      <c r="G54" s="30">
        <v>14.73</v>
      </c>
      <c r="I54" s="31">
        <v>14.6</v>
      </c>
      <c r="K54" s="30">
        <v>14.8</v>
      </c>
      <c r="M54" s="29">
        <f>AVERAGE(K54,I54,G54)</f>
        <v>14.709999999999999</v>
      </c>
    </row>
    <row r="55" spans="2:13" ht="12.75">
      <c r="B55" s="10" t="s">
        <v>112</v>
      </c>
      <c r="C55" s="10"/>
      <c r="D55" s="10" t="s">
        <v>18</v>
      </c>
      <c r="G55" s="30">
        <v>5.75</v>
      </c>
      <c r="I55" s="31">
        <v>5.52</v>
      </c>
      <c r="K55" s="30">
        <v>5.44</v>
      </c>
      <c r="M55" s="29">
        <f>AVERAGE(K55,I55,G55)</f>
        <v>5.57</v>
      </c>
    </row>
    <row r="56" spans="2:13" ht="12.75">
      <c r="B56" s="10" t="s">
        <v>93</v>
      </c>
      <c r="C56" s="10"/>
      <c r="D56" s="10" t="s">
        <v>19</v>
      </c>
      <c r="G56" s="30">
        <v>508</v>
      </c>
      <c r="I56" s="31">
        <v>503</v>
      </c>
      <c r="K56" s="30">
        <v>488</v>
      </c>
      <c r="M56" s="29">
        <f>AVERAGE(K56,I56,G56)</f>
        <v>499.6666666666667</v>
      </c>
    </row>
    <row r="57" spans="2:3" ht="12.75">
      <c r="B57" s="10"/>
      <c r="C57" s="10"/>
    </row>
    <row r="58" spans="2:4" ht="12.75">
      <c r="B58" s="10" t="s">
        <v>117</v>
      </c>
      <c r="C58" s="10" t="s">
        <v>56</v>
      </c>
      <c r="D58" s="10" t="s">
        <v>232</v>
      </c>
    </row>
    <row r="59" spans="2:13" ht="12.75">
      <c r="B59" s="10" t="s">
        <v>94</v>
      </c>
      <c r="C59" s="10"/>
      <c r="D59" s="10" t="s">
        <v>17</v>
      </c>
      <c r="G59" s="11">
        <f>150139/60</f>
        <v>2502.3166666666666</v>
      </c>
      <c r="H59" s="29"/>
      <c r="I59" s="11">
        <f>149364/60</f>
        <v>2489.4</v>
      </c>
      <c r="J59" s="29"/>
      <c r="K59" s="11">
        <f>148849/60</f>
        <v>2480.8166666666666</v>
      </c>
      <c r="L59" s="29"/>
      <c r="M59" s="29">
        <f>AVERAGE(K59,I59,G59)</f>
        <v>2490.8444444444444</v>
      </c>
    </row>
    <row r="60" spans="2:13" ht="12.75">
      <c r="B60" s="10" t="s">
        <v>111</v>
      </c>
      <c r="C60" s="10"/>
      <c r="D60" s="10" t="s">
        <v>18</v>
      </c>
      <c r="G60" s="30">
        <v>14.73</v>
      </c>
      <c r="H60" s="30"/>
      <c r="I60" s="31">
        <v>14.6</v>
      </c>
      <c r="J60" s="30"/>
      <c r="K60" s="30">
        <v>14.8</v>
      </c>
      <c r="M60" s="29">
        <f>AVERAGE(K60,I60,G60)</f>
        <v>14.709999999999999</v>
      </c>
    </row>
    <row r="61" spans="2:13" ht="12.75">
      <c r="B61" s="10" t="s">
        <v>112</v>
      </c>
      <c r="C61" s="10"/>
      <c r="D61" s="10" t="s">
        <v>18</v>
      </c>
      <c r="G61" s="30">
        <v>5.8</v>
      </c>
      <c r="H61" s="30"/>
      <c r="I61" s="31">
        <v>5.75</v>
      </c>
      <c r="J61" s="30"/>
      <c r="K61" s="30">
        <v>5.54</v>
      </c>
      <c r="M61" s="29">
        <f>AVERAGE(K61,I61,G61)</f>
        <v>5.696666666666666</v>
      </c>
    </row>
    <row r="62" spans="2:13" ht="12.75">
      <c r="B62" s="10" t="s">
        <v>93</v>
      </c>
      <c r="C62" s="10"/>
      <c r="D62" s="10" t="s">
        <v>19</v>
      </c>
      <c r="G62" s="30">
        <v>513</v>
      </c>
      <c r="H62" s="30"/>
      <c r="I62" s="31">
        <v>503</v>
      </c>
      <c r="J62" s="30"/>
      <c r="K62" s="30">
        <v>493</v>
      </c>
      <c r="M62" s="29">
        <f>AVERAGE(K62,I62,G62)</f>
        <v>503</v>
      </c>
    </row>
    <row r="63" spans="2:3" ht="12.75">
      <c r="B63" s="10"/>
      <c r="C63" s="10"/>
    </row>
    <row r="64" spans="2:4" ht="12.75">
      <c r="B64" s="10" t="s">
        <v>117</v>
      </c>
      <c r="C64" s="10" t="s">
        <v>151</v>
      </c>
      <c r="D64" s="10" t="s">
        <v>233</v>
      </c>
    </row>
    <row r="65" spans="2:13" ht="12.75">
      <c r="B65" s="10" t="s">
        <v>94</v>
      </c>
      <c r="C65" s="10"/>
      <c r="D65" s="10" t="s">
        <v>17</v>
      </c>
      <c r="G65" s="11">
        <f>149559/60</f>
        <v>2492.65</v>
      </c>
      <c r="H65" s="29"/>
      <c r="I65" s="11">
        <f>149865/60</f>
        <v>2497.75</v>
      </c>
      <c r="J65" s="29"/>
      <c r="K65" s="11">
        <f>147059/60</f>
        <v>2450.983333333333</v>
      </c>
      <c r="M65" s="29">
        <f>AVERAGE(K65,I65,G65)</f>
        <v>2480.461111111111</v>
      </c>
    </row>
    <row r="66" spans="2:13" ht="12.75">
      <c r="B66" s="10" t="s">
        <v>111</v>
      </c>
      <c r="C66" s="10"/>
      <c r="D66" s="10" t="s">
        <v>18</v>
      </c>
      <c r="G66" s="30">
        <v>14.73</v>
      </c>
      <c r="H66" s="30"/>
      <c r="I66" s="31">
        <v>14.6</v>
      </c>
      <c r="J66" s="30"/>
      <c r="K66" s="30">
        <v>14.8</v>
      </c>
      <c r="M66" s="29">
        <f>AVERAGE(K66,I66,G66)</f>
        <v>14.709999999999999</v>
      </c>
    </row>
    <row r="67" spans="2:13" ht="12.75">
      <c r="B67" s="10" t="s">
        <v>112</v>
      </c>
      <c r="C67" s="10"/>
      <c r="D67" s="10" t="s">
        <v>18</v>
      </c>
      <c r="G67" s="30">
        <v>5.66</v>
      </c>
      <c r="H67" s="30"/>
      <c r="I67" s="31">
        <v>5.52</v>
      </c>
      <c r="J67" s="30"/>
      <c r="K67" s="30">
        <v>5.36</v>
      </c>
      <c r="M67" s="29">
        <f>AVERAGE(K67,I67,G67)</f>
        <v>5.513333333333333</v>
      </c>
    </row>
    <row r="68" spans="2:13" ht="12.75">
      <c r="B68" s="10" t="s">
        <v>93</v>
      </c>
      <c r="C68" s="10"/>
      <c r="D68" s="10" t="s">
        <v>19</v>
      </c>
      <c r="G68" s="30">
        <v>520</v>
      </c>
      <c r="H68" s="30"/>
      <c r="I68" s="31">
        <v>508</v>
      </c>
      <c r="J68" s="30"/>
      <c r="K68" s="30">
        <v>499</v>
      </c>
      <c r="M68" s="29">
        <f>AVERAGE(K68,I68,G68)</f>
        <v>509</v>
      </c>
    </row>
    <row r="69" spans="2:13" ht="12.75">
      <c r="B69" s="10"/>
      <c r="C69" s="10"/>
      <c r="G69" s="30"/>
      <c r="H69" s="30"/>
      <c r="I69" s="31"/>
      <c r="J69" s="30"/>
      <c r="K69" s="30"/>
      <c r="M69" s="29"/>
    </row>
    <row r="70" spans="1:13" ht="12.75">
      <c r="A70" s="22">
        <v>3</v>
      </c>
      <c r="B70" s="26" t="s">
        <v>161</v>
      </c>
      <c r="C70" s="10" t="s">
        <v>107</v>
      </c>
      <c r="G70" s="24" t="s">
        <v>207</v>
      </c>
      <c r="H70" s="24"/>
      <c r="I70" s="25" t="s">
        <v>208</v>
      </c>
      <c r="J70" s="24"/>
      <c r="K70" s="24" t="s">
        <v>209</v>
      </c>
      <c r="L70" s="24"/>
      <c r="M70" s="22" t="s">
        <v>47</v>
      </c>
    </row>
    <row r="71" spans="2:13" ht="12.75">
      <c r="B71" s="26"/>
      <c r="C71" s="26"/>
      <c r="G71" s="24"/>
      <c r="H71" s="24"/>
      <c r="I71" s="25"/>
      <c r="J71" s="24"/>
      <c r="K71" s="24"/>
      <c r="L71" s="24"/>
      <c r="M71" s="33"/>
    </row>
    <row r="72" spans="2:13" ht="12.75">
      <c r="B72" s="10" t="s">
        <v>13</v>
      </c>
      <c r="C72" s="10" t="s">
        <v>231</v>
      </c>
      <c r="D72" s="10" t="s">
        <v>14</v>
      </c>
      <c r="E72" s="10" t="s">
        <v>15</v>
      </c>
      <c r="G72" s="30">
        <v>0.005</v>
      </c>
      <c r="H72" s="30"/>
      <c r="I72" s="31">
        <v>0.005</v>
      </c>
      <c r="J72" s="30"/>
      <c r="K72" s="30">
        <v>0.004</v>
      </c>
      <c r="L72" s="30"/>
      <c r="M72" s="65">
        <f>AVERAGE(G72,I72,K72)</f>
        <v>0.004666666666666667</v>
      </c>
    </row>
    <row r="73" spans="2:13" ht="12.75">
      <c r="B73" s="10" t="s">
        <v>114</v>
      </c>
      <c r="C73" s="10" t="s">
        <v>231</v>
      </c>
      <c r="D73" s="10" t="s">
        <v>16</v>
      </c>
      <c r="E73" s="10" t="s">
        <v>15</v>
      </c>
      <c r="G73" s="30">
        <v>29.64</v>
      </c>
      <c r="H73" s="30"/>
      <c r="I73" s="31">
        <v>32.91</v>
      </c>
      <c r="J73" s="30"/>
      <c r="K73" s="30">
        <v>34.11</v>
      </c>
      <c r="L73" s="30"/>
      <c r="M73" s="12">
        <f>AVERAGE(G73,I73,K73)</f>
        <v>32.22</v>
      </c>
    </row>
    <row r="74" spans="2:13" ht="12.75">
      <c r="B74" s="10" t="s">
        <v>150</v>
      </c>
      <c r="C74" s="10" t="s">
        <v>231</v>
      </c>
      <c r="D74" s="10" t="s">
        <v>16</v>
      </c>
      <c r="E74" s="10" t="s">
        <v>15</v>
      </c>
      <c r="G74" s="30">
        <v>73.8</v>
      </c>
      <c r="H74" s="30"/>
      <c r="I74" s="31">
        <v>83.2</v>
      </c>
      <c r="J74" s="30"/>
      <c r="K74" s="30">
        <v>71.7</v>
      </c>
      <c r="L74" s="30"/>
      <c r="M74" s="12">
        <f>AVERAGE(G74,I74,K74)</f>
        <v>76.23333333333333</v>
      </c>
    </row>
    <row r="75" spans="2:13" ht="12.75">
      <c r="B75" s="10" t="s">
        <v>76</v>
      </c>
      <c r="C75" s="10" t="s">
        <v>231</v>
      </c>
      <c r="D75" s="10" t="s">
        <v>16</v>
      </c>
      <c r="E75" s="10" t="s">
        <v>15</v>
      </c>
      <c r="G75" s="30">
        <v>1.96</v>
      </c>
      <c r="H75" s="30"/>
      <c r="I75" s="31">
        <v>2.4</v>
      </c>
      <c r="J75" s="30"/>
      <c r="K75" s="30">
        <v>0.41</v>
      </c>
      <c r="L75" s="30"/>
      <c r="M75" s="12">
        <f>AVERAGE(G75,I75,K75)</f>
        <v>1.5899999999999999</v>
      </c>
    </row>
    <row r="76" spans="2:13" ht="12.75">
      <c r="B76" s="10" t="s">
        <v>54</v>
      </c>
      <c r="C76" s="10"/>
      <c r="D76" s="10" t="s">
        <v>57</v>
      </c>
      <c r="G76" s="30">
        <v>0.008</v>
      </c>
      <c r="H76" s="30"/>
      <c r="I76" s="31">
        <v>0.014</v>
      </c>
      <c r="J76" s="30"/>
      <c r="K76" s="30">
        <v>0.01</v>
      </c>
      <c r="L76" s="30"/>
      <c r="M76" s="12"/>
    </row>
    <row r="77" spans="2:13" ht="12.75">
      <c r="B77" s="10" t="s">
        <v>55</v>
      </c>
      <c r="C77" s="10"/>
      <c r="D77" s="10" t="s">
        <v>57</v>
      </c>
      <c r="G77" s="30">
        <v>0.175</v>
      </c>
      <c r="H77" s="30"/>
      <c r="I77" s="31">
        <v>0.154</v>
      </c>
      <c r="J77" s="30"/>
      <c r="K77" s="30">
        <v>0.161</v>
      </c>
      <c r="L77" s="30"/>
      <c r="M77" s="12"/>
    </row>
    <row r="78" spans="2:13" ht="12.75">
      <c r="B78" s="10"/>
      <c r="C78" s="10"/>
      <c r="G78" s="30"/>
      <c r="H78" s="30"/>
      <c r="I78" s="31"/>
      <c r="J78" s="30"/>
      <c r="K78" s="30"/>
      <c r="L78" s="30"/>
      <c r="M78" s="12"/>
    </row>
    <row r="79" spans="2:13" ht="12.75">
      <c r="B79" s="10" t="s">
        <v>155</v>
      </c>
      <c r="C79" s="10"/>
      <c r="D79" s="10" t="s">
        <v>49</v>
      </c>
      <c r="G79" s="34">
        <v>0.0528</v>
      </c>
      <c r="H79" s="30"/>
      <c r="I79" s="34">
        <v>0.0574</v>
      </c>
      <c r="J79" s="30"/>
      <c r="K79" s="34">
        <v>0.052</v>
      </c>
      <c r="L79" s="30"/>
      <c r="M79" s="12"/>
    </row>
    <row r="80" spans="2:13" ht="12.75">
      <c r="B80" s="10" t="s">
        <v>96</v>
      </c>
      <c r="C80" s="10"/>
      <c r="D80" s="10" t="s">
        <v>49</v>
      </c>
      <c r="G80" s="34">
        <v>0.0863</v>
      </c>
      <c r="H80" s="30"/>
      <c r="I80" s="34">
        <v>0.113</v>
      </c>
      <c r="J80" s="30"/>
      <c r="K80" s="34">
        <v>0.0998</v>
      </c>
      <c r="L80" s="30"/>
      <c r="M80" s="12"/>
    </row>
    <row r="81" spans="2:13" ht="12.75">
      <c r="B81" s="10" t="s">
        <v>97</v>
      </c>
      <c r="C81" s="10"/>
      <c r="D81" s="10" t="s">
        <v>49</v>
      </c>
      <c r="G81" s="34">
        <v>0.0094</v>
      </c>
      <c r="H81" s="30"/>
      <c r="I81" s="34">
        <v>0.0111</v>
      </c>
      <c r="J81" s="30"/>
      <c r="K81" s="34">
        <v>0.00806</v>
      </c>
      <c r="L81" s="30"/>
      <c r="M81" s="12"/>
    </row>
    <row r="82" spans="2:13" ht="12.75">
      <c r="B82" s="10" t="s">
        <v>98</v>
      </c>
      <c r="C82" s="10"/>
      <c r="D82" s="10" t="s">
        <v>49</v>
      </c>
      <c r="G82" s="34">
        <v>0.144</v>
      </c>
      <c r="H82" s="30"/>
      <c r="I82" s="34">
        <v>0.197</v>
      </c>
      <c r="J82" s="30"/>
      <c r="K82" s="34">
        <v>0.165</v>
      </c>
      <c r="L82" s="30"/>
      <c r="M82" s="12"/>
    </row>
    <row r="83" spans="2:13" ht="12.75">
      <c r="B83" s="10" t="s">
        <v>99</v>
      </c>
      <c r="C83" s="10"/>
      <c r="D83" s="10" t="s">
        <v>49</v>
      </c>
      <c r="G83" s="34">
        <v>0.00496</v>
      </c>
      <c r="H83" s="30"/>
      <c r="I83" s="34">
        <v>0.00456</v>
      </c>
      <c r="J83" s="30"/>
      <c r="K83" s="34">
        <v>0.00461</v>
      </c>
      <c r="L83" s="30"/>
      <c r="M83" s="12"/>
    </row>
    <row r="84" spans="2:13" ht="12.75">
      <c r="B84" s="10" t="s">
        <v>100</v>
      </c>
      <c r="C84" s="10"/>
      <c r="D84" s="10" t="s">
        <v>49</v>
      </c>
      <c r="G84" s="34">
        <v>0.00971</v>
      </c>
      <c r="H84" s="30"/>
      <c r="I84" s="34">
        <v>0.00738</v>
      </c>
      <c r="J84" s="30"/>
      <c r="K84" s="34">
        <v>0.00706</v>
      </c>
      <c r="L84" s="30"/>
      <c r="M84" s="12"/>
    </row>
    <row r="85" spans="2:13" ht="12.75">
      <c r="B85" s="10" t="s">
        <v>115</v>
      </c>
      <c r="C85" s="10"/>
      <c r="D85" s="10" t="s">
        <v>49</v>
      </c>
      <c r="G85" s="34">
        <v>0.0077</v>
      </c>
      <c r="H85" s="30"/>
      <c r="I85" s="34">
        <v>0.00631</v>
      </c>
      <c r="J85" s="30"/>
      <c r="K85" s="34">
        <v>0.00635</v>
      </c>
      <c r="L85" s="30"/>
      <c r="M85" s="12"/>
    </row>
    <row r="86" spans="2:13" ht="12.75">
      <c r="B86" s="10" t="s">
        <v>113</v>
      </c>
      <c r="C86" s="10"/>
      <c r="D86" s="10" t="s">
        <v>49</v>
      </c>
      <c r="G86" s="34">
        <v>0.0353</v>
      </c>
      <c r="H86" s="30"/>
      <c r="I86" s="34">
        <v>0.0477</v>
      </c>
      <c r="J86" s="30"/>
      <c r="K86" s="34">
        <v>0.0406</v>
      </c>
      <c r="L86" s="30"/>
      <c r="M86" s="12"/>
    </row>
    <row r="87" spans="2:13" ht="12.75">
      <c r="B87" s="10" t="s">
        <v>95</v>
      </c>
      <c r="C87" s="10"/>
      <c r="D87" s="10" t="s">
        <v>49</v>
      </c>
      <c r="G87" s="30">
        <v>4.5</v>
      </c>
      <c r="H87" s="30"/>
      <c r="I87" s="31">
        <v>6.76</v>
      </c>
      <c r="J87" s="30"/>
      <c r="K87" s="30">
        <v>5.73</v>
      </c>
      <c r="L87" s="30"/>
      <c r="M87" s="12"/>
    </row>
    <row r="88" spans="2:13" ht="12.75">
      <c r="B88" s="10" t="s">
        <v>101</v>
      </c>
      <c r="C88" s="10"/>
      <c r="D88" s="10" t="s">
        <v>49</v>
      </c>
      <c r="G88" s="34">
        <v>0.00648</v>
      </c>
      <c r="H88" s="30"/>
      <c r="I88" s="34">
        <v>0.00948</v>
      </c>
      <c r="J88" s="30"/>
      <c r="K88" s="34">
        <v>0.0133</v>
      </c>
      <c r="L88" s="30"/>
      <c r="M88" s="12"/>
    </row>
    <row r="89" spans="2:13" ht="12.75">
      <c r="B89" s="10" t="s">
        <v>102</v>
      </c>
      <c r="C89" s="10"/>
      <c r="D89" s="10" t="s">
        <v>49</v>
      </c>
      <c r="G89" s="34">
        <v>0.00688</v>
      </c>
      <c r="H89" s="30"/>
      <c r="I89" s="34">
        <v>0.00669</v>
      </c>
      <c r="J89" s="30"/>
      <c r="K89" s="34">
        <v>0.00635</v>
      </c>
      <c r="L89" s="30"/>
      <c r="M89" s="12"/>
    </row>
    <row r="90" spans="2:13" ht="12.75">
      <c r="B90" s="10" t="s">
        <v>103</v>
      </c>
      <c r="C90" s="10"/>
      <c r="D90" s="10" t="s">
        <v>49</v>
      </c>
      <c r="G90" s="34">
        <v>0.00991</v>
      </c>
      <c r="H90" s="30"/>
      <c r="I90" s="34">
        <v>0.00914</v>
      </c>
      <c r="J90" s="30"/>
      <c r="K90" s="34">
        <v>0.00921</v>
      </c>
      <c r="L90" s="30"/>
      <c r="M90" s="12"/>
    </row>
    <row r="91" spans="2:13" ht="12.75">
      <c r="B91" s="10" t="s">
        <v>104</v>
      </c>
      <c r="C91" s="10"/>
      <c r="D91" s="10" t="s">
        <v>49</v>
      </c>
      <c r="G91" s="34">
        <v>0.00198</v>
      </c>
      <c r="H91" s="30"/>
      <c r="I91" s="34">
        <v>0.00183</v>
      </c>
      <c r="J91" s="30"/>
      <c r="K91" s="34">
        <v>0.00184</v>
      </c>
      <c r="L91" s="30"/>
      <c r="M91" s="12"/>
    </row>
    <row r="92" spans="2:13" ht="12.75">
      <c r="B92" s="10" t="s">
        <v>105</v>
      </c>
      <c r="C92" s="10"/>
      <c r="D92" s="10" t="s">
        <v>49</v>
      </c>
      <c r="G92" s="34">
        <v>0.00145</v>
      </c>
      <c r="H92" s="30"/>
      <c r="I92" s="34">
        <v>0.00193</v>
      </c>
      <c r="J92" s="30"/>
      <c r="K92" s="34">
        <v>0.00173</v>
      </c>
      <c r="L92" s="30"/>
      <c r="M92" s="12"/>
    </row>
    <row r="93" spans="2:13" ht="12.75">
      <c r="B93" s="10" t="s">
        <v>118</v>
      </c>
      <c r="C93" s="10"/>
      <c r="D93" s="10" t="s">
        <v>49</v>
      </c>
      <c r="G93" s="34">
        <v>0.0997</v>
      </c>
      <c r="H93" s="30"/>
      <c r="I93" s="34">
        <v>0.104</v>
      </c>
      <c r="J93" s="30"/>
      <c r="K93" s="34">
        <v>0.0845</v>
      </c>
      <c r="L93" s="30"/>
      <c r="M93" s="12"/>
    </row>
    <row r="94" spans="2:13" ht="12.75">
      <c r="B94" s="10"/>
      <c r="C94" s="10"/>
      <c r="G94" s="30"/>
      <c r="H94" s="30"/>
      <c r="I94" s="31"/>
      <c r="J94" s="30"/>
      <c r="K94" s="30"/>
      <c r="L94" s="30"/>
      <c r="M94" s="12"/>
    </row>
    <row r="95" spans="2:13" ht="12.75">
      <c r="B95" s="10" t="s">
        <v>117</v>
      </c>
      <c r="C95" s="10" t="s">
        <v>108</v>
      </c>
      <c r="D95" s="10" t="s">
        <v>231</v>
      </c>
      <c r="G95" s="30"/>
      <c r="H95" s="30"/>
      <c r="I95" s="31"/>
      <c r="J95" s="30"/>
      <c r="K95" s="30"/>
      <c r="L95" s="30"/>
      <c r="M95" s="12"/>
    </row>
    <row r="96" spans="2:13" ht="12.75">
      <c r="B96" s="10" t="s">
        <v>94</v>
      </c>
      <c r="C96" s="10"/>
      <c r="D96" s="10" t="s">
        <v>17</v>
      </c>
      <c r="G96" s="11">
        <f>150834/60</f>
        <v>2513.9</v>
      </c>
      <c r="H96" s="11"/>
      <c r="I96" s="11">
        <f>152305/60</f>
        <v>2538.4166666666665</v>
      </c>
      <c r="J96" s="11"/>
      <c r="K96" s="11">
        <f>162184/60</f>
        <v>2703.0666666666666</v>
      </c>
      <c r="L96" s="30"/>
      <c r="M96" s="12">
        <f>AVERAGE(K96,I96,G96)</f>
        <v>2585.1277777777777</v>
      </c>
    </row>
    <row r="97" spans="2:13" ht="12.75">
      <c r="B97" s="10" t="s">
        <v>111</v>
      </c>
      <c r="C97" s="10"/>
      <c r="D97" s="10" t="s">
        <v>18</v>
      </c>
      <c r="G97" s="30">
        <v>14.7</v>
      </c>
      <c r="H97" s="30"/>
      <c r="I97" s="31">
        <v>14.4</v>
      </c>
      <c r="J97" s="30"/>
      <c r="K97" s="30">
        <v>15</v>
      </c>
      <c r="L97" s="30"/>
      <c r="M97" s="12">
        <f>AVERAGE(K97,I97,G97)</f>
        <v>14.699999999999998</v>
      </c>
    </row>
    <row r="98" spans="2:13" ht="12.75">
      <c r="B98" s="10" t="s">
        <v>112</v>
      </c>
      <c r="C98" s="10"/>
      <c r="D98" s="10" t="s">
        <v>18</v>
      </c>
      <c r="G98" s="30">
        <v>5.48</v>
      </c>
      <c r="H98" s="30"/>
      <c r="I98" s="31">
        <v>5.67</v>
      </c>
      <c r="J98" s="30"/>
      <c r="K98" s="30"/>
      <c r="L98" s="30"/>
      <c r="M98" s="12">
        <f>AVERAGE(K98,I98,G98)</f>
        <v>5.575</v>
      </c>
    </row>
    <row r="99" spans="2:13" ht="12.75">
      <c r="B99" s="10" t="s">
        <v>93</v>
      </c>
      <c r="C99" s="10"/>
      <c r="D99" s="10" t="s">
        <v>19</v>
      </c>
      <c r="E99" s="17"/>
      <c r="F99" s="17"/>
      <c r="G99" s="30">
        <v>522</v>
      </c>
      <c r="H99" s="17"/>
      <c r="I99" s="31">
        <v>515</v>
      </c>
      <c r="J99" s="17"/>
      <c r="K99" s="30"/>
      <c r="L99" s="24"/>
      <c r="M99" s="12">
        <f>AVERAGE(K99,I99,G99)</f>
        <v>518.5</v>
      </c>
    </row>
    <row r="100" spans="2:13" ht="12.75">
      <c r="B100" s="10"/>
      <c r="C100" s="10"/>
      <c r="G100" s="30"/>
      <c r="H100" s="30"/>
      <c r="I100" s="31"/>
      <c r="J100" s="30"/>
      <c r="K100" s="30"/>
      <c r="L100" s="30"/>
      <c r="M100" s="12"/>
    </row>
    <row r="101" spans="2:13" ht="12.75">
      <c r="B101" s="10" t="s">
        <v>117</v>
      </c>
      <c r="C101" s="10" t="s">
        <v>152</v>
      </c>
      <c r="D101" s="10" t="s">
        <v>232</v>
      </c>
      <c r="G101" s="30"/>
      <c r="H101" s="30"/>
      <c r="I101" s="31"/>
      <c r="J101" s="30"/>
      <c r="K101" s="30"/>
      <c r="L101" s="30"/>
      <c r="M101" s="12"/>
    </row>
    <row r="102" spans="2:13" ht="12.75">
      <c r="B102" s="10" t="s">
        <v>94</v>
      </c>
      <c r="C102" s="10"/>
      <c r="D102" s="10" t="s">
        <v>17</v>
      </c>
      <c r="G102" s="11">
        <f>146090/60</f>
        <v>2434.8333333333335</v>
      </c>
      <c r="H102" s="11"/>
      <c r="I102" s="11">
        <f>150329/60</f>
        <v>2505.483333333333</v>
      </c>
      <c r="J102" s="11"/>
      <c r="K102" s="11">
        <f>158059/60</f>
        <v>2634.3166666666666</v>
      </c>
      <c r="L102" s="30"/>
      <c r="M102" s="11">
        <f>AVERAGE(K102,I102,G102)</f>
        <v>2524.8777777777777</v>
      </c>
    </row>
    <row r="103" spans="2:13" ht="12.75">
      <c r="B103" s="10" t="s">
        <v>111</v>
      </c>
      <c r="C103" s="10"/>
      <c r="D103" s="10" t="s">
        <v>18</v>
      </c>
      <c r="G103" s="30">
        <v>14.7</v>
      </c>
      <c r="H103" s="30"/>
      <c r="I103" s="31">
        <v>14.4</v>
      </c>
      <c r="J103" s="30"/>
      <c r="K103" s="30">
        <v>15</v>
      </c>
      <c r="L103" s="30"/>
      <c r="M103" s="11">
        <f>AVERAGE(K103,I103,G103)</f>
        <v>14.699999999999998</v>
      </c>
    </row>
    <row r="104" spans="2:13" ht="12.75">
      <c r="B104" s="10" t="s">
        <v>112</v>
      </c>
      <c r="C104" s="10"/>
      <c r="D104" s="10" t="s">
        <v>18</v>
      </c>
      <c r="G104" s="30">
        <v>5.42</v>
      </c>
      <c r="H104" s="30"/>
      <c r="I104" s="31">
        <v>5.7</v>
      </c>
      <c r="J104" s="30"/>
      <c r="K104" s="30"/>
      <c r="L104" s="30"/>
      <c r="M104" s="11">
        <f>AVERAGE(K104,I104,G104)</f>
        <v>5.5600000000000005</v>
      </c>
    </row>
    <row r="105" spans="2:13" ht="12.75">
      <c r="B105" s="10" t="s">
        <v>93</v>
      </c>
      <c r="C105" s="10"/>
      <c r="D105" s="10" t="s">
        <v>19</v>
      </c>
      <c r="E105" s="17"/>
      <c r="F105" s="17"/>
      <c r="G105" s="30">
        <v>490</v>
      </c>
      <c r="H105" s="17"/>
      <c r="I105" s="31">
        <v>487</v>
      </c>
      <c r="J105" s="17"/>
      <c r="K105" s="30"/>
      <c r="L105" s="24"/>
      <c r="M105" s="11">
        <f>AVERAGE(K105,I105,G105)</f>
        <v>488.5</v>
      </c>
    </row>
    <row r="106" spans="2:13" ht="12.75">
      <c r="B106" s="10"/>
      <c r="C106" s="10"/>
      <c r="G106" s="30"/>
      <c r="H106" s="30"/>
      <c r="I106" s="31"/>
      <c r="J106" s="30"/>
      <c r="K106" s="30"/>
      <c r="L106" s="30"/>
      <c r="M106" s="12"/>
    </row>
    <row r="107" spans="2:13" ht="12.75">
      <c r="B107" s="10" t="s">
        <v>117</v>
      </c>
      <c r="C107" s="10" t="s">
        <v>151</v>
      </c>
      <c r="D107" s="10" t="s">
        <v>233</v>
      </c>
      <c r="G107" s="30"/>
      <c r="H107" s="30"/>
      <c r="I107" s="31"/>
      <c r="J107" s="30"/>
      <c r="K107" s="30"/>
      <c r="L107" s="30"/>
      <c r="M107" s="12"/>
    </row>
    <row r="108" spans="2:13" ht="12.75">
      <c r="B108" s="10" t="s">
        <v>94</v>
      </c>
      <c r="C108" s="10"/>
      <c r="D108" s="10" t="s">
        <v>17</v>
      </c>
      <c r="G108" s="11">
        <f>149251/60</f>
        <v>2487.516666666667</v>
      </c>
      <c r="H108" s="11"/>
      <c r="I108" s="11">
        <f>149932/60</f>
        <v>2498.866666666667</v>
      </c>
      <c r="J108" s="11"/>
      <c r="K108" s="11">
        <f>AVERAGE(G108,I108)</f>
        <v>2493.1916666666666</v>
      </c>
      <c r="L108" s="30"/>
      <c r="M108" s="11">
        <f>AVERAGE(K108,I108,G108)</f>
        <v>2493.191666666667</v>
      </c>
    </row>
    <row r="109" spans="2:13" ht="12.75">
      <c r="B109" s="10" t="s">
        <v>111</v>
      </c>
      <c r="C109" s="10"/>
      <c r="D109" s="10" t="s">
        <v>18</v>
      </c>
      <c r="G109" s="30">
        <v>14.7</v>
      </c>
      <c r="H109" s="30"/>
      <c r="I109" s="31">
        <v>14.4</v>
      </c>
      <c r="J109" s="30"/>
      <c r="K109" s="30">
        <v>15</v>
      </c>
      <c r="L109" s="30"/>
      <c r="M109" s="11">
        <f>AVERAGE(K109,I109,G109)</f>
        <v>14.699999999999998</v>
      </c>
    </row>
    <row r="110" spans="2:13" ht="12.75">
      <c r="B110" s="10" t="s">
        <v>112</v>
      </c>
      <c r="C110" s="10"/>
      <c r="D110" s="10" t="s">
        <v>18</v>
      </c>
      <c r="G110" s="30">
        <v>5.46</v>
      </c>
      <c r="H110" s="30"/>
      <c r="I110" s="31">
        <v>5.63</v>
      </c>
      <c r="J110" s="30"/>
      <c r="K110" s="30"/>
      <c r="L110" s="30"/>
      <c r="M110" s="11">
        <f>AVERAGE(K110,I110,G110)</f>
        <v>5.545</v>
      </c>
    </row>
    <row r="111" spans="2:13" ht="12.75">
      <c r="B111" s="10" t="s">
        <v>93</v>
      </c>
      <c r="C111" s="10"/>
      <c r="D111" s="10" t="s">
        <v>19</v>
      </c>
      <c r="E111" s="17"/>
      <c r="F111" s="17"/>
      <c r="G111" s="30">
        <v>502</v>
      </c>
      <c r="H111" s="17"/>
      <c r="I111" s="31">
        <v>499</v>
      </c>
      <c r="J111" s="17"/>
      <c r="K111" s="30"/>
      <c r="L111" s="24"/>
      <c r="M111" s="11">
        <f>AVERAGE(K111,I111,G111)</f>
        <v>500.5</v>
      </c>
    </row>
    <row r="112" spans="2:13" ht="12.75">
      <c r="B112" s="10"/>
      <c r="C112" s="10"/>
      <c r="G112" s="30"/>
      <c r="H112" s="30"/>
      <c r="I112" s="31"/>
      <c r="J112" s="30"/>
      <c r="K112" s="30"/>
      <c r="L112" s="30"/>
      <c r="M112" s="12"/>
    </row>
    <row r="113" spans="2:13" ht="12.75">
      <c r="B113" s="10" t="s">
        <v>54</v>
      </c>
      <c r="C113" s="10" t="s">
        <v>231</v>
      </c>
      <c r="D113" s="10" t="s">
        <v>16</v>
      </c>
      <c r="E113" s="10" t="s">
        <v>15</v>
      </c>
      <c r="G113" s="11">
        <f>G76*454/60/0.0283/G$96*(21-7)/(21-G$97)*667.8</f>
        <v>1.262682196059403</v>
      </c>
      <c r="H113" s="30"/>
      <c r="I113" s="11">
        <f>I76*454/60/0.0283/I96*(21-7)/(21-I97)*667.8</f>
        <v>2.088881515781904</v>
      </c>
      <c r="J113" s="30"/>
      <c r="K113" s="11">
        <f>K76*454/60/0.0283/K96*(21-7)/(21-K97)*667.8</f>
        <v>1.5412908847238727</v>
      </c>
      <c r="L113" s="30"/>
      <c r="M113" s="12">
        <f>AVERAGE(G113,I113,K113)</f>
        <v>1.6309515321883934</v>
      </c>
    </row>
    <row r="114" spans="2:13" ht="12.75">
      <c r="B114" s="10" t="s">
        <v>55</v>
      </c>
      <c r="C114" s="10" t="s">
        <v>231</v>
      </c>
      <c r="D114" s="10" t="s">
        <v>16</v>
      </c>
      <c r="E114" s="10" t="s">
        <v>15</v>
      </c>
      <c r="G114" s="11">
        <f>G77*454/60/0.0283/G$96*(21-7)/(21-G$97)*343.4</f>
        <v>14.20352024786422</v>
      </c>
      <c r="H114" s="30"/>
      <c r="I114" s="11">
        <f>I77*454/60/0.0283/I$96*(21-7)/(21-I$97)*343.4</f>
        <v>11.815724824370415</v>
      </c>
      <c r="J114" s="30"/>
      <c r="K114" s="11">
        <f>K77*454/60/0.0283/K$96*(21-7)/(21-K$97)*343.4</f>
        <v>12.760402165331335</v>
      </c>
      <c r="L114" s="30"/>
      <c r="M114" s="12">
        <f>AVERAGE(G114,I114,K114)</f>
        <v>12.926549079188655</v>
      </c>
    </row>
    <row r="115" spans="2:13" ht="12.75">
      <c r="B115" s="10" t="s">
        <v>116</v>
      </c>
      <c r="C115" s="10" t="s">
        <v>231</v>
      </c>
      <c r="D115" s="10" t="s">
        <v>16</v>
      </c>
      <c r="E115" s="10" t="s">
        <v>15</v>
      </c>
      <c r="G115" s="12">
        <f>G113+G114*2</f>
        <v>29.669722691787843</v>
      </c>
      <c r="H115" s="30"/>
      <c r="I115" s="12">
        <f>I113+I114*2</f>
        <v>25.720331164522733</v>
      </c>
      <c r="J115" s="30"/>
      <c r="K115" s="12">
        <f>K113+K114*2</f>
        <v>27.06209521538654</v>
      </c>
      <c r="L115" s="30"/>
      <c r="M115" s="12">
        <f>AVERAGE(G115,I115,K115)</f>
        <v>27.4840496905657</v>
      </c>
    </row>
    <row r="116" spans="2:11" ht="12.75">
      <c r="B116" s="10"/>
      <c r="C116" s="10"/>
      <c r="G116" s="30"/>
      <c r="H116" s="30"/>
      <c r="I116" s="31"/>
      <c r="J116" s="30"/>
      <c r="K116" s="30"/>
    </row>
    <row r="117" spans="2:13" ht="12.75">
      <c r="B117" s="10" t="s">
        <v>155</v>
      </c>
      <c r="C117" s="10" t="s">
        <v>232</v>
      </c>
      <c r="D117" s="10" t="s">
        <v>65</v>
      </c>
      <c r="E117" s="10" t="s">
        <v>15</v>
      </c>
      <c r="G117" s="11">
        <f>G79/60/0.0283/G$102*(21-7)/(21-G$103)*1000000</f>
        <v>28.380136774521667</v>
      </c>
      <c r="H117" s="30"/>
      <c r="I117" s="11">
        <f>I79/60/0.0283/I$102*(21-7)/(21-I$103)*1000000</f>
        <v>28.619812783672753</v>
      </c>
      <c r="J117" s="30"/>
      <c r="K117" s="11">
        <f aca="true" t="shared" si="0" ref="K117:K131">K79/60/0.0283/K$102*(21-7)/(21-K$103)*1000000</f>
        <v>27.12529458982795</v>
      </c>
      <c r="M117" s="12">
        <f aca="true" t="shared" si="1" ref="M117:M125">AVERAGE(G117,I117,K117)</f>
        <v>28.041748049340786</v>
      </c>
    </row>
    <row r="118" spans="2:13" ht="12.75">
      <c r="B118" s="10" t="s">
        <v>96</v>
      </c>
      <c r="C118" s="10" t="s">
        <v>232</v>
      </c>
      <c r="D118" s="10" t="s">
        <v>65</v>
      </c>
      <c r="E118" s="10" t="s">
        <v>15</v>
      </c>
      <c r="G118" s="11">
        <f aca="true" t="shared" si="2" ref="G118:I131">G80/60/0.0283/G$102*(21-7)/(21-G$103)*1000000</f>
        <v>46.38647355381098</v>
      </c>
      <c r="H118" s="30"/>
      <c r="I118" s="11">
        <f t="shared" si="2"/>
        <v>56.34214014904217</v>
      </c>
      <c r="J118" s="30"/>
      <c r="K118" s="11">
        <f t="shared" si="0"/>
        <v>52.059700001246725</v>
      </c>
      <c r="M118" s="12">
        <f t="shared" si="1"/>
        <v>51.5961045680333</v>
      </c>
    </row>
    <row r="119" spans="2:13" ht="12.75">
      <c r="B119" s="10" t="s">
        <v>97</v>
      </c>
      <c r="C119" s="10" t="s">
        <v>232</v>
      </c>
      <c r="D119" s="10" t="s">
        <v>65</v>
      </c>
      <c r="E119" s="10" t="s">
        <v>15</v>
      </c>
      <c r="G119" s="11">
        <f t="shared" si="2"/>
        <v>5.052524350009539</v>
      </c>
      <c r="H119" s="30"/>
      <c r="I119" s="11">
        <f t="shared" si="2"/>
        <v>5.534493412870515</v>
      </c>
      <c r="J119" s="30"/>
      <c r="K119" s="11">
        <f t="shared" si="0"/>
        <v>4.204420661423332</v>
      </c>
      <c r="M119" s="12">
        <f t="shared" si="1"/>
        <v>4.930479474767796</v>
      </c>
    </row>
    <row r="120" spans="2:13" ht="12.75">
      <c r="B120" s="10" t="s">
        <v>98</v>
      </c>
      <c r="C120" s="10" t="s">
        <v>232</v>
      </c>
      <c r="D120" s="10" t="s">
        <v>65</v>
      </c>
      <c r="E120" s="10" t="s">
        <v>15</v>
      </c>
      <c r="G120" s="11">
        <f t="shared" si="2"/>
        <v>77.40037302142271</v>
      </c>
      <c r="H120" s="30"/>
      <c r="I120" s="11">
        <f t="shared" si="2"/>
        <v>98.22479300319743</v>
      </c>
      <c r="J120" s="30"/>
      <c r="K120" s="11">
        <f t="shared" si="0"/>
        <v>86.0706462946464</v>
      </c>
      <c r="M120" s="12">
        <f t="shared" si="1"/>
        <v>87.23193743975553</v>
      </c>
    </row>
    <row r="121" spans="2:13" ht="12.75">
      <c r="B121" s="10" t="s">
        <v>99</v>
      </c>
      <c r="C121" s="10" t="s">
        <v>232</v>
      </c>
      <c r="D121" s="10" t="s">
        <v>65</v>
      </c>
      <c r="E121" s="10" t="s">
        <v>15</v>
      </c>
      <c r="G121" s="11">
        <f t="shared" si="2"/>
        <v>2.6660128485156713</v>
      </c>
      <c r="H121" s="30"/>
      <c r="I121" s="11">
        <f t="shared" si="2"/>
        <v>2.2736297263684273</v>
      </c>
      <c r="J121" s="30"/>
      <c r="K121" s="11">
        <f t="shared" si="0"/>
        <v>2.4047616934443625</v>
      </c>
      <c r="M121" s="12">
        <f t="shared" si="1"/>
        <v>2.448134756109487</v>
      </c>
    </row>
    <row r="122" spans="2:13" ht="12.75">
      <c r="B122" s="10" t="s">
        <v>100</v>
      </c>
      <c r="C122" s="10" t="s">
        <v>232</v>
      </c>
      <c r="D122" s="10" t="s">
        <v>65</v>
      </c>
      <c r="E122" s="10" t="s">
        <v>15</v>
      </c>
      <c r="G122" s="11">
        <f t="shared" si="2"/>
        <v>5.219150153041767</v>
      </c>
      <c r="H122" s="30"/>
      <c r="I122" s="11">
        <f t="shared" si="2"/>
        <v>3.6796902150436397</v>
      </c>
      <c r="J122" s="30"/>
      <c r="K122" s="11">
        <f t="shared" si="0"/>
        <v>3.682780380849718</v>
      </c>
      <c r="M122" s="12">
        <f t="shared" si="1"/>
        <v>4.193873582978374</v>
      </c>
    </row>
    <row r="123" spans="2:13" ht="12.75">
      <c r="B123" s="10" t="s">
        <v>115</v>
      </c>
      <c r="C123" s="10" t="s">
        <v>232</v>
      </c>
      <c r="D123" s="10" t="s">
        <v>65</v>
      </c>
      <c r="E123" s="10" t="s">
        <v>15</v>
      </c>
      <c r="G123" s="11">
        <f t="shared" si="2"/>
        <v>4.138769946284409</v>
      </c>
      <c r="H123" s="30"/>
      <c r="I123" s="11">
        <f t="shared" si="2"/>
        <v>3.1461849941633293</v>
      </c>
      <c r="J123" s="30"/>
      <c r="K123" s="11">
        <f t="shared" si="0"/>
        <v>3.3124157816424513</v>
      </c>
      <c r="M123" s="12">
        <f t="shared" si="1"/>
        <v>3.5324569073633967</v>
      </c>
    </row>
    <row r="124" spans="2:13" ht="12.75">
      <c r="B124" s="10" t="s">
        <v>113</v>
      </c>
      <c r="C124" s="10" t="s">
        <v>232</v>
      </c>
      <c r="D124" s="10" t="s">
        <v>65</v>
      </c>
      <c r="E124" s="10" t="s">
        <v>15</v>
      </c>
      <c r="G124" s="11">
        <f t="shared" si="2"/>
        <v>18.973841442057097</v>
      </c>
      <c r="H124" s="30"/>
      <c r="I124" s="11">
        <f t="shared" si="2"/>
        <v>23.783363585038163</v>
      </c>
      <c r="J124" s="30"/>
      <c r="K124" s="11">
        <f t="shared" si="0"/>
        <v>21.178595391288752</v>
      </c>
      <c r="M124" s="12">
        <f t="shared" si="1"/>
        <v>21.31193347279467</v>
      </c>
    </row>
    <row r="125" spans="2:13" ht="12.75">
      <c r="B125" s="10" t="s">
        <v>95</v>
      </c>
      <c r="C125" s="10" t="s">
        <v>232</v>
      </c>
      <c r="D125" s="10" t="s">
        <v>65</v>
      </c>
      <c r="E125" s="10" t="s">
        <v>15</v>
      </c>
      <c r="G125" s="11">
        <f t="shared" si="2"/>
        <v>2418.7616569194606</v>
      </c>
      <c r="H125" s="30"/>
      <c r="I125" s="11">
        <f t="shared" si="2"/>
        <v>3370.5563487391605</v>
      </c>
      <c r="J125" s="30"/>
      <c r="K125" s="11">
        <f t="shared" si="0"/>
        <v>2988.998807686811</v>
      </c>
      <c r="M125" s="12">
        <f t="shared" si="1"/>
        <v>2926.105604448477</v>
      </c>
    </row>
    <row r="126" spans="2:13" ht="12.75">
      <c r="B126" s="10" t="s">
        <v>101</v>
      </c>
      <c r="C126" s="10" t="s">
        <v>232</v>
      </c>
      <c r="D126" s="10" t="s">
        <v>65</v>
      </c>
      <c r="E126" s="10" t="s">
        <v>15</v>
      </c>
      <c r="G126" s="11">
        <f t="shared" si="2"/>
        <v>3.4830167859640224</v>
      </c>
      <c r="H126" s="30"/>
      <c r="I126" s="11">
        <f t="shared" si="2"/>
        <v>4.726756536397522</v>
      </c>
      <c r="J126" s="30"/>
      <c r="K126" s="11">
        <f t="shared" si="0"/>
        <v>6.9378157316290725</v>
      </c>
      <c r="M126" s="12">
        <f aca="true" t="shared" si="3" ref="M126:M131">AVERAGE(G126,I126,K126)</f>
        <v>5.049196351330205</v>
      </c>
    </row>
    <row r="127" spans="2:13" ht="12.75">
      <c r="B127" s="10" t="s">
        <v>102</v>
      </c>
      <c r="C127" s="10" t="s">
        <v>232</v>
      </c>
      <c r="D127" s="10" t="s">
        <v>65</v>
      </c>
      <c r="E127" s="10" t="s">
        <v>15</v>
      </c>
      <c r="G127" s="11">
        <f t="shared" si="2"/>
        <v>3.6980178221346405</v>
      </c>
      <c r="H127" s="30"/>
      <c r="I127" s="11">
        <f t="shared" si="2"/>
        <v>3.335654138027364</v>
      </c>
      <c r="J127" s="30"/>
      <c r="K127" s="11">
        <f t="shared" si="0"/>
        <v>3.3124157816424513</v>
      </c>
      <c r="M127" s="12">
        <f t="shared" si="3"/>
        <v>3.448695913934819</v>
      </c>
    </row>
    <row r="128" spans="2:13" ht="12.75">
      <c r="B128" s="10" t="s">
        <v>103</v>
      </c>
      <c r="C128" s="10" t="s">
        <v>232</v>
      </c>
      <c r="D128" s="10" t="s">
        <v>65</v>
      </c>
      <c r="E128" s="10" t="s">
        <v>15</v>
      </c>
      <c r="G128" s="11">
        <f t="shared" si="2"/>
        <v>5.326650671127078</v>
      </c>
      <c r="H128" s="30"/>
      <c r="I128" s="11">
        <f t="shared" si="2"/>
        <v>4.557231512940226</v>
      </c>
      <c r="J128" s="30"/>
      <c r="K128" s="11">
        <f t="shared" si="0"/>
        <v>4.80430698408299</v>
      </c>
      <c r="M128" s="12">
        <f t="shared" si="3"/>
        <v>4.896063056050098</v>
      </c>
    </row>
    <row r="129" spans="2:13" ht="12.75">
      <c r="B129" s="10" t="s">
        <v>104</v>
      </c>
      <c r="C129" s="10" t="s">
        <v>232</v>
      </c>
      <c r="D129" s="10" t="s">
        <v>65</v>
      </c>
      <c r="E129" s="10" t="s">
        <v>15</v>
      </c>
      <c r="G129" s="11">
        <f t="shared" si="2"/>
        <v>1.0642551290445625</v>
      </c>
      <c r="H129" s="30"/>
      <c r="I129" s="11">
        <f t="shared" si="2"/>
        <v>0.9124435086083823</v>
      </c>
      <c r="J129" s="30"/>
      <c r="K129" s="11">
        <f t="shared" si="0"/>
        <v>0.9598181162554507</v>
      </c>
      <c r="M129" s="12">
        <f t="shared" si="3"/>
        <v>0.9788389179694651</v>
      </c>
    </row>
    <row r="130" spans="2:13" ht="12.75">
      <c r="B130" s="10" t="s">
        <v>105</v>
      </c>
      <c r="C130" s="10" t="s">
        <v>232</v>
      </c>
      <c r="D130" s="10" t="s">
        <v>65</v>
      </c>
      <c r="E130" s="10" t="s">
        <v>15</v>
      </c>
      <c r="G130" s="11">
        <f t="shared" si="2"/>
        <v>0.7793787561184925</v>
      </c>
      <c r="H130" s="30"/>
      <c r="I130" s="11">
        <f t="shared" si="2"/>
        <v>0.9623038096252335</v>
      </c>
      <c r="J130" s="30"/>
      <c r="K130" s="11">
        <f t="shared" si="0"/>
        <v>0.9024376853923531</v>
      </c>
      <c r="M130" s="12">
        <f t="shared" si="3"/>
        <v>0.8813734170453597</v>
      </c>
    </row>
    <row r="131" spans="2:13" ht="12.75">
      <c r="B131" s="10" t="s">
        <v>118</v>
      </c>
      <c r="C131" s="10"/>
      <c r="D131" s="10" t="s">
        <v>65</v>
      </c>
      <c r="E131" s="10" t="s">
        <v>15</v>
      </c>
      <c r="G131" s="11">
        <f t="shared" si="2"/>
        <v>53.5890082655267</v>
      </c>
      <c r="H131" s="30"/>
      <c r="I131" s="11">
        <f t="shared" si="2"/>
        <v>51.85471305752554</v>
      </c>
      <c r="J131" s="30"/>
      <c r="K131" s="11">
        <f t="shared" si="0"/>
        <v>44.078603708470425</v>
      </c>
      <c r="M131" s="12">
        <f t="shared" si="3"/>
        <v>49.84077501050755</v>
      </c>
    </row>
    <row r="132" spans="2:11" ht="12.75">
      <c r="B132" s="10"/>
      <c r="C132" s="10"/>
      <c r="G132" s="30"/>
      <c r="H132" s="30"/>
      <c r="I132" s="31"/>
      <c r="J132" s="30"/>
      <c r="K132" s="30"/>
    </row>
    <row r="133" spans="2:13" ht="12.75">
      <c r="B133" s="10" t="s">
        <v>66</v>
      </c>
      <c r="C133" s="10" t="s">
        <v>232</v>
      </c>
      <c r="D133" s="10" t="s">
        <v>65</v>
      </c>
      <c r="E133" s="10" t="s">
        <v>15</v>
      </c>
      <c r="G133" s="11">
        <f>G125+G122</f>
        <v>2423.9808070725026</v>
      </c>
      <c r="H133" s="30"/>
      <c r="I133" s="11">
        <f>I125+I122</f>
        <v>3374.236038954204</v>
      </c>
      <c r="J133" s="30"/>
      <c r="K133" s="11">
        <f>K125+K122</f>
        <v>2992.6815880676604</v>
      </c>
      <c r="M133" s="12">
        <f>AVERAGE(G133,I133,K133)</f>
        <v>2930.299478031456</v>
      </c>
    </row>
    <row r="134" spans="2:13" ht="12.75">
      <c r="B134" s="10" t="s">
        <v>67</v>
      </c>
      <c r="C134" s="10" t="s">
        <v>232</v>
      </c>
      <c r="D134" s="10" t="s">
        <v>65</v>
      </c>
      <c r="E134" s="10" t="s">
        <v>15</v>
      </c>
      <c r="G134" s="11">
        <f>G119+G121+G123</f>
        <v>11.857307144809619</v>
      </c>
      <c r="H134" s="30"/>
      <c r="I134" s="11">
        <f>I119+I121+I123</f>
        <v>10.954308133402272</v>
      </c>
      <c r="J134" s="30"/>
      <c r="K134" s="11">
        <f>K119+K121+K123</f>
        <v>9.921598136510147</v>
      </c>
      <c r="M134" s="12">
        <f>AVERAGE(G134,I134,K134)</f>
        <v>10.911071138240679</v>
      </c>
    </row>
    <row r="135" spans="2:11" ht="12.75">
      <c r="B135" s="10"/>
      <c r="C135" s="10"/>
      <c r="G135" s="30"/>
      <c r="H135" s="30"/>
      <c r="I135" s="31"/>
      <c r="J135" s="30"/>
      <c r="K135" s="30"/>
    </row>
    <row r="136" spans="1:13" ht="12.75">
      <c r="A136" s="22">
        <v>3</v>
      </c>
      <c r="B136" s="26" t="s">
        <v>182</v>
      </c>
      <c r="C136" s="10" t="s">
        <v>181</v>
      </c>
      <c r="G136" s="24" t="s">
        <v>207</v>
      </c>
      <c r="H136" s="24"/>
      <c r="I136" s="25" t="s">
        <v>208</v>
      </c>
      <c r="J136" s="24"/>
      <c r="K136" s="24" t="s">
        <v>209</v>
      </c>
      <c r="L136" s="24"/>
      <c r="M136" s="22" t="s">
        <v>47</v>
      </c>
    </row>
    <row r="137" spans="2:13" ht="12.75">
      <c r="B137" s="26"/>
      <c r="C137" s="26"/>
      <c r="G137" s="24"/>
      <c r="H137" s="24"/>
      <c r="I137" s="25"/>
      <c r="J137" s="24"/>
      <c r="K137" s="24"/>
      <c r="L137" s="24"/>
      <c r="M137" s="33"/>
    </row>
    <row r="138" spans="2:13" ht="12.75">
      <c r="B138" s="10" t="s">
        <v>13</v>
      </c>
      <c r="C138" s="10" t="s">
        <v>231</v>
      </c>
      <c r="D138" s="10" t="s">
        <v>14</v>
      </c>
      <c r="E138" s="10" t="s">
        <v>15</v>
      </c>
      <c r="G138" s="30">
        <v>0.008</v>
      </c>
      <c r="H138" s="30"/>
      <c r="I138" s="31">
        <v>0.006</v>
      </c>
      <c r="J138" s="30"/>
      <c r="K138" s="30">
        <v>0.006</v>
      </c>
      <c r="L138" s="30"/>
      <c r="M138" s="65">
        <f>AVERAGE(G138,I138,K138)</f>
        <v>0.006666666666666667</v>
      </c>
    </row>
    <row r="139" spans="2:13" ht="12.75">
      <c r="B139" s="10" t="s">
        <v>114</v>
      </c>
      <c r="C139" s="10" t="s">
        <v>231</v>
      </c>
      <c r="D139" s="10" t="s">
        <v>16</v>
      </c>
      <c r="E139" s="10" t="s">
        <v>15</v>
      </c>
      <c r="G139" s="30">
        <v>15.5</v>
      </c>
      <c r="H139" s="30"/>
      <c r="I139" s="31">
        <v>10.6</v>
      </c>
      <c r="J139" s="30"/>
      <c r="K139" s="30">
        <v>5.1</v>
      </c>
      <c r="L139" s="30"/>
      <c r="M139" s="12">
        <f>AVERAGE(G139,I139,K139)</f>
        <v>10.4</v>
      </c>
    </row>
    <row r="140" spans="2:13" ht="12.75">
      <c r="B140" s="10"/>
      <c r="C140" s="10"/>
      <c r="G140" s="30"/>
      <c r="H140" s="30"/>
      <c r="I140" s="31"/>
      <c r="J140" s="30"/>
      <c r="K140" s="30"/>
      <c r="L140" s="30"/>
      <c r="M140" s="12"/>
    </row>
    <row r="141" spans="2:13" ht="12.75">
      <c r="B141" s="10" t="s">
        <v>155</v>
      </c>
      <c r="C141" s="10"/>
      <c r="D141" s="10" t="s">
        <v>49</v>
      </c>
      <c r="G141" s="34">
        <v>0.0297</v>
      </c>
      <c r="H141" s="30"/>
      <c r="I141" s="34">
        <v>0.0224</v>
      </c>
      <c r="J141" s="30"/>
      <c r="K141" s="34">
        <v>0.0207</v>
      </c>
      <c r="L141" s="30"/>
      <c r="M141" s="12"/>
    </row>
    <row r="142" spans="2:13" ht="12.75">
      <c r="B142" s="10" t="s">
        <v>96</v>
      </c>
      <c r="C142" s="10"/>
      <c r="D142" s="10" t="s">
        <v>49</v>
      </c>
      <c r="G142" s="34">
        <v>0.279</v>
      </c>
      <c r="H142" s="30"/>
      <c r="I142" s="34">
        <v>0.196</v>
      </c>
      <c r="J142" s="30"/>
      <c r="K142" s="34">
        <v>0.227</v>
      </c>
      <c r="L142" s="30"/>
      <c r="M142" s="12"/>
    </row>
    <row r="143" spans="2:13" ht="12.75">
      <c r="B143" s="10" t="s">
        <v>97</v>
      </c>
      <c r="C143" s="10"/>
      <c r="D143" s="10" t="s">
        <v>49</v>
      </c>
      <c r="G143" s="34">
        <v>1.63</v>
      </c>
      <c r="H143" s="30"/>
      <c r="I143" s="34">
        <v>1.45</v>
      </c>
      <c r="J143" s="30"/>
      <c r="K143" s="34">
        <v>1.41</v>
      </c>
      <c r="L143" s="30"/>
      <c r="M143" s="12"/>
    </row>
    <row r="144" spans="2:13" ht="12.75">
      <c r="B144" s="10" t="s">
        <v>98</v>
      </c>
      <c r="C144" s="10"/>
      <c r="D144" s="10" t="s">
        <v>49</v>
      </c>
      <c r="G144" s="34">
        <v>0.346</v>
      </c>
      <c r="H144" s="30"/>
      <c r="I144" s="34">
        <v>0.238</v>
      </c>
      <c r="J144" s="30"/>
      <c r="K144" s="34">
        <v>0.354</v>
      </c>
      <c r="L144" s="30"/>
      <c r="M144" s="12"/>
    </row>
    <row r="145" spans="2:13" ht="12.75">
      <c r="B145" s="10" t="s">
        <v>99</v>
      </c>
      <c r="C145" s="10"/>
      <c r="D145" s="10" t="s">
        <v>49</v>
      </c>
      <c r="G145" s="34">
        <v>0.00314</v>
      </c>
      <c r="H145" s="30"/>
      <c r="I145" s="34">
        <v>0.00314</v>
      </c>
      <c r="J145" s="30"/>
      <c r="K145" s="34">
        <v>0.00312</v>
      </c>
      <c r="L145" s="30"/>
      <c r="M145" s="12"/>
    </row>
    <row r="146" spans="2:13" ht="12.75">
      <c r="B146" s="10" t="s">
        <v>100</v>
      </c>
      <c r="C146" s="10"/>
      <c r="D146" s="10" t="s">
        <v>49</v>
      </c>
      <c r="G146" s="34">
        <v>0.017</v>
      </c>
      <c r="H146" s="30"/>
      <c r="I146" s="34">
        <v>0.0095</v>
      </c>
      <c r="J146" s="30"/>
      <c r="K146" s="34">
        <v>0.00702</v>
      </c>
      <c r="L146" s="30"/>
      <c r="M146" s="12"/>
    </row>
    <row r="147" spans="2:13" ht="12.75">
      <c r="B147" s="10" t="s">
        <v>115</v>
      </c>
      <c r="C147" s="10"/>
      <c r="D147" s="10" t="s">
        <v>49</v>
      </c>
      <c r="G147" s="34">
        <v>0.00139</v>
      </c>
      <c r="H147" s="30"/>
      <c r="I147" s="34">
        <v>0.0014</v>
      </c>
      <c r="J147" s="30"/>
      <c r="K147" s="34">
        <v>0.00244</v>
      </c>
      <c r="L147" s="30"/>
      <c r="M147" s="12"/>
    </row>
    <row r="148" spans="2:13" ht="12.75">
      <c r="B148" s="10" t="s">
        <v>113</v>
      </c>
      <c r="C148" s="10"/>
      <c r="D148" s="10" t="s">
        <v>49</v>
      </c>
      <c r="G148" s="34">
        <v>0.0417</v>
      </c>
      <c r="H148" s="30"/>
      <c r="I148" s="34">
        <v>0.0472</v>
      </c>
      <c r="J148" s="30"/>
      <c r="K148" s="34">
        <v>0.0493</v>
      </c>
      <c r="L148" s="30"/>
      <c r="M148" s="12"/>
    </row>
    <row r="149" spans="2:13" ht="12.75">
      <c r="B149" s="10" t="s">
        <v>95</v>
      </c>
      <c r="C149" s="10"/>
      <c r="D149" s="10" t="s">
        <v>49</v>
      </c>
      <c r="G149" s="34">
        <v>16</v>
      </c>
      <c r="H149" s="30"/>
      <c r="I149" s="34">
        <v>11.2</v>
      </c>
      <c r="J149" s="30"/>
      <c r="K149" s="34">
        <v>10.2</v>
      </c>
      <c r="L149" s="30"/>
      <c r="M149" s="12"/>
    </row>
    <row r="150" spans="2:13" ht="12.75">
      <c r="B150" s="10" t="s">
        <v>102</v>
      </c>
      <c r="C150" s="10"/>
      <c r="D150" s="10" t="s">
        <v>49</v>
      </c>
      <c r="G150" s="34">
        <v>0.00139</v>
      </c>
      <c r="H150" s="30"/>
      <c r="I150" s="34">
        <v>0.0014</v>
      </c>
      <c r="J150" s="30"/>
      <c r="K150" s="34">
        <v>0.00193</v>
      </c>
      <c r="L150" s="30"/>
      <c r="M150" s="12"/>
    </row>
    <row r="151" spans="2:13" ht="12.75">
      <c r="B151" s="10" t="s">
        <v>103</v>
      </c>
      <c r="C151" s="10"/>
      <c r="D151" s="10" t="s">
        <v>49</v>
      </c>
      <c r="G151" s="34">
        <v>0.00488</v>
      </c>
      <c r="H151" s="30"/>
      <c r="I151" s="34">
        <v>0.00489</v>
      </c>
      <c r="J151" s="30"/>
      <c r="K151" s="34">
        <v>0.00486</v>
      </c>
      <c r="L151" s="30"/>
      <c r="M151" s="12"/>
    </row>
    <row r="152" spans="2:13" ht="12.75">
      <c r="B152" s="10" t="s">
        <v>104</v>
      </c>
      <c r="C152" s="10"/>
      <c r="D152" s="10" t="s">
        <v>49</v>
      </c>
      <c r="G152" s="34">
        <v>0.00167</v>
      </c>
      <c r="H152" s="30"/>
      <c r="I152" s="34">
        <v>0.00129</v>
      </c>
      <c r="J152" s="30"/>
      <c r="K152" s="34">
        <v>0.00191</v>
      </c>
      <c r="L152" s="30"/>
      <c r="M152" s="12"/>
    </row>
    <row r="153" spans="2:13" ht="12.75">
      <c r="B153" s="10" t="s">
        <v>105</v>
      </c>
      <c r="C153" s="10"/>
      <c r="D153" s="10" t="s">
        <v>49</v>
      </c>
      <c r="G153" s="34">
        <v>0.00125</v>
      </c>
      <c r="H153" s="30"/>
      <c r="I153" s="34">
        <v>0.00126</v>
      </c>
      <c r="J153" s="30"/>
      <c r="K153" s="34">
        <v>0.00125</v>
      </c>
      <c r="L153" s="30"/>
      <c r="M153" s="12"/>
    </row>
    <row r="154" spans="2:13" ht="12.75">
      <c r="B154" s="10" t="s">
        <v>118</v>
      </c>
      <c r="C154" s="10"/>
      <c r="D154" s="10" t="s">
        <v>49</v>
      </c>
      <c r="G154" s="34">
        <v>0.112</v>
      </c>
      <c r="H154" s="30"/>
      <c r="I154" s="34">
        <v>0.109</v>
      </c>
      <c r="J154" s="30"/>
      <c r="K154" s="34">
        <v>0.121</v>
      </c>
      <c r="L154" s="30"/>
      <c r="M154" s="12"/>
    </row>
    <row r="155" spans="2:13" ht="12.75">
      <c r="B155" s="10"/>
      <c r="C155" s="10"/>
      <c r="G155" s="30"/>
      <c r="H155" s="30"/>
      <c r="I155" s="31"/>
      <c r="J155" s="30"/>
      <c r="K155" s="30"/>
      <c r="L155" s="30"/>
      <c r="M155" s="12"/>
    </row>
    <row r="156" spans="2:13" ht="12.75">
      <c r="B156" s="10" t="s">
        <v>117</v>
      </c>
      <c r="C156" s="10" t="s">
        <v>108</v>
      </c>
      <c r="D156" s="10" t="s">
        <v>231</v>
      </c>
      <c r="G156" s="30"/>
      <c r="H156" s="30"/>
      <c r="I156" s="31"/>
      <c r="J156" s="30"/>
      <c r="K156" s="30"/>
      <c r="L156" s="30"/>
      <c r="M156" s="12"/>
    </row>
    <row r="157" spans="2:13" ht="12.75">
      <c r="B157" s="10" t="s">
        <v>94</v>
      </c>
      <c r="C157" s="10"/>
      <c r="D157" s="10" t="s">
        <v>17</v>
      </c>
      <c r="G157" s="11">
        <f>166099/60</f>
        <v>2768.3166666666666</v>
      </c>
      <c r="H157" s="11"/>
      <c r="I157" s="11">
        <f>161234/60</f>
        <v>2687.233333333333</v>
      </c>
      <c r="J157" s="11"/>
      <c r="K157" s="11">
        <f>161265/60</f>
        <v>2687.75</v>
      </c>
      <c r="L157" s="30"/>
      <c r="M157" s="12">
        <f>AVERAGE(K157,I157,G157)</f>
        <v>2714.4333333333334</v>
      </c>
    </row>
    <row r="158" spans="2:13" ht="12.75">
      <c r="B158" s="10" t="s">
        <v>111</v>
      </c>
      <c r="C158" s="10"/>
      <c r="D158" s="10" t="s">
        <v>18</v>
      </c>
      <c r="G158" s="30">
        <v>15.2</v>
      </c>
      <c r="H158" s="30"/>
      <c r="I158" s="31">
        <v>14.67</v>
      </c>
      <c r="J158" s="30"/>
      <c r="K158" s="30">
        <v>14.8</v>
      </c>
      <c r="L158" s="30"/>
      <c r="M158" s="12">
        <f>AVERAGE(K158,I158,G158)</f>
        <v>14.89</v>
      </c>
    </row>
    <row r="159" spans="2:13" ht="12.75">
      <c r="B159" s="10" t="s">
        <v>112</v>
      </c>
      <c r="C159" s="10"/>
      <c r="D159" s="10" t="s">
        <v>18</v>
      </c>
      <c r="G159" s="30">
        <v>4.8</v>
      </c>
      <c r="H159" s="30"/>
      <c r="I159" s="31">
        <v>4.7</v>
      </c>
      <c r="J159" s="30"/>
      <c r="K159" s="30">
        <v>4.8</v>
      </c>
      <c r="L159" s="30"/>
      <c r="M159" s="12">
        <f>AVERAGE(K159,I159,G159)</f>
        <v>4.766666666666667</v>
      </c>
    </row>
    <row r="160" spans="2:13" ht="12.75">
      <c r="B160" s="10" t="s">
        <v>93</v>
      </c>
      <c r="C160" s="10"/>
      <c r="D160" s="10" t="s">
        <v>19</v>
      </c>
      <c r="E160" s="17"/>
      <c r="F160" s="17"/>
      <c r="G160" s="30">
        <v>428</v>
      </c>
      <c r="H160" s="17"/>
      <c r="I160" s="31">
        <v>436</v>
      </c>
      <c r="J160" s="17"/>
      <c r="K160" s="30">
        <v>443</v>
      </c>
      <c r="L160" s="24"/>
      <c r="M160" s="12">
        <f>AVERAGE(K160,I160,G160)</f>
        <v>435.6666666666667</v>
      </c>
    </row>
    <row r="161" spans="2:13" ht="12.75">
      <c r="B161" s="10"/>
      <c r="C161" s="10"/>
      <c r="G161" s="30"/>
      <c r="H161" s="30"/>
      <c r="I161" s="31"/>
      <c r="J161" s="30"/>
      <c r="K161" s="30"/>
      <c r="L161" s="30"/>
      <c r="M161" s="12"/>
    </row>
    <row r="162" spans="2:13" ht="12.75">
      <c r="B162" s="10" t="s">
        <v>117</v>
      </c>
      <c r="C162" s="10" t="s">
        <v>152</v>
      </c>
      <c r="D162" s="10" t="s">
        <v>232</v>
      </c>
      <c r="G162" s="30"/>
      <c r="H162" s="30"/>
      <c r="I162" s="31"/>
      <c r="J162" s="30"/>
      <c r="K162" s="30"/>
      <c r="L162" s="30"/>
      <c r="M162" s="12"/>
    </row>
    <row r="163" spans="2:13" ht="12.75">
      <c r="B163" s="10" t="s">
        <v>94</v>
      </c>
      <c r="C163" s="10"/>
      <c r="D163" s="10" t="s">
        <v>17</v>
      </c>
      <c r="G163" s="11">
        <f>166099/60</f>
        <v>2768.3166666666666</v>
      </c>
      <c r="H163" s="11"/>
      <c r="I163" s="11">
        <f>161234/60</f>
        <v>2687.233333333333</v>
      </c>
      <c r="J163" s="11"/>
      <c r="K163" s="11">
        <f>161265/60</f>
        <v>2687.75</v>
      </c>
      <c r="L163" s="30"/>
      <c r="M163" s="11">
        <f>AVERAGE(K163,I163,G163)</f>
        <v>2714.4333333333334</v>
      </c>
    </row>
    <row r="164" spans="2:13" ht="12.75">
      <c r="B164" s="10" t="s">
        <v>111</v>
      </c>
      <c r="C164" s="10"/>
      <c r="D164" s="10" t="s">
        <v>18</v>
      </c>
      <c r="G164" s="30">
        <v>15.2</v>
      </c>
      <c r="H164" s="30"/>
      <c r="I164" s="31">
        <v>14.7</v>
      </c>
      <c r="J164" s="30"/>
      <c r="K164" s="30">
        <v>14.8</v>
      </c>
      <c r="L164" s="30"/>
      <c r="M164" s="11">
        <f>AVERAGE(K164,I164,G164)</f>
        <v>14.9</v>
      </c>
    </row>
    <row r="165" spans="2:13" ht="12.75">
      <c r="B165" s="10" t="s">
        <v>112</v>
      </c>
      <c r="C165" s="10"/>
      <c r="D165" s="10" t="s">
        <v>18</v>
      </c>
      <c r="G165" s="30"/>
      <c r="H165" s="30"/>
      <c r="I165" s="31"/>
      <c r="J165" s="30"/>
      <c r="K165" s="30"/>
      <c r="L165" s="30"/>
      <c r="M165" s="11"/>
    </row>
    <row r="166" spans="2:13" ht="12.75">
      <c r="B166" s="10" t="s">
        <v>93</v>
      </c>
      <c r="C166" s="10"/>
      <c r="D166" s="10" t="s">
        <v>19</v>
      </c>
      <c r="E166" s="17"/>
      <c r="F166" s="17"/>
      <c r="G166" s="30">
        <v>445</v>
      </c>
      <c r="H166" s="17"/>
      <c r="I166" s="31">
        <v>457</v>
      </c>
      <c r="J166" s="17"/>
      <c r="K166" s="30">
        <v>461</v>
      </c>
      <c r="L166" s="24"/>
      <c r="M166" s="11">
        <f>AVERAGE(K166,I166,G166)</f>
        <v>454.3333333333333</v>
      </c>
    </row>
    <row r="167" spans="2:13" ht="12.75">
      <c r="B167" s="10"/>
      <c r="C167" s="10"/>
      <c r="G167" s="30"/>
      <c r="H167" s="30"/>
      <c r="I167" s="31"/>
      <c r="J167" s="30"/>
      <c r="K167" s="30"/>
      <c r="L167" s="30"/>
      <c r="M167" s="12"/>
    </row>
    <row r="168" spans="2:13" ht="12.75">
      <c r="B168" s="10" t="s">
        <v>117</v>
      </c>
      <c r="C168" s="10" t="s">
        <v>151</v>
      </c>
      <c r="D168" s="10" t="s">
        <v>233</v>
      </c>
      <c r="G168" s="30"/>
      <c r="H168" s="30"/>
      <c r="I168" s="31"/>
      <c r="J168" s="30"/>
      <c r="K168" s="30"/>
      <c r="L168" s="30"/>
      <c r="M168" s="12"/>
    </row>
    <row r="169" spans="2:13" ht="12.75">
      <c r="B169" s="10" t="s">
        <v>94</v>
      </c>
      <c r="C169" s="10"/>
      <c r="D169" s="10" t="s">
        <v>17</v>
      </c>
      <c r="G169" s="11">
        <f>167794/60</f>
        <v>2796.5666666666666</v>
      </c>
      <c r="H169" s="11"/>
      <c r="I169" s="11">
        <f>165244/60</f>
        <v>2754.0666666666666</v>
      </c>
      <c r="J169" s="11"/>
      <c r="K169" s="11">
        <f>162285/60</f>
        <v>2704.75</v>
      </c>
      <c r="L169" s="30"/>
      <c r="M169" s="11">
        <f>AVERAGE(K169,I169,G169)</f>
        <v>2751.7944444444443</v>
      </c>
    </row>
    <row r="170" spans="2:13" ht="12.75">
      <c r="B170" s="10" t="s">
        <v>111</v>
      </c>
      <c r="C170" s="10"/>
      <c r="D170" s="10" t="s">
        <v>18</v>
      </c>
      <c r="G170" s="30">
        <v>15.2</v>
      </c>
      <c r="H170" s="30"/>
      <c r="I170" s="31">
        <v>14.67</v>
      </c>
      <c r="J170" s="30"/>
      <c r="K170" s="30">
        <v>14.8</v>
      </c>
      <c r="L170" s="30"/>
      <c r="M170" s="11">
        <f>AVERAGE(K170,I170,G170)</f>
        <v>14.89</v>
      </c>
    </row>
    <row r="171" spans="2:13" ht="12.75">
      <c r="B171" s="10" t="s">
        <v>112</v>
      </c>
      <c r="C171" s="10"/>
      <c r="D171" s="10" t="s">
        <v>18</v>
      </c>
      <c r="G171" s="30">
        <v>4.7</v>
      </c>
      <c r="H171" s="30"/>
      <c r="I171" s="31">
        <v>4.8</v>
      </c>
      <c r="J171" s="30"/>
      <c r="K171" s="30">
        <v>4.27</v>
      </c>
      <c r="L171" s="30"/>
      <c r="M171" s="11">
        <f>AVERAGE(K171,I171,G171)</f>
        <v>4.59</v>
      </c>
    </row>
    <row r="172" spans="2:13" ht="12.75">
      <c r="B172" s="10" t="s">
        <v>93</v>
      </c>
      <c r="C172" s="10"/>
      <c r="D172" s="10" t="s">
        <v>19</v>
      </c>
      <c r="E172" s="17"/>
      <c r="F172" s="17"/>
      <c r="G172" s="30">
        <v>449</v>
      </c>
      <c r="H172" s="17"/>
      <c r="I172" s="31">
        <v>456</v>
      </c>
      <c r="J172" s="17"/>
      <c r="K172" s="30">
        <v>465</v>
      </c>
      <c r="L172" s="24"/>
      <c r="M172" s="11">
        <f>AVERAGE(K172,I172,G172)</f>
        <v>456.6666666666667</v>
      </c>
    </row>
    <row r="173" spans="2:11" ht="12.75">
      <c r="B173" s="10"/>
      <c r="C173" s="10"/>
      <c r="G173" s="30"/>
      <c r="H173" s="30"/>
      <c r="I173" s="31"/>
      <c r="J173" s="30"/>
      <c r="K173" s="30"/>
    </row>
    <row r="174" spans="2:13" ht="12.75">
      <c r="B174" s="10" t="s">
        <v>155</v>
      </c>
      <c r="C174" s="10" t="s">
        <v>232</v>
      </c>
      <c r="D174" s="10" t="s">
        <v>65</v>
      </c>
      <c r="E174" s="10" t="s">
        <v>15</v>
      </c>
      <c r="G174" s="11">
        <f>G141/60/0.0283/G$163*(21-7)/(21-G$164)*1000000</f>
        <v>15.251165648094325</v>
      </c>
      <c r="H174" s="30"/>
      <c r="I174" s="11">
        <f>I141/60/0.0283/I$163*(21-7)/(21-I$164)*1000000</f>
        <v>10.909188365687623</v>
      </c>
      <c r="J174" s="30"/>
      <c r="K174" s="11">
        <f>K141/60/0.0283/K$163*(21-7)/(21-K$164)*1000000</f>
        <v>10.24189066234636</v>
      </c>
      <c r="M174" s="12">
        <f aca="true" t="shared" si="4" ref="M174:M187">AVERAGE(G174,I174,K174)</f>
        <v>12.134081558709434</v>
      </c>
    </row>
    <row r="175" spans="2:13" ht="12.75">
      <c r="B175" s="10" t="s">
        <v>96</v>
      </c>
      <c r="C175" s="10" t="s">
        <v>232</v>
      </c>
      <c r="D175" s="10" t="s">
        <v>65</v>
      </c>
      <c r="E175" s="10" t="s">
        <v>15</v>
      </c>
      <c r="G175" s="11">
        <f aca="true" t="shared" si="5" ref="G175:G187">G142/60/0.0283/G$163*(21-7)/(21-G$164)*1000000</f>
        <v>143.26852578512853</v>
      </c>
      <c r="H175" s="30"/>
      <c r="I175" s="11">
        <f aca="true" t="shared" si="6" ref="I175:I187">I142/60/0.0283/I$163*(21-7)/(21-I$164)*1000000</f>
        <v>95.4553981997667</v>
      </c>
      <c r="J175" s="30"/>
      <c r="K175" s="11">
        <f aca="true" t="shared" si="7" ref="K175:K187">K142/60/0.0283/K$163*(21-7)/(21-K$164)*1000000</f>
        <v>112.31445315713157</v>
      </c>
      <c r="M175" s="12">
        <f t="shared" si="4"/>
        <v>117.01279238067559</v>
      </c>
    </row>
    <row r="176" spans="2:13" ht="12.75">
      <c r="B176" s="10" t="s">
        <v>97</v>
      </c>
      <c r="C176" s="10" t="s">
        <v>232</v>
      </c>
      <c r="D176" s="10" t="s">
        <v>65</v>
      </c>
      <c r="E176" s="10" t="s">
        <v>15</v>
      </c>
      <c r="G176" s="11">
        <f t="shared" si="5"/>
        <v>837.0168352321128</v>
      </c>
      <c r="H176" s="30"/>
      <c r="I176" s="11">
        <f t="shared" si="6"/>
        <v>706.175139743172</v>
      </c>
      <c r="J176" s="30"/>
      <c r="K176" s="11">
        <f t="shared" si="7"/>
        <v>697.6360306235924</v>
      </c>
      <c r="M176" s="12">
        <f t="shared" si="4"/>
        <v>746.942668532959</v>
      </c>
    </row>
    <row r="177" spans="2:13" ht="12.75">
      <c r="B177" s="10" t="s">
        <v>98</v>
      </c>
      <c r="C177" s="10" t="s">
        <v>232</v>
      </c>
      <c r="D177" s="10" t="s">
        <v>65</v>
      </c>
      <c r="E177" s="10" t="s">
        <v>15</v>
      </c>
      <c r="G177" s="11">
        <f t="shared" si="5"/>
        <v>177.67351226399452</v>
      </c>
      <c r="H177" s="30"/>
      <c r="I177" s="11">
        <f t="shared" si="6"/>
        <v>115.91012638543098</v>
      </c>
      <c r="J177" s="30"/>
      <c r="K177" s="11">
        <f t="shared" si="7"/>
        <v>175.15117364592322</v>
      </c>
      <c r="M177" s="12">
        <f t="shared" si="4"/>
        <v>156.24493743178292</v>
      </c>
    </row>
    <row r="178" spans="2:13" ht="12.75">
      <c r="B178" s="10" t="s">
        <v>99</v>
      </c>
      <c r="C178" s="10" t="s">
        <v>232</v>
      </c>
      <c r="D178" s="10" t="s">
        <v>65</v>
      </c>
      <c r="E178" s="10" t="s">
        <v>15</v>
      </c>
      <c r="G178" s="11">
        <f t="shared" si="5"/>
        <v>1.6124127991587942</v>
      </c>
      <c r="H178" s="30"/>
      <c r="I178" s="11">
        <f t="shared" si="6"/>
        <v>1.529234440547283</v>
      </c>
      <c r="J178" s="30"/>
      <c r="K178" s="11">
        <f t="shared" si="7"/>
        <v>1.5437052592522043</v>
      </c>
      <c r="M178" s="12">
        <f t="shared" si="4"/>
        <v>1.561784166319427</v>
      </c>
    </row>
    <row r="179" spans="2:13" ht="12.75">
      <c r="B179" s="10" t="s">
        <v>100</v>
      </c>
      <c r="C179" s="10" t="s">
        <v>232</v>
      </c>
      <c r="D179" s="10" t="s">
        <v>65</v>
      </c>
      <c r="E179" s="10" t="s">
        <v>15</v>
      </c>
      <c r="G179" s="11">
        <f t="shared" si="5"/>
        <v>8.729623434936148</v>
      </c>
      <c r="H179" s="30"/>
      <c r="I179" s="11">
        <f t="shared" si="6"/>
        <v>4.626664708662163</v>
      </c>
      <c r="J179" s="30"/>
      <c r="K179" s="11">
        <f t="shared" si="7"/>
        <v>3.4733368333174606</v>
      </c>
      <c r="M179" s="12">
        <f t="shared" si="4"/>
        <v>5.609874992305257</v>
      </c>
    </row>
    <row r="180" spans="2:13" ht="12.75">
      <c r="B180" s="10" t="s">
        <v>115</v>
      </c>
      <c r="C180" s="10" t="s">
        <v>232</v>
      </c>
      <c r="D180" s="10" t="s">
        <v>65</v>
      </c>
      <c r="E180" s="10" t="s">
        <v>15</v>
      </c>
      <c r="G180" s="11">
        <f t="shared" si="5"/>
        <v>0.7137750926212495</v>
      </c>
      <c r="H180" s="30"/>
      <c r="I180" s="11">
        <f t="shared" si="6"/>
        <v>0.6818242728554764</v>
      </c>
      <c r="J180" s="30"/>
      <c r="K180" s="11">
        <f t="shared" si="7"/>
        <v>1.2072566771074935</v>
      </c>
      <c r="M180" s="12">
        <f t="shared" si="4"/>
        <v>0.8676186808614066</v>
      </c>
    </row>
    <row r="181" spans="2:13" ht="12.75">
      <c r="B181" s="10" t="s">
        <v>113</v>
      </c>
      <c r="C181" s="10" t="s">
        <v>232</v>
      </c>
      <c r="D181" s="10" t="s">
        <v>65</v>
      </c>
      <c r="E181" s="10" t="s">
        <v>15</v>
      </c>
      <c r="G181" s="11">
        <f t="shared" si="5"/>
        <v>21.413252778637492</v>
      </c>
      <c r="H181" s="30"/>
      <c r="I181" s="11">
        <f t="shared" si="6"/>
        <v>22.987218341984633</v>
      </c>
      <c r="J181" s="30"/>
      <c r="K181" s="11">
        <f t="shared" si="7"/>
        <v>24.392522205491566</v>
      </c>
      <c r="M181" s="12">
        <f t="shared" si="4"/>
        <v>22.930997775371235</v>
      </c>
    </row>
    <row r="182" spans="2:13" ht="12.75">
      <c r="B182" s="10" t="s">
        <v>95</v>
      </c>
      <c r="C182" s="10" t="s">
        <v>232</v>
      </c>
      <c r="D182" s="10" t="s">
        <v>65</v>
      </c>
      <c r="E182" s="10" t="s">
        <v>15</v>
      </c>
      <c r="G182" s="11">
        <f t="shared" si="5"/>
        <v>8216.116174057548</v>
      </c>
      <c r="H182" s="30"/>
      <c r="I182" s="11">
        <f t="shared" si="6"/>
        <v>5454.594182843812</v>
      </c>
      <c r="J182" s="30"/>
      <c r="K182" s="11">
        <f t="shared" si="7"/>
        <v>5046.728732170668</v>
      </c>
      <c r="M182" s="12">
        <f t="shared" si="4"/>
        <v>6239.14636302401</v>
      </c>
    </row>
    <row r="183" spans="2:13" ht="12.75">
      <c r="B183" s="10" t="s">
        <v>102</v>
      </c>
      <c r="C183" s="10" t="s">
        <v>232</v>
      </c>
      <c r="D183" s="10" t="s">
        <v>65</v>
      </c>
      <c r="E183" s="10" t="s">
        <v>15</v>
      </c>
      <c r="G183" s="11">
        <f t="shared" si="5"/>
        <v>0.7137750926212495</v>
      </c>
      <c r="H183" s="30"/>
      <c r="I183" s="11">
        <f t="shared" si="6"/>
        <v>0.6818242728554764</v>
      </c>
      <c r="J183" s="30"/>
      <c r="K183" s="11">
        <f t="shared" si="7"/>
        <v>0.9549202404989598</v>
      </c>
      <c r="M183" s="12">
        <f t="shared" si="4"/>
        <v>0.7835065353252286</v>
      </c>
    </row>
    <row r="184" spans="2:13" ht="12.75">
      <c r="B184" s="10" t="s">
        <v>103</v>
      </c>
      <c r="C184" s="10" t="s">
        <v>232</v>
      </c>
      <c r="D184" s="10" t="s">
        <v>65</v>
      </c>
      <c r="E184" s="10" t="s">
        <v>15</v>
      </c>
      <c r="G184" s="11">
        <f t="shared" si="5"/>
        <v>2.5059154330875533</v>
      </c>
      <c r="H184" s="30"/>
      <c r="I184" s="11">
        <f t="shared" si="6"/>
        <v>2.381514781616629</v>
      </c>
      <c r="J184" s="30"/>
      <c r="K184" s="11">
        <f t="shared" si="7"/>
        <v>2.4046178076813183</v>
      </c>
      <c r="M184" s="12">
        <f t="shared" si="4"/>
        <v>2.4306826741285</v>
      </c>
    </row>
    <row r="185" spans="2:13" ht="12.75">
      <c r="B185" s="10" t="s">
        <v>104</v>
      </c>
      <c r="C185" s="10" t="s">
        <v>232</v>
      </c>
      <c r="D185" s="10" t="s">
        <v>65</v>
      </c>
      <c r="E185" s="10" t="s">
        <v>15</v>
      </c>
      <c r="G185" s="11">
        <f t="shared" si="5"/>
        <v>0.8575571256672567</v>
      </c>
      <c r="H185" s="30"/>
      <c r="I185" s="11">
        <f t="shared" si="6"/>
        <v>0.6282523657025462</v>
      </c>
      <c r="J185" s="30"/>
      <c r="K185" s="11">
        <f t="shared" si="7"/>
        <v>0.9450246939652919</v>
      </c>
      <c r="M185" s="12">
        <f t="shared" si="4"/>
        <v>0.8102780617783649</v>
      </c>
    </row>
    <row r="186" spans="2:13" ht="12.75">
      <c r="B186" s="10" t="s">
        <v>105</v>
      </c>
      <c r="C186" s="10" t="s">
        <v>232</v>
      </c>
      <c r="D186" s="10" t="s">
        <v>65</v>
      </c>
      <c r="E186" s="10" t="s">
        <v>15</v>
      </c>
      <c r="G186" s="11">
        <f t="shared" si="5"/>
        <v>0.641884076098246</v>
      </c>
      <c r="H186" s="30"/>
      <c r="I186" s="11">
        <f t="shared" si="6"/>
        <v>0.6136418455699291</v>
      </c>
      <c r="J186" s="30"/>
      <c r="K186" s="11">
        <f t="shared" si="7"/>
        <v>0.6184716583542487</v>
      </c>
      <c r="M186" s="12">
        <f t="shared" si="4"/>
        <v>0.6246658600074746</v>
      </c>
    </row>
    <row r="187" spans="2:13" ht="12.75">
      <c r="B187" s="10" t="s">
        <v>118</v>
      </c>
      <c r="C187" s="10" t="s">
        <v>232</v>
      </c>
      <c r="D187" s="10" t="s">
        <v>65</v>
      </c>
      <c r="E187" s="10" t="s">
        <v>15</v>
      </c>
      <c r="G187" s="11">
        <f t="shared" si="5"/>
        <v>57.51281321840284</v>
      </c>
      <c r="H187" s="30"/>
      <c r="I187" s="11">
        <f t="shared" si="6"/>
        <v>53.08488981517639</v>
      </c>
      <c r="J187" s="30"/>
      <c r="K187" s="11">
        <f t="shared" si="7"/>
        <v>59.86805652869127</v>
      </c>
      <c r="M187" s="12">
        <f t="shared" si="4"/>
        <v>56.82191985409016</v>
      </c>
    </row>
    <row r="188" spans="2:11" ht="12.75">
      <c r="B188" s="10"/>
      <c r="C188" s="10"/>
      <c r="G188" s="30"/>
      <c r="H188" s="30"/>
      <c r="I188" s="31"/>
      <c r="J188" s="30"/>
      <c r="K188" s="30"/>
    </row>
    <row r="189" spans="2:13" ht="12.75">
      <c r="B189" s="10" t="s">
        <v>66</v>
      </c>
      <c r="C189" s="10" t="s">
        <v>232</v>
      </c>
      <c r="D189" s="10" t="s">
        <v>65</v>
      </c>
      <c r="E189" s="10" t="s">
        <v>15</v>
      </c>
      <c r="G189" s="11">
        <f>G182+G179</f>
        <v>8224.845797492484</v>
      </c>
      <c r="H189" s="30"/>
      <c r="I189" s="11">
        <f>I182+I179</f>
        <v>5459.220847552474</v>
      </c>
      <c r="J189" s="30"/>
      <c r="K189" s="11">
        <f>K182+K179</f>
        <v>5050.202069003985</v>
      </c>
      <c r="M189" s="12">
        <f>AVERAGE(G189,I189,K189)</f>
        <v>6244.7562380163145</v>
      </c>
    </row>
    <row r="190" spans="2:13" ht="12.75">
      <c r="B190" s="10" t="s">
        <v>67</v>
      </c>
      <c r="C190" s="10" t="s">
        <v>232</v>
      </c>
      <c r="D190" s="10" t="s">
        <v>65</v>
      </c>
      <c r="E190" s="10" t="s">
        <v>15</v>
      </c>
      <c r="G190" s="11">
        <f>G176+G178+G180</f>
        <v>839.343023123893</v>
      </c>
      <c r="H190" s="30"/>
      <c r="I190" s="11">
        <f>I176+I178+I180</f>
        <v>708.3861984565748</v>
      </c>
      <c r="J190" s="30"/>
      <c r="K190" s="11">
        <f>K176+K178+K180</f>
        <v>700.3869925599521</v>
      </c>
      <c r="M190" s="12">
        <f>AVERAGE(G190,I190,K190)</f>
        <v>749.3720713801399</v>
      </c>
    </row>
    <row r="191" spans="2:11" ht="12.75">
      <c r="B191" s="10"/>
      <c r="C191" s="10"/>
      <c r="G191" s="30"/>
      <c r="H191" s="30"/>
      <c r="I191" s="31"/>
      <c r="J191" s="30"/>
      <c r="K191" s="30"/>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5.xml><?xml version="1.0" encoding="utf-8"?>
<worksheet xmlns="http://schemas.openxmlformats.org/spreadsheetml/2006/main" xmlns:r="http://schemas.openxmlformats.org/officeDocument/2006/relationships">
  <dimension ref="A1:X94"/>
  <sheetViews>
    <sheetView workbookViewId="0" topLeftCell="B1">
      <selection activeCell="B33" sqref="B33"/>
    </sheetView>
  </sheetViews>
  <sheetFormatPr defaultColWidth="9.140625" defaultRowHeight="12.75"/>
  <cols>
    <col min="1" max="1" width="3.28125" style="0" hidden="1" customWidth="1"/>
    <col min="2" max="2" width="17.00390625" style="0" customWidth="1"/>
    <col min="3" max="3" width="7.8515625" style="0" customWidth="1"/>
    <col min="6" max="6" width="2.57421875" style="0" customWidth="1"/>
    <col min="8" max="8" width="3.00390625" style="0" customWidth="1"/>
    <col min="10" max="10" width="2.28125" style="0" customWidth="1"/>
    <col min="12" max="12" width="3.421875" style="0" customWidth="1"/>
    <col min="14" max="21" width="0" style="0" hidden="1" customWidth="1"/>
    <col min="22" max="23" width="9.140625" style="0" hidden="1" customWidth="1"/>
    <col min="24" max="24" width="0" style="0" hidden="1" customWidth="1"/>
  </cols>
  <sheetData>
    <row r="1" ht="12.75">
      <c r="B1" s="8" t="s">
        <v>216</v>
      </c>
    </row>
    <row r="2" ht="12.75">
      <c r="B2" s="8"/>
    </row>
    <row r="4" spans="1:13" ht="12.75">
      <c r="A4">
        <v>9</v>
      </c>
      <c r="B4" s="8" t="s">
        <v>203</v>
      </c>
      <c r="G4" s="76" t="s">
        <v>207</v>
      </c>
      <c r="H4" s="76"/>
      <c r="I4" s="76" t="s">
        <v>208</v>
      </c>
      <c r="J4" s="76"/>
      <c r="K4" s="76" t="s">
        <v>209</v>
      </c>
      <c r="L4" s="76"/>
      <c r="M4" s="76" t="s">
        <v>47</v>
      </c>
    </row>
    <row r="6" spans="2:24" s="67" customFormat="1" ht="12.75">
      <c r="B6" s="67" t="s">
        <v>13</v>
      </c>
      <c r="C6" s="67" t="s">
        <v>231</v>
      </c>
      <c r="D6" s="67" t="s">
        <v>14</v>
      </c>
      <c r="E6" s="67" t="s">
        <v>15</v>
      </c>
      <c r="F6" s="68" t="s">
        <v>193</v>
      </c>
      <c r="G6" s="69">
        <v>0.16678865813718413</v>
      </c>
      <c r="H6" s="69" t="s">
        <v>193</v>
      </c>
      <c r="I6" s="69">
        <v>0.1685201902222222</v>
      </c>
      <c r="J6" s="69" t="s">
        <v>193</v>
      </c>
      <c r="K6" s="69">
        <v>0.14332866129433272</v>
      </c>
      <c r="L6" s="69" t="s">
        <v>193</v>
      </c>
      <c r="M6" s="82">
        <f>AVERAGE(G6,I6,K6)</f>
        <v>0.15954583655124635</v>
      </c>
      <c r="N6" s="69" t="s">
        <v>193</v>
      </c>
      <c r="O6" s="69"/>
      <c r="P6" s="69" t="s">
        <v>193</v>
      </c>
      <c r="Q6" s="69"/>
      <c r="R6" s="69" t="s">
        <v>193</v>
      </c>
      <c r="S6" s="69"/>
      <c r="T6" s="69" t="s">
        <v>193</v>
      </c>
      <c r="U6" s="69"/>
      <c r="V6" s="68" t="s">
        <v>193</v>
      </c>
      <c r="W6" s="68"/>
      <c r="X6" s="67">
        <v>0.15954583655124635</v>
      </c>
    </row>
    <row r="7" spans="2:24" s="67" customFormat="1" ht="12.75">
      <c r="B7" s="67" t="s">
        <v>75</v>
      </c>
      <c r="C7" s="67" t="s">
        <v>231</v>
      </c>
      <c r="D7" s="67" t="s">
        <v>16</v>
      </c>
      <c r="E7" s="67" t="s">
        <v>15</v>
      </c>
      <c r="F7" s="68" t="s">
        <v>193</v>
      </c>
      <c r="G7" s="70">
        <v>6.3682310469314105</v>
      </c>
      <c r="H7" s="70" t="s">
        <v>193</v>
      </c>
      <c r="I7" s="70">
        <v>30.462962962963</v>
      </c>
      <c r="J7" s="70" t="s">
        <v>193</v>
      </c>
      <c r="K7" s="70">
        <v>18.453382084095</v>
      </c>
      <c r="L7" s="68" t="s">
        <v>193</v>
      </c>
      <c r="M7" s="82">
        <f>AVERAGE(G7,I7,K7)</f>
        <v>18.428192031329804</v>
      </c>
      <c r="N7" s="68" t="s">
        <v>193</v>
      </c>
      <c r="O7" s="68"/>
      <c r="P7" s="68" t="s">
        <v>193</v>
      </c>
      <c r="Q7" s="68"/>
      <c r="R7" s="68" t="s">
        <v>193</v>
      </c>
      <c r="S7" s="68"/>
      <c r="T7" s="68" t="s">
        <v>193</v>
      </c>
      <c r="U7" s="68"/>
      <c r="V7" s="68" t="s">
        <v>193</v>
      </c>
      <c r="W7" s="68"/>
      <c r="X7" s="67">
        <v>18.428192031329804</v>
      </c>
    </row>
    <row r="8" spans="2:24" s="67" customFormat="1" ht="12.75">
      <c r="B8" s="67" t="s">
        <v>194</v>
      </c>
      <c r="C8" s="67" t="s">
        <v>231</v>
      </c>
      <c r="D8" s="67" t="s">
        <v>65</v>
      </c>
      <c r="E8" s="67" t="s">
        <v>15</v>
      </c>
      <c r="F8" s="68" t="s">
        <v>193</v>
      </c>
      <c r="G8" s="70">
        <v>8.8447653429603</v>
      </c>
      <c r="H8" s="70" t="s">
        <v>193</v>
      </c>
      <c r="I8" s="70">
        <v>37.41111111111111</v>
      </c>
      <c r="J8" s="70" t="s">
        <v>193</v>
      </c>
      <c r="K8" s="70">
        <v>36.804387568555754</v>
      </c>
      <c r="L8" s="68" t="s">
        <v>193</v>
      </c>
      <c r="M8" s="82">
        <f>AVERAGE(G8,I8,K8)</f>
        <v>27.686754674209055</v>
      </c>
      <c r="N8" s="68" t="s">
        <v>193</v>
      </c>
      <c r="O8" s="68"/>
      <c r="P8" s="68" t="s">
        <v>193</v>
      </c>
      <c r="Q8" s="68"/>
      <c r="R8" s="68" t="s">
        <v>193</v>
      </c>
      <c r="S8" s="68"/>
      <c r="T8" s="68" t="s">
        <v>193</v>
      </c>
      <c r="U8" s="68"/>
      <c r="V8" s="68" t="s">
        <v>193</v>
      </c>
      <c r="W8" s="68"/>
      <c r="X8" s="67">
        <v>27.686754674209055</v>
      </c>
    </row>
    <row r="11" spans="1:13" ht="12.75">
      <c r="A11" t="s">
        <v>230</v>
      </c>
      <c r="B11" s="8" t="s">
        <v>204</v>
      </c>
      <c r="G11" s="76" t="s">
        <v>207</v>
      </c>
      <c r="H11" s="76"/>
      <c r="I11" s="76" t="s">
        <v>208</v>
      </c>
      <c r="J11" s="76"/>
      <c r="K11" s="76" t="s">
        <v>209</v>
      </c>
      <c r="L11" s="76"/>
      <c r="M11" s="76" t="s">
        <v>47</v>
      </c>
    </row>
    <row r="13" spans="2:24" s="67" customFormat="1" ht="12.75">
      <c r="B13" s="67" t="s">
        <v>13</v>
      </c>
      <c r="C13" s="67" t="s">
        <v>231</v>
      </c>
      <c r="D13" s="67" t="s">
        <v>14</v>
      </c>
      <c r="E13" s="67" t="s">
        <v>15</v>
      </c>
      <c r="F13" s="68" t="s">
        <v>193</v>
      </c>
      <c r="G13" s="69">
        <v>0.030952688</v>
      </c>
      <c r="H13" s="69" t="s">
        <v>193</v>
      </c>
      <c r="I13" s="69">
        <v>0.017665790384858</v>
      </c>
      <c r="J13" s="69" t="s">
        <v>193</v>
      </c>
      <c r="K13" s="69">
        <v>0.02100020832</v>
      </c>
      <c r="L13" s="69" t="s">
        <v>193</v>
      </c>
      <c r="M13" s="69">
        <f>AVERAGE(G13,I13,K13)</f>
        <v>0.023206228901619334</v>
      </c>
      <c r="N13" s="69" t="s">
        <v>193</v>
      </c>
      <c r="O13" s="69"/>
      <c r="P13" s="69" t="s">
        <v>193</v>
      </c>
      <c r="Q13" s="69"/>
      <c r="R13" s="69" t="s">
        <v>193</v>
      </c>
      <c r="S13" s="69"/>
      <c r="T13" s="69" t="s">
        <v>193</v>
      </c>
      <c r="U13" s="69"/>
      <c r="V13" s="68" t="s">
        <v>193</v>
      </c>
      <c r="W13" s="68"/>
      <c r="X13" s="67">
        <v>0.02320622890161933</v>
      </c>
    </row>
    <row r="14" spans="2:24" s="67" customFormat="1" ht="12.75">
      <c r="B14" s="67" t="s">
        <v>75</v>
      </c>
      <c r="C14" s="67" t="s">
        <v>231</v>
      </c>
      <c r="D14" s="67" t="s">
        <v>16</v>
      </c>
      <c r="E14" s="67" t="s">
        <v>15</v>
      </c>
      <c r="F14" s="68" t="s">
        <v>193</v>
      </c>
      <c r="G14" s="70">
        <v>37.92857142857142</v>
      </c>
      <c r="H14" s="70" t="s">
        <v>193</v>
      </c>
      <c r="I14" s="70">
        <v>60.813880126183</v>
      </c>
      <c r="J14" s="70" t="s">
        <v>193</v>
      </c>
      <c r="K14" s="70"/>
      <c r="L14" s="68" t="s">
        <v>193</v>
      </c>
      <c r="M14" s="70">
        <f aca="true" t="shared" si="0" ref="M14:M32">AVERAGE(G14,I14,K14)</f>
        <v>49.37122577737721</v>
      </c>
      <c r="N14" s="68" t="s">
        <v>193</v>
      </c>
      <c r="O14" s="68"/>
      <c r="P14" s="68" t="s">
        <v>193</v>
      </c>
      <c r="Q14" s="68"/>
      <c r="R14" s="68" t="s">
        <v>193</v>
      </c>
      <c r="S14" s="68"/>
      <c r="T14" s="68" t="s">
        <v>193</v>
      </c>
      <c r="U14" s="68"/>
      <c r="V14" s="68" t="s">
        <v>193</v>
      </c>
      <c r="W14" s="68"/>
      <c r="X14" s="67">
        <v>49.37122577737721</v>
      </c>
    </row>
    <row r="15" spans="2:24" s="67" customFormat="1" ht="12.75">
      <c r="B15" s="67" t="s">
        <v>194</v>
      </c>
      <c r="C15" s="67" t="s">
        <v>231</v>
      </c>
      <c r="D15" s="67" t="s">
        <v>65</v>
      </c>
      <c r="E15" s="67" t="s">
        <v>15</v>
      </c>
      <c r="F15" s="68" t="s">
        <v>193</v>
      </c>
      <c r="G15" s="70">
        <v>65.952380952381</v>
      </c>
      <c r="H15" s="70" t="s">
        <v>193</v>
      </c>
      <c r="I15" s="70">
        <v>162.96529968454257</v>
      </c>
      <c r="J15" s="70" t="s">
        <v>193</v>
      </c>
      <c r="K15" s="70"/>
      <c r="L15" s="68" t="s">
        <v>193</v>
      </c>
      <c r="M15" s="70">
        <f t="shared" si="0"/>
        <v>114.4588403184618</v>
      </c>
      <c r="N15" s="68" t="s">
        <v>193</v>
      </c>
      <c r="O15" s="68"/>
      <c r="P15" s="68" t="s">
        <v>193</v>
      </c>
      <c r="Q15" s="68"/>
      <c r="R15" s="68" t="s">
        <v>193</v>
      </c>
      <c r="S15" s="68"/>
      <c r="T15" s="68" t="s">
        <v>193</v>
      </c>
      <c r="U15" s="68"/>
      <c r="V15" s="68" t="s">
        <v>193</v>
      </c>
      <c r="W15" s="68"/>
      <c r="X15" s="67">
        <v>114.4588403184618</v>
      </c>
    </row>
    <row r="16" spans="2:24" s="67" customFormat="1" ht="12.75">
      <c r="B16" s="67" t="s">
        <v>54</v>
      </c>
      <c r="C16" s="67" t="s">
        <v>231</v>
      </c>
      <c r="D16" s="67" t="s">
        <v>16</v>
      </c>
      <c r="E16" s="67" t="s">
        <v>15</v>
      </c>
      <c r="F16" s="68" t="s">
        <v>193</v>
      </c>
      <c r="G16" s="70">
        <v>0.60052084857512</v>
      </c>
      <c r="H16" s="70" t="s">
        <v>193</v>
      </c>
      <c r="I16" s="70">
        <v>21.865441903254</v>
      </c>
      <c r="J16" s="70" t="s">
        <v>193</v>
      </c>
      <c r="K16" s="70">
        <v>41.46818874540311</v>
      </c>
      <c r="L16" s="68" t="s">
        <v>193</v>
      </c>
      <c r="M16" s="70">
        <f t="shared" si="0"/>
        <v>21.311383832410744</v>
      </c>
      <c r="N16" s="68" t="s">
        <v>193</v>
      </c>
      <c r="O16" s="68"/>
      <c r="P16" s="68" t="s">
        <v>193</v>
      </c>
      <c r="Q16" s="68"/>
      <c r="R16" s="68" t="s">
        <v>193</v>
      </c>
      <c r="S16" s="68"/>
      <c r="T16" s="68" t="s">
        <v>193</v>
      </c>
      <c r="U16" s="68"/>
      <c r="V16" s="68" t="s">
        <v>193</v>
      </c>
      <c r="W16" s="68"/>
      <c r="X16" s="67">
        <v>21.311383832410744</v>
      </c>
    </row>
    <row r="17" spans="2:24" s="67" customFormat="1" ht="12.75">
      <c r="B17" s="67" t="s">
        <v>55</v>
      </c>
      <c r="C17" s="67" t="s">
        <v>231</v>
      </c>
      <c r="D17" s="67" t="s">
        <v>16</v>
      </c>
      <c r="E17" s="67" t="s">
        <v>15</v>
      </c>
      <c r="F17" s="68" t="s">
        <v>193</v>
      </c>
      <c r="G17" s="70">
        <v>0.6003090993337331</v>
      </c>
      <c r="H17" s="70" t="s">
        <v>193</v>
      </c>
      <c r="I17" s="70">
        <v>21.845948800990367</v>
      </c>
      <c r="J17" s="70" t="s">
        <v>193</v>
      </c>
      <c r="K17" s="70">
        <v>41.43333403601428</v>
      </c>
      <c r="L17" s="68" t="s">
        <v>193</v>
      </c>
      <c r="M17" s="70">
        <f t="shared" si="0"/>
        <v>21.29319731211279</v>
      </c>
      <c r="N17" s="68" t="s">
        <v>193</v>
      </c>
      <c r="O17" s="68"/>
      <c r="P17" s="68" t="s">
        <v>193</v>
      </c>
      <c r="Q17" s="68"/>
      <c r="R17" s="68" t="s">
        <v>193</v>
      </c>
      <c r="S17" s="68"/>
      <c r="T17" s="68" t="s">
        <v>193</v>
      </c>
      <c r="U17" s="68"/>
      <c r="V17" s="68" t="s">
        <v>193</v>
      </c>
      <c r="W17" s="68"/>
      <c r="X17" s="67">
        <v>21.29319731211279</v>
      </c>
    </row>
    <row r="18" spans="2:23" s="67" customFormat="1" ht="12.75">
      <c r="B18" s="67" t="s">
        <v>116</v>
      </c>
      <c r="C18" s="67" t="s">
        <v>231</v>
      </c>
      <c r="D18" s="67" t="s">
        <v>16</v>
      </c>
      <c r="E18" s="67" t="s">
        <v>15</v>
      </c>
      <c r="F18" s="68"/>
      <c r="G18" s="70">
        <f>G16+2*G17</f>
        <v>1.8011390472425863</v>
      </c>
      <c r="H18" s="70"/>
      <c r="I18" s="70">
        <f>I16+2*I17</f>
        <v>65.55733950523474</v>
      </c>
      <c r="J18" s="70"/>
      <c r="K18" s="70">
        <f>K16+2*K17</f>
        <v>124.33485681743167</v>
      </c>
      <c r="L18" s="68"/>
      <c r="M18" s="70">
        <f>M16+2*M17</f>
        <v>63.89777845663633</v>
      </c>
      <c r="N18" s="68"/>
      <c r="O18" s="68"/>
      <c r="P18" s="68"/>
      <c r="Q18" s="68"/>
      <c r="R18" s="68"/>
      <c r="S18" s="68"/>
      <c r="T18" s="68"/>
      <c r="U18" s="68"/>
      <c r="V18" s="68"/>
      <c r="W18" s="68"/>
    </row>
    <row r="19" spans="2:24" s="67" customFormat="1" ht="12.75">
      <c r="B19" s="67" t="s">
        <v>96</v>
      </c>
      <c r="C19" s="67" t="s">
        <v>231</v>
      </c>
      <c r="D19" s="67" t="s">
        <v>65</v>
      </c>
      <c r="E19" s="67" t="s">
        <v>15</v>
      </c>
      <c r="F19" s="68" t="s">
        <v>193</v>
      </c>
      <c r="G19" s="70">
        <v>867.2833236310644</v>
      </c>
      <c r="H19" s="70" t="s">
        <v>193</v>
      </c>
      <c r="I19" s="70">
        <v>682.9893916542752</v>
      </c>
      <c r="J19" s="70" t="s">
        <v>193</v>
      </c>
      <c r="K19" s="70">
        <v>909.5213294534266</v>
      </c>
      <c r="L19" s="68" t="s">
        <v>193</v>
      </c>
      <c r="M19" s="70">
        <f t="shared" si="0"/>
        <v>819.9313482462553</v>
      </c>
      <c r="N19" s="68" t="s">
        <v>193</v>
      </c>
      <c r="O19" s="68"/>
      <c r="P19" s="68" t="s">
        <v>193</v>
      </c>
      <c r="Q19" s="68"/>
      <c r="R19" s="68" t="s">
        <v>193</v>
      </c>
      <c r="S19" s="68"/>
      <c r="T19" s="68" t="s">
        <v>193</v>
      </c>
      <c r="U19" s="68"/>
      <c r="V19" s="68" t="s">
        <v>193</v>
      </c>
      <c r="W19" s="68"/>
      <c r="X19" s="67">
        <v>819.9313482462554</v>
      </c>
    </row>
    <row r="20" spans="2:24" s="67" customFormat="1" ht="12.75">
      <c r="B20" s="67" t="s">
        <v>97</v>
      </c>
      <c r="C20" s="67" t="s">
        <v>231</v>
      </c>
      <c r="D20" s="67" t="s">
        <v>65</v>
      </c>
      <c r="E20" s="67" t="s">
        <v>15</v>
      </c>
      <c r="F20" s="68" t="s">
        <v>193</v>
      </c>
      <c r="G20" s="70">
        <v>9.601984025051935</v>
      </c>
      <c r="H20" s="70" t="s">
        <v>193</v>
      </c>
      <c r="I20" s="70">
        <v>5.583461572635329</v>
      </c>
      <c r="J20" s="70" t="s">
        <v>193</v>
      </c>
      <c r="K20" s="70">
        <v>4.552911199868872</v>
      </c>
      <c r="L20" s="68" t="s">
        <v>193</v>
      </c>
      <c r="M20" s="70">
        <f t="shared" si="0"/>
        <v>6.579452265852045</v>
      </c>
      <c r="N20" s="68" t="s">
        <v>193</v>
      </c>
      <c r="O20" s="68"/>
      <c r="P20" s="68" t="s">
        <v>193</v>
      </c>
      <c r="Q20" s="68"/>
      <c r="R20" s="68" t="s">
        <v>193</v>
      </c>
      <c r="S20" s="68"/>
      <c r="T20" s="68" t="s">
        <v>193</v>
      </c>
      <c r="U20" s="68"/>
      <c r="V20" s="68" t="s">
        <v>193</v>
      </c>
      <c r="W20" s="68"/>
      <c r="X20" s="67">
        <v>6.579452265852045</v>
      </c>
    </row>
    <row r="21" spans="2:24" s="67" customFormat="1" ht="12.75">
      <c r="B21" s="67" t="s">
        <v>98</v>
      </c>
      <c r="C21" s="67" t="s">
        <v>231</v>
      </c>
      <c r="D21" s="67" t="s">
        <v>65</v>
      </c>
      <c r="E21" s="67" t="s">
        <v>15</v>
      </c>
      <c r="F21" s="68" t="s">
        <v>193</v>
      </c>
      <c r="G21" s="70">
        <v>265.59495388146155</v>
      </c>
      <c r="H21" s="70" t="s">
        <v>193</v>
      </c>
      <c r="I21" s="70">
        <v>2217.535897928023</v>
      </c>
      <c r="J21" s="70" t="s">
        <v>193</v>
      </c>
      <c r="K21" s="70">
        <v>2680.6077010013855</v>
      </c>
      <c r="L21" s="68" t="s">
        <v>193</v>
      </c>
      <c r="M21" s="70">
        <f t="shared" si="0"/>
        <v>1721.2461842702899</v>
      </c>
      <c r="N21" s="68" t="s">
        <v>193</v>
      </c>
      <c r="O21" s="68"/>
      <c r="P21" s="68" t="s">
        <v>193</v>
      </c>
      <c r="Q21" s="68"/>
      <c r="R21" s="68" t="s">
        <v>193</v>
      </c>
      <c r="S21" s="68"/>
      <c r="T21" s="68" t="s">
        <v>193</v>
      </c>
      <c r="U21" s="68"/>
      <c r="V21" s="68" t="s">
        <v>193</v>
      </c>
      <c r="W21" s="68"/>
      <c r="X21" s="67">
        <v>1721.2461842702899</v>
      </c>
    </row>
    <row r="22" spans="2:24" s="67" customFormat="1" ht="12.75">
      <c r="B22" s="67" t="s">
        <v>99</v>
      </c>
      <c r="C22" s="67" t="s">
        <v>231</v>
      </c>
      <c r="D22" s="67" t="s">
        <v>65</v>
      </c>
      <c r="E22" s="67" t="s">
        <v>15</v>
      </c>
      <c r="F22" s="68" t="s">
        <v>193</v>
      </c>
      <c r="G22" s="70">
        <v>0.31567071909242733</v>
      </c>
      <c r="H22" s="70" t="s">
        <v>193</v>
      </c>
      <c r="I22" s="70">
        <v>0.30935395199736276</v>
      </c>
      <c r="J22" s="70" t="s">
        <v>193</v>
      </c>
      <c r="K22" s="70">
        <v>0.30535431950969216</v>
      </c>
      <c r="L22" s="68" t="s">
        <v>193</v>
      </c>
      <c r="M22" s="70">
        <f t="shared" si="0"/>
        <v>0.31012633019982744</v>
      </c>
      <c r="N22" s="68" t="s">
        <v>193</v>
      </c>
      <c r="O22" s="68"/>
      <c r="P22" s="68" t="s">
        <v>193</v>
      </c>
      <c r="Q22" s="68"/>
      <c r="R22" s="68" t="s">
        <v>193</v>
      </c>
      <c r="S22" s="68"/>
      <c r="T22" s="68" t="s">
        <v>193</v>
      </c>
      <c r="U22" s="68"/>
      <c r="V22" s="68" t="s">
        <v>193</v>
      </c>
      <c r="W22" s="68"/>
      <c r="X22" s="67">
        <v>0.3101263301998274</v>
      </c>
    </row>
    <row r="23" spans="2:24" s="67" customFormat="1" ht="12.75">
      <c r="B23" s="67" t="s">
        <v>100</v>
      </c>
      <c r="C23" s="67" t="s">
        <v>231</v>
      </c>
      <c r="D23" s="67" t="s">
        <v>65</v>
      </c>
      <c r="E23" s="67" t="s">
        <v>15</v>
      </c>
      <c r="F23" s="68" t="s">
        <v>193</v>
      </c>
      <c r="G23" s="70">
        <v>6.772935048881828</v>
      </c>
      <c r="H23" s="70" t="s">
        <v>193</v>
      </c>
      <c r="I23" s="70">
        <v>4.346045764645878</v>
      </c>
      <c r="J23" s="70" t="s">
        <v>193</v>
      </c>
      <c r="K23" s="70">
        <v>7.308929673392247</v>
      </c>
      <c r="L23" s="68" t="s">
        <v>193</v>
      </c>
      <c r="M23" s="70">
        <f t="shared" si="0"/>
        <v>6.142636828973317</v>
      </c>
      <c r="N23" s="68" t="s">
        <v>193</v>
      </c>
      <c r="O23" s="68"/>
      <c r="P23" s="68" t="s">
        <v>193</v>
      </c>
      <c r="Q23" s="68"/>
      <c r="R23" s="68" t="s">
        <v>193</v>
      </c>
      <c r="S23" s="68"/>
      <c r="T23" s="68" t="s">
        <v>193</v>
      </c>
      <c r="U23" s="68"/>
      <c r="V23" s="68" t="s">
        <v>193</v>
      </c>
      <c r="W23" s="68"/>
      <c r="X23" s="67">
        <v>6.142636828973317</v>
      </c>
    </row>
    <row r="24" spans="2:24" s="67" customFormat="1" ht="12.75">
      <c r="B24" s="67" t="s">
        <v>115</v>
      </c>
      <c r="C24" s="67" t="s">
        <v>231</v>
      </c>
      <c r="D24" s="67" t="s">
        <v>65</v>
      </c>
      <c r="E24" s="67" t="s">
        <v>15</v>
      </c>
      <c r="F24" s="68" t="s">
        <v>193</v>
      </c>
      <c r="G24" s="70">
        <v>45.448591885535</v>
      </c>
      <c r="H24" s="70" t="s">
        <v>193</v>
      </c>
      <c r="I24" s="70">
        <v>34.515601302730154</v>
      </c>
      <c r="J24" s="70" t="s">
        <v>193</v>
      </c>
      <c r="K24" s="70">
        <v>242.78017280401372</v>
      </c>
      <c r="L24" s="68" t="s">
        <v>193</v>
      </c>
      <c r="M24" s="70">
        <f t="shared" si="0"/>
        <v>107.58145533075962</v>
      </c>
      <c r="N24" s="68" t="s">
        <v>193</v>
      </c>
      <c r="O24" s="68"/>
      <c r="P24" s="68" t="s">
        <v>193</v>
      </c>
      <c r="Q24" s="68"/>
      <c r="R24" s="68" t="s">
        <v>193</v>
      </c>
      <c r="S24" s="68"/>
      <c r="T24" s="68" t="s">
        <v>193</v>
      </c>
      <c r="U24" s="68"/>
      <c r="V24" s="68" t="s">
        <v>193</v>
      </c>
      <c r="W24" s="68"/>
      <c r="X24" s="67">
        <v>107.58145533075962</v>
      </c>
    </row>
    <row r="25" spans="2:24" s="67" customFormat="1" ht="12.75">
      <c r="B25" s="67" t="s">
        <v>95</v>
      </c>
      <c r="C25" s="67" t="s">
        <v>231</v>
      </c>
      <c r="D25" s="67" t="s">
        <v>65</v>
      </c>
      <c r="E25" s="67" t="s">
        <v>15</v>
      </c>
      <c r="F25" s="68" t="s">
        <v>193</v>
      </c>
      <c r="G25" s="70">
        <v>6849.3233670703</v>
      </c>
      <c r="H25" s="70" t="s">
        <v>193</v>
      </c>
      <c r="I25" s="70">
        <v>6684.0750268768725</v>
      </c>
      <c r="J25" s="70" t="s">
        <v>193</v>
      </c>
      <c r="K25" s="70">
        <v>5095.79986156536</v>
      </c>
      <c r="L25" s="68" t="s">
        <v>193</v>
      </c>
      <c r="M25" s="70">
        <f t="shared" si="0"/>
        <v>6209.7327518375105</v>
      </c>
      <c r="N25" s="68" t="s">
        <v>193</v>
      </c>
      <c r="O25" s="68"/>
      <c r="P25" s="68" t="s">
        <v>193</v>
      </c>
      <c r="Q25" s="68"/>
      <c r="R25" s="68" t="s">
        <v>193</v>
      </c>
      <c r="S25" s="68"/>
      <c r="T25" s="68" t="s">
        <v>193</v>
      </c>
      <c r="U25" s="68"/>
      <c r="V25" s="68" t="s">
        <v>193</v>
      </c>
      <c r="W25" s="68"/>
      <c r="X25" s="67">
        <v>6209.7327518375105</v>
      </c>
    </row>
    <row r="26" spans="2:24" s="67" customFormat="1" ht="12.75">
      <c r="B26" s="67" t="s">
        <v>101</v>
      </c>
      <c r="C26" s="67" t="s">
        <v>231</v>
      </c>
      <c r="D26" s="67" t="s">
        <v>65</v>
      </c>
      <c r="E26" s="67" t="s">
        <v>15</v>
      </c>
      <c r="F26" s="68" t="s">
        <v>193</v>
      </c>
      <c r="G26" s="70">
        <v>1.0868662733308891</v>
      </c>
      <c r="H26" s="70" t="s">
        <v>193</v>
      </c>
      <c r="I26" s="70">
        <v>0.015090436682798188</v>
      </c>
      <c r="J26" s="70" t="s">
        <v>193</v>
      </c>
      <c r="K26" s="70">
        <v>0.0665515824572406</v>
      </c>
      <c r="L26" s="68" t="s">
        <v>193</v>
      </c>
      <c r="M26" s="70">
        <f t="shared" si="0"/>
        <v>0.389502764156976</v>
      </c>
      <c r="N26" s="68" t="s">
        <v>193</v>
      </c>
      <c r="O26" s="68"/>
      <c r="P26" s="68" t="s">
        <v>193</v>
      </c>
      <c r="Q26" s="68"/>
      <c r="R26" s="68" t="s">
        <v>193</v>
      </c>
      <c r="S26" s="68"/>
      <c r="T26" s="68" t="s">
        <v>193</v>
      </c>
      <c r="U26" s="68"/>
      <c r="V26" s="68" t="s">
        <v>193</v>
      </c>
      <c r="W26" s="68"/>
      <c r="X26" s="67">
        <v>0.389502764156976</v>
      </c>
    </row>
    <row r="27" spans="2:24" s="67" customFormat="1" ht="12.75">
      <c r="B27" s="67" t="s">
        <v>102</v>
      </c>
      <c r="C27" s="67" t="s">
        <v>231</v>
      </c>
      <c r="D27" s="67" t="s">
        <v>65</v>
      </c>
      <c r="E27" s="67" t="s">
        <v>15</v>
      </c>
      <c r="F27" s="68" t="s">
        <v>193</v>
      </c>
      <c r="G27" s="70">
        <v>37.0293740991079</v>
      </c>
      <c r="H27" s="70" t="s">
        <v>193</v>
      </c>
      <c r="I27" s="70">
        <v>176.95046054249156</v>
      </c>
      <c r="J27" s="70" t="s">
        <v>193</v>
      </c>
      <c r="K27" s="70">
        <v>247.44269837498865</v>
      </c>
      <c r="L27" s="68" t="s">
        <v>193</v>
      </c>
      <c r="M27" s="70">
        <f t="shared" si="0"/>
        <v>153.80751100552936</v>
      </c>
      <c r="N27" s="68" t="s">
        <v>193</v>
      </c>
      <c r="O27" s="68"/>
      <c r="P27" s="68" t="s">
        <v>193</v>
      </c>
      <c r="Q27" s="68"/>
      <c r="R27" s="68" t="s">
        <v>193</v>
      </c>
      <c r="S27" s="68"/>
      <c r="T27" s="68" t="s">
        <v>193</v>
      </c>
      <c r="U27" s="68"/>
      <c r="V27" s="68" t="s">
        <v>193</v>
      </c>
      <c r="W27" s="68"/>
      <c r="X27" s="67">
        <v>153.80751100552936</v>
      </c>
    </row>
    <row r="28" spans="2:24" s="67" customFormat="1" ht="12.75">
      <c r="B28" s="67" t="s">
        <v>103</v>
      </c>
      <c r="C28" s="67" t="s">
        <v>231</v>
      </c>
      <c r="D28" s="67" t="s">
        <v>65</v>
      </c>
      <c r="E28" s="67" t="s">
        <v>15</v>
      </c>
      <c r="F28" s="68" t="s">
        <v>193</v>
      </c>
      <c r="G28" s="70">
        <v>0.855108023870626</v>
      </c>
      <c r="H28" s="70" t="s">
        <v>193</v>
      </c>
      <c r="I28" s="70">
        <v>0.99974143023538</v>
      </c>
      <c r="J28" s="70" t="s">
        <v>193</v>
      </c>
      <c r="K28" s="70">
        <v>0.7907893915507415</v>
      </c>
      <c r="L28" s="68" t="s">
        <v>193</v>
      </c>
      <c r="M28" s="70">
        <f t="shared" si="0"/>
        <v>0.8818796152189158</v>
      </c>
      <c r="N28" s="68" t="s">
        <v>193</v>
      </c>
      <c r="O28" s="68"/>
      <c r="P28" s="68" t="s">
        <v>193</v>
      </c>
      <c r="Q28" s="68"/>
      <c r="R28" s="68" t="s">
        <v>193</v>
      </c>
      <c r="S28" s="68"/>
      <c r="T28" s="68" t="s">
        <v>193</v>
      </c>
      <c r="U28" s="68"/>
      <c r="V28" s="68" t="s">
        <v>193</v>
      </c>
      <c r="W28" s="68"/>
      <c r="X28" s="67">
        <v>0.8818796152189158</v>
      </c>
    </row>
    <row r="29" spans="2:24" s="67" customFormat="1" ht="12.75">
      <c r="B29" s="67" t="s">
        <v>104</v>
      </c>
      <c r="C29" s="67" t="s">
        <v>231</v>
      </c>
      <c r="D29" s="67" t="s">
        <v>65</v>
      </c>
      <c r="E29" s="67" t="s">
        <v>15</v>
      </c>
      <c r="F29" s="68" t="s">
        <v>193</v>
      </c>
      <c r="G29" s="70">
        <v>1.0269287950222</v>
      </c>
      <c r="H29" s="70" t="s">
        <v>193</v>
      </c>
      <c r="I29" s="70">
        <v>0.5394831114100352</v>
      </c>
      <c r="J29" s="70" t="s">
        <v>193</v>
      </c>
      <c r="K29" s="70">
        <v>0.59113464417902</v>
      </c>
      <c r="L29" s="68" t="s">
        <v>193</v>
      </c>
      <c r="M29" s="70">
        <f t="shared" si="0"/>
        <v>0.7191821835370851</v>
      </c>
      <c r="N29" s="68" t="s">
        <v>193</v>
      </c>
      <c r="O29" s="68"/>
      <c r="P29" s="68" t="s">
        <v>193</v>
      </c>
      <c r="Q29" s="68"/>
      <c r="R29" s="68" t="s">
        <v>193</v>
      </c>
      <c r="S29" s="68"/>
      <c r="T29" s="68" t="s">
        <v>193</v>
      </c>
      <c r="U29" s="68"/>
      <c r="V29" s="68" t="s">
        <v>193</v>
      </c>
      <c r="W29" s="68"/>
      <c r="X29" s="67">
        <v>0.7191821835370851</v>
      </c>
    </row>
    <row r="30" spans="2:24" s="67" customFormat="1" ht="12.75">
      <c r="B30" s="67" t="s">
        <v>105</v>
      </c>
      <c r="C30" s="67" t="s">
        <v>231</v>
      </c>
      <c r="D30" s="67" t="s">
        <v>65</v>
      </c>
      <c r="E30" s="67" t="s">
        <v>15</v>
      </c>
      <c r="F30" s="68" t="s">
        <v>193</v>
      </c>
      <c r="G30" s="70">
        <v>0.7512163948022321</v>
      </c>
      <c r="H30" s="70" t="s">
        <v>193</v>
      </c>
      <c r="I30" s="70">
        <v>0.6752970415552187</v>
      </c>
      <c r="J30" s="70" t="s">
        <v>193</v>
      </c>
      <c r="K30" s="70">
        <v>0.30535431950969216</v>
      </c>
      <c r="L30" s="68" t="s">
        <v>193</v>
      </c>
      <c r="M30" s="70">
        <f t="shared" si="0"/>
        <v>0.5772892519557143</v>
      </c>
      <c r="N30" s="68" t="s">
        <v>193</v>
      </c>
      <c r="O30" s="68"/>
      <c r="P30" s="68" t="s">
        <v>193</v>
      </c>
      <c r="Q30" s="68"/>
      <c r="R30" s="68" t="s">
        <v>193</v>
      </c>
      <c r="S30" s="68"/>
      <c r="T30" s="68" t="s">
        <v>193</v>
      </c>
      <c r="U30" s="68"/>
      <c r="V30" s="68" t="s">
        <v>193</v>
      </c>
      <c r="W30" s="68"/>
      <c r="X30" s="67">
        <v>0.5772892519557143</v>
      </c>
    </row>
    <row r="31" spans="2:23" s="67" customFormat="1" ht="12.75">
      <c r="B31" s="67" t="s">
        <v>67</v>
      </c>
      <c r="C31" s="67" t="s">
        <v>231</v>
      </c>
      <c r="D31" s="67" t="s">
        <v>65</v>
      </c>
      <c r="E31" s="67" t="s">
        <v>15</v>
      </c>
      <c r="F31" s="68"/>
      <c r="G31" s="70">
        <f>G24+G20+G22</f>
        <v>55.36624662967937</v>
      </c>
      <c r="H31" s="70"/>
      <c r="I31" s="70">
        <f>I24+I20+I22</f>
        <v>40.40841682736285</v>
      </c>
      <c r="J31" s="70"/>
      <c r="K31" s="70">
        <f>K24+K20+K22</f>
        <v>247.63843832339228</v>
      </c>
      <c r="L31" s="68"/>
      <c r="M31" s="70">
        <f t="shared" si="0"/>
        <v>114.4710339268115</v>
      </c>
      <c r="N31" s="68"/>
      <c r="O31" s="68"/>
      <c r="P31" s="68"/>
      <c r="Q31" s="68"/>
      <c r="R31" s="68"/>
      <c r="S31" s="68"/>
      <c r="T31" s="68"/>
      <c r="U31" s="68"/>
      <c r="V31" s="68"/>
      <c r="W31" s="68"/>
    </row>
    <row r="32" spans="2:23" s="67" customFormat="1" ht="12.75">
      <c r="B32" s="67" t="s">
        <v>66</v>
      </c>
      <c r="C32" s="67" t="s">
        <v>231</v>
      </c>
      <c r="D32" s="67" t="s">
        <v>65</v>
      </c>
      <c r="E32" s="67" t="s">
        <v>15</v>
      </c>
      <c r="F32" s="68"/>
      <c r="G32" s="70">
        <f>G25+G23</f>
        <v>6856.096302119182</v>
      </c>
      <c r="H32" s="70"/>
      <c r="I32" s="70">
        <f>I25+I23</f>
        <v>6688.421072641519</v>
      </c>
      <c r="J32" s="70"/>
      <c r="K32" s="70">
        <f>K25+K23</f>
        <v>5103.108791238752</v>
      </c>
      <c r="L32" s="68"/>
      <c r="M32" s="70">
        <f t="shared" si="0"/>
        <v>6215.8753886664845</v>
      </c>
      <c r="N32" s="68"/>
      <c r="O32" s="68"/>
      <c r="P32" s="68"/>
      <c r="Q32" s="68"/>
      <c r="R32" s="68"/>
      <c r="S32" s="68"/>
      <c r="T32" s="68"/>
      <c r="U32" s="68"/>
      <c r="V32" s="68"/>
      <c r="W32" s="68"/>
    </row>
    <row r="33" spans="6:23" s="67" customFormat="1" ht="12.75">
      <c r="F33" s="68"/>
      <c r="G33" s="70"/>
      <c r="H33" s="70"/>
      <c r="I33" s="70"/>
      <c r="J33" s="70"/>
      <c r="K33" s="70"/>
      <c r="L33" s="68"/>
      <c r="M33" s="68"/>
      <c r="N33" s="68"/>
      <c r="O33" s="68"/>
      <c r="P33" s="68"/>
      <c r="Q33" s="68"/>
      <c r="R33" s="68"/>
      <c r="S33" s="68"/>
      <c r="T33" s="68"/>
      <c r="U33" s="68"/>
      <c r="V33" s="68"/>
      <c r="W33" s="68"/>
    </row>
    <row r="34" spans="2:23" s="67" customFormat="1" ht="12.75">
      <c r="B34" s="58" t="s">
        <v>205</v>
      </c>
      <c r="F34" s="68"/>
      <c r="G34" s="76" t="s">
        <v>207</v>
      </c>
      <c r="H34" s="76"/>
      <c r="I34" s="76" t="s">
        <v>208</v>
      </c>
      <c r="J34" s="76"/>
      <c r="K34" s="76" t="s">
        <v>209</v>
      </c>
      <c r="L34" s="76"/>
      <c r="M34" s="76" t="s">
        <v>47</v>
      </c>
      <c r="N34" s="68"/>
      <c r="O34" s="68"/>
      <c r="P34" s="68"/>
      <c r="Q34" s="68"/>
      <c r="R34" s="68"/>
      <c r="S34" s="68"/>
      <c r="T34" s="68"/>
      <c r="U34" s="68"/>
      <c r="V34" s="68"/>
      <c r="W34" s="68"/>
    </row>
    <row r="35" spans="6:23" s="67" customFormat="1" ht="12.75">
      <c r="F35" s="68"/>
      <c r="G35" s="70"/>
      <c r="H35" s="70"/>
      <c r="I35" s="70"/>
      <c r="J35" s="70"/>
      <c r="K35" s="70"/>
      <c r="L35" s="68"/>
      <c r="M35" s="68"/>
      <c r="N35" s="68"/>
      <c r="O35" s="68"/>
      <c r="P35" s="68"/>
      <c r="Q35" s="68"/>
      <c r="R35" s="68"/>
      <c r="S35" s="68"/>
      <c r="T35" s="68"/>
      <c r="U35" s="68"/>
      <c r="V35" s="68"/>
      <c r="W35" s="68"/>
    </row>
    <row r="36" spans="2:24" s="67" customFormat="1" ht="12.75">
      <c r="B36" s="67" t="s">
        <v>13</v>
      </c>
      <c r="C36" s="67" t="s">
        <v>231</v>
      </c>
      <c r="D36" s="67" t="s">
        <v>14</v>
      </c>
      <c r="E36" s="67" t="s">
        <v>15</v>
      </c>
      <c r="F36" s="68" t="s">
        <v>193</v>
      </c>
      <c r="G36" s="69">
        <v>0.0153126519</v>
      </c>
      <c r="H36" s="69" t="s">
        <v>193</v>
      </c>
      <c r="I36" s="69">
        <v>0.0116667824</v>
      </c>
      <c r="J36" s="69" t="s">
        <v>193</v>
      </c>
      <c r="K36" s="69">
        <v>0.0350003472</v>
      </c>
      <c r="L36" s="69" t="s">
        <v>193</v>
      </c>
      <c r="M36" s="69">
        <f>AVERAGE(G36,I36:J36,K36)</f>
        <v>0.020659927166666665</v>
      </c>
      <c r="N36" s="69" t="s">
        <v>193</v>
      </c>
      <c r="O36" s="69"/>
      <c r="P36" s="69" t="s">
        <v>193</v>
      </c>
      <c r="Q36" s="69"/>
      <c r="R36" s="69" t="s">
        <v>193</v>
      </c>
      <c r="S36" s="69"/>
      <c r="T36" s="69" t="s">
        <v>193</v>
      </c>
      <c r="U36" s="69"/>
      <c r="V36" s="68" t="s">
        <v>193</v>
      </c>
      <c r="W36" s="68"/>
      <c r="X36" s="67">
        <v>0.020659927166666665</v>
      </c>
    </row>
    <row r="37" spans="2:24" s="67" customFormat="1" ht="12.75">
      <c r="B37" s="67" t="s">
        <v>75</v>
      </c>
      <c r="C37" s="67" t="s">
        <v>231</v>
      </c>
      <c r="D37" s="67" t="s">
        <v>16</v>
      </c>
      <c r="E37" s="67" t="s">
        <v>15</v>
      </c>
      <c r="F37" s="68" t="s">
        <v>193</v>
      </c>
      <c r="G37" s="70">
        <v>82.03125</v>
      </c>
      <c r="H37" s="70" t="s">
        <v>193</v>
      </c>
      <c r="I37" s="70">
        <v>40.39</v>
      </c>
      <c r="J37" s="70" t="s">
        <v>193</v>
      </c>
      <c r="K37" s="70">
        <v>10.406666666666665</v>
      </c>
      <c r="L37" s="68" t="s">
        <v>193</v>
      </c>
      <c r="M37" s="70">
        <f aca="true" t="shared" si="1" ref="M37:M52">AVERAGE(G37,I37:J37,K37)</f>
        <v>44.275972222222215</v>
      </c>
      <c r="N37" s="68" t="s">
        <v>193</v>
      </c>
      <c r="O37" s="68"/>
      <c r="P37" s="68" t="s">
        <v>193</v>
      </c>
      <c r="Q37" s="68"/>
      <c r="R37" s="68" t="s">
        <v>193</v>
      </c>
      <c r="S37" s="68"/>
      <c r="T37" s="68" t="s">
        <v>193</v>
      </c>
      <c r="U37" s="68"/>
      <c r="V37" s="68" t="s">
        <v>193</v>
      </c>
      <c r="W37" s="68"/>
      <c r="X37" s="67">
        <v>44.27597222222223</v>
      </c>
    </row>
    <row r="38" spans="2:24" s="67" customFormat="1" ht="12.75">
      <c r="B38" s="67" t="s">
        <v>194</v>
      </c>
      <c r="C38" s="67" t="s">
        <v>231</v>
      </c>
      <c r="D38" s="67" t="s">
        <v>65</v>
      </c>
      <c r="E38" s="67" t="s">
        <v>15</v>
      </c>
      <c r="F38" s="68" t="s">
        <v>193</v>
      </c>
      <c r="G38" s="70">
        <v>129.5</v>
      </c>
      <c r="H38" s="70" t="s">
        <v>193</v>
      </c>
      <c r="I38" s="70">
        <v>62.3</v>
      </c>
      <c r="J38" s="70" t="s">
        <v>193</v>
      </c>
      <c r="K38" s="70">
        <v>65.1</v>
      </c>
      <c r="L38" s="68" t="s">
        <v>193</v>
      </c>
      <c r="M38" s="70">
        <f t="shared" si="1"/>
        <v>85.63333333333333</v>
      </c>
      <c r="N38" s="68" t="s">
        <v>193</v>
      </c>
      <c r="O38" s="68"/>
      <c r="P38" s="68" t="s">
        <v>193</v>
      </c>
      <c r="Q38" s="68"/>
      <c r="R38" s="68" t="s">
        <v>193</v>
      </c>
      <c r="S38" s="68"/>
      <c r="T38" s="68" t="s">
        <v>193</v>
      </c>
      <c r="U38" s="68"/>
      <c r="V38" s="68" t="s">
        <v>193</v>
      </c>
      <c r="W38" s="68"/>
      <c r="X38" s="67">
        <v>85.63333333333333</v>
      </c>
    </row>
    <row r="39" spans="2:24" s="67" customFormat="1" ht="12.75">
      <c r="B39" s="67" t="s">
        <v>96</v>
      </c>
      <c r="C39" s="67" t="s">
        <v>231</v>
      </c>
      <c r="D39" s="67" t="s">
        <v>65</v>
      </c>
      <c r="E39" s="67" t="s">
        <v>15</v>
      </c>
      <c r="F39" s="68" t="s">
        <v>193</v>
      </c>
      <c r="G39" s="70">
        <v>581.17242921473</v>
      </c>
      <c r="H39" s="70" t="s">
        <v>193</v>
      </c>
      <c r="I39" s="70">
        <v>5.393249492832</v>
      </c>
      <c r="J39" s="70" t="s">
        <v>193</v>
      </c>
      <c r="K39" s="70">
        <v>2153.616356580932</v>
      </c>
      <c r="L39" s="68" t="s">
        <v>193</v>
      </c>
      <c r="M39" s="70">
        <f t="shared" si="1"/>
        <v>913.3940117628313</v>
      </c>
      <c r="N39" s="68" t="s">
        <v>193</v>
      </c>
      <c r="O39" s="68"/>
      <c r="P39" s="68" t="s">
        <v>193</v>
      </c>
      <c r="Q39" s="68"/>
      <c r="R39" s="68" t="s">
        <v>193</v>
      </c>
      <c r="S39" s="68"/>
      <c r="T39" s="68" t="s">
        <v>193</v>
      </c>
      <c r="U39" s="68"/>
      <c r="V39" s="68" t="s">
        <v>193</v>
      </c>
      <c r="W39" s="68"/>
      <c r="X39" s="67">
        <v>913.3940117628314</v>
      </c>
    </row>
    <row r="40" spans="2:24" s="67" customFormat="1" ht="12.75">
      <c r="B40" s="67" t="s">
        <v>97</v>
      </c>
      <c r="C40" s="67" t="s">
        <v>231</v>
      </c>
      <c r="D40" s="67" t="s">
        <v>65</v>
      </c>
      <c r="E40" s="67" t="s">
        <v>15</v>
      </c>
      <c r="F40" s="68" t="s">
        <v>193</v>
      </c>
      <c r="G40" s="70">
        <v>3.7873871421330385</v>
      </c>
      <c r="H40" s="70" t="s">
        <v>193</v>
      </c>
      <c r="I40" s="70">
        <v>0.79915171056401</v>
      </c>
      <c r="J40" s="70" t="s">
        <v>193</v>
      </c>
      <c r="K40" s="70">
        <v>9.769704859607385</v>
      </c>
      <c r="L40" s="68" t="s">
        <v>193</v>
      </c>
      <c r="M40" s="70">
        <f t="shared" si="1"/>
        <v>4.785414570768144</v>
      </c>
      <c r="N40" s="68" t="s">
        <v>193</v>
      </c>
      <c r="O40" s="68"/>
      <c r="P40" s="68" t="s">
        <v>193</v>
      </c>
      <c r="Q40" s="68"/>
      <c r="R40" s="68" t="s">
        <v>193</v>
      </c>
      <c r="S40" s="68"/>
      <c r="T40" s="68" t="s">
        <v>193</v>
      </c>
      <c r="U40" s="68"/>
      <c r="V40" s="68" t="s">
        <v>193</v>
      </c>
      <c r="W40" s="68"/>
      <c r="X40" s="67">
        <v>4.785414570768144</v>
      </c>
    </row>
    <row r="41" spans="2:24" s="67" customFormat="1" ht="12.75">
      <c r="B41" s="67" t="s">
        <v>98</v>
      </c>
      <c r="C41" s="67" t="s">
        <v>231</v>
      </c>
      <c r="D41" s="67" t="s">
        <v>65</v>
      </c>
      <c r="E41" s="67" t="s">
        <v>15</v>
      </c>
      <c r="F41" s="68" t="s">
        <v>193</v>
      </c>
      <c r="G41" s="70">
        <v>278.92810311316856</v>
      </c>
      <c r="H41" s="70" t="s">
        <v>193</v>
      </c>
      <c r="I41" s="70">
        <v>37.515050043605</v>
      </c>
      <c r="J41" s="70" t="s">
        <v>193</v>
      </c>
      <c r="K41" s="70">
        <v>8619.92970111753</v>
      </c>
      <c r="L41" s="68" t="s">
        <v>193</v>
      </c>
      <c r="M41" s="70">
        <f t="shared" si="1"/>
        <v>2978.7909514247676</v>
      </c>
      <c r="N41" s="68" t="s">
        <v>193</v>
      </c>
      <c r="O41" s="68"/>
      <c r="P41" s="68" t="s">
        <v>193</v>
      </c>
      <c r="Q41" s="68"/>
      <c r="R41" s="68" t="s">
        <v>193</v>
      </c>
      <c r="S41" s="68"/>
      <c r="T41" s="68" t="s">
        <v>193</v>
      </c>
      <c r="U41" s="68"/>
      <c r="V41" s="68" t="s">
        <v>193</v>
      </c>
      <c r="W41" s="68"/>
      <c r="X41" s="67">
        <v>2978.7909514247676</v>
      </c>
    </row>
    <row r="42" spans="2:24" s="67" customFormat="1" ht="12.75">
      <c r="B42" s="67" t="s">
        <v>99</v>
      </c>
      <c r="C42" s="67" t="s">
        <v>231</v>
      </c>
      <c r="D42" s="67" t="s">
        <v>65</v>
      </c>
      <c r="E42" s="67" t="s">
        <v>15</v>
      </c>
      <c r="F42" s="68" t="s">
        <v>193</v>
      </c>
      <c r="G42" s="70">
        <v>0.37525694870981</v>
      </c>
      <c r="H42" s="70" t="s">
        <v>193</v>
      </c>
      <c r="I42" s="70">
        <v>0.3975267483318413</v>
      </c>
      <c r="J42" s="70" t="s">
        <v>193</v>
      </c>
      <c r="K42" s="70">
        <v>0.3903053424142983</v>
      </c>
      <c r="L42" s="68" t="s">
        <v>193</v>
      </c>
      <c r="M42" s="70">
        <f t="shared" si="1"/>
        <v>0.38769634648531653</v>
      </c>
      <c r="N42" s="68" t="s">
        <v>193</v>
      </c>
      <c r="O42" s="68"/>
      <c r="P42" s="68" t="s">
        <v>193</v>
      </c>
      <c r="Q42" s="68"/>
      <c r="R42" s="68" t="s">
        <v>193</v>
      </c>
      <c r="S42" s="68"/>
      <c r="T42" s="68" t="s">
        <v>193</v>
      </c>
      <c r="U42" s="68"/>
      <c r="V42" s="68" t="s">
        <v>193</v>
      </c>
      <c r="W42" s="68"/>
      <c r="X42" s="67">
        <v>0.38769634648531653</v>
      </c>
    </row>
    <row r="43" spans="2:24" s="67" customFormat="1" ht="12.75">
      <c r="B43" s="67" t="s">
        <v>100</v>
      </c>
      <c r="C43" s="67" t="s">
        <v>231</v>
      </c>
      <c r="D43" s="67" t="s">
        <v>65</v>
      </c>
      <c r="E43" s="67" t="s">
        <v>15</v>
      </c>
      <c r="F43" s="68" t="s">
        <v>193</v>
      </c>
      <c r="G43" s="70">
        <v>5.783599364135742</v>
      </c>
      <c r="H43" s="70" t="s">
        <v>193</v>
      </c>
      <c r="I43" s="70">
        <v>5.893231588672039</v>
      </c>
      <c r="J43" s="70" t="s">
        <v>193</v>
      </c>
      <c r="K43" s="70">
        <v>5.983340661547025</v>
      </c>
      <c r="L43" s="68" t="s">
        <v>193</v>
      </c>
      <c r="M43" s="70">
        <f t="shared" si="1"/>
        <v>5.8867238714516015</v>
      </c>
      <c r="N43" s="68" t="s">
        <v>193</v>
      </c>
      <c r="O43" s="68"/>
      <c r="P43" s="68" t="s">
        <v>193</v>
      </c>
      <c r="Q43" s="68"/>
      <c r="R43" s="68" t="s">
        <v>193</v>
      </c>
      <c r="S43" s="68"/>
      <c r="T43" s="68" t="s">
        <v>193</v>
      </c>
      <c r="U43" s="68"/>
      <c r="V43" s="68" t="s">
        <v>193</v>
      </c>
      <c r="W43" s="68"/>
      <c r="X43" s="67">
        <v>5.8867238714516015</v>
      </c>
    </row>
    <row r="44" spans="2:24" s="67" customFormat="1" ht="12.75">
      <c r="B44" s="67" t="s">
        <v>115</v>
      </c>
      <c r="C44" s="67" t="s">
        <v>231</v>
      </c>
      <c r="D44" s="67" t="s">
        <v>65</v>
      </c>
      <c r="E44" s="67" t="s">
        <v>15</v>
      </c>
      <c r="F44" s="68" t="s">
        <v>193</v>
      </c>
      <c r="G44" s="70">
        <v>162.13034498432432</v>
      </c>
      <c r="H44" s="70" t="s">
        <v>193</v>
      </c>
      <c r="I44" s="70">
        <v>104.08233842663682</v>
      </c>
      <c r="J44" s="70" t="s">
        <v>193</v>
      </c>
      <c r="K44" s="70">
        <v>443.26615599014355</v>
      </c>
      <c r="L44" s="68" t="s">
        <v>193</v>
      </c>
      <c r="M44" s="70">
        <f t="shared" si="1"/>
        <v>236.49294646703493</v>
      </c>
      <c r="N44" s="68" t="s">
        <v>193</v>
      </c>
      <c r="O44" s="68"/>
      <c r="P44" s="68" t="s">
        <v>193</v>
      </c>
      <c r="Q44" s="68"/>
      <c r="R44" s="68" t="s">
        <v>193</v>
      </c>
      <c r="S44" s="68"/>
      <c r="T44" s="68" t="s">
        <v>193</v>
      </c>
      <c r="U44" s="68"/>
      <c r="V44" s="68" t="s">
        <v>193</v>
      </c>
      <c r="W44" s="68"/>
      <c r="X44" s="67">
        <v>236.4929464670349</v>
      </c>
    </row>
    <row r="45" spans="2:24" s="67" customFormat="1" ht="12.75">
      <c r="B45" s="67" t="s">
        <v>95</v>
      </c>
      <c r="C45" s="67" t="s">
        <v>231</v>
      </c>
      <c r="D45" s="67" t="s">
        <v>65</v>
      </c>
      <c r="E45" s="67" t="s">
        <v>15</v>
      </c>
      <c r="F45" s="68" t="s">
        <v>193</v>
      </c>
      <c r="G45" s="70">
        <v>2905.463677354913</v>
      </c>
      <c r="H45" s="70" t="s">
        <v>193</v>
      </c>
      <c r="I45" s="70">
        <v>145.31446847784</v>
      </c>
      <c r="J45" s="70" t="s">
        <v>193</v>
      </c>
      <c r="K45" s="70">
        <v>19262.70335027512</v>
      </c>
      <c r="L45" s="68" t="s">
        <v>193</v>
      </c>
      <c r="M45" s="70">
        <f t="shared" si="1"/>
        <v>7437.82716536929</v>
      </c>
      <c r="N45" s="68" t="s">
        <v>193</v>
      </c>
      <c r="O45" s="68"/>
      <c r="P45" s="68" t="s">
        <v>193</v>
      </c>
      <c r="Q45" s="68"/>
      <c r="R45" s="68" t="s">
        <v>193</v>
      </c>
      <c r="S45" s="68"/>
      <c r="T45" s="68" t="s">
        <v>193</v>
      </c>
      <c r="U45" s="68"/>
      <c r="V45" s="68" t="s">
        <v>193</v>
      </c>
      <c r="W45" s="68"/>
      <c r="X45" s="67">
        <v>7437.827165369291</v>
      </c>
    </row>
    <row r="46" spans="2:24" s="67" customFormat="1" ht="12.75">
      <c r="B46" s="67" t="s">
        <v>101</v>
      </c>
      <c r="C46" s="67" t="s">
        <v>231</v>
      </c>
      <c r="D46" s="67" t="s">
        <v>65</v>
      </c>
      <c r="E46" s="67" t="s">
        <v>15</v>
      </c>
      <c r="F46" s="68" t="s">
        <v>193</v>
      </c>
      <c r="G46" s="70">
        <v>0.0618980533954327</v>
      </c>
      <c r="H46" s="70" t="s">
        <v>193</v>
      </c>
      <c r="I46" s="70">
        <v>0.032785711202626</v>
      </c>
      <c r="J46" s="70" t="s">
        <v>193</v>
      </c>
      <c r="K46" s="70">
        <v>0.04023766416642251</v>
      </c>
      <c r="L46" s="68" t="s">
        <v>193</v>
      </c>
      <c r="M46" s="70">
        <f t="shared" si="1"/>
        <v>0.044973809588160406</v>
      </c>
      <c r="N46" s="68" t="s">
        <v>193</v>
      </c>
      <c r="O46" s="68"/>
      <c r="P46" s="68" t="s">
        <v>193</v>
      </c>
      <c r="Q46" s="68"/>
      <c r="R46" s="68" t="s">
        <v>193</v>
      </c>
      <c r="S46" s="68"/>
      <c r="T46" s="68" t="s">
        <v>193</v>
      </c>
      <c r="U46" s="68"/>
      <c r="V46" s="68" t="s">
        <v>193</v>
      </c>
      <c r="W46" s="68"/>
      <c r="X46" s="67">
        <v>0.044973809588160406</v>
      </c>
    </row>
    <row r="47" spans="2:24" s="67" customFormat="1" ht="12.75">
      <c r="B47" s="67" t="s">
        <v>102</v>
      </c>
      <c r="C47" s="67" t="s">
        <v>231</v>
      </c>
      <c r="D47" s="67" t="s">
        <v>65</v>
      </c>
      <c r="E47" s="67" t="s">
        <v>15</v>
      </c>
      <c r="F47" s="68" t="s">
        <v>193</v>
      </c>
      <c r="G47" s="70">
        <v>161.31406440517205</v>
      </c>
      <c r="H47" s="70" t="s">
        <v>193</v>
      </c>
      <c r="I47" s="70">
        <v>72.923618142441</v>
      </c>
      <c r="J47" s="70" t="s">
        <v>193</v>
      </c>
      <c r="K47" s="70">
        <v>303.89093485049</v>
      </c>
      <c r="L47" s="68" t="s">
        <v>193</v>
      </c>
      <c r="M47" s="70">
        <f t="shared" si="1"/>
        <v>179.37620579936768</v>
      </c>
      <c r="N47" s="68" t="s">
        <v>193</v>
      </c>
      <c r="O47" s="68"/>
      <c r="P47" s="68" t="s">
        <v>193</v>
      </c>
      <c r="Q47" s="68"/>
      <c r="R47" s="68" t="s">
        <v>193</v>
      </c>
      <c r="S47" s="68"/>
      <c r="T47" s="68" t="s">
        <v>193</v>
      </c>
      <c r="U47" s="68"/>
      <c r="V47" s="68" t="s">
        <v>193</v>
      </c>
      <c r="W47" s="68"/>
      <c r="X47" s="67">
        <v>179.37620579936768</v>
      </c>
    </row>
    <row r="48" spans="2:24" s="67" customFormat="1" ht="12.75">
      <c r="B48" s="67" t="s">
        <v>103</v>
      </c>
      <c r="C48" s="67" t="s">
        <v>231</v>
      </c>
      <c r="D48" s="67" t="s">
        <v>65</v>
      </c>
      <c r="E48" s="67" t="s">
        <v>15</v>
      </c>
      <c r="F48" s="68" t="s">
        <v>193</v>
      </c>
      <c r="G48" s="70">
        <v>0.9555511992919924</v>
      </c>
      <c r="H48" s="70" t="s">
        <v>193</v>
      </c>
      <c r="I48" s="70">
        <v>0.831937421766637</v>
      </c>
      <c r="J48" s="70" t="s">
        <v>193</v>
      </c>
      <c r="K48" s="70">
        <v>1.0582505675769118</v>
      </c>
      <c r="L48" s="68" t="s">
        <v>193</v>
      </c>
      <c r="M48" s="70">
        <f t="shared" si="1"/>
        <v>0.9485797295451803</v>
      </c>
      <c r="N48" s="68" t="s">
        <v>193</v>
      </c>
      <c r="O48" s="68"/>
      <c r="P48" s="68" t="s">
        <v>193</v>
      </c>
      <c r="Q48" s="68"/>
      <c r="R48" s="68" t="s">
        <v>193</v>
      </c>
      <c r="S48" s="68"/>
      <c r="T48" s="68" t="s">
        <v>193</v>
      </c>
      <c r="U48" s="68"/>
      <c r="V48" s="68" t="s">
        <v>193</v>
      </c>
      <c r="W48" s="68"/>
      <c r="X48" s="67">
        <v>0.9485797295451804</v>
      </c>
    </row>
    <row r="49" spans="2:24" s="67" customFormat="1" ht="12.75">
      <c r="B49" s="67" t="s">
        <v>104</v>
      </c>
      <c r="C49" s="67" t="s">
        <v>231</v>
      </c>
      <c r="D49" s="67" t="s">
        <v>65</v>
      </c>
      <c r="E49" s="67" t="s">
        <v>15</v>
      </c>
      <c r="F49" s="68" t="s">
        <v>193</v>
      </c>
      <c r="G49" s="70">
        <v>0.5686883655705379</v>
      </c>
      <c r="H49" s="70" t="s">
        <v>193</v>
      </c>
      <c r="I49" s="70">
        <v>0.3975267483318413</v>
      </c>
      <c r="J49" s="70" t="s">
        <v>193</v>
      </c>
      <c r="K49" s="70">
        <v>1.0703218668268388</v>
      </c>
      <c r="L49" s="68" t="s">
        <v>193</v>
      </c>
      <c r="M49" s="70">
        <f t="shared" si="1"/>
        <v>0.6788456602430727</v>
      </c>
      <c r="N49" s="68" t="s">
        <v>193</v>
      </c>
      <c r="O49" s="68"/>
      <c r="P49" s="68" t="s">
        <v>193</v>
      </c>
      <c r="Q49" s="68"/>
      <c r="R49" s="68" t="s">
        <v>193</v>
      </c>
      <c r="S49" s="68"/>
      <c r="T49" s="68" t="s">
        <v>193</v>
      </c>
      <c r="U49" s="68"/>
      <c r="V49" s="68" t="s">
        <v>193</v>
      </c>
      <c r="W49" s="68"/>
      <c r="X49" s="67">
        <v>0.6788456602430726</v>
      </c>
    </row>
    <row r="50" spans="2:24" s="67" customFormat="1" ht="12.75">
      <c r="B50" s="67" t="s">
        <v>105</v>
      </c>
      <c r="C50" s="67" t="s">
        <v>231</v>
      </c>
      <c r="D50" s="67" t="s">
        <v>65</v>
      </c>
      <c r="E50" s="67" t="s">
        <v>15</v>
      </c>
      <c r="F50" s="68" t="s">
        <v>193</v>
      </c>
      <c r="G50" s="70">
        <v>0.37525694870981</v>
      </c>
      <c r="H50" s="70" t="s">
        <v>193</v>
      </c>
      <c r="I50" s="70">
        <v>0.3975267483318413</v>
      </c>
      <c r="J50" s="70" t="s">
        <v>193</v>
      </c>
      <c r="K50" s="70">
        <v>1.991764376237914</v>
      </c>
      <c r="L50" s="68" t="s">
        <v>193</v>
      </c>
      <c r="M50" s="70">
        <f t="shared" si="1"/>
        <v>0.9215160244265217</v>
      </c>
      <c r="N50" s="68" t="s">
        <v>193</v>
      </c>
      <c r="O50" s="68"/>
      <c r="P50" s="68" t="s">
        <v>193</v>
      </c>
      <c r="Q50" s="68"/>
      <c r="R50" s="68" t="s">
        <v>193</v>
      </c>
      <c r="S50" s="68"/>
      <c r="T50" s="68" t="s">
        <v>193</v>
      </c>
      <c r="U50" s="68"/>
      <c r="V50" s="68" t="s">
        <v>193</v>
      </c>
      <c r="W50" s="68"/>
      <c r="X50" s="67">
        <v>0.9215160244265218</v>
      </c>
    </row>
    <row r="51" spans="2:23" s="67" customFormat="1" ht="12.75">
      <c r="B51" s="67" t="s">
        <v>66</v>
      </c>
      <c r="C51" s="67" t="s">
        <v>231</v>
      </c>
      <c r="D51" s="67" t="s">
        <v>65</v>
      </c>
      <c r="E51" s="67" t="s">
        <v>15</v>
      </c>
      <c r="F51" s="68"/>
      <c r="G51" s="70">
        <f>G43+G45</f>
        <v>2911.247276719049</v>
      </c>
      <c r="H51" s="70"/>
      <c r="I51" s="70">
        <f>I43+I45</f>
        <v>151.20770006651205</v>
      </c>
      <c r="J51" s="70"/>
      <c r="K51" s="70">
        <f>K43+K45</f>
        <v>19268.686690936665</v>
      </c>
      <c r="L51" s="68"/>
      <c r="M51" s="70">
        <f t="shared" si="1"/>
        <v>7443.713889240742</v>
      </c>
      <c r="N51" s="68"/>
      <c r="O51" s="68"/>
      <c r="P51" s="68"/>
      <c r="Q51" s="68"/>
      <c r="R51" s="68"/>
      <c r="S51" s="68"/>
      <c r="T51" s="68"/>
      <c r="U51" s="68"/>
      <c r="V51" s="68"/>
      <c r="W51" s="68"/>
    </row>
    <row r="52" spans="2:23" s="67" customFormat="1" ht="12.75">
      <c r="B52" s="67" t="s">
        <v>67</v>
      </c>
      <c r="C52" s="67" t="s">
        <v>231</v>
      </c>
      <c r="D52" s="67" t="s">
        <v>65</v>
      </c>
      <c r="E52" s="67" t="s">
        <v>15</v>
      </c>
      <c r="F52" s="68"/>
      <c r="G52" s="70">
        <f>G40+G42+G44</f>
        <v>166.29298907516718</v>
      </c>
      <c r="H52" s="70"/>
      <c r="I52" s="70">
        <f>I40+I42+I44</f>
        <v>105.27901688553267</v>
      </c>
      <c r="J52" s="70"/>
      <c r="K52" s="70">
        <f>K40+K42+K44</f>
        <v>453.4261661921652</v>
      </c>
      <c r="L52" s="68"/>
      <c r="M52" s="70">
        <f t="shared" si="1"/>
        <v>241.66605738428837</v>
      </c>
      <c r="N52" s="68"/>
      <c r="O52" s="68"/>
      <c r="P52" s="68"/>
      <c r="Q52" s="68"/>
      <c r="R52" s="68"/>
      <c r="S52" s="68"/>
      <c r="T52" s="68"/>
      <c r="U52" s="68"/>
      <c r="V52" s="68"/>
      <c r="W52" s="68"/>
    </row>
    <row r="53" spans="6:23" s="67" customFormat="1" ht="12.75">
      <c r="F53" s="68"/>
      <c r="G53" s="70"/>
      <c r="H53" s="70"/>
      <c r="I53" s="70"/>
      <c r="J53" s="70"/>
      <c r="K53" s="70"/>
      <c r="L53" s="68"/>
      <c r="M53" s="68"/>
      <c r="N53" s="68"/>
      <c r="O53" s="68"/>
      <c r="P53" s="68"/>
      <c r="Q53" s="68"/>
      <c r="R53" s="68"/>
      <c r="S53" s="68"/>
      <c r="T53" s="68"/>
      <c r="U53" s="68"/>
      <c r="V53" s="68"/>
      <c r="W53" s="68"/>
    </row>
    <row r="54" spans="6:23" s="67" customFormat="1" ht="12.75">
      <c r="F54" s="68"/>
      <c r="G54" s="70"/>
      <c r="H54" s="70"/>
      <c r="I54" s="70"/>
      <c r="J54" s="70"/>
      <c r="K54" s="70"/>
      <c r="L54" s="68"/>
      <c r="M54" s="68"/>
      <c r="N54" s="68"/>
      <c r="O54" s="68"/>
      <c r="P54" s="68"/>
      <c r="Q54" s="68"/>
      <c r="R54" s="68"/>
      <c r="S54" s="68"/>
      <c r="T54" s="68"/>
      <c r="U54" s="68"/>
      <c r="V54" s="68"/>
      <c r="W54" s="68"/>
    </row>
    <row r="55" spans="2:23" s="67" customFormat="1" ht="12.75">
      <c r="B55" s="58" t="s">
        <v>213</v>
      </c>
      <c r="F55" s="68"/>
      <c r="G55" s="76" t="s">
        <v>207</v>
      </c>
      <c r="H55" s="76"/>
      <c r="I55" s="76" t="s">
        <v>208</v>
      </c>
      <c r="J55" s="76"/>
      <c r="K55" s="76" t="s">
        <v>209</v>
      </c>
      <c r="L55" s="76"/>
      <c r="M55" s="76" t="s">
        <v>47</v>
      </c>
      <c r="N55" s="68"/>
      <c r="O55" s="68"/>
      <c r="P55" s="68"/>
      <c r="Q55" s="68"/>
      <c r="R55" s="68"/>
      <c r="S55" s="68"/>
      <c r="T55" s="68"/>
      <c r="U55" s="68"/>
      <c r="V55" s="68"/>
      <c r="W55" s="68"/>
    </row>
    <row r="56" spans="6:23" s="67" customFormat="1" ht="12.75">
      <c r="F56" s="68"/>
      <c r="G56" s="70"/>
      <c r="H56" s="70"/>
      <c r="I56" s="70"/>
      <c r="J56" s="70"/>
      <c r="K56" s="70"/>
      <c r="L56" s="68"/>
      <c r="M56" s="68"/>
      <c r="N56" s="68"/>
      <c r="O56" s="68"/>
      <c r="P56" s="68"/>
      <c r="Q56" s="68"/>
      <c r="R56" s="68"/>
      <c r="S56" s="68"/>
      <c r="T56" s="68"/>
      <c r="U56" s="68"/>
      <c r="V56" s="68"/>
      <c r="W56" s="68"/>
    </row>
    <row r="57" spans="2:24" s="67" customFormat="1" ht="12.75">
      <c r="B57" s="67" t="s">
        <v>13</v>
      </c>
      <c r="C57" s="67" t="s">
        <v>231</v>
      </c>
      <c r="D57" s="67" t="s">
        <v>14</v>
      </c>
      <c r="E57" s="67" t="s">
        <v>15</v>
      </c>
      <c r="F57" s="68" t="s">
        <v>193</v>
      </c>
      <c r="G57" s="69"/>
      <c r="H57" s="69" t="s">
        <v>193</v>
      </c>
      <c r="I57" s="69">
        <v>0.049383205925926</v>
      </c>
      <c r="J57" s="69" t="s">
        <v>193</v>
      </c>
      <c r="K57" s="69">
        <v>0.048780971707317</v>
      </c>
      <c r="L57" s="69" t="s">
        <v>193</v>
      </c>
      <c r="M57" s="69">
        <f aca="true" t="shared" si="2" ref="M57:M73">AVERAGE(G57,I57:J57,K57)</f>
        <v>0.0490820888166215</v>
      </c>
      <c r="N57" s="69" t="s">
        <v>193</v>
      </c>
      <c r="O57" s="69"/>
      <c r="P57" s="69" t="s">
        <v>193</v>
      </c>
      <c r="Q57" s="69"/>
      <c r="R57" s="69" t="s">
        <v>193</v>
      </c>
      <c r="S57" s="69"/>
      <c r="T57" s="69" t="s">
        <v>193</v>
      </c>
      <c r="U57" s="69"/>
      <c r="V57" s="68" t="s">
        <v>193</v>
      </c>
      <c r="W57" s="68"/>
      <c r="X57" s="67">
        <v>0.0490820888166215</v>
      </c>
    </row>
    <row r="58" spans="2:24" s="67" customFormat="1" ht="12.75">
      <c r="B58" s="67" t="s">
        <v>75</v>
      </c>
      <c r="C58" s="67" t="s">
        <v>231</v>
      </c>
      <c r="D58" s="67" t="s">
        <v>16</v>
      </c>
      <c r="E58" s="67" t="s">
        <v>15</v>
      </c>
      <c r="F58" s="68" t="s">
        <v>193</v>
      </c>
      <c r="G58" s="70">
        <v>2.8326848249027234</v>
      </c>
      <c r="H58" s="70" t="s">
        <v>193</v>
      </c>
      <c r="I58" s="70">
        <v>8.444444444444443</v>
      </c>
      <c r="J58" s="70" t="s">
        <v>193</v>
      </c>
      <c r="K58" s="70">
        <v>9.341463414634147</v>
      </c>
      <c r="L58" s="68" t="s">
        <v>193</v>
      </c>
      <c r="M58" s="70">
        <f t="shared" si="2"/>
        <v>6.87286422799377</v>
      </c>
      <c r="N58" s="68" t="s">
        <v>193</v>
      </c>
      <c r="O58" s="68"/>
      <c r="P58" s="68" t="s">
        <v>193</v>
      </c>
      <c r="Q58" s="68"/>
      <c r="R58" s="68" t="s">
        <v>193</v>
      </c>
      <c r="S58" s="68"/>
      <c r="T58" s="68" t="s">
        <v>193</v>
      </c>
      <c r="U58" s="68"/>
      <c r="V58" s="68" t="s">
        <v>193</v>
      </c>
      <c r="W58" s="68"/>
      <c r="X58" s="67">
        <v>6.872864227993772</v>
      </c>
    </row>
    <row r="59" spans="2:24" s="67" customFormat="1" ht="12.75">
      <c r="B59" s="67" t="s">
        <v>194</v>
      </c>
      <c r="C59" s="67" t="s">
        <v>231</v>
      </c>
      <c r="D59" s="67" t="s">
        <v>65</v>
      </c>
      <c r="E59" s="67" t="s">
        <v>15</v>
      </c>
      <c r="F59" s="68" t="s">
        <v>193</v>
      </c>
      <c r="G59" s="70">
        <v>4.085603112840466</v>
      </c>
      <c r="H59" s="70" t="s">
        <v>193</v>
      </c>
      <c r="I59" s="70">
        <v>44.444444444444436</v>
      </c>
      <c r="J59" s="70" t="s">
        <v>193</v>
      </c>
      <c r="K59" s="70">
        <v>11.951219512195122</v>
      </c>
      <c r="L59" s="68" t="s">
        <v>193</v>
      </c>
      <c r="M59" s="70">
        <f t="shared" si="2"/>
        <v>20.160422356493342</v>
      </c>
      <c r="N59" s="68" t="s">
        <v>193</v>
      </c>
      <c r="O59" s="68"/>
      <c r="P59" s="68" t="s">
        <v>193</v>
      </c>
      <c r="Q59" s="68"/>
      <c r="R59" s="68" t="s">
        <v>193</v>
      </c>
      <c r="S59" s="68"/>
      <c r="T59" s="68" t="s">
        <v>193</v>
      </c>
      <c r="U59" s="68"/>
      <c r="V59" s="68" t="s">
        <v>193</v>
      </c>
      <c r="W59" s="68"/>
      <c r="X59" s="67">
        <v>20.160422356493342</v>
      </c>
    </row>
    <row r="60" spans="2:24" s="67" customFormat="1" ht="12.75">
      <c r="B60" s="67" t="s">
        <v>96</v>
      </c>
      <c r="C60" s="67" t="s">
        <v>231</v>
      </c>
      <c r="D60" s="67" t="s">
        <v>65</v>
      </c>
      <c r="E60" s="67" t="s">
        <v>15</v>
      </c>
      <c r="F60" s="68" t="s">
        <v>193</v>
      </c>
      <c r="G60" s="70"/>
      <c r="H60" s="70" t="s">
        <v>193</v>
      </c>
      <c r="I60" s="70">
        <v>3800.74457645887</v>
      </c>
      <c r="J60" s="70" t="s">
        <v>193</v>
      </c>
      <c r="K60" s="70">
        <v>4326.332607271751</v>
      </c>
      <c r="L60" s="68" t="s">
        <v>193</v>
      </c>
      <c r="M60" s="70">
        <f t="shared" si="2"/>
        <v>4063.5385918653105</v>
      </c>
      <c r="N60" s="68" t="s">
        <v>193</v>
      </c>
      <c r="O60" s="68"/>
      <c r="P60" s="68" t="s">
        <v>193</v>
      </c>
      <c r="Q60" s="68"/>
      <c r="R60" s="68" t="s">
        <v>193</v>
      </c>
      <c r="S60" s="68"/>
      <c r="T60" s="68" t="s">
        <v>193</v>
      </c>
      <c r="U60" s="68"/>
      <c r="V60" s="68" t="s">
        <v>193</v>
      </c>
      <c r="W60" s="68"/>
      <c r="X60" s="67">
        <v>4063.5385918653105</v>
      </c>
    </row>
    <row r="61" spans="2:24" s="67" customFormat="1" ht="12.75">
      <c r="B61" s="67" t="s">
        <v>97</v>
      </c>
      <c r="C61" s="67" t="s">
        <v>231</v>
      </c>
      <c r="D61" s="67" t="s">
        <v>65</v>
      </c>
      <c r="E61" s="67" t="s">
        <v>15</v>
      </c>
      <c r="F61" s="68" t="s">
        <v>193</v>
      </c>
      <c r="G61" s="70"/>
      <c r="H61" s="70" t="s">
        <v>193</v>
      </c>
      <c r="I61" s="70">
        <v>11.046613286545254</v>
      </c>
      <c r="J61" s="70" t="s">
        <v>193</v>
      </c>
      <c r="K61" s="70">
        <v>12.863674936859399</v>
      </c>
      <c r="L61" s="68" t="s">
        <v>193</v>
      </c>
      <c r="M61" s="70">
        <f t="shared" si="2"/>
        <v>11.955144111702326</v>
      </c>
      <c r="N61" s="68" t="s">
        <v>193</v>
      </c>
      <c r="O61" s="68"/>
      <c r="P61" s="68" t="s">
        <v>193</v>
      </c>
      <c r="Q61" s="68"/>
      <c r="R61" s="68" t="s">
        <v>193</v>
      </c>
      <c r="S61" s="68"/>
      <c r="T61" s="68" t="s">
        <v>193</v>
      </c>
      <c r="U61" s="68"/>
      <c r="V61" s="68" t="s">
        <v>193</v>
      </c>
      <c r="W61" s="68"/>
      <c r="X61" s="67">
        <v>11.955144111702326</v>
      </c>
    </row>
    <row r="62" spans="2:24" s="67" customFormat="1" ht="12.75">
      <c r="B62" s="67" t="s">
        <v>98</v>
      </c>
      <c r="C62" s="67" t="s">
        <v>231</v>
      </c>
      <c r="D62" s="67" t="s">
        <v>65</v>
      </c>
      <c r="E62" s="67" t="s">
        <v>15</v>
      </c>
      <c r="F62" s="68" t="s">
        <v>193</v>
      </c>
      <c r="G62" s="70"/>
      <c r="H62" s="70" t="s">
        <v>193</v>
      </c>
      <c r="I62" s="70">
        <v>5121.3584804071</v>
      </c>
      <c r="J62" s="70" t="s">
        <v>193</v>
      </c>
      <c r="K62" s="70">
        <v>4634.23872062651</v>
      </c>
      <c r="L62" s="68" t="s">
        <v>193</v>
      </c>
      <c r="M62" s="70">
        <f t="shared" si="2"/>
        <v>4877.798600516805</v>
      </c>
      <c r="N62" s="68" t="s">
        <v>193</v>
      </c>
      <c r="O62" s="68"/>
      <c r="P62" s="68" t="s">
        <v>193</v>
      </c>
      <c r="Q62" s="68"/>
      <c r="R62" s="68" t="s">
        <v>193</v>
      </c>
      <c r="S62" s="68"/>
      <c r="T62" s="68" t="s">
        <v>193</v>
      </c>
      <c r="U62" s="68"/>
      <c r="V62" s="68" t="s">
        <v>193</v>
      </c>
      <c r="W62" s="68"/>
      <c r="X62" s="67">
        <v>4877.798600516805</v>
      </c>
    </row>
    <row r="63" spans="2:24" s="67" customFormat="1" ht="12.75">
      <c r="B63" s="67" t="s">
        <v>99</v>
      </c>
      <c r="C63" s="67" t="s">
        <v>231</v>
      </c>
      <c r="D63" s="67" t="s">
        <v>65</v>
      </c>
      <c r="E63" s="67" t="s">
        <v>15</v>
      </c>
      <c r="F63" s="68" t="s">
        <v>193</v>
      </c>
      <c r="G63" s="70"/>
      <c r="H63" s="70" t="s">
        <v>193</v>
      </c>
      <c r="I63" s="70">
        <v>0.32367987841868134</v>
      </c>
      <c r="J63" s="70" t="s">
        <v>193</v>
      </c>
      <c r="K63" s="70">
        <v>0.301431214284289</v>
      </c>
      <c r="L63" s="68" t="s">
        <v>193</v>
      </c>
      <c r="M63" s="70">
        <f t="shared" si="2"/>
        <v>0.3125555463514852</v>
      </c>
      <c r="N63" s="68" t="s">
        <v>193</v>
      </c>
      <c r="O63" s="68"/>
      <c r="P63" s="68" t="s">
        <v>193</v>
      </c>
      <c r="Q63" s="68"/>
      <c r="R63" s="68" t="s">
        <v>193</v>
      </c>
      <c r="S63" s="68"/>
      <c r="T63" s="68" t="s">
        <v>193</v>
      </c>
      <c r="U63" s="68"/>
      <c r="V63" s="68" t="s">
        <v>193</v>
      </c>
      <c r="W63" s="68"/>
      <c r="X63" s="67">
        <v>0.3125555463514852</v>
      </c>
    </row>
    <row r="64" spans="2:24" s="67" customFormat="1" ht="12.75">
      <c r="B64" s="67" t="s">
        <v>100</v>
      </c>
      <c r="C64" s="67" t="s">
        <v>231</v>
      </c>
      <c r="D64" s="67" t="s">
        <v>65</v>
      </c>
      <c r="E64" s="67" t="s">
        <v>15</v>
      </c>
      <c r="F64" s="68" t="s">
        <v>193</v>
      </c>
      <c r="G64" s="70"/>
      <c r="H64" s="70" t="s">
        <v>193</v>
      </c>
      <c r="I64" s="70">
        <v>133.9993199233031</v>
      </c>
      <c r="J64" s="70" t="s">
        <v>193</v>
      </c>
      <c r="K64" s="70">
        <v>3.3353168126001855</v>
      </c>
      <c r="L64" s="68" t="s">
        <v>193</v>
      </c>
      <c r="M64" s="70">
        <f t="shared" si="2"/>
        <v>68.66731836795164</v>
      </c>
      <c r="N64" s="68" t="s">
        <v>193</v>
      </c>
      <c r="O64" s="68"/>
      <c r="P64" s="68" t="s">
        <v>193</v>
      </c>
      <c r="Q64" s="68"/>
      <c r="R64" s="68" t="s">
        <v>193</v>
      </c>
      <c r="S64" s="68"/>
      <c r="T64" s="68" t="s">
        <v>193</v>
      </c>
      <c r="U64" s="68"/>
      <c r="V64" s="68" t="s">
        <v>193</v>
      </c>
      <c r="W64" s="68"/>
      <c r="X64" s="67">
        <v>68.66731836795164</v>
      </c>
    </row>
    <row r="65" spans="2:24" s="67" customFormat="1" ht="12.75">
      <c r="B65" s="67" t="s">
        <v>115</v>
      </c>
      <c r="C65" s="67" t="s">
        <v>231</v>
      </c>
      <c r="D65" s="67" t="s">
        <v>65</v>
      </c>
      <c r="E65" s="67" t="s">
        <v>15</v>
      </c>
      <c r="F65" s="68" t="s">
        <v>193</v>
      </c>
      <c r="G65" s="70"/>
      <c r="H65" s="70" t="s">
        <v>193</v>
      </c>
      <c r="I65" s="70">
        <v>110.08850634063</v>
      </c>
      <c r="J65" s="70" t="s">
        <v>193</v>
      </c>
      <c r="K65" s="70">
        <v>110.2964215903876</v>
      </c>
      <c r="L65" s="68" t="s">
        <v>193</v>
      </c>
      <c r="M65" s="70">
        <f t="shared" si="2"/>
        <v>110.19246396550881</v>
      </c>
      <c r="N65" s="68" t="s">
        <v>193</v>
      </c>
      <c r="O65" s="68"/>
      <c r="P65" s="68" t="s">
        <v>193</v>
      </c>
      <c r="Q65" s="68"/>
      <c r="R65" s="68" t="s">
        <v>193</v>
      </c>
      <c r="S65" s="68"/>
      <c r="T65" s="68" t="s">
        <v>193</v>
      </c>
      <c r="U65" s="68"/>
      <c r="V65" s="68" t="s">
        <v>193</v>
      </c>
      <c r="W65" s="68"/>
      <c r="X65" s="67">
        <v>110.19246396550881</v>
      </c>
    </row>
    <row r="66" spans="2:24" s="67" customFormat="1" ht="12.75">
      <c r="B66" s="67" t="s">
        <v>95</v>
      </c>
      <c r="C66" s="67" t="s">
        <v>231</v>
      </c>
      <c r="D66" s="67" t="s">
        <v>65</v>
      </c>
      <c r="E66" s="67" t="s">
        <v>15</v>
      </c>
      <c r="F66" s="68" t="s">
        <v>193</v>
      </c>
      <c r="G66" s="70"/>
      <c r="H66" s="70" t="s">
        <v>193</v>
      </c>
      <c r="I66" s="70">
        <v>16723.73011819722</v>
      </c>
      <c r="J66" s="70" t="s">
        <v>193</v>
      </c>
      <c r="K66" s="70">
        <v>8056.117182710515</v>
      </c>
      <c r="L66" s="68" t="s">
        <v>193</v>
      </c>
      <c r="M66" s="70">
        <f t="shared" si="2"/>
        <v>12389.923650453868</v>
      </c>
      <c r="N66" s="68" t="s">
        <v>193</v>
      </c>
      <c r="O66" s="68"/>
      <c r="P66" s="68" t="s">
        <v>193</v>
      </c>
      <c r="Q66" s="68"/>
      <c r="R66" s="68" t="s">
        <v>193</v>
      </c>
      <c r="S66" s="68"/>
      <c r="T66" s="68" t="s">
        <v>193</v>
      </c>
      <c r="U66" s="68"/>
      <c r="V66" s="68" t="s">
        <v>193</v>
      </c>
      <c r="W66" s="68"/>
      <c r="X66" s="67">
        <v>12389.923650453868</v>
      </c>
    </row>
    <row r="67" spans="2:24" s="67" customFormat="1" ht="12.75">
      <c r="B67" s="67" t="s">
        <v>101</v>
      </c>
      <c r="C67" s="67" t="s">
        <v>231</v>
      </c>
      <c r="D67" s="67" t="s">
        <v>65</v>
      </c>
      <c r="E67" s="67" t="s">
        <v>15</v>
      </c>
      <c r="F67" s="68" t="s">
        <v>193</v>
      </c>
      <c r="G67" s="70"/>
      <c r="H67" s="70" t="s">
        <v>193</v>
      </c>
      <c r="I67" s="70">
        <v>0.045647162341096</v>
      </c>
      <c r="J67" s="70" t="s">
        <v>193</v>
      </c>
      <c r="K67" s="70">
        <v>0.3562368896087052</v>
      </c>
      <c r="L67" s="68" t="s">
        <v>193</v>
      </c>
      <c r="M67" s="70">
        <f t="shared" si="2"/>
        <v>0.2009420259749006</v>
      </c>
      <c r="N67" s="68" t="s">
        <v>193</v>
      </c>
      <c r="O67" s="68"/>
      <c r="P67" s="68" t="s">
        <v>193</v>
      </c>
      <c r="Q67" s="68"/>
      <c r="R67" s="68" t="s">
        <v>193</v>
      </c>
      <c r="S67" s="68"/>
      <c r="T67" s="68" t="s">
        <v>193</v>
      </c>
      <c r="U67" s="68"/>
      <c r="V67" s="68" t="s">
        <v>193</v>
      </c>
      <c r="W67" s="68"/>
      <c r="X67" s="67">
        <v>0.2009420259749006</v>
      </c>
    </row>
    <row r="68" spans="2:24" s="67" customFormat="1" ht="12.75">
      <c r="B68" s="67" t="s">
        <v>102</v>
      </c>
      <c r="C68" s="67" t="s">
        <v>231</v>
      </c>
      <c r="D68" s="67" t="s">
        <v>65</v>
      </c>
      <c r="E68" s="67" t="s">
        <v>15</v>
      </c>
      <c r="F68" s="68" t="s">
        <v>193</v>
      </c>
      <c r="G68" s="70"/>
      <c r="H68" s="70" t="s">
        <v>193</v>
      </c>
      <c r="I68" s="70">
        <v>20.005906331493115</v>
      </c>
      <c r="J68" s="70" t="s">
        <v>193</v>
      </c>
      <c r="K68" s="70">
        <v>173.4599624017772</v>
      </c>
      <c r="L68" s="68" t="s">
        <v>193</v>
      </c>
      <c r="M68" s="70">
        <f t="shared" si="2"/>
        <v>96.73293436663516</v>
      </c>
      <c r="N68" s="68" t="s">
        <v>193</v>
      </c>
      <c r="O68" s="68"/>
      <c r="P68" s="68" t="s">
        <v>193</v>
      </c>
      <c r="Q68" s="68"/>
      <c r="R68" s="68" t="s">
        <v>193</v>
      </c>
      <c r="S68" s="68"/>
      <c r="T68" s="68" t="s">
        <v>193</v>
      </c>
      <c r="U68" s="68"/>
      <c r="V68" s="68" t="s">
        <v>193</v>
      </c>
      <c r="W68" s="68"/>
      <c r="X68" s="67">
        <v>96.73293436663516</v>
      </c>
    </row>
    <row r="69" spans="2:24" s="67" customFormat="1" ht="12.75">
      <c r="B69" s="67" t="s">
        <v>103</v>
      </c>
      <c r="C69" s="67" t="s">
        <v>231</v>
      </c>
      <c r="D69" s="67" t="s">
        <v>65</v>
      </c>
      <c r="E69" s="67" t="s">
        <v>15</v>
      </c>
      <c r="F69" s="68" t="s">
        <v>193</v>
      </c>
      <c r="G69" s="70"/>
      <c r="H69" s="70" t="s">
        <v>193</v>
      </c>
      <c r="I69" s="70">
        <v>0.91709298885293</v>
      </c>
      <c r="J69" s="70" t="s">
        <v>193</v>
      </c>
      <c r="K69" s="70">
        <v>0.602862428568578</v>
      </c>
      <c r="L69" s="68" t="s">
        <v>193</v>
      </c>
      <c r="M69" s="70">
        <f t="shared" si="2"/>
        <v>0.759977708710754</v>
      </c>
      <c r="N69" s="68" t="s">
        <v>193</v>
      </c>
      <c r="O69" s="68"/>
      <c r="P69" s="68" t="s">
        <v>193</v>
      </c>
      <c r="Q69" s="68"/>
      <c r="R69" s="68" t="s">
        <v>193</v>
      </c>
      <c r="S69" s="68"/>
      <c r="T69" s="68" t="s">
        <v>193</v>
      </c>
      <c r="U69" s="68"/>
      <c r="V69" s="68" t="s">
        <v>193</v>
      </c>
      <c r="W69" s="68"/>
      <c r="X69" s="67">
        <v>0.759977708710754</v>
      </c>
    </row>
    <row r="70" spans="2:24" s="67" customFormat="1" ht="12.75">
      <c r="B70" s="67" t="s">
        <v>104</v>
      </c>
      <c r="C70" s="67" t="s">
        <v>231</v>
      </c>
      <c r="D70" s="67" t="s">
        <v>65</v>
      </c>
      <c r="E70" s="67" t="s">
        <v>15</v>
      </c>
      <c r="F70" s="68" t="s">
        <v>193</v>
      </c>
      <c r="G70" s="70"/>
      <c r="H70" s="70" t="s">
        <v>193</v>
      </c>
      <c r="I70" s="70">
        <v>1.0415852497832</v>
      </c>
      <c r="J70" s="70" t="s">
        <v>193</v>
      </c>
      <c r="K70" s="70">
        <v>1.0099903024071</v>
      </c>
      <c r="L70" s="68" t="s">
        <v>193</v>
      </c>
      <c r="M70" s="70">
        <f t="shared" si="2"/>
        <v>1.0257877760951502</v>
      </c>
      <c r="N70" s="68" t="s">
        <v>193</v>
      </c>
      <c r="O70" s="68"/>
      <c r="P70" s="68" t="s">
        <v>193</v>
      </c>
      <c r="Q70" s="68"/>
      <c r="R70" s="68" t="s">
        <v>193</v>
      </c>
      <c r="S70" s="68"/>
      <c r="T70" s="68" t="s">
        <v>193</v>
      </c>
      <c r="U70" s="68"/>
      <c r="V70" s="68" t="s">
        <v>193</v>
      </c>
      <c r="W70" s="68"/>
      <c r="X70" s="67">
        <v>1.0257877760951502</v>
      </c>
    </row>
    <row r="71" spans="2:24" s="67" customFormat="1" ht="12.75">
      <c r="B71" s="67" t="s">
        <v>105</v>
      </c>
      <c r="C71" s="67" t="s">
        <v>231</v>
      </c>
      <c r="D71" s="67" t="s">
        <v>65</v>
      </c>
      <c r="E71" s="67" t="s">
        <v>15</v>
      </c>
      <c r="F71" s="68" t="s">
        <v>193</v>
      </c>
      <c r="G71" s="70"/>
      <c r="H71" s="70" t="s">
        <v>193</v>
      </c>
      <c r="I71" s="70">
        <v>0.32367987841868134</v>
      </c>
      <c r="J71" s="70" t="s">
        <v>193</v>
      </c>
      <c r="K71" s="70">
        <v>0.64592403060919</v>
      </c>
      <c r="L71" s="68" t="s">
        <v>193</v>
      </c>
      <c r="M71" s="70">
        <f t="shared" si="2"/>
        <v>0.4848019545139357</v>
      </c>
      <c r="N71" s="68" t="s">
        <v>193</v>
      </c>
      <c r="O71" s="68"/>
      <c r="P71" s="68" t="s">
        <v>193</v>
      </c>
      <c r="Q71" s="68"/>
      <c r="R71" s="68" t="s">
        <v>193</v>
      </c>
      <c r="S71" s="68"/>
      <c r="T71" s="68" t="s">
        <v>193</v>
      </c>
      <c r="U71" s="68"/>
      <c r="V71" s="68" t="s">
        <v>193</v>
      </c>
      <c r="W71" s="68"/>
      <c r="X71" s="67">
        <v>0.4848019545139357</v>
      </c>
    </row>
    <row r="72" spans="2:23" s="67" customFormat="1" ht="12.75">
      <c r="B72" s="67" t="s">
        <v>66</v>
      </c>
      <c r="C72" s="67" t="s">
        <v>231</v>
      </c>
      <c r="D72" s="67" t="s">
        <v>65</v>
      </c>
      <c r="E72" s="67" t="s">
        <v>15</v>
      </c>
      <c r="F72" s="68"/>
      <c r="G72" s="70"/>
      <c r="H72" s="70"/>
      <c r="I72" s="70">
        <f>I64+I66</f>
        <v>16857.729438120525</v>
      </c>
      <c r="J72" s="70"/>
      <c r="K72" s="70">
        <f>K64+K66</f>
        <v>8059.452499523116</v>
      </c>
      <c r="L72" s="68"/>
      <c r="M72" s="70">
        <f t="shared" si="2"/>
        <v>12458.59096882182</v>
      </c>
      <c r="N72" s="68"/>
      <c r="O72" s="68"/>
      <c r="P72" s="68"/>
      <c r="Q72" s="68"/>
      <c r="R72" s="68"/>
      <c r="S72" s="68"/>
      <c r="T72" s="68"/>
      <c r="U72" s="68"/>
      <c r="V72" s="68"/>
      <c r="W72" s="68"/>
    </row>
    <row r="73" spans="2:23" s="67" customFormat="1" ht="12.75">
      <c r="B73" s="67" t="s">
        <v>67</v>
      </c>
      <c r="C73" s="67" t="s">
        <v>231</v>
      </c>
      <c r="D73" s="67" t="s">
        <v>65</v>
      </c>
      <c r="E73" s="67" t="s">
        <v>15</v>
      </c>
      <c r="F73" s="68"/>
      <c r="G73" s="70"/>
      <c r="H73" s="70"/>
      <c r="I73" s="70">
        <f>I61+I63+I65</f>
        <v>121.45879950559394</v>
      </c>
      <c r="J73" s="70"/>
      <c r="K73" s="70">
        <f>K61+K63+K65</f>
        <v>123.46152774153128</v>
      </c>
      <c r="L73" s="68"/>
      <c r="M73" s="70">
        <f t="shared" si="2"/>
        <v>122.46016362356261</v>
      </c>
      <c r="N73" s="68"/>
      <c r="O73" s="68"/>
      <c r="P73" s="68"/>
      <c r="Q73" s="68"/>
      <c r="R73" s="68"/>
      <c r="S73" s="68"/>
      <c r="T73" s="68"/>
      <c r="U73" s="68"/>
      <c r="V73" s="68"/>
      <c r="W73" s="68"/>
    </row>
    <row r="74" spans="6:23" s="67" customFormat="1" ht="12.75">
      <c r="F74" s="68"/>
      <c r="G74" s="70"/>
      <c r="H74" s="70"/>
      <c r="I74" s="70"/>
      <c r="J74" s="70"/>
      <c r="K74" s="70"/>
      <c r="L74" s="68"/>
      <c r="M74" s="68"/>
      <c r="N74" s="68"/>
      <c r="O74" s="68"/>
      <c r="P74" s="68"/>
      <c r="Q74" s="68"/>
      <c r="R74" s="68"/>
      <c r="S74" s="68"/>
      <c r="T74" s="68"/>
      <c r="U74" s="68"/>
      <c r="V74" s="68"/>
      <c r="W74" s="68"/>
    </row>
    <row r="75" spans="6:23" s="67" customFormat="1" ht="12.75">
      <c r="F75" s="68"/>
      <c r="G75" s="70"/>
      <c r="H75" s="70"/>
      <c r="I75" s="70"/>
      <c r="J75" s="70"/>
      <c r="K75" s="70"/>
      <c r="L75" s="68"/>
      <c r="M75" s="68"/>
      <c r="N75" s="68"/>
      <c r="O75" s="68"/>
      <c r="P75" s="68"/>
      <c r="Q75" s="68"/>
      <c r="R75" s="68"/>
      <c r="S75" s="68"/>
      <c r="T75" s="68"/>
      <c r="U75" s="68"/>
      <c r="V75" s="68"/>
      <c r="W75" s="68"/>
    </row>
    <row r="76" spans="2:23" s="67" customFormat="1" ht="12.75">
      <c r="B76" s="58" t="s">
        <v>206</v>
      </c>
      <c r="F76" s="68"/>
      <c r="G76" s="76" t="s">
        <v>207</v>
      </c>
      <c r="H76" s="76"/>
      <c r="I76" s="76" t="s">
        <v>208</v>
      </c>
      <c r="J76" s="76"/>
      <c r="K76" s="76" t="s">
        <v>209</v>
      </c>
      <c r="L76" s="76"/>
      <c r="M76" s="76" t="s">
        <v>47</v>
      </c>
      <c r="N76" s="68"/>
      <c r="O76" s="68"/>
      <c r="P76" s="68"/>
      <c r="Q76" s="68"/>
      <c r="R76" s="68"/>
      <c r="S76" s="68"/>
      <c r="T76" s="68"/>
      <c r="U76" s="68"/>
      <c r="V76" s="68"/>
      <c r="W76" s="68"/>
    </row>
    <row r="77" spans="6:23" s="67" customFormat="1" ht="12.75">
      <c r="F77" s="68"/>
      <c r="G77" s="70"/>
      <c r="H77" s="70"/>
      <c r="I77" s="70"/>
      <c r="J77" s="70"/>
      <c r="K77" s="70"/>
      <c r="L77" s="68"/>
      <c r="M77" s="68"/>
      <c r="N77" s="68"/>
      <c r="O77" s="68"/>
      <c r="P77" s="68"/>
      <c r="Q77" s="68"/>
      <c r="R77" s="68"/>
      <c r="S77" s="68"/>
      <c r="T77" s="68"/>
      <c r="U77" s="68"/>
      <c r="V77" s="68"/>
      <c r="W77" s="68"/>
    </row>
    <row r="78" spans="2:24" s="67" customFormat="1" ht="12.75">
      <c r="B78" s="67" t="s">
        <v>13</v>
      </c>
      <c r="C78" s="67" t="s">
        <v>231</v>
      </c>
      <c r="D78" s="67" t="s">
        <v>14</v>
      </c>
      <c r="E78" s="67" t="s">
        <v>15</v>
      </c>
      <c r="F78" s="68" t="s">
        <v>193</v>
      </c>
      <c r="G78" s="69">
        <v>0.0511543536</v>
      </c>
      <c r="H78" s="69" t="s">
        <v>193</v>
      </c>
      <c r="I78" s="69">
        <v>0.022090948923077</v>
      </c>
      <c r="J78" s="69" t="s">
        <v>193</v>
      </c>
      <c r="K78" s="69">
        <v>0.036400361088</v>
      </c>
      <c r="L78" s="69" t="s">
        <v>193</v>
      </c>
      <c r="M78" s="69">
        <f aca="true" t="shared" si="3" ref="M78:M92">AVERAGE(G78,I78:J78,K78)</f>
        <v>0.036548554537025664</v>
      </c>
      <c r="N78" s="69" t="s">
        <v>193</v>
      </c>
      <c r="O78" s="69"/>
      <c r="P78" s="69" t="s">
        <v>193</v>
      </c>
      <c r="Q78" s="69"/>
      <c r="R78" s="69" t="s">
        <v>193</v>
      </c>
      <c r="S78" s="69"/>
      <c r="T78" s="69" t="s">
        <v>193</v>
      </c>
      <c r="U78" s="69"/>
      <c r="V78" s="68" t="s">
        <v>193</v>
      </c>
      <c r="W78" s="68"/>
      <c r="X78" s="67">
        <v>0.036548554537025664</v>
      </c>
    </row>
    <row r="79" spans="2:24" s="67" customFormat="1" ht="12.75">
      <c r="B79" s="67" t="s">
        <v>75</v>
      </c>
      <c r="C79" s="67" t="s">
        <v>231</v>
      </c>
      <c r="D79" s="67" t="s">
        <v>16</v>
      </c>
      <c r="E79" s="67" t="s">
        <v>15</v>
      </c>
      <c r="F79" s="68" t="s">
        <v>193</v>
      </c>
      <c r="G79" s="70">
        <v>20.19230769230769</v>
      </c>
      <c r="H79" s="70" t="s">
        <v>193</v>
      </c>
      <c r="I79" s="70">
        <v>12.12228796844181</v>
      </c>
      <c r="J79" s="70" t="s">
        <v>193</v>
      </c>
      <c r="K79" s="70">
        <v>12.768</v>
      </c>
      <c r="L79" s="68" t="s">
        <v>193</v>
      </c>
      <c r="M79" s="70">
        <f t="shared" si="3"/>
        <v>15.0275318869165</v>
      </c>
      <c r="N79" s="68" t="s">
        <v>193</v>
      </c>
      <c r="O79" s="68"/>
      <c r="P79" s="68" t="s">
        <v>193</v>
      </c>
      <c r="Q79" s="68"/>
      <c r="R79" s="68" t="s">
        <v>193</v>
      </c>
      <c r="S79" s="68"/>
      <c r="T79" s="68" t="s">
        <v>193</v>
      </c>
      <c r="U79" s="68"/>
      <c r="V79" s="68" t="s">
        <v>193</v>
      </c>
      <c r="W79" s="68"/>
      <c r="X79" s="67">
        <v>15.0275318869165</v>
      </c>
    </row>
    <row r="80" spans="2:24" s="67" customFormat="1" ht="12.75">
      <c r="B80" s="67" t="s">
        <v>194</v>
      </c>
      <c r="C80" s="67" t="s">
        <v>231</v>
      </c>
      <c r="D80" s="67" t="s">
        <v>65</v>
      </c>
      <c r="E80" s="67" t="s">
        <v>15</v>
      </c>
      <c r="F80" s="68" t="s">
        <v>193</v>
      </c>
      <c r="G80" s="70">
        <v>147.53846153846152</v>
      </c>
      <c r="H80" s="70" t="s">
        <v>193</v>
      </c>
      <c r="I80" s="70">
        <v>12.426035502958577</v>
      </c>
      <c r="J80" s="70" t="s">
        <v>193</v>
      </c>
      <c r="K80" s="70">
        <v>28.84</v>
      </c>
      <c r="L80" s="68" t="s">
        <v>193</v>
      </c>
      <c r="M80" s="70">
        <f t="shared" si="3"/>
        <v>62.93483234714003</v>
      </c>
      <c r="N80" s="68" t="s">
        <v>193</v>
      </c>
      <c r="O80" s="68"/>
      <c r="P80" s="68" t="s">
        <v>193</v>
      </c>
      <c r="Q80" s="68"/>
      <c r="R80" s="68" t="s">
        <v>193</v>
      </c>
      <c r="S80" s="68"/>
      <c r="T80" s="68" t="s">
        <v>193</v>
      </c>
      <c r="U80" s="68"/>
      <c r="V80" s="68" t="s">
        <v>193</v>
      </c>
      <c r="W80" s="68"/>
      <c r="X80" s="67">
        <v>62.93483234714003</v>
      </c>
    </row>
    <row r="81" spans="2:24" s="67" customFormat="1" ht="12.75">
      <c r="B81" s="67" t="s">
        <v>96</v>
      </c>
      <c r="C81" s="67" t="s">
        <v>231</v>
      </c>
      <c r="D81" s="67" t="s">
        <v>65</v>
      </c>
      <c r="E81" s="67" t="s">
        <v>15</v>
      </c>
      <c r="F81" s="68" t="s">
        <v>193</v>
      </c>
      <c r="G81" s="70">
        <v>2575.33886047709</v>
      </c>
      <c r="H81" s="70" t="s">
        <v>193</v>
      </c>
      <c r="I81" s="70">
        <v>985.0708102805329</v>
      </c>
      <c r="J81" s="70" t="s">
        <v>193</v>
      </c>
      <c r="K81" s="70">
        <v>1108.3996572819237</v>
      </c>
      <c r="L81" s="68" t="s">
        <v>193</v>
      </c>
      <c r="M81" s="70">
        <f t="shared" si="3"/>
        <v>1556.269776013182</v>
      </c>
      <c r="N81" s="68" t="s">
        <v>193</v>
      </c>
      <c r="O81" s="68"/>
      <c r="P81" s="68" t="s">
        <v>193</v>
      </c>
      <c r="Q81" s="68"/>
      <c r="R81" s="68" t="s">
        <v>193</v>
      </c>
      <c r="S81" s="68"/>
      <c r="T81" s="68" t="s">
        <v>193</v>
      </c>
      <c r="U81" s="68"/>
      <c r="V81" s="68" t="s">
        <v>193</v>
      </c>
      <c r="W81" s="68"/>
      <c r="X81" s="67">
        <v>1556.269776013182</v>
      </c>
    </row>
    <row r="82" spans="2:24" s="67" customFormat="1" ht="12.75">
      <c r="B82" s="67" t="s">
        <v>97</v>
      </c>
      <c r="C82" s="67" t="s">
        <v>231</v>
      </c>
      <c r="D82" s="67" t="s">
        <v>65</v>
      </c>
      <c r="E82" s="67" t="s">
        <v>15</v>
      </c>
      <c r="F82" s="68" t="s">
        <v>193</v>
      </c>
      <c r="G82" s="70">
        <v>12.315874069649658</v>
      </c>
      <c r="H82" s="70" t="s">
        <v>193</v>
      </c>
      <c r="I82" s="70">
        <v>6.98069742245178</v>
      </c>
      <c r="J82" s="70" t="s">
        <v>193</v>
      </c>
      <c r="K82" s="70">
        <v>7.587445233290323</v>
      </c>
      <c r="L82" s="68" t="s">
        <v>193</v>
      </c>
      <c r="M82" s="70">
        <f t="shared" si="3"/>
        <v>8.96133890846392</v>
      </c>
      <c r="N82" s="68" t="s">
        <v>193</v>
      </c>
      <c r="O82" s="68"/>
      <c r="P82" s="68" t="s">
        <v>193</v>
      </c>
      <c r="Q82" s="68"/>
      <c r="R82" s="68" t="s">
        <v>193</v>
      </c>
      <c r="S82" s="68"/>
      <c r="T82" s="68" t="s">
        <v>193</v>
      </c>
      <c r="U82" s="68"/>
      <c r="V82" s="68" t="s">
        <v>193</v>
      </c>
      <c r="W82" s="68"/>
      <c r="X82" s="67">
        <v>8.96133890846392</v>
      </c>
    </row>
    <row r="83" spans="2:24" s="67" customFormat="1" ht="12.75">
      <c r="B83" s="67" t="s">
        <v>98</v>
      </c>
      <c r="C83" s="67" t="s">
        <v>231</v>
      </c>
      <c r="D83" s="67" t="s">
        <v>65</v>
      </c>
      <c r="E83" s="67" t="s">
        <v>15</v>
      </c>
      <c r="F83" s="68" t="s">
        <v>193</v>
      </c>
      <c r="G83" s="70">
        <v>4195.9353089159</v>
      </c>
      <c r="H83" s="70" t="s">
        <v>193</v>
      </c>
      <c r="I83" s="70">
        <v>274.48604598145545</v>
      </c>
      <c r="J83" s="70" t="s">
        <v>193</v>
      </c>
      <c r="K83" s="70">
        <v>5077.125577909514</v>
      </c>
      <c r="L83" s="68" t="s">
        <v>193</v>
      </c>
      <c r="M83" s="70">
        <f t="shared" si="3"/>
        <v>3182.5156442689563</v>
      </c>
      <c r="N83" s="68" t="s">
        <v>193</v>
      </c>
      <c r="O83" s="68"/>
      <c r="P83" s="68" t="s">
        <v>193</v>
      </c>
      <c r="Q83" s="68"/>
      <c r="R83" s="68" t="s">
        <v>193</v>
      </c>
      <c r="S83" s="68"/>
      <c r="T83" s="68" t="s">
        <v>193</v>
      </c>
      <c r="U83" s="68"/>
      <c r="V83" s="68" t="s">
        <v>193</v>
      </c>
      <c r="W83" s="68"/>
      <c r="X83" s="67">
        <v>3182.5156442689563</v>
      </c>
    </row>
    <row r="84" spans="2:24" s="67" customFormat="1" ht="12.75">
      <c r="B84" s="67" t="s">
        <v>99</v>
      </c>
      <c r="C84" s="67" t="s">
        <v>231</v>
      </c>
      <c r="D84" s="67" t="s">
        <v>65</v>
      </c>
      <c r="E84" s="67" t="s">
        <v>15</v>
      </c>
      <c r="F84" s="68" t="s">
        <v>193</v>
      </c>
      <c r="G84" s="70">
        <v>0.32203760557582</v>
      </c>
      <c r="H84" s="70" t="s">
        <v>193</v>
      </c>
      <c r="I84" s="70">
        <v>0.3550975115639244</v>
      </c>
      <c r="J84" s="70" t="s">
        <v>193</v>
      </c>
      <c r="K84" s="70">
        <v>0.36026086226393</v>
      </c>
      <c r="L84" s="68" t="s">
        <v>193</v>
      </c>
      <c r="M84" s="70">
        <f t="shared" si="3"/>
        <v>0.3457986598012248</v>
      </c>
      <c r="N84" s="68" t="s">
        <v>193</v>
      </c>
      <c r="O84" s="68"/>
      <c r="P84" s="68" t="s">
        <v>193</v>
      </c>
      <c r="Q84" s="68"/>
      <c r="R84" s="68" t="s">
        <v>193</v>
      </c>
      <c r="S84" s="68"/>
      <c r="T84" s="68" t="s">
        <v>193</v>
      </c>
      <c r="U84" s="68"/>
      <c r="V84" s="68" t="s">
        <v>193</v>
      </c>
      <c r="W84" s="68"/>
      <c r="X84" s="67">
        <v>0.3457986598012248</v>
      </c>
    </row>
    <row r="85" spans="2:24" s="67" customFormat="1" ht="12.75">
      <c r="B85" s="67" t="s">
        <v>100</v>
      </c>
      <c r="C85" s="67" t="s">
        <v>231</v>
      </c>
      <c r="D85" s="67" t="s">
        <v>65</v>
      </c>
      <c r="E85" s="67" t="s">
        <v>15</v>
      </c>
      <c r="F85" s="68" t="s">
        <v>193</v>
      </c>
      <c r="G85" s="70">
        <v>8.426650679233978</v>
      </c>
      <c r="H85" s="70" t="s">
        <v>193</v>
      </c>
      <c r="I85" s="70">
        <v>2.8407800925114</v>
      </c>
      <c r="J85" s="70" t="s">
        <v>193</v>
      </c>
      <c r="K85" s="70">
        <v>2.526219460997068</v>
      </c>
      <c r="L85" s="68" t="s">
        <v>193</v>
      </c>
      <c r="M85" s="70">
        <f t="shared" si="3"/>
        <v>4.597883410914148</v>
      </c>
      <c r="N85" s="68" t="s">
        <v>193</v>
      </c>
      <c r="O85" s="68"/>
      <c r="P85" s="68" t="s">
        <v>193</v>
      </c>
      <c r="Q85" s="68"/>
      <c r="R85" s="68" t="s">
        <v>193</v>
      </c>
      <c r="S85" s="68"/>
      <c r="T85" s="68" t="s">
        <v>193</v>
      </c>
      <c r="U85" s="68"/>
      <c r="V85" s="68" t="s">
        <v>193</v>
      </c>
      <c r="W85" s="68"/>
      <c r="X85" s="67">
        <v>4.597883410914148</v>
      </c>
    </row>
    <row r="86" spans="2:24" s="67" customFormat="1" ht="12.75">
      <c r="B86" s="67" t="s">
        <v>115</v>
      </c>
      <c r="C86" s="67" t="s">
        <v>231</v>
      </c>
      <c r="D86" s="67" t="s">
        <v>65</v>
      </c>
      <c r="E86" s="67" t="s">
        <v>15</v>
      </c>
      <c r="F86" s="68" t="s">
        <v>193</v>
      </c>
      <c r="G86" s="70">
        <v>132.16753627811764</v>
      </c>
      <c r="H86" s="70" t="s">
        <v>193</v>
      </c>
      <c r="I86" s="70">
        <v>46.253616109930206</v>
      </c>
      <c r="J86" s="70" t="s">
        <v>193</v>
      </c>
      <c r="K86" s="70">
        <v>198.41586660443406</v>
      </c>
      <c r="L86" s="68" t="s">
        <v>193</v>
      </c>
      <c r="M86" s="70">
        <f t="shared" si="3"/>
        <v>125.61233966416064</v>
      </c>
      <c r="N86" s="68" t="s">
        <v>193</v>
      </c>
      <c r="O86" s="68"/>
      <c r="P86" s="68" t="s">
        <v>193</v>
      </c>
      <c r="Q86" s="68"/>
      <c r="R86" s="68" t="s">
        <v>193</v>
      </c>
      <c r="S86" s="68"/>
      <c r="T86" s="68" t="s">
        <v>193</v>
      </c>
      <c r="U86" s="68"/>
      <c r="V86" s="68" t="s">
        <v>193</v>
      </c>
      <c r="W86" s="68"/>
      <c r="X86" s="67">
        <v>125.61233966416064</v>
      </c>
    </row>
    <row r="87" spans="2:24" s="67" customFormat="1" ht="12.75">
      <c r="B87" s="67" t="s">
        <v>95</v>
      </c>
      <c r="C87" s="67" t="s">
        <v>231</v>
      </c>
      <c r="D87" s="67" t="s">
        <v>65</v>
      </c>
      <c r="E87" s="67" t="s">
        <v>15</v>
      </c>
      <c r="F87" s="68" t="s">
        <v>193</v>
      </c>
      <c r="G87" s="70">
        <v>8982.0705890455</v>
      </c>
      <c r="H87" s="70" t="s">
        <v>193</v>
      </c>
      <c r="I87" s="70">
        <v>10675.625604913</v>
      </c>
      <c r="J87" s="70" t="s">
        <v>193</v>
      </c>
      <c r="K87" s="70">
        <v>20.877556310709675</v>
      </c>
      <c r="L87" s="68" t="s">
        <v>193</v>
      </c>
      <c r="M87" s="70">
        <f t="shared" si="3"/>
        <v>6559.52458342307</v>
      </c>
      <c r="N87" s="68" t="s">
        <v>193</v>
      </c>
      <c r="O87" s="68"/>
      <c r="P87" s="68" t="s">
        <v>193</v>
      </c>
      <c r="Q87" s="68"/>
      <c r="R87" s="68" t="s">
        <v>193</v>
      </c>
      <c r="S87" s="68"/>
      <c r="T87" s="68" t="s">
        <v>193</v>
      </c>
      <c r="U87" s="68"/>
      <c r="V87" s="68" t="s">
        <v>193</v>
      </c>
      <c r="W87" s="68"/>
      <c r="X87" s="67">
        <v>6559.52458342307</v>
      </c>
    </row>
    <row r="88" spans="2:24" s="67" customFormat="1" ht="12.75">
      <c r="B88" s="67" t="s">
        <v>101</v>
      </c>
      <c r="C88" s="67" t="s">
        <v>231</v>
      </c>
      <c r="D88" s="67" t="s">
        <v>65</v>
      </c>
      <c r="E88" s="67" t="s">
        <v>15</v>
      </c>
      <c r="F88" s="68" t="s">
        <v>193</v>
      </c>
      <c r="G88" s="70">
        <v>0.07431637051749711</v>
      </c>
      <c r="H88" s="70" t="s">
        <v>193</v>
      </c>
      <c r="I88" s="70">
        <v>0.0433045745809664</v>
      </c>
      <c r="J88" s="70" t="s">
        <v>193</v>
      </c>
      <c r="K88" s="70">
        <v>0.013180275448680353</v>
      </c>
      <c r="L88" s="68" t="s">
        <v>193</v>
      </c>
      <c r="M88" s="70">
        <f t="shared" si="3"/>
        <v>0.04360040684904795</v>
      </c>
      <c r="N88" s="68" t="s">
        <v>193</v>
      </c>
      <c r="O88" s="68"/>
      <c r="P88" s="68" t="s">
        <v>193</v>
      </c>
      <c r="Q88" s="68"/>
      <c r="R88" s="68" t="s">
        <v>193</v>
      </c>
      <c r="S88" s="68"/>
      <c r="T88" s="68" t="s">
        <v>193</v>
      </c>
      <c r="U88" s="68"/>
      <c r="V88" s="68" t="s">
        <v>193</v>
      </c>
      <c r="W88" s="68"/>
      <c r="X88" s="67">
        <v>0.04360040684904795</v>
      </c>
    </row>
    <row r="89" spans="2:24" s="67" customFormat="1" ht="12.75">
      <c r="B89" s="67" t="s">
        <v>102</v>
      </c>
      <c r="C89" s="67" t="s">
        <v>231</v>
      </c>
      <c r="D89" s="67" t="s">
        <v>65</v>
      </c>
      <c r="E89" s="67" t="s">
        <v>15</v>
      </c>
      <c r="F89" s="68" t="s">
        <v>193</v>
      </c>
      <c r="G89" s="70">
        <v>265.49936236101</v>
      </c>
      <c r="H89" s="70" t="s">
        <v>193</v>
      </c>
      <c r="I89" s="70">
        <v>77.37661386127077</v>
      </c>
      <c r="J89" s="70" t="s">
        <v>193</v>
      </c>
      <c r="K89" s="70">
        <v>239.52953915401764</v>
      </c>
      <c r="L89" s="68" t="s">
        <v>193</v>
      </c>
      <c r="M89" s="70">
        <f t="shared" si="3"/>
        <v>194.13517179209944</v>
      </c>
      <c r="N89" s="68" t="s">
        <v>193</v>
      </c>
      <c r="O89" s="68"/>
      <c r="P89" s="68" t="s">
        <v>193</v>
      </c>
      <c r="Q89" s="68"/>
      <c r="R89" s="68" t="s">
        <v>193</v>
      </c>
      <c r="S89" s="68"/>
      <c r="T89" s="68" t="s">
        <v>193</v>
      </c>
      <c r="U89" s="68"/>
      <c r="V89" s="68" t="s">
        <v>193</v>
      </c>
      <c r="W89" s="68"/>
      <c r="X89" s="67">
        <v>194.13517179209944</v>
      </c>
    </row>
    <row r="90" spans="2:24" s="67" customFormat="1" ht="12.75">
      <c r="B90" s="67" t="s">
        <v>103</v>
      </c>
      <c r="C90" s="67" t="s">
        <v>231</v>
      </c>
      <c r="D90" s="67" t="s">
        <v>65</v>
      </c>
      <c r="E90" s="67" t="s">
        <v>15</v>
      </c>
      <c r="F90" s="68" t="s">
        <v>193</v>
      </c>
      <c r="G90" s="70">
        <v>0.6482038984026136</v>
      </c>
      <c r="H90" s="70" t="s">
        <v>193</v>
      </c>
      <c r="I90" s="70">
        <v>0.7101950231278488</v>
      </c>
      <c r="J90" s="70" t="s">
        <v>193</v>
      </c>
      <c r="K90" s="70">
        <v>0.9226192814076244</v>
      </c>
      <c r="L90" s="68" t="s">
        <v>193</v>
      </c>
      <c r="M90" s="70">
        <f t="shared" si="3"/>
        <v>0.7603394009793623</v>
      </c>
      <c r="N90" s="68" t="s">
        <v>193</v>
      </c>
      <c r="O90" s="68"/>
      <c r="P90" s="68" t="s">
        <v>193</v>
      </c>
      <c r="Q90" s="68"/>
      <c r="R90" s="68" t="s">
        <v>193</v>
      </c>
      <c r="S90" s="68"/>
      <c r="T90" s="68" t="s">
        <v>193</v>
      </c>
      <c r="U90" s="68"/>
      <c r="V90" s="68" t="s">
        <v>193</v>
      </c>
      <c r="W90" s="68"/>
      <c r="X90" s="67">
        <v>0.7603394009793623</v>
      </c>
    </row>
    <row r="91" spans="2:24" s="67" customFormat="1" ht="12.75">
      <c r="B91" s="67" t="s">
        <v>104</v>
      </c>
      <c r="C91" s="67" t="s">
        <v>231</v>
      </c>
      <c r="D91" s="67" t="s">
        <v>65</v>
      </c>
      <c r="E91" s="67" t="s">
        <v>15</v>
      </c>
      <c r="F91" s="68" t="s">
        <v>193</v>
      </c>
      <c r="G91" s="70">
        <v>1.420268414334389</v>
      </c>
      <c r="H91" s="70" t="s">
        <v>193</v>
      </c>
      <c r="I91" s="70">
        <v>0.8574305767031345</v>
      </c>
      <c r="J91" s="70" t="s">
        <v>193</v>
      </c>
      <c r="K91" s="70">
        <v>0.8874718802111438</v>
      </c>
      <c r="L91" s="68" t="s">
        <v>193</v>
      </c>
      <c r="M91" s="70">
        <f t="shared" si="3"/>
        <v>1.0550569570828892</v>
      </c>
      <c r="N91" s="68" t="s">
        <v>193</v>
      </c>
      <c r="O91" s="68"/>
      <c r="P91" s="68" t="s">
        <v>193</v>
      </c>
      <c r="Q91" s="68"/>
      <c r="R91" s="68" t="s">
        <v>193</v>
      </c>
      <c r="S91" s="68"/>
      <c r="T91" s="68" t="s">
        <v>193</v>
      </c>
      <c r="U91" s="68"/>
      <c r="V91" s="68" t="s">
        <v>193</v>
      </c>
      <c r="W91" s="68"/>
      <c r="X91" s="67">
        <v>1.0550569570828892</v>
      </c>
    </row>
    <row r="92" spans="2:24" s="67" customFormat="1" ht="12.75">
      <c r="B92" s="67" t="s">
        <v>105</v>
      </c>
      <c r="C92" s="67" t="s">
        <v>231</v>
      </c>
      <c r="D92" s="67" t="s">
        <v>65</v>
      </c>
      <c r="E92" s="67" t="s">
        <v>15</v>
      </c>
      <c r="F92" s="68" t="s">
        <v>193</v>
      </c>
      <c r="G92" s="70">
        <v>0.7183915816691387</v>
      </c>
      <c r="H92" s="70" t="s">
        <v>193</v>
      </c>
      <c r="I92" s="70">
        <v>0.6149249590497228</v>
      </c>
      <c r="J92" s="70" t="s">
        <v>193</v>
      </c>
      <c r="K92" s="70">
        <v>1.2389458921759533</v>
      </c>
      <c r="L92" s="68" t="s">
        <v>193</v>
      </c>
      <c r="M92" s="70">
        <f t="shared" si="3"/>
        <v>0.8574208109649383</v>
      </c>
      <c r="N92" s="68" t="s">
        <v>193</v>
      </c>
      <c r="O92" s="68"/>
      <c r="P92" s="68" t="s">
        <v>193</v>
      </c>
      <c r="Q92" s="68"/>
      <c r="R92" s="68" t="s">
        <v>193</v>
      </c>
      <c r="S92" s="68"/>
      <c r="T92" s="68" t="s">
        <v>193</v>
      </c>
      <c r="U92" s="68"/>
      <c r="V92" s="68" t="s">
        <v>193</v>
      </c>
      <c r="W92" s="68"/>
      <c r="X92" s="67">
        <v>0.8574208109649383</v>
      </c>
    </row>
    <row r="93" spans="2:23" s="67" customFormat="1" ht="12.75">
      <c r="B93" s="67" t="s">
        <v>66</v>
      </c>
      <c r="C93" s="67" t="s">
        <v>231</v>
      </c>
      <c r="D93" s="67" t="s">
        <v>65</v>
      </c>
      <c r="E93" s="67" t="s">
        <v>15</v>
      </c>
      <c r="F93" s="68"/>
      <c r="G93" s="70">
        <f>G85+G87</f>
        <v>8990.497239724733</v>
      </c>
      <c r="H93" s="70"/>
      <c r="I93" s="70">
        <f>I85+I87</f>
        <v>10678.466385005511</v>
      </c>
      <c r="J93" s="70"/>
      <c r="K93" s="70">
        <f>K85+K87</f>
        <v>23.403775771706744</v>
      </c>
      <c r="L93" s="68"/>
      <c r="M93" s="70">
        <f>AVERAGE(G93,I93:J93,K93)</f>
        <v>6564.122466833983</v>
      </c>
      <c r="N93" s="68"/>
      <c r="O93" s="68"/>
      <c r="P93" s="68"/>
      <c r="Q93" s="68"/>
      <c r="R93" s="68"/>
      <c r="S93" s="68"/>
      <c r="T93" s="68"/>
      <c r="U93" s="68"/>
      <c r="V93" s="68"/>
      <c r="W93" s="68"/>
    </row>
    <row r="94" spans="2:23" s="67" customFormat="1" ht="12.75">
      <c r="B94" s="67" t="s">
        <v>67</v>
      </c>
      <c r="C94" s="67" t="s">
        <v>231</v>
      </c>
      <c r="D94" s="67" t="s">
        <v>65</v>
      </c>
      <c r="E94" s="67" t="s">
        <v>15</v>
      </c>
      <c r="F94" s="68"/>
      <c r="G94" s="70">
        <f>G82+G84+G86</f>
        <v>144.8054479533431</v>
      </c>
      <c r="H94" s="70"/>
      <c r="I94" s="70">
        <f>I82+I84+I86</f>
        <v>53.58941104394591</v>
      </c>
      <c r="J94" s="70"/>
      <c r="K94" s="70">
        <f>K82+K84+K86</f>
        <v>206.3635726999883</v>
      </c>
      <c r="L94" s="68"/>
      <c r="M94" s="70">
        <f>AVERAGE(G94,I94:J94,K94)</f>
        <v>134.91947723242578</v>
      </c>
      <c r="N94" s="68"/>
      <c r="O94" s="68"/>
      <c r="P94" s="68"/>
      <c r="Q94" s="68"/>
      <c r="R94" s="68"/>
      <c r="S94" s="68"/>
      <c r="T94" s="68"/>
      <c r="U94" s="68"/>
      <c r="V94" s="68"/>
      <c r="W94" s="68"/>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6.xml><?xml version="1.0" encoding="utf-8"?>
<worksheet xmlns="http://schemas.openxmlformats.org/spreadsheetml/2006/main" xmlns:r="http://schemas.openxmlformats.org/officeDocument/2006/relationships">
  <dimension ref="A1:AR142"/>
  <sheetViews>
    <sheetView workbookViewId="0" topLeftCell="B89">
      <selection activeCell="B33" sqref="B33"/>
    </sheetView>
  </sheetViews>
  <sheetFormatPr defaultColWidth="9.140625" defaultRowHeight="12.75"/>
  <cols>
    <col min="1" max="1" width="9.140625" style="38" hidden="1" customWidth="1"/>
    <col min="2" max="2" width="20.140625" style="13" customWidth="1"/>
    <col min="3" max="3" width="5.140625" style="13" customWidth="1"/>
    <col min="4" max="4" width="9.28125" style="13" customWidth="1"/>
    <col min="5" max="5" width="2.8515625" style="38" customWidth="1"/>
    <col min="6" max="6" width="9.8515625" style="39" customWidth="1"/>
    <col min="7" max="7" width="1.8515625" style="39" customWidth="1"/>
    <col min="8" max="8" width="9.00390625" style="38" customWidth="1"/>
    <col min="9" max="9" width="3.00390625" style="38" customWidth="1"/>
    <col min="10" max="10" width="9.00390625" style="38" customWidth="1"/>
    <col min="11" max="11" width="2.28125" style="38" customWidth="1"/>
    <col min="12" max="12" width="8.7109375" style="38" customWidth="1"/>
    <col min="13" max="13" width="2.421875" style="38" customWidth="1"/>
    <col min="14" max="14" width="9.57421875" style="38" bestFit="1" customWidth="1"/>
    <col min="15" max="15" width="1.8515625" style="38" customWidth="1"/>
    <col min="16" max="16" width="7.57421875" style="38" customWidth="1"/>
    <col min="17" max="17" width="1.7109375" style="38" customWidth="1"/>
    <col min="18" max="18" width="8.8515625" style="38" customWidth="1"/>
    <col min="19" max="19" width="1.57421875" style="38" customWidth="1"/>
    <col min="20" max="20" width="8.8515625" style="38" customWidth="1"/>
    <col min="21" max="21" width="1.28515625" style="38" customWidth="1"/>
    <col min="22" max="22" width="8.8515625" style="38" customWidth="1"/>
    <col min="23" max="23" width="1.1484375" style="38" customWidth="1"/>
    <col min="24" max="24" width="8.8515625" style="38" customWidth="1"/>
    <col min="25" max="25" width="1.57421875" style="38" customWidth="1"/>
    <col min="26" max="26" width="8.8515625" style="38" customWidth="1"/>
    <col min="27" max="27" width="1.8515625" style="38" customWidth="1"/>
    <col min="28" max="28" width="8.8515625" style="38" customWidth="1"/>
    <col min="29" max="29" width="1.28515625" style="38" customWidth="1"/>
    <col min="30" max="30" width="8.8515625" style="38" customWidth="1"/>
    <col min="31" max="31" width="1.57421875" style="38" customWidth="1"/>
    <col min="32" max="32" width="8.8515625" style="38" customWidth="1"/>
    <col min="33" max="33" width="2.421875" style="38" customWidth="1"/>
    <col min="34" max="34" width="8.8515625" style="38" customWidth="1"/>
    <col min="35" max="35" width="2.00390625" style="38" customWidth="1"/>
    <col min="36" max="36" width="11.140625" style="38" customWidth="1"/>
    <col min="37" max="37" width="2.00390625" style="38" customWidth="1"/>
    <col min="38" max="38" width="10.7109375" style="38" customWidth="1"/>
    <col min="39" max="39" width="1.8515625" style="38" customWidth="1"/>
    <col min="40" max="40" width="10.421875" style="38" customWidth="1"/>
    <col min="41" max="41" width="2.140625" style="38" customWidth="1"/>
    <col min="42" max="42" width="10.140625" style="38" customWidth="1"/>
    <col min="43" max="43" width="1.8515625" style="38" customWidth="1"/>
    <col min="44" max="44" width="11.140625" style="38" customWidth="1"/>
    <col min="45" max="16384" width="8.8515625" style="38" customWidth="1"/>
  </cols>
  <sheetData>
    <row r="1" spans="2:3" ht="12.75">
      <c r="B1" s="37" t="s">
        <v>224</v>
      </c>
      <c r="C1" s="37"/>
    </row>
    <row r="4" spans="1:29" ht="12.75">
      <c r="A4" s="38" t="s">
        <v>121</v>
      </c>
      <c r="B4" s="37" t="s">
        <v>156</v>
      </c>
      <c r="C4" s="13" t="s">
        <v>119</v>
      </c>
      <c r="F4" s="40" t="s">
        <v>207</v>
      </c>
      <c r="G4" s="40"/>
      <c r="H4" s="40" t="s">
        <v>208</v>
      </c>
      <c r="I4" s="40"/>
      <c r="J4" s="40" t="s">
        <v>209</v>
      </c>
      <c r="K4" s="40"/>
      <c r="L4" s="24" t="s">
        <v>47</v>
      </c>
      <c r="M4" s="24"/>
      <c r="N4" s="40" t="s">
        <v>207</v>
      </c>
      <c r="O4" s="40"/>
      <c r="P4" s="40" t="s">
        <v>208</v>
      </c>
      <c r="Q4" s="40"/>
      <c r="R4" s="40" t="s">
        <v>209</v>
      </c>
      <c r="S4" s="40"/>
      <c r="T4" s="24" t="s">
        <v>47</v>
      </c>
      <c r="U4" s="24"/>
      <c r="V4" s="40" t="s">
        <v>207</v>
      </c>
      <c r="W4" s="40"/>
      <c r="X4" s="40" t="s">
        <v>208</v>
      </c>
      <c r="Y4" s="40"/>
      <c r="Z4" s="40" t="s">
        <v>209</v>
      </c>
      <c r="AA4" s="40"/>
      <c r="AB4" s="24" t="s">
        <v>47</v>
      </c>
      <c r="AC4" s="24"/>
    </row>
    <row r="5" spans="2:29" ht="12.75">
      <c r="B5" s="37"/>
      <c r="F5" s="40"/>
      <c r="G5" s="40"/>
      <c r="H5" s="40"/>
      <c r="I5" s="40"/>
      <c r="J5" s="40"/>
      <c r="K5" s="40"/>
      <c r="L5" s="24"/>
      <c r="M5" s="24"/>
      <c r="N5" s="40"/>
      <c r="O5" s="40"/>
      <c r="P5" s="40"/>
      <c r="Q5" s="40"/>
      <c r="R5" s="40"/>
      <c r="S5" s="40"/>
      <c r="T5" s="24"/>
      <c r="U5" s="24"/>
      <c r="V5" s="40"/>
      <c r="W5" s="40"/>
      <c r="X5" s="40"/>
      <c r="Y5" s="40"/>
      <c r="Z5" s="40"/>
      <c r="AA5" s="40"/>
      <c r="AB5" s="24"/>
      <c r="AC5" s="24"/>
    </row>
    <row r="6" spans="2:29" ht="12.75">
      <c r="B6" s="13" t="s">
        <v>254</v>
      </c>
      <c r="F6" s="40" t="s">
        <v>257</v>
      </c>
      <c r="G6" s="40"/>
      <c r="H6" s="40" t="s">
        <v>257</v>
      </c>
      <c r="I6" s="40"/>
      <c r="J6" s="40" t="s">
        <v>257</v>
      </c>
      <c r="K6" s="40"/>
      <c r="L6" s="24" t="s">
        <v>257</v>
      </c>
      <c r="M6" s="24"/>
      <c r="N6" s="40" t="s">
        <v>258</v>
      </c>
      <c r="O6" s="40"/>
      <c r="P6" s="40" t="s">
        <v>258</v>
      </c>
      <c r="Q6" s="40"/>
      <c r="R6" s="40" t="s">
        <v>258</v>
      </c>
      <c r="S6" s="40"/>
      <c r="T6" s="40" t="s">
        <v>258</v>
      </c>
      <c r="U6" s="24"/>
      <c r="V6" s="40" t="s">
        <v>259</v>
      </c>
      <c r="W6" s="40"/>
      <c r="X6" s="40" t="s">
        <v>259</v>
      </c>
      <c r="Y6" s="40"/>
      <c r="Z6" s="40" t="s">
        <v>259</v>
      </c>
      <c r="AA6" s="40"/>
      <c r="AB6" s="24" t="s">
        <v>259</v>
      </c>
      <c r="AC6" s="24"/>
    </row>
    <row r="7" spans="2:29" s="40" customFormat="1" ht="12.75">
      <c r="B7" s="13" t="s">
        <v>255</v>
      </c>
      <c r="F7" s="40" t="s">
        <v>256</v>
      </c>
      <c r="H7" s="40" t="s">
        <v>256</v>
      </c>
      <c r="J7" s="40" t="s">
        <v>256</v>
      </c>
      <c r="L7" s="40" t="s">
        <v>256</v>
      </c>
      <c r="N7" s="40" t="s">
        <v>256</v>
      </c>
      <c r="P7" s="40" t="s">
        <v>256</v>
      </c>
      <c r="R7" s="40" t="s">
        <v>256</v>
      </c>
      <c r="T7" s="40" t="s">
        <v>256</v>
      </c>
      <c r="V7" s="38" t="s">
        <v>25</v>
      </c>
      <c r="W7" s="38"/>
      <c r="X7" s="38" t="s">
        <v>25</v>
      </c>
      <c r="Y7" s="38"/>
      <c r="Z7" s="38" t="s">
        <v>25</v>
      </c>
      <c r="AA7" s="38"/>
      <c r="AB7" s="38" t="s">
        <v>25</v>
      </c>
      <c r="AC7" s="38"/>
    </row>
    <row r="8" spans="2:29" s="40" customFormat="1" ht="12.75">
      <c r="B8" s="13" t="s">
        <v>262</v>
      </c>
      <c r="V8" s="38" t="s">
        <v>25</v>
      </c>
      <c r="W8" s="38"/>
      <c r="X8" s="38" t="s">
        <v>25</v>
      </c>
      <c r="Y8" s="38"/>
      <c r="Z8" s="38" t="s">
        <v>25</v>
      </c>
      <c r="AA8" s="38"/>
      <c r="AB8" s="38" t="s">
        <v>25</v>
      </c>
      <c r="AC8" s="38"/>
    </row>
    <row r="9" spans="2:28" ht="12.75">
      <c r="B9" s="13" t="s">
        <v>48</v>
      </c>
      <c r="F9" s="39" t="s">
        <v>157</v>
      </c>
      <c r="H9" s="39" t="s">
        <v>157</v>
      </c>
      <c r="I9" s="39"/>
      <c r="J9" s="39" t="s">
        <v>157</v>
      </c>
      <c r="K9" s="39"/>
      <c r="L9" s="39" t="s">
        <v>157</v>
      </c>
      <c r="M9" s="39"/>
      <c r="N9" s="39" t="s">
        <v>158</v>
      </c>
      <c r="O9" s="39"/>
      <c r="P9" s="39" t="s">
        <v>158</v>
      </c>
      <c r="Q9" s="39"/>
      <c r="R9" s="39" t="s">
        <v>158</v>
      </c>
      <c r="S9" s="39"/>
      <c r="T9" s="39" t="s">
        <v>158</v>
      </c>
      <c r="U9" s="39"/>
      <c r="V9" s="38" t="s">
        <v>25</v>
      </c>
      <c r="X9" s="38" t="s">
        <v>25</v>
      </c>
      <c r="Z9" s="38" t="s">
        <v>25</v>
      </c>
      <c r="AB9" s="38" t="s">
        <v>25</v>
      </c>
    </row>
    <row r="10" spans="2:29" ht="12.75">
      <c r="B10" s="13" t="s">
        <v>123</v>
      </c>
      <c r="D10" s="13" t="s">
        <v>57</v>
      </c>
      <c r="F10" s="41">
        <v>104.21</v>
      </c>
      <c r="G10" s="41"/>
      <c r="H10" s="38">
        <v>105.61</v>
      </c>
      <c r="J10" s="38">
        <v>102.08</v>
      </c>
      <c r="L10" s="42">
        <f>AVERAGE(J10,H10,F10)</f>
        <v>103.96666666666665</v>
      </c>
      <c r="M10" s="42"/>
      <c r="N10" s="38">
        <v>104.21</v>
      </c>
      <c r="P10" s="38">
        <v>105.61</v>
      </c>
      <c r="R10" s="38">
        <v>102.08</v>
      </c>
      <c r="T10" s="42">
        <f>AVERAGE(R10,P10,N10)</f>
        <v>103.96666666666665</v>
      </c>
      <c r="U10" s="42"/>
      <c r="V10" s="42"/>
      <c r="W10" s="42"/>
      <c r="X10" s="42"/>
      <c r="Y10" s="42"/>
      <c r="Z10" s="42"/>
      <c r="AA10" s="42"/>
      <c r="AB10" s="42">
        <f>SUM(T10,L10)</f>
        <v>207.9333333333333</v>
      </c>
      <c r="AC10" s="42"/>
    </row>
    <row r="11" spans="2:13" ht="12.75">
      <c r="B11" s="13" t="s">
        <v>122</v>
      </c>
      <c r="D11" s="13" t="s">
        <v>63</v>
      </c>
      <c r="F11" s="41"/>
      <c r="G11" s="41"/>
      <c r="H11" s="42"/>
      <c r="I11" s="42"/>
      <c r="L11" s="42"/>
      <c r="M11" s="42"/>
    </row>
    <row r="12" spans="2:7" ht="12.75">
      <c r="B12" s="13" t="s">
        <v>50</v>
      </c>
      <c r="D12" s="13" t="s">
        <v>51</v>
      </c>
      <c r="F12" s="14"/>
      <c r="G12" s="14"/>
    </row>
    <row r="13" spans="2:7" ht="12.75">
      <c r="B13" s="13" t="s">
        <v>58</v>
      </c>
      <c r="D13" s="13" t="s">
        <v>135</v>
      </c>
      <c r="F13" s="14"/>
      <c r="G13" s="14"/>
    </row>
    <row r="14" spans="2:28" ht="12.75">
      <c r="B14" s="13" t="s">
        <v>52</v>
      </c>
      <c r="D14" s="13" t="s">
        <v>57</v>
      </c>
      <c r="E14" s="40"/>
      <c r="F14" s="14"/>
      <c r="G14" s="14"/>
      <c r="H14" s="14"/>
      <c r="I14" s="14"/>
      <c r="J14" s="39"/>
      <c r="K14" s="39"/>
      <c r="L14" s="39"/>
      <c r="M14" s="39"/>
      <c r="N14" s="39"/>
      <c r="O14" s="39"/>
      <c r="V14" s="38">
        <v>0.86</v>
      </c>
      <c r="X14" s="38">
        <v>0.87</v>
      </c>
      <c r="Z14" s="38">
        <v>0.86</v>
      </c>
      <c r="AB14" s="38">
        <v>0.86</v>
      </c>
    </row>
    <row r="15" spans="5:11" ht="12.75">
      <c r="E15" s="40"/>
      <c r="H15" s="39"/>
      <c r="I15" s="39"/>
      <c r="J15" s="40"/>
      <c r="K15" s="40"/>
    </row>
    <row r="16" spans="2:29" ht="12.75">
      <c r="B16" s="13" t="s">
        <v>71</v>
      </c>
      <c r="D16" s="13" t="s">
        <v>17</v>
      </c>
      <c r="E16" s="40"/>
      <c r="F16" s="32"/>
      <c r="G16" s="32"/>
      <c r="H16" s="39"/>
      <c r="I16" s="39"/>
      <c r="J16" s="40"/>
      <c r="K16" s="40"/>
      <c r="V16" s="42">
        <f>'emiss 1'!G18</f>
        <v>2606.733333333333</v>
      </c>
      <c r="W16" s="42"/>
      <c r="X16" s="42">
        <f>'emiss 1'!I18</f>
        <v>2878.25</v>
      </c>
      <c r="Y16" s="42"/>
      <c r="Z16" s="42">
        <f>'emiss 1'!K18</f>
        <v>2831.633333333333</v>
      </c>
      <c r="AA16" s="42"/>
      <c r="AB16" s="42">
        <f>'emiss 1'!M18</f>
        <v>2772.2055555555557</v>
      </c>
      <c r="AC16" s="42"/>
    </row>
    <row r="17" spans="2:29" ht="12.75">
      <c r="B17" s="13" t="s">
        <v>72</v>
      </c>
      <c r="D17" s="13" t="s">
        <v>18</v>
      </c>
      <c r="E17" s="40"/>
      <c r="F17" s="29"/>
      <c r="G17" s="29"/>
      <c r="H17" s="39"/>
      <c r="I17" s="39"/>
      <c r="J17" s="40"/>
      <c r="K17" s="40"/>
      <c r="V17" s="42">
        <f>'emiss 1'!G19</f>
        <v>14.87</v>
      </c>
      <c r="W17" s="42"/>
      <c r="X17" s="42">
        <f>'emiss 1'!I19</f>
        <v>15</v>
      </c>
      <c r="Y17" s="42"/>
      <c r="Z17" s="42">
        <f>'emiss 1'!K19</f>
        <v>15</v>
      </c>
      <c r="AA17" s="42"/>
      <c r="AB17" s="42">
        <f>'emiss 1'!M19</f>
        <v>14.956666666666665</v>
      </c>
      <c r="AC17" s="42"/>
    </row>
    <row r="18" spans="5:11" ht="12.75">
      <c r="E18" s="40"/>
      <c r="H18" s="39"/>
      <c r="I18" s="39"/>
      <c r="J18" s="40"/>
      <c r="K18" s="40"/>
    </row>
    <row r="19" spans="2:17" ht="12.75">
      <c r="B19" s="13" t="s">
        <v>122</v>
      </c>
      <c r="D19" s="13" t="s">
        <v>64</v>
      </c>
      <c r="E19" s="40"/>
      <c r="F19" s="14"/>
      <c r="G19" s="14"/>
      <c r="H19" s="14"/>
      <c r="I19" s="14"/>
      <c r="J19" s="40"/>
      <c r="K19" s="40"/>
      <c r="P19" s="42"/>
      <c r="Q19" s="42"/>
    </row>
    <row r="20" spans="2:17" ht="12.75">
      <c r="B20" s="13" t="s">
        <v>263</v>
      </c>
      <c r="D20" s="13" t="s">
        <v>64</v>
      </c>
      <c r="E20" s="40"/>
      <c r="F20" s="42"/>
      <c r="G20" s="42"/>
      <c r="H20" s="14"/>
      <c r="I20" s="14"/>
      <c r="J20" s="40"/>
      <c r="K20" s="40"/>
      <c r="P20" s="14"/>
      <c r="Q20" s="14"/>
    </row>
    <row r="21" spans="5:17" ht="12.75">
      <c r="E21" s="40"/>
      <c r="F21" s="38"/>
      <c r="G21" s="38"/>
      <c r="H21" s="14"/>
      <c r="I21" s="14"/>
      <c r="J21" s="40"/>
      <c r="K21" s="40"/>
      <c r="P21" s="14"/>
      <c r="Q21" s="14"/>
    </row>
    <row r="22" spans="2:17" ht="12.75">
      <c r="B22" s="62" t="s">
        <v>88</v>
      </c>
      <c r="C22" s="62"/>
      <c r="E22" s="40"/>
      <c r="F22" s="38"/>
      <c r="G22" s="38"/>
      <c r="H22" s="14"/>
      <c r="I22" s="14"/>
      <c r="J22" s="40"/>
      <c r="K22" s="40"/>
      <c r="P22" s="14"/>
      <c r="Q22" s="14"/>
    </row>
    <row r="23" spans="2:29" ht="12.75">
      <c r="B23" s="13" t="s">
        <v>52</v>
      </c>
      <c r="D23" s="13" t="s">
        <v>73</v>
      </c>
      <c r="E23" s="40"/>
      <c r="F23" s="14"/>
      <c r="G23" s="14"/>
      <c r="H23" s="14"/>
      <c r="I23" s="14"/>
      <c r="J23" s="40"/>
      <c r="K23" s="40"/>
      <c r="N23" s="14"/>
      <c r="O23" s="14"/>
      <c r="V23" s="42">
        <f>V14*454/60/0.0283/V16*(21-7)/(21-V17)*1000</f>
        <v>201.4594174914562</v>
      </c>
      <c r="W23" s="42"/>
      <c r="X23" s="42">
        <f>X14*454/60/0.0283/X16*(21-7)/(21-X17)*1000</f>
        <v>188.5756839428814</v>
      </c>
      <c r="Y23" s="42"/>
      <c r="Z23" s="42">
        <f>Z14*454/60/0.0283/Z16*(21-7)/(21-Z17)*1000</f>
        <v>189.47695091107187</v>
      </c>
      <c r="AA23" s="42"/>
      <c r="AB23" s="42">
        <f>AB14*454/60/0.0283/AB16*(21-7)/(21-AB17)*1000</f>
        <v>192.1510115002798</v>
      </c>
      <c r="AC23" s="42"/>
    </row>
    <row r="24" spans="5:15" ht="12.75">
      <c r="E24" s="40"/>
      <c r="F24" s="14"/>
      <c r="G24" s="14"/>
      <c r="H24" s="14"/>
      <c r="I24" s="14"/>
      <c r="J24" s="40"/>
      <c r="K24" s="40"/>
      <c r="N24" s="14"/>
      <c r="O24" s="14"/>
    </row>
    <row r="25" spans="1:29" ht="12.75">
      <c r="A25" s="38" t="s">
        <v>121</v>
      </c>
      <c r="B25" s="37" t="s">
        <v>159</v>
      </c>
      <c r="C25" s="13" t="s">
        <v>119</v>
      </c>
      <c r="F25" s="40" t="s">
        <v>207</v>
      </c>
      <c r="G25" s="40"/>
      <c r="H25" s="40" t="s">
        <v>208</v>
      </c>
      <c r="I25" s="40"/>
      <c r="J25" s="40" t="s">
        <v>209</v>
      </c>
      <c r="K25" s="40"/>
      <c r="L25" s="24" t="s">
        <v>47</v>
      </c>
      <c r="M25" s="24"/>
      <c r="N25" s="40" t="s">
        <v>207</v>
      </c>
      <c r="O25" s="40"/>
      <c r="P25" s="40" t="s">
        <v>208</v>
      </c>
      <c r="Q25" s="40"/>
      <c r="R25" s="40" t="s">
        <v>209</v>
      </c>
      <c r="S25" s="40"/>
      <c r="T25" s="24" t="s">
        <v>47</v>
      </c>
      <c r="U25" s="24"/>
      <c r="V25" s="40" t="s">
        <v>207</v>
      </c>
      <c r="W25" s="40"/>
      <c r="X25" s="40" t="s">
        <v>208</v>
      </c>
      <c r="Y25" s="40"/>
      <c r="Z25" s="40" t="s">
        <v>209</v>
      </c>
      <c r="AA25" s="40"/>
      <c r="AB25" s="24" t="s">
        <v>47</v>
      </c>
      <c r="AC25" s="24"/>
    </row>
    <row r="26" spans="2:29" ht="12.75">
      <c r="B26" s="37"/>
      <c r="F26" s="40"/>
      <c r="G26" s="40"/>
      <c r="H26" s="40"/>
      <c r="I26" s="40"/>
      <c r="J26" s="40"/>
      <c r="K26" s="40"/>
      <c r="L26" s="24"/>
      <c r="M26" s="24"/>
      <c r="N26" s="40"/>
      <c r="O26" s="40"/>
      <c r="P26" s="40"/>
      <c r="Q26" s="40"/>
      <c r="R26" s="40"/>
      <c r="S26" s="40"/>
      <c r="T26" s="24"/>
      <c r="U26" s="24"/>
      <c r="V26" s="40"/>
      <c r="W26" s="40"/>
      <c r="X26" s="40"/>
      <c r="Y26" s="40"/>
      <c r="Z26" s="40"/>
      <c r="AA26" s="40"/>
      <c r="AB26" s="24"/>
      <c r="AC26" s="24"/>
    </row>
    <row r="27" spans="2:29" ht="12.75">
      <c r="B27" s="13" t="s">
        <v>254</v>
      </c>
      <c r="F27" s="40" t="s">
        <v>257</v>
      </c>
      <c r="G27" s="40"/>
      <c r="H27" s="40" t="s">
        <v>257</v>
      </c>
      <c r="I27" s="40"/>
      <c r="J27" s="40" t="s">
        <v>257</v>
      </c>
      <c r="K27" s="40"/>
      <c r="L27" s="24" t="s">
        <v>257</v>
      </c>
      <c r="M27" s="24"/>
      <c r="N27" s="40" t="s">
        <v>258</v>
      </c>
      <c r="O27" s="40"/>
      <c r="P27" s="40" t="s">
        <v>258</v>
      </c>
      <c r="Q27" s="40"/>
      <c r="R27" s="40" t="s">
        <v>258</v>
      </c>
      <c r="S27" s="40"/>
      <c r="T27" s="40" t="s">
        <v>258</v>
      </c>
      <c r="U27" s="24"/>
      <c r="V27" s="40" t="s">
        <v>259</v>
      </c>
      <c r="W27" s="40"/>
      <c r="X27" s="40" t="s">
        <v>259</v>
      </c>
      <c r="Y27" s="40"/>
      <c r="Z27" s="40" t="s">
        <v>259</v>
      </c>
      <c r="AA27" s="40"/>
      <c r="AB27" s="24" t="s">
        <v>259</v>
      </c>
      <c r="AC27" s="24"/>
    </row>
    <row r="28" spans="2:29" s="40" customFormat="1" ht="12.75">
      <c r="B28" s="13" t="s">
        <v>255</v>
      </c>
      <c r="F28" s="40" t="s">
        <v>256</v>
      </c>
      <c r="H28" s="40" t="s">
        <v>256</v>
      </c>
      <c r="J28" s="40" t="s">
        <v>256</v>
      </c>
      <c r="L28" s="40" t="s">
        <v>256</v>
      </c>
      <c r="N28" s="40" t="s">
        <v>256</v>
      </c>
      <c r="P28" s="40" t="s">
        <v>256</v>
      </c>
      <c r="R28" s="40" t="s">
        <v>256</v>
      </c>
      <c r="T28" s="40" t="s">
        <v>256</v>
      </c>
      <c r="V28" s="38" t="s">
        <v>25</v>
      </c>
      <c r="W28" s="38"/>
      <c r="X28" s="38" t="s">
        <v>25</v>
      </c>
      <c r="Y28" s="38"/>
      <c r="Z28" s="38" t="s">
        <v>25</v>
      </c>
      <c r="AA28" s="38"/>
      <c r="AB28" s="38" t="s">
        <v>25</v>
      </c>
      <c r="AC28" s="38"/>
    </row>
    <row r="29" spans="2:29" s="40" customFormat="1" ht="12.75">
      <c r="B29" s="13" t="s">
        <v>262</v>
      </c>
      <c r="V29" s="38" t="s">
        <v>25</v>
      </c>
      <c r="W29" s="38"/>
      <c r="X29" s="38" t="s">
        <v>25</v>
      </c>
      <c r="Y29" s="38"/>
      <c r="Z29" s="38" t="s">
        <v>25</v>
      </c>
      <c r="AA29" s="38"/>
      <c r="AB29" s="38" t="s">
        <v>25</v>
      </c>
      <c r="AC29" s="38"/>
    </row>
    <row r="30" spans="2:28" ht="12.75">
      <c r="B30" s="13" t="s">
        <v>48</v>
      </c>
      <c r="F30" s="39" t="s">
        <v>160</v>
      </c>
      <c r="H30" s="39" t="s">
        <v>160</v>
      </c>
      <c r="I30" s="39"/>
      <c r="J30" s="39" t="s">
        <v>160</v>
      </c>
      <c r="K30" s="39"/>
      <c r="L30" s="39" t="s">
        <v>160</v>
      </c>
      <c r="M30" s="39"/>
      <c r="N30" s="39" t="s">
        <v>158</v>
      </c>
      <c r="O30" s="39"/>
      <c r="P30" s="39" t="s">
        <v>158</v>
      </c>
      <c r="Q30" s="39"/>
      <c r="R30" s="39" t="s">
        <v>158</v>
      </c>
      <c r="S30" s="39"/>
      <c r="T30" s="39" t="s">
        <v>158</v>
      </c>
      <c r="U30" s="39"/>
      <c r="V30" s="38" t="s">
        <v>25</v>
      </c>
      <c r="X30" s="38" t="s">
        <v>25</v>
      </c>
      <c r="Z30" s="38" t="s">
        <v>25</v>
      </c>
      <c r="AB30" s="38" t="s">
        <v>25</v>
      </c>
    </row>
    <row r="31" spans="2:29" ht="12.75">
      <c r="B31" s="13" t="s">
        <v>123</v>
      </c>
      <c r="D31" s="13" t="s">
        <v>57</v>
      </c>
      <c r="F31" s="14">
        <v>117.79</v>
      </c>
      <c r="G31" s="14"/>
      <c r="H31" s="38">
        <v>119.21</v>
      </c>
      <c r="J31" s="38">
        <v>119.63</v>
      </c>
      <c r="L31" s="42">
        <f>AVERAGE(J31,H31,F31)</f>
        <v>118.87666666666667</v>
      </c>
      <c r="M31" s="42"/>
      <c r="N31" s="22">
        <v>120.79</v>
      </c>
      <c r="O31" s="22"/>
      <c r="P31" s="22">
        <v>122.26</v>
      </c>
      <c r="Q31" s="22"/>
      <c r="R31" s="38">
        <v>122.68</v>
      </c>
      <c r="T31" s="42">
        <f>AVERAGE(R31,P31,N31)</f>
        <v>121.91000000000001</v>
      </c>
      <c r="U31" s="42"/>
      <c r="V31" s="42"/>
      <c r="W31" s="42"/>
      <c r="X31" s="42"/>
      <c r="Y31" s="42"/>
      <c r="Z31" s="42"/>
      <c r="AA31" s="42"/>
      <c r="AB31" s="42">
        <f>SUM(T31,L31)</f>
        <v>240.7866666666667</v>
      </c>
      <c r="AC31" s="42"/>
    </row>
    <row r="32" spans="2:9" ht="12.75">
      <c r="B32" s="13" t="s">
        <v>122</v>
      </c>
      <c r="D32" s="13" t="s">
        <v>63</v>
      </c>
      <c r="F32" s="14"/>
      <c r="G32" s="14"/>
      <c r="H32" s="42"/>
      <c r="I32" s="42"/>
    </row>
    <row r="33" spans="2:7" ht="12.75">
      <c r="B33" s="13" t="s">
        <v>50</v>
      </c>
      <c r="D33" s="13" t="s">
        <v>51</v>
      </c>
      <c r="F33" s="14"/>
      <c r="G33" s="14"/>
    </row>
    <row r="34" spans="2:11" ht="12.75">
      <c r="B34" s="13" t="s">
        <v>58</v>
      </c>
      <c r="D34" s="13" t="s">
        <v>135</v>
      </c>
      <c r="E34" s="40"/>
      <c r="H34" s="40"/>
      <c r="I34" s="40"/>
      <c r="J34" s="40"/>
      <c r="K34" s="40"/>
    </row>
    <row r="35" spans="5:11" ht="12.75">
      <c r="E35" s="40"/>
      <c r="H35" s="39"/>
      <c r="I35" s="39"/>
      <c r="J35" s="40"/>
      <c r="K35" s="40"/>
    </row>
    <row r="36" spans="2:11" ht="12.75">
      <c r="B36" s="13" t="s">
        <v>71</v>
      </c>
      <c r="D36" s="13" t="s">
        <v>17</v>
      </c>
      <c r="E36" s="40"/>
      <c r="F36" s="22"/>
      <c r="G36" s="22"/>
      <c r="H36" s="39"/>
      <c r="I36" s="39"/>
      <c r="J36" s="40"/>
      <c r="K36" s="40"/>
    </row>
    <row r="37" spans="2:11" ht="12.75">
      <c r="B37" s="13" t="s">
        <v>72</v>
      </c>
      <c r="D37" s="13" t="s">
        <v>18</v>
      </c>
      <c r="E37" s="40"/>
      <c r="F37" s="22"/>
      <c r="G37" s="22"/>
      <c r="H37" s="39"/>
      <c r="I37" s="39"/>
      <c r="J37" s="40"/>
      <c r="K37" s="40"/>
    </row>
    <row r="38" spans="5:11" ht="12.75">
      <c r="E38" s="40"/>
      <c r="H38" s="39"/>
      <c r="I38" s="39"/>
      <c r="J38" s="40"/>
      <c r="K38" s="40"/>
    </row>
    <row r="39" spans="2:11" ht="12.75">
      <c r="B39" s="13" t="s">
        <v>122</v>
      </c>
      <c r="D39" s="13" t="s">
        <v>64</v>
      </c>
      <c r="E39" s="40"/>
      <c r="F39" s="14"/>
      <c r="G39" s="14"/>
      <c r="H39" s="39"/>
      <c r="I39" s="39"/>
      <c r="J39" s="40"/>
      <c r="K39" s="40"/>
    </row>
    <row r="40" spans="2:11" ht="12.75">
      <c r="B40" s="13" t="s">
        <v>263</v>
      </c>
      <c r="D40" s="13" t="s">
        <v>64</v>
      </c>
      <c r="E40" s="40"/>
      <c r="F40" s="42"/>
      <c r="G40" s="42"/>
      <c r="H40" s="39"/>
      <c r="I40" s="39"/>
      <c r="J40" s="40"/>
      <c r="K40" s="40"/>
    </row>
    <row r="41" spans="5:11" ht="12.75">
      <c r="E41" s="40"/>
      <c r="F41" s="38"/>
      <c r="G41" s="38"/>
      <c r="H41" s="39"/>
      <c r="I41" s="39"/>
      <c r="J41" s="40"/>
      <c r="K41" s="40"/>
    </row>
    <row r="42" spans="2:11" ht="12.75">
      <c r="B42" s="62" t="s">
        <v>88</v>
      </c>
      <c r="C42" s="62"/>
      <c r="E42" s="40"/>
      <c r="F42" s="38"/>
      <c r="G42" s="38"/>
      <c r="H42" s="39"/>
      <c r="I42" s="39"/>
      <c r="J42" s="40"/>
      <c r="K42" s="40"/>
    </row>
    <row r="43" spans="2:11" ht="12.75">
      <c r="B43" s="13" t="s">
        <v>52</v>
      </c>
      <c r="D43" s="13" t="s">
        <v>73</v>
      </c>
      <c r="E43" s="40"/>
      <c r="F43" s="14"/>
      <c r="G43" s="14"/>
      <c r="H43" s="39"/>
      <c r="I43" s="39"/>
      <c r="J43" s="40"/>
      <c r="K43" s="40"/>
    </row>
    <row r="44" spans="5:11" ht="12.75">
      <c r="E44" s="40"/>
      <c r="F44" s="43"/>
      <c r="G44" s="43"/>
      <c r="H44" s="39"/>
      <c r="I44" s="39"/>
      <c r="J44" s="40"/>
      <c r="K44" s="40"/>
    </row>
    <row r="45" spans="2:44" ht="12.75">
      <c r="B45" s="37" t="s">
        <v>161</v>
      </c>
      <c r="C45" s="37" t="s">
        <v>119</v>
      </c>
      <c r="E45" s="40"/>
      <c r="F45" s="40" t="s">
        <v>207</v>
      </c>
      <c r="G45" s="40"/>
      <c r="H45" s="40" t="s">
        <v>208</v>
      </c>
      <c r="I45" s="40"/>
      <c r="J45" s="40" t="s">
        <v>209</v>
      </c>
      <c r="K45" s="40"/>
      <c r="L45" s="24" t="s">
        <v>47</v>
      </c>
      <c r="M45" s="24"/>
      <c r="N45" s="40" t="s">
        <v>207</v>
      </c>
      <c r="O45" s="40"/>
      <c r="P45" s="40" t="s">
        <v>208</v>
      </c>
      <c r="Q45" s="40"/>
      <c r="R45" s="40" t="s">
        <v>209</v>
      </c>
      <c r="S45" s="40"/>
      <c r="T45" s="24" t="s">
        <v>47</v>
      </c>
      <c r="U45" s="24"/>
      <c r="V45" s="40" t="s">
        <v>207</v>
      </c>
      <c r="W45" s="40"/>
      <c r="X45" s="40" t="s">
        <v>208</v>
      </c>
      <c r="Y45" s="40"/>
      <c r="Z45" s="40" t="s">
        <v>209</v>
      </c>
      <c r="AA45" s="40"/>
      <c r="AB45" s="24" t="s">
        <v>47</v>
      </c>
      <c r="AC45" s="24"/>
      <c r="AD45" s="40" t="s">
        <v>207</v>
      </c>
      <c r="AE45" s="40"/>
      <c r="AF45" s="40" t="s">
        <v>208</v>
      </c>
      <c r="AG45" s="40"/>
      <c r="AH45" s="40" t="s">
        <v>209</v>
      </c>
      <c r="AI45" s="40"/>
      <c r="AJ45" s="24" t="s">
        <v>47</v>
      </c>
      <c r="AK45" s="24"/>
      <c r="AL45" s="40" t="s">
        <v>207</v>
      </c>
      <c r="AM45" s="40"/>
      <c r="AN45" s="40" t="s">
        <v>208</v>
      </c>
      <c r="AO45" s="40"/>
      <c r="AP45" s="40" t="s">
        <v>209</v>
      </c>
      <c r="AQ45" s="40"/>
      <c r="AR45" s="24" t="s">
        <v>47</v>
      </c>
    </row>
    <row r="46" spans="2:44" ht="12.75">
      <c r="B46" s="37"/>
      <c r="C46" s="37"/>
      <c r="E46" s="40"/>
      <c r="F46" s="40"/>
      <c r="G46" s="40"/>
      <c r="H46" s="40"/>
      <c r="I46" s="40"/>
      <c r="J46" s="40"/>
      <c r="K46" s="40"/>
      <c r="L46" s="24"/>
      <c r="M46" s="24"/>
      <c r="N46" s="40"/>
      <c r="O46" s="40"/>
      <c r="P46" s="40"/>
      <c r="Q46" s="40"/>
      <c r="R46" s="40"/>
      <c r="S46" s="40"/>
      <c r="T46" s="24"/>
      <c r="U46" s="24"/>
      <c r="V46" s="40"/>
      <c r="W46" s="40"/>
      <c r="X46" s="40"/>
      <c r="Y46" s="40"/>
      <c r="Z46" s="40"/>
      <c r="AA46" s="40"/>
      <c r="AB46" s="24"/>
      <c r="AC46" s="24"/>
      <c r="AD46" s="40"/>
      <c r="AE46" s="40"/>
      <c r="AF46" s="40"/>
      <c r="AG46" s="40"/>
      <c r="AH46" s="40"/>
      <c r="AI46" s="40"/>
      <c r="AJ46" s="24"/>
      <c r="AK46" s="24"/>
      <c r="AL46" s="40"/>
      <c r="AM46" s="40"/>
      <c r="AN46" s="40"/>
      <c r="AO46" s="40"/>
      <c r="AP46" s="40"/>
      <c r="AQ46" s="40"/>
      <c r="AR46" s="24"/>
    </row>
    <row r="47" spans="2:44" ht="12.75">
      <c r="B47" s="13" t="s">
        <v>254</v>
      </c>
      <c r="C47" s="37"/>
      <c r="E47" s="40"/>
      <c r="F47" s="40" t="s">
        <v>257</v>
      </c>
      <c r="G47" s="40"/>
      <c r="H47" s="40" t="s">
        <v>257</v>
      </c>
      <c r="I47" s="40"/>
      <c r="J47" s="40" t="s">
        <v>257</v>
      </c>
      <c r="K47" s="40"/>
      <c r="L47" s="24" t="s">
        <v>257</v>
      </c>
      <c r="M47" s="24"/>
      <c r="N47" s="40" t="s">
        <v>258</v>
      </c>
      <c r="O47" s="40"/>
      <c r="P47" s="40" t="s">
        <v>258</v>
      </c>
      <c r="Q47" s="40"/>
      <c r="R47" s="40" t="s">
        <v>258</v>
      </c>
      <c r="S47" s="40"/>
      <c r="T47" s="40" t="s">
        <v>258</v>
      </c>
      <c r="U47" s="24"/>
      <c r="V47" s="40" t="s">
        <v>259</v>
      </c>
      <c r="W47" s="40"/>
      <c r="X47" s="40" t="s">
        <v>259</v>
      </c>
      <c r="Y47" s="40"/>
      <c r="Z47" s="40" t="s">
        <v>259</v>
      </c>
      <c r="AA47" s="40"/>
      <c r="AB47" s="40" t="s">
        <v>259</v>
      </c>
      <c r="AC47" s="24"/>
      <c r="AD47" s="40" t="s">
        <v>260</v>
      </c>
      <c r="AE47" s="40"/>
      <c r="AF47" s="40" t="s">
        <v>260</v>
      </c>
      <c r="AG47" s="40"/>
      <c r="AH47" s="40" t="s">
        <v>260</v>
      </c>
      <c r="AI47" s="40"/>
      <c r="AJ47" s="40" t="s">
        <v>260</v>
      </c>
      <c r="AK47" s="24"/>
      <c r="AL47" s="40" t="s">
        <v>261</v>
      </c>
      <c r="AM47" s="40"/>
      <c r="AN47" s="40" t="s">
        <v>261</v>
      </c>
      <c r="AO47" s="40"/>
      <c r="AP47" s="40" t="s">
        <v>261</v>
      </c>
      <c r="AQ47" s="40"/>
      <c r="AR47" s="40" t="s">
        <v>261</v>
      </c>
    </row>
    <row r="48" spans="2:44" ht="12.75">
      <c r="B48" s="13" t="s">
        <v>255</v>
      </c>
      <c r="E48" s="40"/>
      <c r="F48" s="39" t="s">
        <v>256</v>
      </c>
      <c r="H48" s="39" t="s">
        <v>256</v>
      </c>
      <c r="J48" s="39" t="s">
        <v>256</v>
      </c>
      <c r="K48" s="40"/>
      <c r="L48" s="39" t="s">
        <v>256</v>
      </c>
      <c r="N48" s="39" t="s">
        <v>256</v>
      </c>
      <c r="O48" s="39"/>
      <c r="P48" s="39" t="s">
        <v>256</v>
      </c>
      <c r="R48" s="39" t="s">
        <v>256</v>
      </c>
      <c r="S48" s="40"/>
      <c r="T48" s="39" t="s">
        <v>256</v>
      </c>
      <c r="V48" s="39" t="s">
        <v>256</v>
      </c>
      <c r="W48" s="39"/>
      <c r="X48" s="39" t="s">
        <v>256</v>
      </c>
      <c r="Z48" s="39" t="s">
        <v>256</v>
      </c>
      <c r="AA48" s="40"/>
      <c r="AB48" s="39" t="s">
        <v>256</v>
      </c>
      <c r="AC48" s="39"/>
      <c r="AD48" s="39" t="s">
        <v>256</v>
      </c>
      <c r="AE48" s="39"/>
      <c r="AF48" s="39" t="s">
        <v>256</v>
      </c>
      <c r="AH48" s="39" t="s">
        <v>256</v>
      </c>
      <c r="AI48" s="40"/>
      <c r="AJ48" s="39" t="s">
        <v>256</v>
      </c>
      <c r="AL48" s="38" t="s">
        <v>25</v>
      </c>
      <c r="AN48" s="38" t="s">
        <v>25</v>
      </c>
      <c r="AP48" s="38" t="s">
        <v>25</v>
      </c>
      <c r="AR48" s="38" t="s">
        <v>25</v>
      </c>
    </row>
    <row r="49" spans="2:44" s="40" customFormat="1" ht="12.75">
      <c r="B49" s="13" t="s">
        <v>262</v>
      </c>
      <c r="AC49" s="38"/>
      <c r="AL49" s="38" t="s">
        <v>25</v>
      </c>
      <c r="AM49" s="38"/>
      <c r="AN49" s="38" t="s">
        <v>25</v>
      </c>
      <c r="AO49" s="38"/>
      <c r="AP49" s="38" t="s">
        <v>25</v>
      </c>
      <c r="AQ49" s="38"/>
      <c r="AR49" s="38" t="s">
        <v>25</v>
      </c>
    </row>
    <row r="50" spans="2:44" ht="12.75">
      <c r="B50" s="13" t="s">
        <v>48</v>
      </c>
      <c r="E50" s="40"/>
      <c r="F50" s="39" t="s">
        <v>162</v>
      </c>
      <c r="H50" s="39" t="s">
        <v>162</v>
      </c>
      <c r="I50" s="39"/>
      <c r="J50" s="39" t="s">
        <v>162</v>
      </c>
      <c r="K50" s="39"/>
      <c r="L50" s="39" t="s">
        <v>162</v>
      </c>
      <c r="M50" s="39"/>
      <c r="N50" s="30" t="s">
        <v>163</v>
      </c>
      <c r="O50" s="30"/>
      <c r="P50" s="30" t="s">
        <v>163</v>
      </c>
      <c r="Q50" s="30"/>
      <c r="R50" s="30" t="s">
        <v>163</v>
      </c>
      <c r="S50" s="30"/>
      <c r="T50" s="30" t="s">
        <v>163</v>
      </c>
      <c r="U50" s="30"/>
      <c r="V50" s="39" t="s">
        <v>157</v>
      </c>
      <c r="W50" s="39"/>
      <c r="X50" s="39" t="s">
        <v>157</v>
      </c>
      <c r="Y50" s="39"/>
      <c r="Z50" s="39" t="s">
        <v>157</v>
      </c>
      <c r="AA50" s="39"/>
      <c r="AB50" s="39" t="s">
        <v>157</v>
      </c>
      <c r="AC50" s="39"/>
      <c r="AD50" s="38" t="s">
        <v>158</v>
      </c>
      <c r="AF50" s="38" t="s">
        <v>158</v>
      </c>
      <c r="AH50" s="38" t="s">
        <v>158</v>
      </c>
      <c r="AJ50" s="38" t="s">
        <v>158</v>
      </c>
      <c r="AL50" s="38" t="s">
        <v>25</v>
      </c>
      <c r="AN50" s="38" t="s">
        <v>25</v>
      </c>
      <c r="AP50" s="38" t="s">
        <v>25</v>
      </c>
      <c r="AR50" s="38" t="s">
        <v>25</v>
      </c>
    </row>
    <row r="51" spans="2:44" ht="12.75">
      <c r="B51" s="13" t="s">
        <v>123</v>
      </c>
      <c r="D51" s="13" t="s">
        <v>57</v>
      </c>
      <c r="E51" s="40"/>
      <c r="H51" s="39"/>
      <c r="I51" s="39"/>
      <c r="J51" s="40"/>
      <c r="K51" s="40"/>
      <c r="N51" s="38">
        <v>0.01</v>
      </c>
      <c r="P51" s="38">
        <v>0.01</v>
      </c>
      <c r="R51" s="38">
        <v>0.01</v>
      </c>
      <c r="T51" s="42">
        <f>AVERAGE(R51,P51,N51)</f>
        <v>0.01</v>
      </c>
      <c r="U51" s="42"/>
      <c r="V51" s="42"/>
      <c r="W51" s="42"/>
      <c r="X51" s="42"/>
      <c r="Y51" s="42"/>
      <c r="Z51" s="42"/>
      <c r="AA51" s="42"/>
      <c r="AD51" s="38">
        <v>227.1</v>
      </c>
      <c r="AF51" s="38">
        <v>230.8</v>
      </c>
      <c r="AH51" s="38">
        <v>228.82</v>
      </c>
      <c r="AJ51" s="42">
        <f>AVERAGE(AH51,AF51,AD51)</f>
        <v>228.90666666666667</v>
      </c>
      <c r="AK51" s="42"/>
      <c r="AL51" s="42"/>
      <c r="AM51" s="42"/>
      <c r="AN51" s="42"/>
      <c r="AO51" s="42"/>
      <c r="AP51" s="42"/>
      <c r="AQ51" s="42"/>
      <c r="AR51" s="42">
        <f>SUM(AJ51,T51)</f>
        <v>228.91666666666666</v>
      </c>
    </row>
    <row r="52" spans="2:13" ht="12.75">
      <c r="B52" s="13" t="s">
        <v>123</v>
      </c>
      <c r="D52" s="13" t="s">
        <v>164</v>
      </c>
      <c r="E52" s="40"/>
      <c r="F52" s="39">
        <v>5277</v>
      </c>
      <c r="H52" s="39">
        <v>5363</v>
      </c>
      <c r="I52" s="39"/>
      <c r="J52" s="40">
        <v>5317</v>
      </c>
      <c r="K52" s="40"/>
      <c r="L52" s="42">
        <f>AVERAGE(J52,H52,F52)</f>
        <v>5319</v>
      </c>
      <c r="M52" s="42"/>
    </row>
    <row r="53" spans="2:11" ht="12.75">
      <c r="B53" s="13" t="s">
        <v>50</v>
      </c>
      <c r="D53" s="13" t="s">
        <v>51</v>
      </c>
      <c r="E53" s="40"/>
      <c r="H53" s="39"/>
      <c r="I53" s="39"/>
      <c r="J53" s="40"/>
      <c r="K53" s="40"/>
    </row>
    <row r="54" spans="2:11" ht="12.75">
      <c r="B54" s="13" t="s">
        <v>58</v>
      </c>
      <c r="D54" s="13" t="s">
        <v>135</v>
      </c>
      <c r="E54" s="40"/>
      <c r="H54" s="39"/>
      <c r="I54" s="39"/>
      <c r="J54" s="40"/>
      <c r="K54" s="40"/>
    </row>
    <row r="55" spans="2:44" ht="12.75">
      <c r="B55" s="13" t="s">
        <v>52</v>
      </c>
      <c r="D55" s="13" t="s">
        <v>57</v>
      </c>
      <c r="E55" s="40"/>
      <c r="H55" s="39"/>
      <c r="I55" s="39"/>
      <c r="J55" s="40"/>
      <c r="K55" s="40"/>
      <c r="AL55" s="38">
        <v>43.08</v>
      </c>
      <c r="AN55" s="38">
        <v>43.78</v>
      </c>
      <c r="AP55" s="38">
        <v>43.4</v>
      </c>
      <c r="AR55" s="38">
        <v>43.42</v>
      </c>
    </row>
    <row r="56" spans="2:44" ht="12.75">
      <c r="B56" s="13" t="s">
        <v>53</v>
      </c>
      <c r="D56" s="13" t="s">
        <v>57</v>
      </c>
      <c r="E56" s="40"/>
      <c r="H56" s="39"/>
      <c r="I56" s="39"/>
      <c r="J56" s="40"/>
      <c r="K56" s="40"/>
      <c r="AL56" s="38">
        <v>3.38</v>
      </c>
      <c r="AN56" s="38">
        <v>3.44</v>
      </c>
      <c r="AP56" s="38">
        <v>3.41</v>
      </c>
      <c r="AR56" s="38">
        <v>3.41</v>
      </c>
    </row>
    <row r="57" spans="2:44" ht="12.75">
      <c r="B57" s="13" t="s">
        <v>96</v>
      </c>
      <c r="D57" s="13" t="s">
        <v>57</v>
      </c>
      <c r="E57" s="40"/>
      <c r="H57" s="39"/>
      <c r="I57" s="39"/>
      <c r="J57" s="40"/>
      <c r="K57" s="40"/>
      <c r="AL57" s="38">
        <v>3.33</v>
      </c>
      <c r="AN57" s="38">
        <v>3.28</v>
      </c>
      <c r="AP57" s="38">
        <v>3.26</v>
      </c>
      <c r="AR57" s="38">
        <v>3.26</v>
      </c>
    </row>
    <row r="58" spans="2:44" ht="12.75">
      <c r="B58" s="13" t="s">
        <v>98</v>
      </c>
      <c r="D58" s="13" t="s">
        <v>57</v>
      </c>
      <c r="E58" s="40"/>
      <c r="H58" s="39"/>
      <c r="I58" s="39"/>
      <c r="J58" s="40"/>
      <c r="K58" s="40"/>
      <c r="AL58" s="38">
        <v>5.89</v>
      </c>
      <c r="AN58" s="38">
        <v>5.99</v>
      </c>
      <c r="AP58" s="38">
        <v>5.94</v>
      </c>
      <c r="AR58" s="38">
        <v>5.94</v>
      </c>
    </row>
    <row r="59" spans="2:44" ht="12.75">
      <c r="B59" s="13" t="s">
        <v>115</v>
      </c>
      <c r="D59" s="13" t="s">
        <v>57</v>
      </c>
      <c r="E59" s="40"/>
      <c r="H59" s="39"/>
      <c r="I59" s="39"/>
      <c r="J59" s="40"/>
      <c r="K59" s="40"/>
      <c r="AL59" s="38">
        <v>0.01</v>
      </c>
      <c r="AN59" s="38">
        <v>0.01</v>
      </c>
      <c r="AP59" s="38">
        <v>0.01</v>
      </c>
      <c r="AR59" s="38">
        <v>0.01</v>
      </c>
    </row>
    <row r="60" spans="2:44" ht="12.75">
      <c r="B60" s="13" t="s">
        <v>95</v>
      </c>
      <c r="D60" s="13" t="s">
        <v>57</v>
      </c>
      <c r="E60" s="40"/>
      <c r="H60" s="39"/>
      <c r="I60" s="39"/>
      <c r="J60" s="40"/>
      <c r="K60" s="40"/>
      <c r="AL60" s="38">
        <v>153.21</v>
      </c>
      <c r="AN60" s="38">
        <v>155.7</v>
      </c>
      <c r="AP60" s="38">
        <v>154.37</v>
      </c>
      <c r="AR60" s="38">
        <v>154.42</v>
      </c>
    </row>
    <row r="61" spans="5:11" ht="12.75">
      <c r="E61" s="40"/>
      <c r="H61" s="39"/>
      <c r="I61" s="39"/>
      <c r="J61" s="40"/>
      <c r="K61" s="40"/>
    </row>
    <row r="62" spans="2:44" ht="12.75">
      <c r="B62" s="13" t="s">
        <v>71</v>
      </c>
      <c r="D62" s="13" t="s">
        <v>17</v>
      </c>
      <c r="E62" s="40"/>
      <c r="F62" s="12"/>
      <c r="G62" s="12"/>
      <c r="H62" s="39"/>
      <c r="I62" s="39"/>
      <c r="J62" s="40"/>
      <c r="K62" s="40"/>
      <c r="AL62" s="42">
        <f>'emiss 1'!G96</f>
        <v>2513.9</v>
      </c>
      <c r="AM62" s="42"/>
      <c r="AN62" s="42">
        <f>'emiss 1'!I96</f>
        <v>2538.4166666666665</v>
      </c>
      <c r="AO62" s="42"/>
      <c r="AP62" s="42">
        <f>'emiss 1'!K96</f>
        <v>2703.0666666666666</v>
      </c>
      <c r="AQ62" s="42"/>
      <c r="AR62" s="42">
        <f>'emiss 1'!M96</f>
        <v>2585.1277777777777</v>
      </c>
    </row>
    <row r="63" spans="2:44" ht="12.75">
      <c r="B63" s="13" t="s">
        <v>72</v>
      </c>
      <c r="D63" s="13" t="s">
        <v>18</v>
      </c>
      <c r="E63" s="40"/>
      <c r="F63" s="12"/>
      <c r="G63" s="12"/>
      <c r="H63" s="39"/>
      <c r="I63" s="39"/>
      <c r="J63" s="40"/>
      <c r="K63" s="40"/>
      <c r="AL63" s="42">
        <f>'emiss 1'!G97</f>
        <v>14.7</v>
      </c>
      <c r="AM63" s="42"/>
      <c r="AN63" s="42">
        <f>'emiss 1'!I97</f>
        <v>14.4</v>
      </c>
      <c r="AO63" s="42"/>
      <c r="AP63" s="42">
        <f>'emiss 1'!K97</f>
        <v>15</v>
      </c>
      <c r="AQ63" s="42"/>
      <c r="AR63" s="42">
        <f>'emiss 1'!M97</f>
        <v>14.699999999999998</v>
      </c>
    </row>
    <row r="64" spans="5:11" ht="12.75">
      <c r="E64" s="40"/>
      <c r="H64" s="39"/>
      <c r="I64" s="39"/>
      <c r="J64" s="40"/>
      <c r="K64" s="40"/>
    </row>
    <row r="65" spans="2:11" ht="12.75">
      <c r="B65" s="13" t="s">
        <v>122</v>
      </c>
      <c r="D65" s="13" t="s">
        <v>64</v>
      </c>
      <c r="E65" s="40"/>
      <c r="H65" s="39"/>
      <c r="I65" s="39"/>
      <c r="J65" s="40"/>
      <c r="K65" s="40"/>
    </row>
    <row r="66" spans="2:11" ht="12.75">
      <c r="B66" s="13" t="s">
        <v>263</v>
      </c>
      <c r="D66" s="13" t="s">
        <v>64</v>
      </c>
      <c r="E66" s="40"/>
      <c r="F66" s="42"/>
      <c r="G66" s="42"/>
      <c r="H66" s="39"/>
      <c r="I66" s="39"/>
      <c r="J66" s="40"/>
      <c r="K66" s="40"/>
    </row>
    <row r="67" spans="5:11" ht="12.75">
      <c r="E67" s="40"/>
      <c r="F67" s="38"/>
      <c r="G67" s="38"/>
      <c r="H67" s="39"/>
      <c r="I67" s="39"/>
      <c r="J67" s="40"/>
      <c r="K67" s="40"/>
    </row>
    <row r="68" spans="2:11" ht="12.75">
      <c r="B68" s="62" t="s">
        <v>88</v>
      </c>
      <c r="C68" s="62"/>
      <c r="E68" s="40"/>
      <c r="F68" s="38"/>
      <c r="G68" s="38"/>
      <c r="H68" s="39"/>
      <c r="I68" s="39"/>
      <c r="J68" s="40"/>
      <c r="K68" s="40"/>
    </row>
    <row r="69" spans="2:44" ht="12.75">
      <c r="B69" s="13" t="s">
        <v>52</v>
      </c>
      <c r="D69" s="13" t="s">
        <v>73</v>
      </c>
      <c r="E69" s="40"/>
      <c r="F69" s="14"/>
      <c r="G69" s="14"/>
      <c r="H69" s="39"/>
      <c r="I69" s="39"/>
      <c r="J69" s="40"/>
      <c r="K69" s="40"/>
      <c r="AL69" s="42">
        <f>AL55*454/60/0.0283/AL$62*(21-7)/(21-AL$63)*1000</f>
        <v>10182.006028421512</v>
      </c>
      <c r="AM69" s="42"/>
      <c r="AN69" s="42">
        <f>AN55*454/60/0.0283/AN$62*(21-7)/(21-AN$63)*1000</f>
        <v>9781.7174475818</v>
      </c>
      <c r="AO69" s="42"/>
      <c r="AP69" s="42">
        <f>AP55*454/60/0.0283/AP$62*(21-7)/(21-AP$63)*1000</f>
        <v>10016.775141811331</v>
      </c>
      <c r="AQ69" s="42"/>
      <c r="AR69" s="42">
        <f>AR55*454/60/0.0283/AR$62*(21-7)/(21-AR$63)*1000</f>
        <v>9979.607437443801</v>
      </c>
    </row>
    <row r="70" spans="2:44" ht="12.75">
      <c r="B70" s="13" t="s">
        <v>53</v>
      </c>
      <c r="D70" s="13" t="s">
        <v>65</v>
      </c>
      <c r="E70" s="40"/>
      <c r="F70" s="43"/>
      <c r="G70" s="43"/>
      <c r="H70" s="39"/>
      <c r="I70" s="39"/>
      <c r="J70" s="40"/>
      <c r="K70" s="40"/>
      <c r="AL70" s="42">
        <f aca="true" t="shared" si="0" ref="AL70:AR74">AL56*454/60/0.0283/AL$62*(21-7)/(21-AL$63)*1000000</f>
        <v>798866.7682466274</v>
      </c>
      <c r="AM70" s="42"/>
      <c r="AN70" s="42">
        <f t="shared" si="0"/>
        <v>768595.4321535266</v>
      </c>
      <c r="AO70" s="42"/>
      <c r="AP70" s="42">
        <f t="shared" si="0"/>
        <v>787032.3325708903</v>
      </c>
      <c r="AQ70" s="42"/>
      <c r="AR70" s="42">
        <f t="shared" si="0"/>
        <v>783750.8374408883</v>
      </c>
    </row>
    <row r="71" spans="2:44" ht="12.75">
      <c r="B71" s="13" t="s">
        <v>96</v>
      </c>
      <c r="D71" s="13" t="s">
        <v>65</v>
      </c>
      <c r="E71" s="40"/>
      <c r="F71" s="43"/>
      <c r="G71" s="43"/>
      <c r="H71" s="39"/>
      <c r="I71" s="39"/>
      <c r="J71" s="40"/>
      <c r="K71" s="40"/>
      <c r="AL71" s="42">
        <f t="shared" si="0"/>
        <v>787049.2125033342</v>
      </c>
      <c r="AM71" s="42"/>
      <c r="AN71" s="42">
        <f t="shared" si="0"/>
        <v>732846.8074021997</v>
      </c>
      <c r="AO71" s="42"/>
      <c r="AP71" s="42">
        <f t="shared" si="0"/>
        <v>752412.141988593</v>
      </c>
      <c r="AQ71" s="42"/>
      <c r="AR71" s="42">
        <f t="shared" si="0"/>
        <v>749274.9941516994</v>
      </c>
    </row>
    <row r="72" spans="2:44" ht="12.75">
      <c r="B72" s="13" t="s">
        <v>98</v>
      </c>
      <c r="D72" s="13" t="s">
        <v>65</v>
      </c>
      <c r="E72" s="40"/>
      <c r="F72" s="43"/>
      <c r="G72" s="43"/>
      <c r="H72" s="39"/>
      <c r="I72" s="39"/>
      <c r="J72" s="40"/>
      <c r="K72" s="40"/>
      <c r="AL72" s="42">
        <f t="shared" si="0"/>
        <v>1392108.0665599513</v>
      </c>
      <c r="AM72" s="42"/>
      <c r="AN72" s="42">
        <f t="shared" si="0"/>
        <v>1338339.139127798</v>
      </c>
      <c r="AO72" s="42"/>
      <c r="AP72" s="42">
        <f t="shared" si="0"/>
        <v>1370959.5470589704</v>
      </c>
      <c r="AQ72" s="42"/>
      <c r="AR72" s="42">
        <f t="shared" si="0"/>
        <v>1365243.3942518695</v>
      </c>
    </row>
    <row r="73" spans="2:44" ht="12.75">
      <c r="B73" s="13" t="s">
        <v>115</v>
      </c>
      <c r="D73" s="13" t="s">
        <v>65</v>
      </c>
      <c r="E73" s="40"/>
      <c r="F73" s="43"/>
      <c r="G73" s="43"/>
      <c r="H73" s="39"/>
      <c r="I73" s="39"/>
      <c r="J73" s="40"/>
      <c r="K73" s="40"/>
      <c r="AL73" s="42">
        <f t="shared" si="0"/>
        <v>2363.511148658661</v>
      </c>
      <c r="AM73" s="42"/>
      <c r="AN73" s="42">
        <f t="shared" si="0"/>
        <v>2234.289046957926</v>
      </c>
      <c r="AO73" s="42"/>
      <c r="AP73" s="42">
        <f t="shared" si="0"/>
        <v>2308.012705486482</v>
      </c>
      <c r="AQ73" s="42"/>
      <c r="AR73" s="42">
        <f t="shared" si="0"/>
        <v>2298.3895526125752</v>
      </c>
    </row>
    <row r="74" spans="2:44" ht="12.75">
      <c r="B74" s="13" t="s">
        <v>95</v>
      </c>
      <c r="D74" s="13" t="s">
        <v>65</v>
      </c>
      <c r="E74" s="40"/>
      <c r="F74" s="43"/>
      <c r="G74" s="43"/>
      <c r="H74" s="39"/>
      <c r="I74" s="39"/>
      <c r="J74" s="39"/>
      <c r="K74" s="39"/>
      <c r="L74" s="39"/>
      <c r="M74" s="39"/>
      <c r="N74" s="39"/>
      <c r="O74" s="39"/>
      <c r="AL74" s="42">
        <f t="shared" si="0"/>
        <v>36211354.30859935</v>
      </c>
      <c r="AM74" s="42"/>
      <c r="AN74" s="42">
        <f t="shared" si="0"/>
        <v>34787880.461134896</v>
      </c>
      <c r="AO74" s="42"/>
      <c r="AP74" s="42">
        <f t="shared" si="0"/>
        <v>35628792.13459482</v>
      </c>
      <c r="AQ74" s="42"/>
      <c r="AR74" s="42">
        <f t="shared" si="0"/>
        <v>35491731.47144338</v>
      </c>
    </row>
    <row r="75" spans="2:44" ht="12.75">
      <c r="B75" s="13" t="s">
        <v>66</v>
      </c>
      <c r="D75" s="13" t="s">
        <v>65</v>
      </c>
      <c r="E75" s="40"/>
      <c r="F75" s="42"/>
      <c r="G75" s="42"/>
      <c r="H75" s="39"/>
      <c r="I75" s="39"/>
      <c r="AL75" s="42">
        <f>AL74</f>
        <v>36211354.30859935</v>
      </c>
      <c r="AM75" s="42"/>
      <c r="AN75" s="42">
        <f>AN74</f>
        <v>34787880.461134896</v>
      </c>
      <c r="AO75" s="42"/>
      <c r="AP75" s="42">
        <f>AP74</f>
        <v>35628792.13459482</v>
      </c>
      <c r="AQ75" s="42"/>
      <c r="AR75" s="42">
        <f>AR74</f>
        <v>35491731.47144338</v>
      </c>
    </row>
    <row r="76" spans="2:44" ht="12.75">
      <c r="B76" s="13" t="s">
        <v>67</v>
      </c>
      <c r="D76" s="13" t="s">
        <v>65</v>
      </c>
      <c r="E76" s="40"/>
      <c r="F76" s="42"/>
      <c r="G76" s="42"/>
      <c r="H76" s="39"/>
      <c r="I76" s="39"/>
      <c r="AL76" s="42">
        <f>AL73</f>
        <v>2363.511148658661</v>
      </c>
      <c r="AM76" s="42"/>
      <c r="AN76" s="42">
        <f>AN73</f>
        <v>2234.289046957926</v>
      </c>
      <c r="AO76" s="42"/>
      <c r="AP76" s="42">
        <f>AP73</f>
        <v>2308.012705486482</v>
      </c>
      <c r="AQ76" s="42"/>
      <c r="AR76" s="42">
        <f>AR73</f>
        <v>2298.3895526125752</v>
      </c>
    </row>
    <row r="77" spans="5:11" ht="12.75">
      <c r="E77" s="40"/>
      <c r="F77" s="43"/>
      <c r="G77" s="43"/>
      <c r="H77" s="39"/>
      <c r="I77" s="39"/>
      <c r="J77" s="40"/>
      <c r="K77" s="40"/>
    </row>
    <row r="78" spans="2:44" ht="12.75">
      <c r="B78" s="37" t="s">
        <v>182</v>
      </c>
      <c r="C78" s="37" t="s">
        <v>120</v>
      </c>
      <c r="E78" s="40"/>
      <c r="F78" s="40" t="s">
        <v>207</v>
      </c>
      <c r="G78" s="40"/>
      <c r="H78" s="40" t="s">
        <v>208</v>
      </c>
      <c r="I78" s="40"/>
      <c r="J78" s="40" t="s">
        <v>209</v>
      </c>
      <c r="K78" s="40"/>
      <c r="L78" s="24" t="s">
        <v>47</v>
      </c>
      <c r="M78" s="24"/>
      <c r="N78" s="40" t="s">
        <v>207</v>
      </c>
      <c r="O78" s="40"/>
      <c r="P78" s="40" t="s">
        <v>208</v>
      </c>
      <c r="Q78" s="40"/>
      <c r="R78" s="40" t="s">
        <v>209</v>
      </c>
      <c r="S78" s="40"/>
      <c r="T78" s="24" t="s">
        <v>47</v>
      </c>
      <c r="U78" s="24"/>
      <c r="V78" s="40" t="s">
        <v>207</v>
      </c>
      <c r="W78" s="40"/>
      <c r="X78" s="40" t="s">
        <v>208</v>
      </c>
      <c r="Y78" s="40"/>
      <c r="Z78" s="40" t="s">
        <v>209</v>
      </c>
      <c r="AA78" s="40"/>
      <c r="AB78" s="24" t="s">
        <v>47</v>
      </c>
      <c r="AC78" s="24"/>
      <c r="AD78" s="40"/>
      <c r="AE78" s="40"/>
      <c r="AF78" s="40"/>
      <c r="AG78" s="40"/>
      <c r="AH78" s="40"/>
      <c r="AI78" s="40"/>
      <c r="AJ78" s="24"/>
      <c r="AK78" s="24"/>
      <c r="AL78" s="40"/>
      <c r="AM78" s="40"/>
      <c r="AN78" s="40" t="s">
        <v>208</v>
      </c>
      <c r="AO78" s="40"/>
      <c r="AP78" s="40" t="s">
        <v>209</v>
      </c>
      <c r="AQ78" s="40"/>
      <c r="AR78" s="24" t="s">
        <v>47</v>
      </c>
    </row>
    <row r="79" spans="2:44" ht="12.75">
      <c r="B79" s="37"/>
      <c r="C79" s="37"/>
      <c r="E79" s="40"/>
      <c r="F79" s="40"/>
      <c r="G79" s="40"/>
      <c r="H79" s="40"/>
      <c r="I79" s="40"/>
      <c r="J79" s="40"/>
      <c r="K79" s="40"/>
      <c r="L79" s="24"/>
      <c r="M79" s="24"/>
      <c r="N79" s="40"/>
      <c r="O79" s="40"/>
      <c r="P79" s="40"/>
      <c r="Q79" s="40"/>
      <c r="R79" s="40"/>
      <c r="S79" s="40"/>
      <c r="T79" s="24"/>
      <c r="U79" s="24"/>
      <c r="V79" s="40"/>
      <c r="W79" s="40"/>
      <c r="X79" s="40"/>
      <c r="Y79" s="40"/>
      <c r="Z79" s="40"/>
      <c r="AA79" s="40"/>
      <c r="AB79" s="24"/>
      <c r="AC79" s="24"/>
      <c r="AD79" s="40"/>
      <c r="AE79" s="40"/>
      <c r="AF79" s="40"/>
      <c r="AG79" s="40"/>
      <c r="AH79" s="40"/>
      <c r="AI79" s="40"/>
      <c r="AJ79" s="24"/>
      <c r="AK79" s="24"/>
      <c r="AL79" s="40"/>
      <c r="AM79" s="40"/>
      <c r="AN79" s="40"/>
      <c r="AO79" s="40"/>
      <c r="AP79" s="40"/>
      <c r="AQ79" s="40"/>
      <c r="AR79" s="24"/>
    </row>
    <row r="80" spans="2:44" ht="12.75">
      <c r="B80" s="13" t="s">
        <v>254</v>
      </c>
      <c r="C80" s="37"/>
      <c r="E80" s="40"/>
      <c r="F80" s="40" t="s">
        <v>257</v>
      </c>
      <c r="G80" s="40"/>
      <c r="H80" s="40" t="s">
        <v>257</v>
      </c>
      <c r="I80" s="40"/>
      <c r="J80" s="40" t="s">
        <v>257</v>
      </c>
      <c r="K80" s="40"/>
      <c r="L80" s="24" t="s">
        <v>257</v>
      </c>
      <c r="M80" s="24"/>
      <c r="N80" s="40" t="s">
        <v>258</v>
      </c>
      <c r="O80" s="40"/>
      <c r="P80" s="40" t="s">
        <v>258</v>
      </c>
      <c r="Q80" s="40"/>
      <c r="R80" s="40" t="s">
        <v>258</v>
      </c>
      <c r="S80" s="40"/>
      <c r="T80" s="40" t="s">
        <v>258</v>
      </c>
      <c r="U80" s="24"/>
      <c r="V80" s="40" t="s">
        <v>259</v>
      </c>
      <c r="W80" s="40"/>
      <c r="X80" s="40" t="s">
        <v>259</v>
      </c>
      <c r="Y80" s="40"/>
      <c r="Z80" s="40" t="s">
        <v>259</v>
      </c>
      <c r="AA80" s="40"/>
      <c r="AB80" s="40" t="s">
        <v>259</v>
      </c>
      <c r="AC80" s="24"/>
      <c r="AD80" s="40"/>
      <c r="AE80" s="40"/>
      <c r="AF80" s="40"/>
      <c r="AG80" s="40"/>
      <c r="AH80" s="40"/>
      <c r="AI80" s="40"/>
      <c r="AJ80" s="40"/>
      <c r="AK80" s="24"/>
      <c r="AL80" s="40"/>
      <c r="AM80" s="40"/>
      <c r="AN80" s="40" t="s">
        <v>261</v>
      </c>
      <c r="AO80" s="40"/>
      <c r="AP80" s="40" t="s">
        <v>261</v>
      </c>
      <c r="AQ80" s="40"/>
      <c r="AR80" s="40" t="s">
        <v>261</v>
      </c>
    </row>
    <row r="81" spans="2:36" ht="12.75">
      <c r="B81" s="13" t="s">
        <v>255</v>
      </c>
      <c r="E81" s="40"/>
      <c r="F81" s="39" t="s">
        <v>256</v>
      </c>
      <c r="H81" s="39" t="s">
        <v>256</v>
      </c>
      <c r="J81" s="39" t="s">
        <v>256</v>
      </c>
      <c r="K81" s="40"/>
      <c r="L81" s="39" t="s">
        <v>256</v>
      </c>
      <c r="N81" s="39" t="s">
        <v>256</v>
      </c>
      <c r="O81" s="39"/>
      <c r="P81" s="39" t="s">
        <v>256</v>
      </c>
      <c r="R81" s="39" t="s">
        <v>256</v>
      </c>
      <c r="S81" s="40"/>
      <c r="T81" s="39" t="s">
        <v>256</v>
      </c>
      <c r="V81" s="38" t="s">
        <v>25</v>
      </c>
      <c r="X81" s="38" t="s">
        <v>25</v>
      </c>
      <c r="Z81" s="38" t="s">
        <v>25</v>
      </c>
      <c r="AB81" s="38" t="s">
        <v>25</v>
      </c>
      <c r="AC81" s="39"/>
      <c r="AD81" s="39"/>
      <c r="AE81" s="39"/>
      <c r="AF81" s="39"/>
      <c r="AH81" s="39"/>
      <c r="AI81" s="40"/>
      <c r="AJ81" s="39"/>
    </row>
    <row r="82" spans="2:29" s="40" customFormat="1" ht="12.75">
      <c r="B82" s="13" t="s">
        <v>262</v>
      </c>
      <c r="V82" s="38" t="s">
        <v>25</v>
      </c>
      <c r="W82" s="38"/>
      <c r="X82" s="38" t="s">
        <v>25</v>
      </c>
      <c r="Y82" s="38"/>
      <c r="Z82" s="38" t="s">
        <v>25</v>
      </c>
      <c r="AA82" s="38"/>
      <c r="AB82" s="38" t="s">
        <v>25</v>
      </c>
      <c r="AC82" s="38"/>
    </row>
    <row r="83" spans="2:28" ht="12.75">
      <c r="B83" s="13" t="s">
        <v>48</v>
      </c>
      <c r="E83" s="40"/>
      <c r="F83" s="39" t="s">
        <v>162</v>
      </c>
      <c r="H83" s="39" t="s">
        <v>162</v>
      </c>
      <c r="I83" s="39"/>
      <c r="J83" s="39" t="s">
        <v>162</v>
      </c>
      <c r="K83" s="39"/>
      <c r="L83" s="39" t="s">
        <v>162</v>
      </c>
      <c r="M83" s="39"/>
      <c r="N83" s="38" t="s">
        <v>158</v>
      </c>
      <c r="P83" s="38" t="s">
        <v>158</v>
      </c>
      <c r="R83" s="38" t="s">
        <v>158</v>
      </c>
      <c r="T83" s="38" t="s">
        <v>158</v>
      </c>
      <c r="V83" s="38" t="s">
        <v>25</v>
      </c>
      <c r="X83" s="38" t="s">
        <v>25</v>
      </c>
      <c r="Z83" s="38" t="s">
        <v>25</v>
      </c>
      <c r="AB83" s="38" t="s">
        <v>25</v>
      </c>
    </row>
    <row r="84" spans="2:43" ht="12.75">
      <c r="B84" s="13" t="s">
        <v>123</v>
      </c>
      <c r="D84" s="13" t="s">
        <v>57</v>
      </c>
      <c r="E84" s="40"/>
      <c r="H84" s="39"/>
      <c r="I84" s="39"/>
      <c r="J84" s="40"/>
      <c r="K84" s="40"/>
      <c r="N84" s="38">
        <v>146.67</v>
      </c>
      <c r="P84" s="38">
        <v>167.495</v>
      </c>
      <c r="R84" s="38">
        <v>220.128</v>
      </c>
      <c r="T84" s="42"/>
      <c r="U84" s="42"/>
      <c r="V84" s="42"/>
      <c r="W84" s="42"/>
      <c r="X84" s="42"/>
      <c r="Y84" s="42"/>
      <c r="Z84" s="42"/>
      <c r="AA84" s="42"/>
      <c r="AH84" s="42"/>
      <c r="AI84" s="42"/>
      <c r="AJ84" s="42"/>
      <c r="AK84" s="42"/>
      <c r="AL84" s="42"/>
      <c r="AM84" s="42"/>
      <c r="AN84" s="42"/>
      <c r="AO84" s="42"/>
      <c r="AP84" s="42"/>
      <c r="AQ84" s="42"/>
    </row>
    <row r="85" spans="2:13" ht="12.75">
      <c r="B85" s="13" t="s">
        <v>123</v>
      </c>
      <c r="D85" s="13" t="s">
        <v>164</v>
      </c>
      <c r="E85" s="40"/>
      <c r="F85" s="39">
        <v>3408</v>
      </c>
      <c r="H85" s="39">
        <v>3892</v>
      </c>
      <c r="I85" s="39"/>
      <c r="J85" s="40">
        <v>5115</v>
      </c>
      <c r="K85" s="40"/>
      <c r="L85" s="42"/>
      <c r="M85" s="42"/>
    </row>
    <row r="86" spans="2:11" ht="12.75">
      <c r="B86" s="13" t="s">
        <v>50</v>
      </c>
      <c r="D86" s="13" t="s">
        <v>51</v>
      </c>
      <c r="E86" s="40"/>
      <c r="H86" s="39"/>
      <c r="I86" s="39"/>
      <c r="J86" s="40"/>
      <c r="K86" s="40"/>
    </row>
    <row r="87" spans="2:11" ht="12.75">
      <c r="B87" s="13" t="s">
        <v>58</v>
      </c>
      <c r="D87" s="13" t="s">
        <v>135</v>
      </c>
      <c r="E87" s="40"/>
      <c r="H87" s="39"/>
      <c r="I87" s="39"/>
      <c r="J87" s="40"/>
      <c r="K87" s="40"/>
    </row>
    <row r="88" spans="2:28" ht="12.75">
      <c r="B88" s="13" t="s">
        <v>52</v>
      </c>
      <c r="D88" s="13" t="s">
        <v>57</v>
      </c>
      <c r="E88" s="40"/>
      <c r="H88" s="39"/>
      <c r="I88" s="39"/>
      <c r="J88" s="40"/>
      <c r="K88" s="40"/>
      <c r="V88" s="38">
        <v>27.82</v>
      </c>
      <c r="X88" s="38">
        <v>31.77</v>
      </c>
      <c r="Z88" s="38">
        <v>41.76</v>
      </c>
      <c r="AB88" s="38">
        <v>33.78</v>
      </c>
    </row>
    <row r="89" spans="2:28" ht="12.75">
      <c r="B89" s="13" t="s">
        <v>53</v>
      </c>
      <c r="D89" s="13" t="s">
        <v>57</v>
      </c>
      <c r="E89" s="40"/>
      <c r="H89" s="39"/>
      <c r="I89" s="39"/>
      <c r="J89" s="40"/>
      <c r="K89" s="40"/>
      <c r="V89" s="38">
        <v>2.185</v>
      </c>
      <c r="X89" s="38">
        <v>2.495</v>
      </c>
      <c r="Z89" s="38">
        <v>3.279</v>
      </c>
      <c r="AB89" s="38">
        <v>2.653</v>
      </c>
    </row>
    <row r="90" spans="2:28" ht="12.75">
      <c r="B90" s="13" t="s">
        <v>96</v>
      </c>
      <c r="D90" s="13" t="s">
        <v>57</v>
      </c>
      <c r="E90" s="40"/>
      <c r="H90" s="39"/>
      <c r="I90" s="39"/>
      <c r="J90" s="40"/>
      <c r="K90" s="40"/>
      <c r="V90" s="38">
        <v>2.078</v>
      </c>
      <c r="X90" s="38">
        <v>2.382</v>
      </c>
      <c r="Z90" s="38">
        <v>3.13</v>
      </c>
      <c r="AB90" s="38">
        <v>2.533</v>
      </c>
    </row>
    <row r="91" spans="2:28" ht="12.75">
      <c r="B91" s="13" t="s">
        <v>98</v>
      </c>
      <c r="D91" s="13" t="s">
        <v>57</v>
      </c>
      <c r="E91" s="40"/>
      <c r="H91" s="39"/>
      <c r="I91" s="39"/>
      <c r="J91" s="40"/>
      <c r="K91" s="40"/>
      <c r="V91" s="38">
        <v>3.805</v>
      </c>
      <c r="X91" s="38">
        <v>4.345</v>
      </c>
      <c r="Z91" s="38">
        <v>3.279</v>
      </c>
      <c r="AB91" s="38">
        <v>4.62</v>
      </c>
    </row>
    <row r="92" spans="2:11" ht="12.75">
      <c r="B92" s="13" t="s">
        <v>115</v>
      </c>
      <c r="D92" s="13" t="s">
        <v>57</v>
      </c>
      <c r="E92" s="40"/>
      <c r="H92" s="39"/>
      <c r="I92" s="39"/>
      <c r="J92" s="40"/>
      <c r="K92" s="40"/>
    </row>
    <row r="93" spans="2:28" ht="12.75">
      <c r="B93" s="13" t="s">
        <v>95</v>
      </c>
      <c r="D93" s="13" t="s">
        <v>57</v>
      </c>
      <c r="E93" s="40"/>
      <c r="H93" s="39"/>
      <c r="I93" s="39"/>
      <c r="J93" s="40"/>
      <c r="K93" s="40"/>
      <c r="V93" s="38">
        <v>98.943</v>
      </c>
      <c r="X93" s="38">
        <v>112.994</v>
      </c>
      <c r="Z93" s="38">
        <v>148.501</v>
      </c>
      <c r="AB93" s="38">
        <v>120.146</v>
      </c>
    </row>
    <row r="94" spans="5:11" ht="12.75">
      <c r="E94" s="40"/>
      <c r="H94" s="39"/>
      <c r="I94" s="39"/>
      <c r="J94" s="40"/>
      <c r="K94" s="40"/>
    </row>
    <row r="95" spans="2:29" ht="12.75">
      <c r="B95" s="13" t="s">
        <v>71</v>
      </c>
      <c r="D95" s="13" t="s">
        <v>17</v>
      </c>
      <c r="E95" s="40"/>
      <c r="F95" s="12"/>
      <c r="G95" s="12"/>
      <c r="H95" s="39"/>
      <c r="I95" s="39"/>
      <c r="J95" s="40"/>
      <c r="K95" s="40"/>
      <c r="V95" s="42">
        <f>'emiss 1'!G157</f>
        <v>2768.3166666666666</v>
      </c>
      <c r="W95" s="42"/>
      <c r="X95" s="42">
        <f>'emiss 1'!I157</f>
        <v>2687.233333333333</v>
      </c>
      <c r="Y95" s="42"/>
      <c r="Z95" s="42">
        <f>'emiss 1'!K157</f>
        <v>2687.75</v>
      </c>
      <c r="AA95" s="42"/>
      <c r="AB95" s="42">
        <f>'emiss 1'!M157</f>
        <v>2714.4333333333334</v>
      </c>
      <c r="AC95" s="42"/>
    </row>
    <row r="96" spans="2:29" ht="12.75">
      <c r="B96" s="13" t="s">
        <v>72</v>
      </c>
      <c r="D96" s="13" t="s">
        <v>18</v>
      </c>
      <c r="E96" s="40"/>
      <c r="F96" s="12"/>
      <c r="G96" s="12"/>
      <c r="H96" s="39"/>
      <c r="I96" s="39"/>
      <c r="J96" s="40"/>
      <c r="K96" s="40"/>
      <c r="V96" s="42">
        <f>'emiss 1'!G158</f>
        <v>15.2</v>
      </c>
      <c r="W96" s="42"/>
      <c r="X96" s="42">
        <f>'emiss 1'!I158</f>
        <v>14.67</v>
      </c>
      <c r="Y96" s="42"/>
      <c r="Z96" s="42">
        <f>'emiss 1'!K158</f>
        <v>14.8</v>
      </c>
      <c r="AA96" s="42"/>
      <c r="AB96" s="42">
        <f>'emiss 1'!M158</f>
        <v>14.89</v>
      </c>
      <c r="AC96" s="42"/>
    </row>
    <row r="97" spans="5:11" ht="12.75">
      <c r="E97" s="40"/>
      <c r="H97" s="39"/>
      <c r="I97" s="39"/>
      <c r="J97" s="40"/>
      <c r="K97" s="40"/>
    </row>
    <row r="98" spans="2:11" ht="12.75">
      <c r="B98" s="13" t="s">
        <v>122</v>
      </c>
      <c r="D98" s="13" t="s">
        <v>64</v>
      </c>
      <c r="E98" s="40"/>
      <c r="H98" s="39"/>
      <c r="I98" s="39"/>
      <c r="J98" s="40"/>
      <c r="K98" s="40"/>
    </row>
    <row r="99" spans="2:11" ht="12.75">
      <c r="B99" s="13" t="s">
        <v>263</v>
      </c>
      <c r="D99" s="13" t="s">
        <v>64</v>
      </c>
      <c r="E99" s="40"/>
      <c r="F99" s="42"/>
      <c r="G99" s="42"/>
      <c r="H99" s="39"/>
      <c r="I99" s="39"/>
      <c r="J99" s="40"/>
      <c r="K99" s="40"/>
    </row>
    <row r="100" spans="5:11" ht="12.75">
      <c r="E100" s="40"/>
      <c r="F100" s="38"/>
      <c r="G100" s="38"/>
      <c r="H100" s="39"/>
      <c r="I100" s="39"/>
      <c r="J100" s="40"/>
      <c r="K100" s="40"/>
    </row>
    <row r="101" spans="2:11" ht="12.75">
      <c r="B101" s="62" t="s">
        <v>88</v>
      </c>
      <c r="C101" s="62"/>
      <c r="E101" s="40"/>
      <c r="F101" s="38"/>
      <c r="G101" s="38"/>
      <c r="H101" s="39"/>
      <c r="I101" s="39"/>
      <c r="J101" s="40"/>
      <c r="K101" s="40"/>
    </row>
    <row r="102" spans="2:28" ht="12.75">
      <c r="B102" s="13" t="s">
        <v>52</v>
      </c>
      <c r="D102" s="13" t="s">
        <v>73</v>
      </c>
      <c r="E102" s="40"/>
      <c r="F102" s="14"/>
      <c r="G102" s="14"/>
      <c r="H102" s="39"/>
      <c r="I102" s="39"/>
      <c r="J102" s="40"/>
      <c r="K102" s="40"/>
      <c r="V102" s="56">
        <f>V88*454/60/0.0283/V$95*(21-7)/(21-V$96)*1000</f>
        <v>6485.740486929723</v>
      </c>
      <c r="W102" s="56"/>
      <c r="X102" s="56">
        <f>X88*454/60/0.0283/X$95*(21-7)/(21-X$96)*1000</f>
        <v>6991.241904364546</v>
      </c>
      <c r="Y102" s="56"/>
      <c r="Z102" s="56">
        <f>Z88*454/60/0.0283/Z$95*(21-7)/(21-Z$96)*1000</f>
        <v>9380.50312768363</v>
      </c>
      <c r="AA102" s="56"/>
      <c r="AB102" s="56">
        <f>AB88*454/60/0.0283/AB$95*(21-7)/(21-AB$96)*1000</f>
        <v>7624.045119212426</v>
      </c>
    </row>
    <row r="103" spans="2:28" ht="12.75">
      <c r="B103" s="13" t="s">
        <v>53</v>
      </c>
      <c r="D103" s="13" t="s">
        <v>65</v>
      </c>
      <c r="E103" s="40"/>
      <c r="F103" s="43"/>
      <c r="G103" s="43"/>
      <c r="H103" s="39"/>
      <c r="I103" s="39"/>
      <c r="J103" s="40"/>
      <c r="K103" s="40"/>
      <c r="V103" s="56">
        <f aca="true" t="shared" si="1" ref="V103:AB104">V89*454/60/0.0283/V$95*(21-7)/(21-V$96)*1000000</f>
        <v>509394.06771895924</v>
      </c>
      <c r="W103" s="56"/>
      <c r="X103" s="56">
        <f t="shared" si="1"/>
        <v>549044.6506575241</v>
      </c>
      <c r="Y103" s="56"/>
      <c r="Z103" s="56">
        <f t="shared" si="1"/>
        <v>736558.1838044687</v>
      </c>
      <c r="AA103" s="56"/>
      <c r="AB103" s="56">
        <f t="shared" si="1"/>
        <v>598774.17706544</v>
      </c>
    </row>
    <row r="104" spans="2:28" ht="12.75">
      <c r="B104" s="13" t="s">
        <v>96</v>
      </c>
      <c r="D104" s="13" t="s">
        <v>65</v>
      </c>
      <c r="E104" s="40"/>
      <c r="F104" s="43"/>
      <c r="G104" s="43"/>
      <c r="H104" s="39"/>
      <c r="I104" s="39"/>
      <c r="J104" s="40"/>
      <c r="K104" s="40"/>
      <c r="V104" s="56">
        <f t="shared" si="1"/>
        <v>484448.9119999988</v>
      </c>
      <c r="W104" s="56"/>
      <c r="X104" s="56">
        <f t="shared" si="1"/>
        <v>524178.09934517933</v>
      </c>
      <c r="Y104" s="56"/>
      <c r="Z104" s="56">
        <f t="shared" si="1"/>
        <v>703088.4767636436</v>
      </c>
      <c r="AA104" s="56"/>
      <c r="AB104" s="56">
        <f t="shared" si="1"/>
        <v>571690.5354341347</v>
      </c>
    </row>
    <row r="105" spans="2:28" ht="12.75">
      <c r="B105" s="13" t="s">
        <v>98</v>
      </c>
      <c r="D105" s="13" t="s">
        <v>65</v>
      </c>
      <c r="E105" s="40"/>
      <c r="F105" s="43"/>
      <c r="G105" s="43"/>
      <c r="H105" s="39"/>
      <c r="I105" s="39"/>
      <c r="J105" s="40"/>
      <c r="K105" s="40"/>
      <c r="V105" s="56">
        <f>V91*454/60/0.0283/V$95*(21-7)/(21-V$96)*1000000</f>
        <v>887068.3879499496</v>
      </c>
      <c r="W105" s="56"/>
      <c r="X105" s="56">
        <f>X91*454/60/0.0283/X$95*(21-7)/(21-X$96)*1000000</f>
        <v>956151.9066560891</v>
      </c>
      <c r="Y105" s="56"/>
      <c r="Z105" s="56">
        <f>Z91*454/60/0.0283/Z$95*(21-7)/(21-Z$96)*1000000</f>
        <v>736558.1838044687</v>
      </c>
      <c r="AA105" s="56"/>
      <c r="AB105" s="56">
        <f>AB91*454/60/0.0283/AB$95*(21-7)/(21-AB$96)*1000000</f>
        <v>1042720.2028052516</v>
      </c>
    </row>
    <row r="106" spans="2:28" ht="12.75">
      <c r="B106" s="13" t="s">
        <v>95</v>
      </c>
      <c r="D106" s="13" t="s">
        <v>65</v>
      </c>
      <c r="E106" s="40"/>
      <c r="F106" s="43"/>
      <c r="G106" s="43"/>
      <c r="H106" s="39"/>
      <c r="I106" s="39"/>
      <c r="J106" s="39"/>
      <c r="K106" s="39"/>
      <c r="L106" s="39"/>
      <c r="M106" s="39"/>
      <c r="N106" s="39"/>
      <c r="O106" s="39"/>
      <c r="V106" s="56">
        <f>V93*454/60/0.0283/V$95*(21-7)/(21-V$96)*1000000</f>
        <v>23066808.806552395</v>
      </c>
      <c r="W106" s="56"/>
      <c r="X106" s="56">
        <f>X93*454/60/0.0283/X$95*(21-7)/(21-X$96)*1000000</f>
        <v>24865230.96448749</v>
      </c>
      <c r="Y106" s="56"/>
      <c r="Z106" s="56">
        <f>Z93*454/60/0.0283/Z$95*(21-7)/(21-Z$96)*1000000</f>
        <v>33357617.216574382</v>
      </c>
      <c r="AA106" s="56"/>
      <c r="AB106" s="56">
        <f>AB93*454/60/0.0283/AB$95*(21-7)/(21-AB$96)*1000000</f>
        <v>27116593.39528999</v>
      </c>
    </row>
    <row r="107" spans="2:28" ht="12.75">
      <c r="B107" s="13" t="s">
        <v>66</v>
      </c>
      <c r="D107" s="13" t="s">
        <v>65</v>
      </c>
      <c r="E107" s="40"/>
      <c r="F107" s="42"/>
      <c r="G107" s="42"/>
      <c r="H107" s="39"/>
      <c r="I107" s="39"/>
      <c r="V107" s="56">
        <f>V106</f>
        <v>23066808.806552395</v>
      </c>
      <c r="W107" s="56"/>
      <c r="X107" s="56">
        <f>X106</f>
        <v>24865230.96448749</v>
      </c>
      <c r="Y107" s="56"/>
      <c r="Z107" s="56">
        <f>Z106</f>
        <v>33357617.216574382</v>
      </c>
      <c r="AA107" s="56"/>
      <c r="AB107" s="56">
        <f>AB106</f>
        <v>27116593.39528999</v>
      </c>
    </row>
    <row r="108" spans="5:9" ht="12.75">
      <c r="E108" s="40"/>
      <c r="F108" s="42"/>
      <c r="G108" s="42"/>
      <c r="H108" s="39"/>
      <c r="I108" s="39"/>
    </row>
    <row r="109" spans="5:11" ht="12.75">
      <c r="E109" s="40"/>
      <c r="F109" s="43"/>
      <c r="G109" s="43"/>
      <c r="H109" s="39"/>
      <c r="I109" s="39"/>
      <c r="J109" s="40"/>
      <c r="K109" s="40"/>
    </row>
    <row r="110" spans="5:9" ht="12.75">
      <c r="E110" s="40"/>
      <c r="F110" s="45"/>
      <c r="G110" s="45"/>
      <c r="H110" s="39"/>
      <c r="I110" s="39"/>
    </row>
    <row r="111" spans="6:9" ht="12.75">
      <c r="F111" s="43"/>
      <c r="G111" s="43"/>
      <c r="H111" s="46"/>
      <c r="I111" s="46"/>
    </row>
    <row r="112" spans="6:9" ht="12.75">
      <c r="F112" s="44"/>
      <c r="G112" s="44"/>
      <c r="H112" s="47"/>
      <c r="I112" s="47"/>
    </row>
    <row r="113" spans="6:7" ht="12.75">
      <c r="F113" s="45"/>
      <c r="G113" s="45"/>
    </row>
    <row r="114" spans="6:7" ht="12.75">
      <c r="F114" s="44"/>
      <c r="G114" s="44"/>
    </row>
    <row r="115" spans="6:11" ht="12.75">
      <c r="F115" s="43"/>
      <c r="G115" s="43"/>
      <c r="H115" s="43"/>
      <c r="I115" s="43"/>
      <c r="J115" s="39"/>
      <c r="K115" s="39"/>
    </row>
    <row r="116" spans="6:11" ht="12.75">
      <c r="F116" s="43"/>
      <c r="G116" s="43"/>
      <c r="H116" s="43"/>
      <c r="I116" s="43"/>
      <c r="J116" s="39"/>
      <c r="K116" s="39"/>
    </row>
    <row r="117" spans="6:11" ht="12.75">
      <c r="F117" s="14"/>
      <c r="G117" s="14"/>
      <c r="H117" s="43"/>
      <c r="I117" s="43"/>
      <c r="J117" s="39"/>
      <c r="K117" s="39"/>
    </row>
    <row r="118" spans="6:11" ht="12.75">
      <c r="F118" s="14"/>
      <c r="G118" s="14"/>
      <c r="H118" s="43"/>
      <c r="I118" s="43"/>
      <c r="J118" s="39"/>
      <c r="K118" s="39"/>
    </row>
    <row r="119" spans="8:9" ht="12.75">
      <c r="H119" s="39"/>
      <c r="I119" s="39"/>
    </row>
    <row r="120" spans="6:15" ht="12.75">
      <c r="F120" s="14"/>
      <c r="G120" s="14"/>
      <c r="H120" s="14"/>
      <c r="I120" s="14"/>
      <c r="L120" s="42"/>
      <c r="M120" s="42"/>
      <c r="N120" s="42"/>
      <c r="O120" s="42"/>
    </row>
    <row r="121" spans="6:15" ht="12.75">
      <c r="F121" s="14"/>
      <c r="G121" s="14"/>
      <c r="N121" s="14"/>
      <c r="O121" s="14"/>
    </row>
    <row r="122" spans="6:15" ht="12.75">
      <c r="F122" s="14"/>
      <c r="G122" s="14"/>
      <c r="N122" s="14"/>
      <c r="O122" s="14"/>
    </row>
    <row r="123" spans="2:15" ht="12.75">
      <c r="B123" s="62"/>
      <c r="C123" s="62"/>
      <c r="F123" s="14"/>
      <c r="G123" s="14"/>
      <c r="N123" s="14"/>
      <c r="O123" s="14"/>
    </row>
    <row r="124" spans="6:9" ht="12.75">
      <c r="F124" s="14"/>
      <c r="G124" s="14"/>
      <c r="H124" s="14"/>
      <c r="I124" s="14"/>
    </row>
    <row r="125" spans="6:11" ht="12.75">
      <c r="F125" s="15"/>
      <c r="G125" s="15"/>
      <c r="H125" s="15"/>
      <c r="I125" s="15"/>
      <c r="J125" s="15"/>
      <c r="K125" s="15"/>
    </row>
    <row r="126" spans="6:9" ht="12.75">
      <c r="F126" s="14"/>
      <c r="G126" s="14"/>
      <c r="H126" s="14"/>
      <c r="I126" s="14"/>
    </row>
    <row r="127" spans="6:9" ht="12.75">
      <c r="F127" s="14"/>
      <c r="G127" s="14"/>
      <c r="H127" s="14"/>
      <c r="I127" s="14"/>
    </row>
    <row r="128" spans="5:9" ht="12.75">
      <c r="E128" s="40"/>
      <c r="F128" s="14"/>
      <c r="G128" s="14"/>
      <c r="H128" s="14"/>
      <c r="I128" s="14"/>
    </row>
    <row r="129" spans="5:9" ht="12.75">
      <c r="E129" s="40"/>
      <c r="F129" s="14"/>
      <c r="G129" s="14"/>
      <c r="H129" s="14"/>
      <c r="I129" s="14"/>
    </row>
    <row r="130" spans="5:9" ht="12.75">
      <c r="E130" s="40"/>
      <c r="F130" s="14"/>
      <c r="G130" s="14"/>
      <c r="H130" s="14"/>
      <c r="I130" s="14"/>
    </row>
    <row r="131" spans="6:9" ht="12.75">
      <c r="F131" s="14"/>
      <c r="G131" s="14"/>
      <c r="H131" s="14"/>
      <c r="I131" s="14"/>
    </row>
    <row r="132" spans="6:9" ht="12.75">
      <c r="F132" s="14"/>
      <c r="G132" s="14"/>
      <c r="H132" s="14"/>
      <c r="I132" s="14"/>
    </row>
    <row r="133" spans="6:9" ht="12.75">
      <c r="F133" s="14"/>
      <c r="G133" s="14"/>
      <c r="H133" s="14"/>
      <c r="I133" s="14"/>
    </row>
    <row r="134" spans="6:9" ht="12.75">
      <c r="F134" s="14"/>
      <c r="G134" s="14"/>
      <c r="H134" s="14"/>
      <c r="I134" s="14"/>
    </row>
    <row r="135" spans="6:9" ht="12.75">
      <c r="F135" s="14"/>
      <c r="G135" s="14"/>
      <c r="H135" s="14"/>
      <c r="I135" s="14"/>
    </row>
    <row r="136" spans="6:9" ht="12.75">
      <c r="F136" s="14"/>
      <c r="G136" s="14"/>
      <c r="H136" s="14"/>
      <c r="I136" s="14"/>
    </row>
    <row r="137" spans="6:9" ht="12.75">
      <c r="F137" s="14"/>
      <c r="G137" s="14"/>
      <c r="H137" s="14"/>
      <c r="I137" s="14"/>
    </row>
    <row r="138" spans="6:9" ht="12.75">
      <c r="F138" s="14"/>
      <c r="G138" s="14"/>
      <c r="H138" s="14"/>
      <c r="I138" s="14"/>
    </row>
    <row r="139" spans="6:9" ht="12.75">
      <c r="F139" s="14"/>
      <c r="G139" s="14"/>
      <c r="H139" s="14"/>
      <c r="I139" s="14"/>
    </row>
    <row r="140" spans="6:9" ht="12.75">
      <c r="F140" s="14"/>
      <c r="G140" s="14"/>
      <c r="H140" s="14"/>
      <c r="I140" s="14"/>
    </row>
    <row r="142" spans="2:3" ht="12.75">
      <c r="B142" s="37"/>
      <c r="C142" s="37"/>
    </row>
  </sheetData>
  <printOptions headings="1" horizontalCentered="1"/>
  <pageMargins left="0.25" right="0.25" top="0.5" bottom="0.5" header="0.25" footer="0.25"/>
  <pageSetup horizontalDpi="600" verticalDpi="600" orientation="landscape" pageOrder="overThenDown" scale="70" r:id="rId1"/>
  <headerFooter alignWithMargins="0">
    <oddFooter>&amp;C&amp;P, &amp;A, &amp;F</oddFooter>
  </headerFooter>
</worksheet>
</file>

<file path=xl/worksheets/sheet7.xml><?xml version="1.0" encoding="utf-8"?>
<worksheet xmlns="http://schemas.openxmlformats.org/spreadsheetml/2006/main" xmlns:r="http://schemas.openxmlformats.org/officeDocument/2006/relationships">
  <dimension ref="A1:G41"/>
  <sheetViews>
    <sheetView workbookViewId="0" topLeftCell="B1">
      <selection activeCell="B33" sqref="B33"/>
    </sheetView>
  </sheetViews>
  <sheetFormatPr defaultColWidth="9.140625" defaultRowHeight="12.75"/>
  <cols>
    <col min="1" max="1" width="9.140625" style="0" hidden="1" customWidth="1"/>
    <col min="2" max="2" width="25.8515625" style="0" customWidth="1"/>
    <col min="4" max="4" width="3.140625" style="0" customWidth="1"/>
    <col min="5" max="5" width="12.28125" style="0" customWidth="1"/>
    <col min="6" max="6" width="12.421875" style="0" customWidth="1"/>
  </cols>
  <sheetData>
    <row r="1" spans="2:6" ht="12.75">
      <c r="B1" s="8" t="s">
        <v>79</v>
      </c>
      <c r="C1" s="17"/>
      <c r="D1" s="17"/>
      <c r="E1" s="17"/>
      <c r="F1" s="17"/>
    </row>
    <row r="2" spans="2:6" ht="12.75">
      <c r="B2" s="17"/>
      <c r="C2" s="17"/>
      <c r="D2" s="17"/>
      <c r="E2" s="17"/>
      <c r="F2" s="17"/>
    </row>
    <row r="3" spans="1:6" ht="12.75">
      <c r="A3" t="s">
        <v>121</v>
      </c>
      <c r="B3" s="8" t="s">
        <v>167</v>
      </c>
      <c r="C3" s="17"/>
      <c r="D3" s="17"/>
      <c r="E3" s="17"/>
      <c r="F3" s="17"/>
    </row>
    <row r="4" spans="2:6" ht="12.75">
      <c r="B4" s="17"/>
      <c r="C4" s="17"/>
      <c r="D4" s="17"/>
      <c r="E4" s="17"/>
      <c r="F4" s="17"/>
    </row>
    <row r="5" spans="2:7" ht="12.75">
      <c r="B5" s="17" t="s">
        <v>168</v>
      </c>
      <c r="C5" s="17" t="s">
        <v>169</v>
      </c>
      <c r="D5" s="17"/>
      <c r="E5" s="17">
        <v>1.75</v>
      </c>
      <c r="F5">
        <v>1.82</v>
      </c>
      <c r="G5">
        <v>1.93</v>
      </c>
    </row>
    <row r="6" spans="2:7" ht="14.25">
      <c r="B6" s="17" t="s">
        <v>170</v>
      </c>
      <c r="C6" s="9" t="s">
        <v>62</v>
      </c>
      <c r="D6" s="9"/>
      <c r="E6" s="17">
        <v>1600.98</v>
      </c>
      <c r="F6" s="17">
        <v>1602.6</v>
      </c>
      <c r="G6">
        <v>1601.73</v>
      </c>
    </row>
    <row r="7" spans="2:7" ht="12.75">
      <c r="B7" s="17" t="s">
        <v>171</v>
      </c>
      <c r="C7" s="17" t="s">
        <v>176</v>
      </c>
      <c r="D7" s="17"/>
      <c r="E7" s="17">
        <v>9.064</v>
      </c>
      <c r="F7" s="17">
        <v>10.078</v>
      </c>
      <c r="G7">
        <v>11.556</v>
      </c>
    </row>
    <row r="8" spans="2:7" ht="14.25">
      <c r="B8" s="17" t="s">
        <v>172</v>
      </c>
      <c r="C8" s="9" t="s">
        <v>62</v>
      </c>
      <c r="D8" s="17"/>
      <c r="E8" s="48">
        <v>666.69</v>
      </c>
      <c r="F8" s="17">
        <v>687.69</v>
      </c>
      <c r="G8">
        <v>680.1</v>
      </c>
    </row>
    <row r="9" spans="2:7" ht="12.75">
      <c r="B9" s="17" t="s">
        <v>173</v>
      </c>
      <c r="C9" s="17" t="s">
        <v>177</v>
      </c>
      <c r="D9" s="17"/>
      <c r="E9" s="49">
        <v>0.315</v>
      </c>
      <c r="F9" s="17">
        <v>0.283</v>
      </c>
      <c r="G9">
        <v>0.282</v>
      </c>
    </row>
    <row r="10" spans="2:7" ht="14.25">
      <c r="B10" s="17" t="s">
        <v>174</v>
      </c>
      <c r="C10" s="9" t="s">
        <v>62</v>
      </c>
      <c r="D10" s="17"/>
      <c r="E10" s="17">
        <v>517.15</v>
      </c>
      <c r="F10" s="17">
        <v>463.44</v>
      </c>
      <c r="G10">
        <v>467.42</v>
      </c>
    </row>
    <row r="11" spans="2:7" ht="14.25">
      <c r="B11" s="17" t="s">
        <v>175</v>
      </c>
      <c r="C11" s="9" t="s">
        <v>62</v>
      </c>
      <c r="D11" s="17"/>
      <c r="E11" s="17">
        <v>1301.02</v>
      </c>
      <c r="F11" s="17">
        <v>1285.45</v>
      </c>
      <c r="G11">
        <v>1229.97</v>
      </c>
    </row>
    <row r="12" spans="2:7" ht="12.75">
      <c r="B12" s="17"/>
      <c r="C12" s="17"/>
      <c r="D12" s="17"/>
      <c r="E12" s="17">
        <v>14.362</v>
      </c>
      <c r="F12" s="17">
        <v>14.343</v>
      </c>
      <c r="G12">
        <v>14.346</v>
      </c>
    </row>
    <row r="13" spans="2:6" ht="12.75">
      <c r="B13" s="8" t="s">
        <v>178</v>
      </c>
      <c r="C13" s="17"/>
      <c r="D13" s="17"/>
      <c r="E13" s="17"/>
      <c r="F13" s="17"/>
    </row>
    <row r="14" spans="1:6" ht="12.75">
      <c r="A14" t="s">
        <v>121</v>
      </c>
      <c r="B14" s="17"/>
      <c r="C14" s="17"/>
      <c r="D14" s="17"/>
      <c r="E14" s="17"/>
      <c r="F14" s="17"/>
    </row>
    <row r="15" spans="2:7" ht="12.75">
      <c r="B15" s="17" t="s">
        <v>168</v>
      </c>
      <c r="C15" s="17" t="s">
        <v>169</v>
      </c>
      <c r="D15" s="17"/>
      <c r="E15" s="17">
        <v>2.79</v>
      </c>
      <c r="F15" s="17">
        <v>2.78</v>
      </c>
      <c r="G15">
        <v>2.77</v>
      </c>
    </row>
    <row r="16" spans="2:7" ht="14.25">
      <c r="B16" s="17" t="s">
        <v>170</v>
      </c>
      <c r="C16" s="9" t="s">
        <v>62</v>
      </c>
      <c r="D16" s="9"/>
      <c r="E16" s="48">
        <v>1604.87</v>
      </c>
      <c r="F16" s="17">
        <v>1606.78</v>
      </c>
      <c r="G16">
        <v>1600.1</v>
      </c>
    </row>
    <row r="17" spans="2:7" ht="12.75">
      <c r="B17" s="17" t="s">
        <v>171</v>
      </c>
      <c r="C17" s="17" t="s">
        <v>176</v>
      </c>
      <c r="D17" s="17"/>
      <c r="E17" s="49">
        <v>8.36</v>
      </c>
      <c r="F17" s="17">
        <v>8.963</v>
      </c>
      <c r="G17">
        <v>10.027</v>
      </c>
    </row>
    <row r="18" spans="2:7" ht="14.25">
      <c r="B18" s="17" t="s">
        <v>172</v>
      </c>
      <c r="C18" s="9" t="s">
        <v>62</v>
      </c>
      <c r="E18" s="17">
        <v>690.93</v>
      </c>
      <c r="F18" s="17">
        <v>671.8</v>
      </c>
      <c r="G18">
        <v>660.32</v>
      </c>
    </row>
    <row r="19" spans="2:7" ht="12.75">
      <c r="B19" s="17" t="s">
        <v>173</v>
      </c>
      <c r="C19" s="17" t="s">
        <v>177</v>
      </c>
      <c r="E19" s="17">
        <v>0.297</v>
      </c>
      <c r="F19" s="17">
        <v>0.295</v>
      </c>
      <c r="G19">
        <v>0.3</v>
      </c>
    </row>
    <row r="20" spans="2:7" ht="14.25">
      <c r="B20" s="17" t="s">
        <v>174</v>
      </c>
      <c r="C20" s="9" t="s">
        <v>62</v>
      </c>
      <c r="D20" s="17"/>
      <c r="E20" s="48">
        <v>591.23</v>
      </c>
      <c r="F20" s="17">
        <v>621.98</v>
      </c>
      <c r="G20">
        <v>630.23</v>
      </c>
    </row>
    <row r="21" spans="2:7" ht="14.25">
      <c r="B21" s="17" t="s">
        <v>175</v>
      </c>
      <c r="C21" s="9" t="s">
        <v>62</v>
      </c>
      <c r="D21" s="17"/>
      <c r="E21" s="17">
        <v>1201.18</v>
      </c>
      <c r="F21" s="17">
        <v>1212.92</v>
      </c>
      <c r="G21">
        <v>1276.14</v>
      </c>
    </row>
    <row r="22" spans="2:6" ht="12.75">
      <c r="B22" s="17"/>
      <c r="C22" s="17"/>
      <c r="D22" s="17"/>
      <c r="E22" s="17"/>
      <c r="F22" s="17"/>
    </row>
    <row r="23" spans="2:6" ht="12.75">
      <c r="B23" s="8" t="s">
        <v>179</v>
      </c>
      <c r="C23" s="17"/>
      <c r="D23" s="17"/>
      <c r="E23" s="17"/>
      <c r="F23" s="17"/>
    </row>
    <row r="24" spans="1:6" ht="12.75">
      <c r="A24" t="s">
        <v>121</v>
      </c>
      <c r="B24" s="17"/>
      <c r="C24" s="17"/>
      <c r="D24" s="17"/>
      <c r="E24" s="17"/>
      <c r="F24" s="17"/>
    </row>
    <row r="25" spans="2:7" ht="12.75">
      <c r="B25" s="17" t="s">
        <v>168</v>
      </c>
      <c r="C25" s="17" t="s">
        <v>169</v>
      </c>
      <c r="D25" s="17"/>
      <c r="E25" s="17">
        <v>1.65</v>
      </c>
      <c r="F25" s="17">
        <v>1.61</v>
      </c>
      <c r="G25">
        <v>1.58</v>
      </c>
    </row>
    <row r="26" spans="2:7" ht="14.25">
      <c r="B26" s="17" t="s">
        <v>170</v>
      </c>
      <c r="C26" s="9" t="s">
        <v>62</v>
      </c>
      <c r="D26" s="9"/>
      <c r="E26" s="48">
        <v>1712.82</v>
      </c>
      <c r="F26" s="17">
        <v>1687.75</v>
      </c>
      <c r="G26">
        <v>1649.57</v>
      </c>
    </row>
    <row r="27" spans="2:7" ht="12.75">
      <c r="B27" s="17" t="s">
        <v>171</v>
      </c>
      <c r="C27" s="17" t="s">
        <v>176</v>
      </c>
      <c r="D27" s="17"/>
      <c r="E27" s="49">
        <v>14.404</v>
      </c>
      <c r="F27" s="17">
        <v>14.529</v>
      </c>
      <c r="G27">
        <v>14.29</v>
      </c>
    </row>
    <row r="28" spans="2:7" ht="14.25">
      <c r="B28" s="17" t="s">
        <v>172</v>
      </c>
      <c r="C28" s="9" t="s">
        <v>62</v>
      </c>
      <c r="E28" s="17">
        <v>671.55</v>
      </c>
      <c r="F28" s="17">
        <v>666.24</v>
      </c>
      <c r="G28">
        <v>638.51</v>
      </c>
    </row>
    <row r="29" spans="2:7" ht="12.75">
      <c r="B29" s="17" t="s">
        <v>173</v>
      </c>
      <c r="C29" s="17" t="s">
        <v>177</v>
      </c>
      <c r="E29" s="17">
        <v>0.368</v>
      </c>
      <c r="F29" s="17">
        <v>0.348</v>
      </c>
      <c r="G29">
        <v>0.337</v>
      </c>
    </row>
    <row r="30" spans="2:7" ht="14.25">
      <c r="B30" s="17" t="s">
        <v>174</v>
      </c>
      <c r="C30" s="9" t="s">
        <v>62</v>
      </c>
      <c r="D30" s="17"/>
      <c r="E30" s="48">
        <v>679.37</v>
      </c>
      <c r="F30" s="17">
        <v>637.16</v>
      </c>
      <c r="G30">
        <v>606.17</v>
      </c>
    </row>
    <row r="31" spans="2:7" ht="14.25">
      <c r="B31" s="17" t="s">
        <v>175</v>
      </c>
      <c r="C31" s="9" t="s">
        <v>62</v>
      </c>
      <c r="D31" s="17"/>
      <c r="E31" s="17">
        <v>1409.81</v>
      </c>
      <c r="F31" s="17">
        <v>1280.97</v>
      </c>
      <c r="G31">
        <v>1261.33</v>
      </c>
    </row>
    <row r="32" spans="2:5" ht="12.75">
      <c r="B32" s="8"/>
      <c r="C32" s="17"/>
      <c r="D32" s="17"/>
      <c r="E32" s="17"/>
    </row>
    <row r="33" spans="2:6" ht="12.75">
      <c r="B33" s="8" t="s">
        <v>184</v>
      </c>
      <c r="C33" s="17"/>
      <c r="D33" s="17"/>
      <c r="E33" s="17"/>
      <c r="F33" s="17"/>
    </row>
    <row r="34" spans="2:6" ht="12.75">
      <c r="B34" s="17"/>
      <c r="C34" s="17"/>
      <c r="D34" s="17"/>
      <c r="E34" s="17"/>
      <c r="F34" s="17"/>
    </row>
    <row r="35" spans="2:7" ht="12.75">
      <c r="B35" s="17" t="s">
        <v>168</v>
      </c>
      <c r="C35" s="17" t="s">
        <v>169</v>
      </c>
      <c r="D35" s="17"/>
      <c r="E35" s="17">
        <v>1.5</v>
      </c>
      <c r="F35" s="17">
        <v>1.5</v>
      </c>
      <c r="G35">
        <v>1.5</v>
      </c>
    </row>
    <row r="36" spans="2:7" ht="14.25">
      <c r="B36" s="17" t="s">
        <v>170</v>
      </c>
      <c r="C36" s="9" t="s">
        <v>62</v>
      </c>
      <c r="D36" s="9"/>
      <c r="E36" s="48">
        <v>1634</v>
      </c>
      <c r="F36" s="17">
        <v>1632</v>
      </c>
      <c r="G36">
        <v>1634</v>
      </c>
    </row>
    <row r="37" spans="2:7" ht="12.75">
      <c r="B37" s="17" t="s">
        <v>171</v>
      </c>
      <c r="C37" s="17" t="s">
        <v>176</v>
      </c>
      <c r="D37" s="17"/>
      <c r="E37" s="49">
        <v>3.54</v>
      </c>
      <c r="F37" s="17">
        <v>4.13</v>
      </c>
      <c r="G37">
        <v>4.53</v>
      </c>
    </row>
    <row r="38" spans="2:7" ht="14.25">
      <c r="B38" s="17" t="s">
        <v>172</v>
      </c>
      <c r="C38" s="9" t="s">
        <v>62</v>
      </c>
      <c r="E38" s="17">
        <v>792</v>
      </c>
      <c r="F38" s="17">
        <v>806</v>
      </c>
      <c r="G38">
        <v>818</v>
      </c>
    </row>
    <row r="39" spans="2:7" ht="12.75">
      <c r="B39" s="17" t="s">
        <v>173</v>
      </c>
      <c r="C39" s="17" t="s">
        <v>177</v>
      </c>
      <c r="E39" s="17">
        <v>-0.28</v>
      </c>
      <c r="F39" s="17">
        <v>-0.29</v>
      </c>
      <c r="G39">
        <v>-0.29</v>
      </c>
    </row>
    <row r="40" spans="2:7" ht="14.25">
      <c r="B40" s="17" t="s">
        <v>174</v>
      </c>
      <c r="C40" s="9" t="s">
        <v>62</v>
      </c>
      <c r="D40" s="17"/>
      <c r="E40" s="48">
        <v>507</v>
      </c>
      <c r="F40" s="17">
        <v>538</v>
      </c>
      <c r="G40">
        <v>597</v>
      </c>
    </row>
    <row r="41" spans="2:7" ht="14.25">
      <c r="B41" s="17" t="s">
        <v>175</v>
      </c>
      <c r="C41" s="9" t="s">
        <v>62</v>
      </c>
      <c r="D41" s="17"/>
      <c r="E41" s="17">
        <v>821</v>
      </c>
      <c r="F41" s="17">
        <v>844</v>
      </c>
      <c r="G41">
        <v>799</v>
      </c>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8.xml><?xml version="1.0" encoding="utf-8"?>
<worksheet xmlns="http://schemas.openxmlformats.org/spreadsheetml/2006/main" xmlns:r="http://schemas.openxmlformats.org/officeDocument/2006/relationships">
  <dimension ref="A1:R87"/>
  <sheetViews>
    <sheetView zoomScale="75" zoomScaleNormal="75" workbookViewId="0" topLeftCell="A22">
      <selection activeCell="B33" sqref="B33"/>
    </sheetView>
  </sheetViews>
  <sheetFormatPr defaultColWidth="9.140625" defaultRowHeight="12.75"/>
  <cols>
    <col min="1" max="1" width="1.7109375" style="0" customWidth="1"/>
    <col min="2" max="2" width="20.00390625" style="0" customWidth="1"/>
    <col min="3" max="3" width="8.28125" style="0" customWidth="1"/>
    <col min="4" max="4" width="4.57421875" style="0" customWidth="1"/>
    <col min="5" max="5" width="9.421875" style="0" customWidth="1"/>
    <col min="6" max="6" width="9.8515625" style="0" customWidth="1"/>
    <col min="7" max="7" width="12.421875" style="0" bestFit="1" customWidth="1"/>
    <col min="8" max="8" width="9.8515625" style="0" customWidth="1"/>
    <col min="9" max="9" width="3.421875" style="0" customWidth="1"/>
    <col min="11" max="11" width="9.28125" style="0" customWidth="1"/>
    <col min="13" max="13" width="9.28125" style="0" customWidth="1"/>
    <col min="14" max="14" width="4.140625" style="0" customWidth="1"/>
    <col min="16" max="16" width="9.00390625" style="0" customWidth="1"/>
    <col min="18" max="18" width="9.00390625" style="0" customWidth="1"/>
  </cols>
  <sheetData>
    <row r="1" spans="1:18" ht="12.75">
      <c r="A1" s="58" t="s">
        <v>81</v>
      </c>
      <c r="B1" s="38"/>
      <c r="C1" s="38"/>
      <c r="D1" s="38"/>
      <c r="E1" s="50"/>
      <c r="F1" s="51"/>
      <c r="G1" s="50"/>
      <c r="H1" s="51"/>
      <c r="I1" s="50"/>
      <c r="J1" s="50"/>
      <c r="K1" s="50"/>
      <c r="L1" s="50"/>
      <c r="M1" s="50"/>
      <c r="N1" s="50"/>
      <c r="O1" s="50"/>
      <c r="P1" s="50"/>
      <c r="Q1" s="50"/>
      <c r="R1" s="50"/>
    </row>
    <row r="2" spans="1:18" ht="12.75">
      <c r="A2" s="38" t="s">
        <v>265</v>
      </c>
      <c r="B2" s="38"/>
      <c r="C2" s="38"/>
      <c r="D2" s="38"/>
      <c r="E2" s="50"/>
      <c r="F2" s="51"/>
      <c r="G2" s="50"/>
      <c r="H2" s="51"/>
      <c r="I2" s="50"/>
      <c r="J2" s="50"/>
      <c r="K2" s="50"/>
      <c r="L2" s="50"/>
      <c r="M2" s="50"/>
      <c r="N2" s="50"/>
      <c r="O2" s="50"/>
      <c r="P2" s="50"/>
      <c r="Q2" s="50"/>
      <c r="R2" s="50"/>
    </row>
    <row r="3" spans="1:18" ht="12.75">
      <c r="A3" s="38" t="s">
        <v>20</v>
      </c>
      <c r="B3" s="38"/>
      <c r="C3" s="13" t="str">
        <f>source!C5</f>
        <v>Tooele Army Depot North</v>
      </c>
      <c r="D3" s="13"/>
      <c r="E3" s="50"/>
      <c r="F3" s="51"/>
      <c r="G3" s="50"/>
      <c r="H3" s="51"/>
      <c r="I3" s="50"/>
      <c r="J3" s="50"/>
      <c r="K3" s="50"/>
      <c r="L3" s="50"/>
      <c r="M3" s="50"/>
      <c r="N3" s="50"/>
      <c r="O3" s="50"/>
      <c r="P3" s="50"/>
      <c r="Q3" s="50"/>
      <c r="R3" s="50"/>
    </row>
    <row r="4" spans="1:18" ht="12.75">
      <c r="A4" s="38" t="s">
        <v>21</v>
      </c>
      <c r="B4" s="38"/>
      <c r="C4" s="13" t="s">
        <v>149</v>
      </c>
      <c r="D4" s="13"/>
      <c r="E4" s="52"/>
      <c r="F4" s="53"/>
      <c r="G4" s="52"/>
      <c r="H4" s="53"/>
      <c r="I4" s="52"/>
      <c r="J4" s="52"/>
      <c r="K4" s="52"/>
      <c r="L4" s="52"/>
      <c r="M4" s="52"/>
      <c r="N4" s="52"/>
      <c r="O4" s="52"/>
      <c r="P4" s="52"/>
      <c r="Q4" s="52"/>
      <c r="R4" s="52"/>
    </row>
    <row r="5" spans="1:18" ht="12.75">
      <c r="A5" s="38" t="s">
        <v>22</v>
      </c>
      <c r="B5" s="38"/>
      <c r="C5" s="17" t="str">
        <f>cond!C10</f>
        <v>Trial burn, M9 propellant feed</v>
      </c>
      <c r="D5" s="17"/>
      <c r="E5" s="17"/>
      <c r="F5" s="17"/>
      <c r="G5" s="17"/>
      <c r="H5" s="17"/>
      <c r="I5" s="17"/>
      <c r="J5" s="17"/>
      <c r="K5" s="50"/>
      <c r="L5" s="17"/>
      <c r="M5" s="50"/>
      <c r="N5" s="50"/>
      <c r="O5" s="50"/>
      <c r="P5" s="50"/>
      <c r="Q5" s="50"/>
      <c r="R5" s="50"/>
    </row>
    <row r="6" spans="1:18" ht="12.75">
      <c r="A6" s="38"/>
      <c r="B6" s="38"/>
      <c r="C6" s="40"/>
      <c r="D6" s="40"/>
      <c r="E6" s="54"/>
      <c r="F6" s="51"/>
      <c r="G6" s="54"/>
      <c r="H6" s="51"/>
      <c r="I6" s="50"/>
      <c r="J6" s="54"/>
      <c r="K6" s="50"/>
      <c r="L6" s="54"/>
      <c r="M6" s="50"/>
      <c r="N6" s="50"/>
      <c r="O6" s="54"/>
      <c r="P6" s="50"/>
      <c r="Q6" s="54"/>
      <c r="R6" s="50"/>
    </row>
    <row r="7" spans="1:18" ht="12.75">
      <c r="A7" s="38"/>
      <c r="B7" s="38"/>
      <c r="C7" s="40" t="s">
        <v>23</v>
      </c>
      <c r="D7" s="40"/>
      <c r="E7" s="55" t="s">
        <v>59</v>
      </c>
      <c r="F7" s="55"/>
      <c r="G7" s="55"/>
      <c r="H7" s="55"/>
      <c r="I7" s="16"/>
      <c r="J7" s="55" t="s">
        <v>60</v>
      </c>
      <c r="K7" s="55"/>
      <c r="L7" s="55"/>
      <c r="M7" s="55"/>
      <c r="N7" s="16"/>
      <c r="O7" s="55" t="s">
        <v>61</v>
      </c>
      <c r="P7" s="55"/>
      <c r="Q7" s="55"/>
      <c r="R7" s="55"/>
    </row>
    <row r="8" spans="1:18" ht="12.75">
      <c r="A8" s="38"/>
      <c r="B8" s="38"/>
      <c r="C8" s="40" t="s">
        <v>24</v>
      </c>
      <c r="D8" s="38"/>
      <c r="E8" s="54" t="s">
        <v>25</v>
      </c>
      <c r="F8" s="53" t="s">
        <v>26</v>
      </c>
      <c r="G8" s="54" t="s">
        <v>25</v>
      </c>
      <c r="H8" s="53" t="s">
        <v>26</v>
      </c>
      <c r="I8" s="50"/>
      <c r="J8" s="54" t="s">
        <v>25</v>
      </c>
      <c r="K8" s="54" t="s">
        <v>27</v>
      </c>
      <c r="L8" s="54" t="s">
        <v>25</v>
      </c>
      <c r="M8" s="54" t="s">
        <v>27</v>
      </c>
      <c r="N8" s="50"/>
      <c r="O8" s="54" t="s">
        <v>25</v>
      </c>
      <c r="P8" s="54" t="s">
        <v>27</v>
      </c>
      <c r="Q8" s="54" t="s">
        <v>25</v>
      </c>
      <c r="R8" s="54" t="s">
        <v>27</v>
      </c>
    </row>
    <row r="9" spans="1:18" ht="12.75">
      <c r="A9" s="38"/>
      <c r="B9" s="38"/>
      <c r="C9" s="40"/>
      <c r="D9" s="38"/>
      <c r="E9" s="54" t="s">
        <v>225</v>
      </c>
      <c r="F9" s="54" t="s">
        <v>225</v>
      </c>
      <c r="G9" s="54" t="s">
        <v>80</v>
      </c>
      <c r="H9" s="53" t="s">
        <v>80</v>
      </c>
      <c r="I9" s="50"/>
      <c r="J9" s="54" t="s">
        <v>225</v>
      </c>
      <c r="K9" s="54" t="s">
        <v>225</v>
      </c>
      <c r="L9" s="54" t="s">
        <v>80</v>
      </c>
      <c r="M9" s="53" t="s">
        <v>80</v>
      </c>
      <c r="N9" s="50"/>
      <c r="O9" s="54" t="s">
        <v>225</v>
      </c>
      <c r="P9" s="54" t="s">
        <v>225</v>
      </c>
      <c r="Q9" s="54" t="s">
        <v>80</v>
      </c>
      <c r="R9" s="53" t="s">
        <v>80</v>
      </c>
    </row>
    <row r="10" spans="1:18" ht="12.75">
      <c r="A10" s="38" t="s">
        <v>166</v>
      </c>
      <c r="B10" s="38"/>
      <c r="C10" s="38"/>
      <c r="D10" s="38"/>
      <c r="E10" s="50"/>
      <c r="F10" s="51"/>
      <c r="G10" s="50"/>
      <c r="H10" s="51"/>
      <c r="I10" s="50"/>
      <c r="J10" s="50"/>
      <c r="K10" s="50"/>
      <c r="L10" s="50"/>
      <c r="M10" s="50"/>
      <c r="N10" s="50"/>
      <c r="O10" s="42"/>
      <c r="P10" s="50"/>
      <c r="Q10" s="50"/>
      <c r="R10" s="50"/>
    </row>
    <row r="11" spans="1:18" ht="12.75">
      <c r="A11" s="38"/>
      <c r="B11" s="38" t="s">
        <v>28</v>
      </c>
      <c r="C11" s="40">
        <v>1</v>
      </c>
      <c r="D11" s="40"/>
      <c r="E11" s="47"/>
      <c r="F11" s="47">
        <f aca="true" t="shared" si="0" ref="F11:H27">IF(E11="","",E11*$C11)</f>
      </c>
      <c r="G11" s="47">
        <f aca="true" t="shared" si="1" ref="G11:G27">IF(E11=0,"",IF(D11="nd",E11/2,E11))</f>
      </c>
      <c r="H11" s="47">
        <f t="shared" si="0"/>
      </c>
      <c r="I11" s="51"/>
      <c r="J11" s="17"/>
      <c r="K11" s="47">
        <f aca="true" t="shared" si="2" ref="K11:M27">IF(J11="","",J11*$C11)</f>
      </c>
      <c r="L11" s="47">
        <f>IF(J11=0,"",IF(I11="nd",J11/2,J11))</f>
      </c>
      <c r="M11" s="47">
        <f t="shared" si="2"/>
      </c>
      <c r="N11" s="51"/>
      <c r="O11" s="56"/>
      <c r="P11" s="56">
        <f aca="true" t="shared" si="3" ref="P11:R27">IF(O11="","",O11*$C11)</f>
      </c>
      <c r="Q11" s="56">
        <f>IF(O11=0,"",IF(N11="nd",O11/2,O11))</f>
      </c>
      <c r="R11" s="56">
        <f t="shared" si="3"/>
      </c>
    </row>
    <row r="12" spans="1:18" ht="12.75">
      <c r="A12" s="38"/>
      <c r="B12" s="38" t="s">
        <v>29</v>
      </c>
      <c r="C12" s="40">
        <v>0.5</v>
      </c>
      <c r="D12" s="40"/>
      <c r="E12" s="47"/>
      <c r="F12" s="47">
        <f t="shared" si="0"/>
      </c>
      <c r="G12" s="47">
        <f t="shared" si="1"/>
      </c>
      <c r="H12" s="47">
        <f t="shared" si="0"/>
      </c>
      <c r="I12" s="51"/>
      <c r="J12" s="17"/>
      <c r="K12" s="47">
        <f t="shared" si="2"/>
      </c>
      <c r="L12" s="47">
        <f aca="true" t="shared" si="4" ref="L12:L27">IF(J12=0,"",IF(I12="nd",J12/2,J12))</f>
      </c>
      <c r="M12" s="47">
        <f t="shared" si="2"/>
      </c>
      <c r="N12" s="51"/>
      <c r="O12" s="57"/>
      <c r="P12" s="56">
        <f t="shared" si="3"/>
      </c>
      <c r="Q12" s="56">
        <f aca="true" t="shared" si="5" ref="Q12:Q27">IF(O12=0,"",IF(N12="nd",O12/2,O12))</f>
      </c>
      <c r="R12" s="56">
        <f t="shared" si="3"/>
      </c>
    </row>
    <row r="13" spans="1:18" ht="12.75">
      <c r="A13" s="38"/>
      <c r="B13" s="38" t="s">
        <v>30</v>
      </c>
      <c r="C13" s="40">
        <v>0.1</v>
      </c>
      <c r="D13" s="40"/>
      <c r="E13" s="47"/>
      <c r="F13" s="47">
        <f t="shared" si="0"/>
      </c>
      <c r="G13" s="47">
        <f t="shared" si="1"/>
      </c>
      <c r="H13" s="47">
        <f t="shared" si="0"/>
      </c>
      <c r="I13" s="51"/>
      <c r="J13" s="17"/>
      <c r="K13" s="47">
        <f t="shared" si="2"/>
      </c>
      <c r="L13" s="47">
        <f t="shared" si="4"/>
      </c>
      <c r="M13" s="47">
        <f t="shared" si="2"/>
      </c>
      <c r="N13" s="51"/>
      <c r="O13" s="57"/>
      <c r="P13" s="56">
        <f t="shared" si="3"/>
      </c>
      <c r="Q13" s="56">
        <f t="shared" si="5"/>
      </c>
      <c r="R13" s="56">
        <f t="shared" si="3"/>
      </c>
    </row>
    <row r="14" spans="1:18" ht="12.75">
      <c r="A14" s="38"/>
      <c r="B14" s="38" t="s">
        <v>31</v>
      </c>
      <c r="C14" s="40">
        <v>0.1</v>
      </c>
      <c r="D14" s="40"/>
      <c r="E14" s="47"/>
      <c r="F14" s="47">
        <f t="shared" si="0"/>
      </c>
      <c r="G14" s="47">
        <f t="shared" si="1"/>
      </c>
      <c r="H14" s="47">
        <f t="shared" si="0"/>
      </c>
      <c r="I14" s="51"/>
      <c r="J14" s="17"/>
      <c r="K14" s="47">
        <f t="shared" si="2"/>
      </c>
      <c r="L14" s="47">
        <f t="shared" si="4"/>
      </c>
      <c r="M14" s="47">
        <f t="shared" si="2"/>
      </c>
      <c r="N14" s="51"/>
      <c r="O14" s="57"/>
      <c r="P14" s="56">
        <f t="shared" si="3"/>
      </c>
      <c r="Q14" s="56">
        <f t="shared" si="5"/>
      </c>
      <c r="R14" s="56">
        <f t="shared" si="3"/>
      </c>
    </row>
    <row r="15" spans="1:18" ht="12.75">
      <c r="A15" s="38"/>
      <c r="B15" s="38" t="s">
        <v>32</v>
      </c>
      <c r="C15" s="40">
        <v>0.1</v>
      </c>
      <c r="D15" s="40"/>
      <c r="E15" s="47"/>
      <c r="F15" s="47">
        <f t="shared" si="0"/>
      </c>
      <c r="G15" s="47">
        <f t="shared" si="1"/>
      </c>
      <c r="H15" s="47">
        <f t="shared" si="0"/>
      </c>
      <c r="I15" s="51"/>
      <c r="J15" s="17"/>
      <c r="K15" s="47">
        <f t="shared" si="2"/>
      </c>
      <c r="L15" s="47">
        <f t="shared" si="4"/>
      </c>
      <c r="M15" s="47">
        <f t="shared" si="2"/>
      </c>
      <c r="N15" s="51"/>
      <c r="O15" s="57"/>
      <c r="P15" s="56">
        <f t="shared" si="3"/>
      </c>
      <c r="Q15" s="56">
        <f t="shared" si="5"/>
      </c>
      <c r="R15" s="56">
        <f t="shared" si="3"/>
      </c>
    </row>
    <row r="16" spans="1:18" ht="12.75">
      <c r="A16" s="38"/>
      <c r="B16" s="38" t="s">
        <v>33</v>
      </c>
      <c r="C16" s="40">
        <v>0.01</v>
      </c>
      <c r="D16" s="40"/>
      <c r="E16" s="56"/>
      <c r="F16" s="47">
        <f t="shared" si="0"/>
      </c>
      <c r="G16" s="47">
        <f t="shared" si="1"/>
      </c>
      <c r="H16" s="47">
        <f t="shared" si="0"/>
      </c>
      <c r="I16" s="51"/>
      <c r="J16" s="17"/>
      <c r="K16" s="47">
        <f t="shared" si="2"/>
      </c>
      <c r="L16" s="47">
        <f t="shared" si="4"/>
      </c>
      <c r="M16" s="47">
        <f t="shared" si="2"/>
      </c>
      <c r="N16" s="51"/>
      <c r="O16" s="57"/>
      <c r="P16" s="56">
        <f t="shared" si="3"/>
      </c>
      <c r="Q16" s="56">
        <f t="shared" si="5"/>
      </c>
      <c r="R16" s="56">
        <f t="shared" si="3"/>
      </c>
    </row>
    <row r="17" spans="1:18" ht="12.75">
      <c r="A17" s="38"/>
      <c r="B17" s="38" t="s">
        <v>34</v>
      </c>
      <c r="C17" s="40">
        <v>0.001</v>
      </c>
      <c r="D17" s="40"/>
      <c r="E17" s="56">
        <v>210</v>
      </c>
      <c r="F17" s="47">
        <f t="shared" si="0"/>
        <v>0.21</v>
      </c>
      <c r="G17" s="47">
        <f t="shared" si="1"/>
        <v>210</v>
      </c>
      <c r="H17" s="47">
        <f t="shared" si="0"/>
        <v>0.21</v>
      </c>
      <c r="I17" s="51"/>
      <c r="J17" s="17">
        <v>360</v>
      </c>
      <c r="K17" s="47">
        <f t="shared" si="2"/>
        <v>0.36</v>
      </c>
      <c r="L17" s="56">
        <f t="shared" si="4"/>
        <v>360</v>
      </c>
      <c r="M17" s="47">
        <f t="shared" si="2"/>
        <v>0.36</v>
      </c>
      <c r="N17" s="51"/>
      <c r="O17" s="57">
        <v>290</v>
      </c>
      <c r="P17" s="56">
        <f t="shared" si="3"/>
        <v>0.29</v>
      </c>
      <c r="Q17" s="56">
        <f t="shared" si="5"/>
        <v>290</v>
      </c>
      <c r="R17" s="56">
        <f t="shared" si="3"/>
        <v>0.29</v>
      </c>
    </row>
    <row r="18" spans="1:18" ht="12.75">
      <c r="A18" s="38"/>
      <c r="B18" s="38" t="s">
        <v>35</v>
      </c>
      <c r="C18" s="40">
        <v>0.1</v>
      </c>
      <c r="D18" s="40"/>
      <c r="E18" s="56">
        <v>13</v>
      </c>
      <c r="F18" s="47">
        <f t="shared" si="0"/>
        <v>1.3</v>
      </c>
      <c r="G18" s="47">
        <f t="shared" si="1"/>
        <v>13</v>
      </c>
      <c r="H18" s="47">
        <f t="shared" si="0"/>
        <v>1.3</v>
      </c>
      <c r="I18" s="51"/>
      <c r="J18" s="17">
        <v>12</v>
      </c>
      <c r="K18" s="47">
        <f t="shared" si="2"/>
        <v>1.2000000000000002</v>
      </c>
      <c r="L18" s="56">
        <f t="shared" si="4"/>
        <v>12</v>
      </c>
      <c r="M18" s="47">
        <f t="shared" si="2"/>
        <v>1.2000000000000002</v>
      </c>
      <c r="N18" s="51"/>
      <c r="O18" s="57">
        <v>10</v>
      </c>
      <c r="P18" s="56">
        <f t="shared" si="3"/>
        <v>1</v>
      </c>
      <c r="Q18" s="56">
        <f t="shared" si="5"/>
        <v>10</v>
      </c>
      <c r="R18" s="56">
        <f t="shared" si="3"/>
        <v>1</v>
      </c>
    </row>
    <row r="19" spans="1:18" ht="12.75">
      <c r="A19" s="38"/>
      <c r="B19" s="38" t="s">
        <v>36</v>
      </c>
      <c r="C19" s="40">
        <v>0.05</v>
      </c>
      <c r="D19" s="40"/>
      <c r="E19" s="56"/>
      <c r="F19" s="56">
        <f t="shared" si="0"/>
      </c>
      <c r="G19" s="56">
        <f t="shared" si="1"/>
      </c>
      <c r="H19" s="56">
        <f t="shared" si="0"/>
      </c>
      <c r="I19" s="51"/>
      <c r="J19" s="17"/>
      <c r="K19" s="47">
        <f t="shared" si="2"/>
      </c>
      <c r="L19" s="56">
        <f t="shared" si="4"/>
      </c>
      <c r="M19" s="47">
        <f t="shared" si="2"/>
      </c>
      <c r="N19" s="51"/>
      <c r="O19" s="57"/>
      <c r="P19" s="56">
        <f t="shared" si="3"/>
      </c>
      <c r="Q19" s="56">
        <f t="shared" si="5"/>
      </c>
      <c r="R19" s="56">
        <f t="shared" si="3"/>
      </c>
    </row>
    <row r="20" spans="1:18" ht="12.75">
      <c r="A20" s="38"/>
      <c r="B20" s="38" t="s">
        <v>37</v>
      </c>
      <c r="C20" s="40">
        <v>0.5</v>
      </c>
      <c r="D20" s="40"/>
      <c r="E20" s="56"/>
      <c r="F20" s="56">
        <f t="shared" si="0"/>
      </c>
      <c r="G20" s="56">
        <f t="shared" si="1"/>
      </c>
      <c r="H20" s="56">
        <f t="shared" si="0"/>
      </c>
      <c r="I20" s="51"/>
      <c r="J20" s="17"/>
      <c r="K20" s="47">
        <f t="shared" si="2"/>
      </c>
      <c r="L20" s="56">
        <f t="shared" si="4"/>
      </c>
      <c r="M20" s="47">
        <f t="shared" si="2"/>
      </c>
      <c r="N20" s="51"/>
      <c r="O20" s="57"/>
      <c r="P20" s="56">
        <f t="shared" si="3"/>
      </c>
      <c r="Q20" s="56">
        <f t="shared" si="5"/>
      </c>
      <c r="R20" s="56">
        <f t="shared" si="3"/>
      </c>
    </row>
    <row r="21" spans="1:18" ht="12.75">
      <c r="A21" s="38"/>
      <c r="B21" s="38" t="s">
        <v>38</v>
      </c>
      <c r="C21" s="40">
        <v>0.1</v>
      </c>
      <c r="D21" s="40"/>
      <c r="E21" s="56"/>
      <c r="F21" s="56">
        <f t="shared" si="0"/>
      </c>
      <c r="G21" s="56">
        <f t="shared" si="1"/>
      </c>
      <c r="H21" s="56">
        <f t="shared" si="0"/>
      </c>
      <c r="I21" s="51"/>
      <c r="J21" s="17"/>
      <c r="K21" s="47">
        <f t="shared" si="2"/>
      </c>
      <c r="L21" s="56">
        <f t="shared" si="4"/>
      </c>
      <c r="M21" s="47">
        <f t="shared" si="2"/>
      </c>
      <c r="N21" s="51"/>
      <c r="O21" s="57"/>
      <c r="P21" s="56">
        <f t="shared" si="3"/>
      </c>
      <c r="Q21" s="56">
        <f t="shared" si="5"/>
      </c>
      <c r="R21" s="56">
        <f t="shared" si="3"/>
      </c>
    </row>
    <row r="22" spans="1:18" ht="12.75">
      <c r="A22" s="38"/>
      <c r="B22" s="38" t="s">
        <v>39</v>
      </c>
      <c r="C22" s="40">
        <v>0.1</v>
      </c>
      <c r="D22" s="40"/>
      <c r="E22" s="56"/>
      <c r="F22" s="56">
        <f t="shared" si="0"/>
      </c>
      <c r="G22" s="56">
        <f t="shared" si="1"/>
      </c>
      <c r="H22" s="56">
        <f t="shared" si="0"/>
      </c>
      <c r="I22" s="51"/>
      <c r="J22" s="17"/>
      <c r="K22" s="47">
        <f t="shared" si="2"/>
      </c>
      <c r="L22" s="56">
        <f t="shared" si="4"/>
      </c>
      <c r="M22" s="47">
        <f t="shared" si="2"/>
      </c>
      <c r="N22" s="51"/>
      <c r="O22" s="57"/>
      <c r="P22" s="56">
        <f t="shared" si="3"/>
      </c>
      <c r="Q22" s="56">
        <f t="shared" si="5"/>
      </c>
      <c r="R22" s="56">
        <f t="shared" si="3"/>
      </c>
    </row>
    <row r="23" spans="1:18" ht="12.75">
      <c r="A23" s="38"/>
      <c r="B23" s="38" t="s">
        <v>40</v>
      </c>
      <c r="C23" s="40">
        <v>0.1</v>
      </c>
      <c r="D23" s="40"/>
      <c r="E23" s="56"/>
      <c r="F23" s="56">
        <f t="shared" si="0"/>
      </c>
      <c r="G23" s="56">
        <f t="shared" si="1"/>
      </c>
      <c r="H23" s="56">
        <f t="shared" si="0"/>
      </c>
      <c r="I23" s="51"/>
      <c r="J23" s="17"/>
      <c r="K23" s="47">
        <f t="shared" si="2"/>
      </c>
      <c r="L23" s="56">
        <f t="shared" si="4"/>
      </c>
      <c r="M23" s="47">
        <f t="shared" si="2"/>
      </c>
      <c r="N23" s="51"/>
      <c r="O23" s="57"/>
      <c r="P23" s="56">
        <f t="shared" si="3"/>
      </c>
      <c r="Q23" s="56">
        <f t="shared" si="5"/>
      </c>
      <c r="R23" s="56">
        <f t="shared" si="3"/>
      </c>
    </row>
    <row r="24" spans="1:18" ht="12.75">
      <c r="A24" s="38"/>
      <c r="B24" s="38" t="s">
        <v>41</v>
      </c>
      <c r="C24" s="40">
        <v>0.1</v>
      </c>
      <c r="D24" s="40"/>
      <c r="E24" s="56"/>
      <c r="F24" s="56">
        <f t="shared" si="0"/>
      </c>
      <c r="G24" s="56">
        <f t="shared" si="1"/>
      </c>
      <c r="H24" s="56">
        <f t="shared" si="0"/>
      </c>
      <c r="I24" s="51"/>
      <c r="J24" s="17"/>
      <c r="K24" s="47">
        <f t="shared" si="2"/>
      </c>
      <c r="L24" s="56">
        <f t="shared" si="4"/>
      </c>
      <c r="M24" s="47">
        <f t="shared" si="2"/>
      </c>
      <c r="N24" s="51"/>
      <c r="O24" s="57"/>
      <c r="P24" s="56">
        <f t="shared" si="3"/>
      </c>
      <c r="Q24" s="56">
        <f t="shared" si="5"/>
      </c>
      <c r="R24" s="56">
        <f t="shared" si="3"/>
      </c>
    </row>
    <row r="25" spans="1:18" ht="12.75">
      <c r="A25" s="38"/>
      <c r="B25" s="38" t="s">
        <v>42</v>
      </c>
      <c r="C25" s="40">
        <v>0.01</v>
      </c>
      <c r="D25" s="40"/>
      <c r="E25" s="56"/>
      <c r="F25" s="56">
        <f t="shared" si="0"/>
      </c>
      <c r="G25" s="56">
        <f t="shared" si="1"/>
      </c>
      <c r="H25" s="56">
        <f t="shared" si="0"/>
      </c>
      <c r="I25" s="51"/>
      <c r="J25" s="17"/>
      <c r="K25" s="47">
        <f t="shared" si="2"/>
      </c>
      <c r="L25" s="56">
        <f t="shared" si="4"/>
      </c>
      <c r="M25" s="47">
        <f t="shared" si="2"/>
      </c>
      <c r="N25" s="51"/>
      <c r="O25" s="57"/>
      <c r="P25" s="56">
        <f t="shared" si="3"/>
      </c>
      <c r="Q25" s="56">
        <f t="shared" si="5"/>
      </c>
      <c r="R25" s="56">
        <f t="shared" si="3"/>
      </c>
    </row>
    <row r="26" spans="1:18" ht="12.75">
      <c r="A26" s="38"/>
      <c r="B26" s="38" t="s">
        <v>43</v>
      </c>
      <c r="C26" s="40">
        <v>0.01</v>
      </c>
      <c r="D26" s="40"/>
      <c r="E26" s="56"/>
      <c r="F26" s="56">
        <f t="shared" si="0"/>
      </c>
      <c r="G26" s="56">
        <f t="shared" si="1"/>
      </c>
      <c r="H26" s="56">
        <f t="shared" si="0"/>
      </c>
      <c r="I26" s="51"/>
      <c r="J26" s="17"/>
      <c r="K26" s="47">
        <f t="shared" si="2"/>
      </c>
      <c r="L26" s="56">
        <f t="shared" si="4"/>
      </c>
      <c r="M26" s="47">
        <f t="shared" si="2"/>
      </c>
      <c r="N26" s="51"/>
      <c r="O26" s="57"/>
      <c r="P26" s="56">
        <f t="shared" si="3"/>
      </c>
      <c r="Q26" s="56">
        <f t="shared" si="5"/>
      </c>
      <c r="R26" s="56">
        <f t="shared" si="3"/>
      </c>
    </row>
    <row r="27" spans="1:18" ht="12.75">
      <c r="A27" s="38"/>
      <c r="B27" s="38" t="s">
        <v>44</v>
      </c>
      <c r="C27" s="40">
        <v>0.001</v>
      </c>
      <c r="D27" s="40"/>
      <c r="E27" s="56"/>
      <c r="F27" s="56">
        <f t="shared" si="0"/>
      </c>
      <c r="G27" s="56">
        <f t="shared" si="1"/>
      </c>
      <c r="H27" s="56">
        <f t="shared" si="0"/>
      </c>
      <c r="I27" s="51"/>
      <c r="J27" s="17"/>
      <c r="K27" s="47">
        <f t="shared" si="2"/>
      </c>
      <c r="L27" s="56">
        <f t="shared" si="4"/>
      </c>
      <c r="M27" s="47">
        <f t="shared" si="2"/>
      </c>
      <c r="N27" s="51"/>
      <c r="O27" s="57"/>
      <c r="P27" s="56">
        <f t="shared" si="3"/>
      </c>
      <c r="Q27" s="56">
        <f t="shared" si="5"/>
      </c>
      <c r="R27" s="56">
        <f t="shared" si="3"/>
      </c>
    </row>
    <row r="28" spans="1:18" ht="12.75">
      <c r="A28" s="38"/>
      <c r="B28" s="38" t="s">
        <v>125</v>
      </c>
      <c r="C28" s="40">
        <v>0</v>
      </c>
      <c r="D28" s="40"/>
      <c r="E28" s="56">
        <v>38</v>
      </c>
      <c r="F28" s="56">
        <f aca="true" t="shared" si="6" ref="F28:H35">IF(E28="","",E28*$C28)</f>
        <v>0</v>
      </c>
      <c r="G28" s="56">
        <f aca="true" t="shared" si="7" ref="G28:G35">IF(E28=0,"",IF(D28="nd",E28/2,E28))</f>
        <v>38</v>
      </c>
      <c r="H28" s="56">
        <f t="shared" si="6"/>
        <v>0</v>
      </c>
      <c r="I28" s="51"/>
      <c r="J28" s="32">
        <v>13</v>
      </c>
      <c r="K28" s="47">
        <f aca="true" t="shared" si="8" ref="K28:M35">IF(J28="","",J28*$C28)</f>
        <v>0</v>
      </c>
      <c r="L28" s="56">
        <f aca="true" t="shared" si="9" ref="L28:L35">IF(J28=0,"",IF(I28="nd",J28/2,J28))</f>
        <v>13</v>
      </c>
      <c r="M28" s="47">
        <f t="shared" si="8"/>
        <v>0</v>
      </c>
      <c r="N28" s="51"/>
      <c r="O28" s="56">
        <v>13</v>
      </c>
      <c r="P28" s="56">
        <f aca="true" t="shared" si="10" ref="P28:R35">IF(O28="","",O28*$C28)</f>
        <v>0</v>
      </c>
      <c r="Q28" s="56">
        <f aca="true" t="shared" si="11" ref="Q28:Q35">IF(O28=0,"",IF(N28="nd",O28/2,O28))</f>
        <v>13</v>
      </c>
      <c r="R28" s="56">
        <f t="shared" si="10"/>
        <v>0</v>
      </c>
    </row>
    <row r="29" spans="1:18" ht="12.75">
      <c r="A29" s="38"/>
      <c r="B29" s="38" t="s">
        <v>126</v>
      </c>
      <c r="C29" s="40">
        <v>0</v>
      </c>
      <c r="D29" s="40"/>
      <c r="E29" s="56"/>
      <c r="F29" s="56">
        <f t="shared" si="6"/>
      </c>
      <c r="G29" s="56">
        <f t="shared" si="7"/>
      </c>
      <c r="H29" s="56">
        <f t="shared" si="6"/>
      </c>
      <c r="I29" s="51"/>
      <c r="J29" s="17"/>
      <c r="K29" s="47">
        <f t="shared" si="8"/>
      </c>
      <c r="L29" s="56">
        <f t="shared" si="9"/>
      </c>
      <c r="M29" s="47">
        <f t="shared" si="8"/>
      </c>
      <c r="N29" s="51"/>
      <c r="O29" s="57"/>
      <c r="P29" s="56">
        <f t="shared" si="10"/>
      </c>
      <c r="Q29" s="56">
        <f t="shared" si="11"/>
      </c>
      <c r="R29" s="56">
        <f t="shared" si="10"/>
      </c>
    </row>
    <row r="30" spans="1:18" ht="12.75">
      <c r="A30" s="38"/>
      <c r="B30" s="38" t="s">
        <v>127</v>
      </c>
      <c r="C30" s="40">
        <v>0</v>
      </c>
      <c r="D30" s="40"/>
      <c r="E30" s="56"/>
      <c r="F30" s="56">
        <f t="shared" si="6"/>
      </c>
      <c r="G30" s="56">
        <f t="shared" si="7"/>
      </c>
      <c r="H30" s="56">
        <f t="shared" si="6"/>
      </c>
      <c r="I30" s="51"/>
      <c r="J30" s="17"/>
      <c r="K30" s="47">
        <f t="shared" si="8"/>
      </c>
      <c r="L30" s="56">
        <f t="shared" si="9"/>
      </c>
      <c r="M30" s="47">
        <f t="shared" si="8"/>
      </c>
      <c r="N30" s="51"/>
      <c r="O30" s="57"/>
      <c r="P30" s="56">
        <f t="shared" si="10"/>
      </c>
      <c r="Q30" s="56">
        <f t="shared" si="11"/>
      </c>
      <c r="R30" s="56">
        <f t="shared" si="10"/>
      </c>
    </row>
    <row r="31" spans="1:18" ht="12.75">
      <c r="A31" s="38"/>
      <c r="B31" s="38" t="s">
        <v>128</v>
      </c>
      <c r="C31" s="40">
        <v>0</v>
      </c>
      <c r="D31" s="40"/>
      <c r="E31" s="56"/>
      <c r="F31" s="56">
        <f t="shared" si="6"/>
      </c>
      <c r="G31" s="56">
        <f t="shared" si="7"/>
      </c>
      <c r="H31" s="56">
        <f t="shared" si="6"/>
      </c>
      <c r="I31" s="51"/>
      <c r="J31" s="17"/>
      <c r="K31" s="47">
        <f t="shared" si="8"/>
      </c>
      <c r="L31" s="56">
        <f t="shared" si="9"/>
      </c>
      <c r="M31" s="47">
        <f t="shared" si="8"/>
      </c>
      <c r="N31" s="51"/>
      <c r="O31" s="57"/>
      <c r="P31" s="56">
        <f t="shared" si="10"/>
      </c>
      <c r="Q31" s="56">
        <f t="shared" si="11"/>
      </c>
      <c r="R31" s="56">
        <f t="shared" si="10"/>
      </c>
    </row>
    <row r="32" spans="1:18" ht="12.75">
      <c r="A32" s="38"/>
      <c r="B32" s="38" t="s">
        <v>129</v>
      </c>
      <c r="C32" s="40">
        <v>0</v>
      </c>
      <c r="D32" s="40"/>
      <c r="E32" s="56">
        <v>146</v>
      </c>
      <c r="F32" s="56">
        <f t="shared" si="6"/>
        <v>0</v>
      </c>
      <c r="G32" s="56">
        <f t="shared" si="7"/>
        <v>146</v>
      </c>
      <c r="H32" s="56">
        <f t="shared" si="6"/>
        <v>0</v>
      </c>
      <c r="I32" s="51"/>
      <c r="J32" s="17">
        <v>187</v>
      </c>
      <c r="K32" s="47">
        <f t="shared" si="8"/>
        <v>0</v>
      </c>
      <c r="L32" s="56">
        <f t="shared" si="9"/>
        <v>187</v>
      </c>
      <c r="M32" s="47">
        <f t="shared" si="8"/>
        <v>0</v>
      </c>
      <c r="N32" s="51"/>
      <c r="O32" s="57">
        <v>44</v>
      </c>
      <c r="P32" s="56">
        <f t="shared" si="10"/>
        <v>0</v>
      </c>
      <c r="Q32" s="56">
        <f t="shared" si="11"/>
        <v>44</v>
      </c>
      <c r="R32" s="56">
        <f t="shared" si="10"/>
        <v>0</v>
      </c>
    </row>
    <row r="33" spans="1:18" ht="12.75">
      <c r="A33" s="38"/>
      <c r="B33" s="38" t="s">
        <v>130</v>
      </c>
      <c r="C33" s="40">
        <v>0</v>
      </c>
      <c r="D33" s="40"/>
      <c r="E33" s="56"/>
      <c r="F33" s="56">
        <f t="shared" si="6"/>
      </c>
      <c r="G33" s="56">
        <f t="shared" si="7"/>
      </c>
      <c r="H33" s="56">
        <f t="shared" si="6"/>
      </c>
      <c r="I33" s="51"/>
      <c r="J33" s="17"/>
      <c r="K33" s="47">
        <f t="shared" si="8"/>
      </c>
      <c r="L33" s="56">
        <f t="shared" si="9"/>
      </c>
      <c r="M33" s="47">
        <f t="shared" si="8"/>
      </c>
      <c r="N33" s="51"/>
      <c r="O33" s="57"/>
      <c r="P33" s="56">
        <f t="shared" si="10"/>
      </c>
      <c r="Q33" s="56">
        <f t="shared" si="11"/>
      </c>
      <c r="R33" s="56">
        <f t="shared" si="10"/>
      </c>
    </row>
    <row r="34" spans="1:18" ht="12.75">
      <c r="A34" s="38"/>
      <c r="B34" s="38" t="s">
        <v>131</v>
      </c>
      <c r="C34" s="40">
        <v>0</v>
      </c>
      <c r="D34" s="40"/>
      <c r="E34" s="56"/>
      <c r="F34" s="56">
        <f t="shared" si="6"/>
      </c>
      <c r="G34" s="56">
        <f t="shared" si="7"/>
      </c>
      <c r="H34" s="56">
        <f t="shared" si="6"/>
      </c>
      <c r="I34" s="51"/>
      <c r="J34" s="17"/>
      <c r="K34" s="47">
        <f t="shared" si="8"/>
      </c>
      <c r="L34" s="56">
        <f t="shared" si="9"/>
      </c>
      <c r="M34" s="47">
        <f t="shared" si="8"/>
      </c>
      <c r="N34" s="51"/>
      <c r="O34" s="57"/>
      <c r="P34" s="56">
        <f t="shared" si="10"/>
      </c>
      <c r="Q34" s="56">
        <f t="shared" si="11"/>
      </c>
      <c r="R34" s="56">
        <f t="shared" si="10"/>
      </c>
    </row>
    <row r="35" spans="1:18" ht="12.75">
      <c r="A35" s="38"/>
      <c r="B35" s="38" t="s">
        <v>132</v>
      </c>
      <c r="C35" s="40">
        <v>0</v>
      </c>
      <c r="D35" s="40"/>
      <c r="E35" s="56"/>
      <c r="F35" s="56">
        <f t="shared" si="6"/>
      </c>
      <c r="G35" s="56">
        <f t="shared" si="7"/>
      </c>
      <c r="H35" s="56">
        <f t="shared" si="6"/>
      </c>
      <c r="I35" s="51"/>
      <c r="J35" s="17"/>
      <c r="K35" s="47">
        <f t="shared" si="8"/>
      </c>
      <c r="L35" s="56">
        <f t="shared" si="9"/>
      </c>
      <c r="M35" s="47">
        <f t="shared" si="8"/>
      </c>
      <c r="N35" s="51"/>
      <c r="O35" s="57"/>
      <c r="P35" s="56">
        <f t="shared" si="10"/>
      </c>
      <c r="Q35" s="56">
        <f t="shared" si="11"/>
      </c>
      <c r="R35" s="56">
        <f t="shared" si="10"/>
      </c>
    </row>
    <row r="36" spans="1:18" ht="12.75">
      <c r="A36" s="38"/>
      <c r="B36" s="38"/>
      <c r="C36" s="38"/>
      <c r="D36" s="38"/>
      <c r="E36" s="47"/>
      <c r="F36" s="51"/>
      <c r="G36" s="47"/>
      <c r="H36" s="51"/>
      <c r="I36" s="47"/>
      <c r="J36" s="17"/>
      <c r="K36" s="42"/>
      <c r="L36" s="42"/>
      <c r="M36" s="42"/>
      <c r="N36" s="47"/>
      <c r="O36" s="17"/>
      <c r="P36" s="50"/>
      <c r="Q36" s="47"/>
      <c r="R36" s="50"/>
    </row>
    <row r="37" spans="1:18" ht="12.75">
      <c r="A37" s="38"/>
      <c r="B37" s="38" t="s">
        <v>45</v>
      </c>
      <c r="C37" s="38"/>
      <c r="D37" s="38"/>
      <c r="E37" s="47"/>
      <c r="F37" s="47">
        <v>107.54</v>
      </c>
      <c r="G37" s="47">
        <v>107.54</v>
      </c>
      <c r="H37" s="47">
        <v>107.54</v>
      </c>
      <c r="I37" s="47"/>
      <c r="J37" s="47"/>
      <c r="K37" s="47">
        <v>112.53</v>
      </c>
      <c r="L37" s="47">
        <v>112.53</v>
      </c>
      <c r="M37" s="47">
        <v>112.53</v>
      </c>
      <c r="N37" s="47"/>
      <c r="O37" s="47"/>
      <c r="P37" s="47">
        <v>112.09</v>
      </c>
      <c r="Q37" s="47">
        <v>112.09</v>
      </c>
      <c r="R37" s="47">
        <v>112.09</v>
      </c>
    </row>
    <row r="38" spans="1:18" ht="12.75">
      <c r="A38" s="38"/>
      <c r="B38" s="38" t="s">
        <v>68</v>
      </c>
      <c r="C38" s="38"/>
      <c r="D38" s="38"/>
      <c r="E38" s="47"/>
      <c r="F38" s="47">
        <v>14.87</v>
      </c>
      <c r="G38" s="47">
        <v>14.87</v>
      </c>
      <c r="H38" s="47">
        <v>14.87</v>
      </c>
      <c r="I38" s="47"/>
      <c r="J38" s="47"/>
      <c r="K38" s="42">
        <v>15</v>
      </c>
      <c r="L38" s="42">
        <v>15</v>
      </c>
      <c r="M38" s="42">
        <v>15</v>
      </c>
      <c r="N38" s="47"/>
      <c r="O38" s="47"/>
      <c r="P38" s="47">
        <v>15</v>
      </c>
      <c r="Q38" s="47">
        <v>15</v>
      </c>
      <c r="R38" s="47">
        <v>15</v>
      </c>
    </row>
    <row r="39" spans="1:18" ht="12.75">
      <c r="A39" s="38"/>
      <c r="B39" s="38"/>
      <c r="C39" s="38"/>
      <c r="D39" s="38"/>
      <c r="E39" s="47"/>
      <c r="F39" s="17"/>
      <c r="G39" s="47"/>
      <c r="H39" s="17"/>
      <c r="I39" s="17"/>
      <c r="J39" s="47"/>
      <c r="K39" s="48"/>
      <c r="L39" s="42"/>
      <c r="M39" s="48"/>
      <c r="N39" s="47"/>
      <c r="O39" s="47"/>
      <c r="P39" s="47"/>
      <c r="Q39" s="47"/>
      <c r="R39" s="47"/>
    </row>
    <row r="40" spans="1:18" ht="12.75">
      <c r="A40" s="38"/>
      <c r="B40" s="38" t="s">
        <v>134</v>
      </c>
      <c r="C40" s="51"/>
      <c r="D40" s="51"/>
      <c r="E40" s="42"/>
      <c r="F40" s="47">
        <f>SUM(F11:F27)/1000</f>
        <v>0.00151</v>
      </c>
      <c r="G40" s="42">
        <f>SUM(G27,G35,G34,G33,G32,G17,G31,G30,G29,G28)/1000</f>
        <v>0.394</v>
      </c>
      <c r="H40" s="47">
        <f>SUM(H11:H27)/1000</f>
        <v>0.00151</v>
      </c>
      <c r="I40" s="51"/>
      <c r="J40" s="42"/>
      <c r="K40" s="47">
        <f>SUM(K11:K27)/1000</f>
        <v>0.00156</v>
      </c>
      <c r="L40" s="42">
        <f>SUM(L27,L35,L34,L33,L32,L17,L31,L30,L29,L28)/1000</f>
        <v>0.56</v>
      </c>
      <c r="M40" s="47">
        <f>SUM(M11:M27)/1000</f>
        <v>0.00156</v>
      </c>
      <c r="N40" s="51"/>
      <c r="O40" s="47"/>
      <c r="P40" s="47">
        <f>SUM(P11:P27)/1000</f>
        <v>0.0012900000000000001</v>
      </c>
      <c r="Q40" s="42">
        <f>SUM(Q27,Q35,Q34,Q33,Q32,Q17,Q31,Q30,Q29,Q28)/1000</f>
        <v>0.347</v>
      </c>
      <c r="R40" s="47">
        <f>SUM(R11:R27)/1000</f>
        <v>0.0012900000000000001</v>
      </c>
    </row>
    <row r="41" spans="1:18" ht="12.75">
      <c r="A41" s="38"/>
      <c r="B41" s="38" t="s">
        <v>46</v>
      </c>
      <c r="C41" s="51"/>
      <c r="D41" s="42">
        <f>(F41-H41)*2/F41*100</f>
        <v>0</v>
      </c>
      <c r="E41" s="47"/>
      <c r="F41" s="51">
        <f>(F40/F37/0.0283*(21-7)/(21-F38))</f>
        <v>0.0011331516637856295</v>
      </c>
      <c r="G41" s="47">
        <f>(G40/G37/0.0283*(21-7)/(21-G38))</f>
        <v>0.2956700367758529</v>
      </c>
      <c r="H41" s="51">
        <f>(H40/H37/0.0283*(21-7)/(21-H38))</f>
        <v>0.0011331516637856295</v>
      </c>
      <c r="I41" s="42">
        <f>(K41-M41)*2/K41*100</f>
        <v>0</v>
      </c>
      <c r="J41" s="47"/>
      <c r="K41" s="51">
        <f>(K40/K37/0.0283*(21-7)/(21-K38))</f>
        <v>0.0011430010497397005</v>
      </c>
      <c r="L41" s="47">
        <f>(L40/L37/0.0283*(21-7)/(21-L38))</f>
        <v>0.41030806913732837</v>
      </c>
      <c r="M41" s="51">
        <f>(M40/M37/0.0283*(21-7)/(21-M38))</f>
        <v>0.0011430010497397005</v>
      </c>
      <c r="N41" s="42">
        <f>(P41-R41)*2/P41*100</f>
        <v>0</v>
      </c>
      <c r="O41" s="47"/>
      <c r="P41" s="51">
        <f>(P40/P37/0.0283*(21-7)/(21-P38))</f>
        <v>0.0009488841469200513</v>
      </c>
      <c r="Q41" s="47">
        <f>(Q40/Q37/0.0283*(21-7)/(21-Q38))</f>
        <v>0.2552424798304324</v>
      </c>
      <c r="R41" s="51">
        <f>(R40/R37/0.0283*(21-7)/(21-R38))</f>
        <v>0.0009488841469200513</v>
      </c>
    </row>
    <row r="42" spans="1:18" ht="12.75">
      <c r="A42" s="38"/>
      <c r="B42" s="38"/>
      <c r="C42" s="38"/>
      <c r="D42" s="38"/>
      <c r="E42" s="46"/>
      <c r="F42" s="51"/>
      <c r="G42" s="46"/>
      <c r="H42" s="51"/>
      <c r="I42" s="46"/>
      <c r="J42" s="46"/>
      <c r="K42" s="46"/>
      <c r="L42" s="46"/>
      <c r="M42" s="46"/>
      <c r="N42" s="46"/>
      <c r="O42" s="46"/>
      <c r="P42" s="50"/>
      <c r="Q42" s="46"/>
      <c r="R42" s="50"/>
    </row>
    <row r="43" spans="1:18" ht="12.75">
      <c r="A43" s="47"/>
      <c r="B43" s="38" t="s">
        <v>69</v>
      </c>
      <c r="C43" s="46">
        <f>AVERAGE(H41,M41,R41)</f>
        <v>0.0010750122868151272</v>
      </c>
      <c r="D43" s="47"/>
      <c r="E43" s="47"/>
      <c r="F43" s="51"/>
      <c r="G43" s="47"/>
      <c r="H43" s="51"/>
      <c r="I43" s="47"/>
      <c r="J43" s="47"/>
      <c r="K43" s="47"/>
      <c r="L43" s="47"/>
      <c r="M43" s="47"/>
      <c r="N43" s="47"/>
      <c r="O43" s="47"/>
      <c r="P43" s="50"/>
      <c r="Q43" s="47"/>
      <c r="R43" s="50"/>
    </row>
    <row r="44" spans="1:18" ht="12.75">
      <c r="A44" s="38"/>
      <c r="B44" s="38" t="s">
        <v>70</v>
      </c>
      <c r="C44" s="46">
        <f>AVERAGE(G41,L41,Q41)</f>
        <v>0.32040686191453793</v>
      </c>
      <c r="D44" s="38"/>
      <c r="E44" s="50"/>
      <c r="F44" s="51"/>
      <c r="G44" s="50"/>
      <c r="H44" s="51"/>
      <c r="I44" s="50"/>
      <c r="J44" s="50"/>
      <c r="K44" s="50"/>
      <c r="L44" s="50"/>
      <c r="M44" s="50"/>
      <c r="N44" s="50"/>
      <c r="O44" s="50"/>
      <c r="P44" s="50"/>
      <c r="Q44" s="50"/>
      <c r="R44" s="50"/>
    </row>
    <row r="85" spans="1:18" ht="12.75">
      <c r="A85" s="2"/>
      <c r="B85" s="2"/>
      <c r="C85" s="2"/>
      <c r="D85" s="2"/>
      <c r="E85" s="7"/>
      <c r="G85" s="7"/>
      <c r="J85" s="7"/>
      <c r="K85" s="6"/>
      <c r="L85" s="4"/>
      <c r="M85" s="6"/>
      <c r="N85" s="7"/>
      <c r="O85" s="7"/>
      <c r="P85" s="7"/>
      <c r="Q85" s="7"/>
      <c r="R85" s="7"/>
    </row>
    <row r="86" spans="1:18" ht="12.75">
      <c r="A86" s="2"/>
      <c r="B86" s="2"/>
      <c r="C86" s="3"/>
      <c r="D86" s="3"/>
      <c r="E86" s="4"/>
      <c r="F86" s="7"/>
      <c r="G86" s="4"/>
      <c r="H86" s="7"/>
      <c r="I86" s="3"/>
      <c r="J86" s="4"/>
      <c r="K86" s="4"/>
      <c r="L86" s="4"/>
      <c r="M86" s="4"/>
      <c r="N86" s="3"/>
      <c r="O86" s="7"/>
      <c r="P86" s="3"/>
      <c r="Q86" s="3"/>
      <c r="R86" s="3"/>
    </row>
    <row r="87" spans="1:18" ht="12.75">
      <c r="A87" s="2"/>
      <c r="B87" s="2"/>
      <c r="C87" s="3"/>
      <c r="D87" s="3"/>
      <c r="E87" s="7"/>
      <c r="F87" s="3"/>
      <c r="G87" s="5"/>
      <c r="H87" s="3"/>
      <c r="I87" s="3"/>
      <c r="J87" s="7"/>
      <c r="K87" s="3"/>
      <c r="L87" s="4"/>
      <c r="M87" s="3"/>
      <c r="N87" s="3"/>
      <c r="O87" s="7"/>
      <c r="P87" s="5"/>
      <c r="Q87" s="5"/>
      <c r="R87" s="5"/>
    </row>
  </sheetData>
  <printOptions headings="1" horizontalCentered="1"/>
  <pageMargins left="0.25" right="0.25" top="0.5" bottom="0.5" header="0.25" footer="0.25"/>
  <pageSetup horizontalDpi="600" verticalDpi="600" orientation="landscape" pageOrder="overThenDown" scale="80" r:id="rId1"/>
  <headerFooter alignWithMargins="0">
    <oddFooter>&amp;C&amp;P, &amp;A, &amp;F</oddFooter>
  </headerFooter>
</worksheet>
</file>

<file path=xl/worksheets/sheet9.xml><?xml version="1.0" encoding="utf-8"?>
<worksheet xmlns="http://schemas.openxmlformats.org/spreadsheetml/2006/main" xmlns:r="http://schemas.openxmlformats.org/officeDocument/2006/relationships">
  <dimension ref="A1:R87"/>
  <sheetViews>
    <sheetView zoomScale="75" zoomScaleNormal="75" workbookViewId="0" topLeftCell="A16">
      <selection activeCell="B33" sqref="B33"/>
    </sheetView>
  </sheetViews>
  <sheetFormatPr defaultColWidth="9.140625" defaultRowHeight="12.75"/>
  <cols>
    <col min="1" max="1" width="1.7109375" style="0" customWidth="1"/>
    <col min="2" max="2" width="20.00390625" style="0" customWidth="1"/>
    <col min="3" max="3" width="8.140625" style="0" customWidth="1"/>
    <col min="4" max="4" width="6.140625" style="0" customWidth="1"/>
    <col min="5" max="5" width="9.421875" style="0" customWidth="1"/>
    <col min="6" max="6" width="9.8515625" style="0" customWidth="1"/>
    <col min="7" max="7" width="12.421875" style="0" bestFit="1" customWidth="1"/>
    <col min="8" max="8" width="9.8515625" style="0" customWidth="1"/>
    <col min="9" max="9" width="3.421875" style="0" customWidth="1"/>
    <col min="11" max="11" width="9.28125" style="0" customWidth="1"/>
    <col min="13" max="13" width="9.28125" style="0" customWidth="1"/>
    <col min="14" max="14" width="4.00390625" style="0" customWidth="1"/>
    <col min="16" max="16" width="9.00390625" style="0" customWidth="1"/>
    <col min="18" max="18" width="9.00390625" style="0" customWidth="1"/>
  </cols>
  <sheetData>
    <row r="1" spans="1:18" ht="12.75">
      <c r="A1" s="58" t="s">
        <v>81</v>
      </c>
      <c r="B1" s="38"/>
      <c r="C1" s="38"/>
      <c r="D1" s="38"/>
      <c r="E1" s="50"/>
      <c r="F1" s="51"/>
      <c r="G1" s="50"/>
      <c r="H1" s="51"/>
      <c r="I1" s="50"/>
      <c r="J1" s="50"/>
      <c r="K1" s="50"/>
      <c r="L1" s="50"/>
      <c r="M1" s="50"/>
      <c r="N1" s="50"/>
      <c r="O1" s="50"/>
      <c r="P1" s="50"/>
      <c r="Q1" s="50"/>
      <c r="R1" s="50"/>
    </row>
    <row r="2" spans="1:18" ht="12.75">
      <c r="A2" s="38" t="s">
        <v>265</v>
      </c>
      <c r="B2" s="38"/>
      <c r="C2" s="38"/>
      <c r="D2" s="38"/>
      <c r="E2" s="50"/>
      <c r="F2" s="51"/>
      <c r="G2" s="50"/>
      <c r="H2" s="51"/>
      <c r="I2" s="50"/>
      <c r="J2" s="50"/>
      <c r="K2" s="50"/>
      <c r="L2" s="50"/>
      <c r="M2" s="50"/>
      <c r="N2" s="50"/>
      <c r="O2" s="50"/>
      <c r="P2" s="50"/>
      <c r="Q2" s="50"/>
      <c r="R2" s="50"/>
    </row>
    <row r="3" spans="1:18" ht="12.75">
      <c r="A3" s="38" t="s">
        <v>20</v>
      </c>
      <c r="B3" s="38"/>
      <c r="C3" s="13" t="str">
        <f>source!C5</f>
        <v>Tooele Army Depot North</v>
      </c>
      <c r="D3" s="13"/>
      <c r="E3" s="50"/>
      <c r="F3" s="51"/>
      <c r="G3" s="50"/>
      <c r="H3" s="51"/>
      <c r="I3" s="50"/>
      <c r="J3" s="50"/>
      <c r="K3" s="50"/>
      <c r="L3" s="50"/>
      <c r="M3" s="50"/>
      <c r="N3" s="50"/>
      <c r="O3" s="50"/>
      <c r="P3" s="50"/>
      <c r="Q3" s="50"/>
      <c r="R3" s="50"/>
    </row>
    <row r="4" spans="1:18" ht="12.75">
      <c r="A4" s="38" t="s">
        <v>21</v>
      </c>
      <c r="B4" s="38"/>
      <c r="C4" s="13" t="s">
        <v>159</v>
      </c>
      <c r="D4" s="13"/>
      <c r="E4" s="52"/>
      <c r="F4" s="53"/>
      <c r="G4" s="52"/>
      <c r="H4" s="53"/>
      <c r="I4" s="52"/>
      <c r="J4" s="52"/>
      <c r="K4" s="52"/>
      <c r="L4" s="52"/>
      <c r="M4" s="52"/>
      <c r="N4" s="52"/>
      <c r="O4" s="52"/>
      <c r="P4" s="52"/>
      <c r="Q4" s="52"/>
      <c r="R4" s="52"/>
    </row>
    <row r="5" spans="1:18" ht="12.75">
      <c r="A5" s="38" t="s">
        <v>22</v>
      </c>
      <c r="B5" s="38"/>
      <c r="C5" s="17" t="str">
        <f>cond!C20</f>
        <v>Trial burn, M1 propellant/ HCB powder</v>
      </c>
      <c r="D5" s="17"/>
      <c r="E5" s="17"/>
      <c r="F5" s="17"/>
      <c r="G5" s="17"/>
      <c r="H5" s="17"/>
      <c r="I5" s="17"/>
      <c r="J5" s="17"/>
      <c r="K5" s="50"/>
      <c r="L5" s="17"/>
      <c r="M5" s="50"/>
      <c r="N5" s="50"/>
      <c r="O5" s="50"/>
      <c r="P5" s="50"/>
      <c r="Q5" s="50"/>
      <c r="R5" s="50"/>
    </row>
    <row r="6" spans="1:18" ht="12.75">
      <c r="A6" s="38"/>
      <c r="B6" s="38"/>
      <c r="C6" s="40"/>
      <c r="D6" s="40"/>
      <c r="E6" s="54"/>
      <c r="F6" s="51"/>
      <c r="G6" s="54"/>
      <c r="H6" s="51"/>
      <c r="I6" s="50"/>
      <c r="J6" s="54"/>
      <c r="K6" s="50"/>
      <c r="L6" s="54"/>
      <c r="M6" s="50"/>
      <c r="N6" s="50"/>
      <c r="O6" s="54"/>
      <c r="P6" s="50"/>
      <c r="Q6" s="54"/>
      <c r="R6" s="50"/>
    </row>
    <row r="7" spans="1:18" ht="12.75">
      <c r="A7" s="38"/>
      <c r="B7" s="38"/>
      <c r="C7" s="40" t="s">
        <v>23</v>
      </c>
      <c r="D7" s="40"/>
      <c r="E7" s="55" t="s">
        <v>59</v>
      </c>
      <c r="F7" s="55"/>
      <c r="G7" s="55"/>
      <c r="H7" s="55"/>
      <c r="I7" s="16"/>
      <c r="J7" s="55" t="s">
        <v>60</v>
      </c>
      <c r="K7" s="55"/>
      <c r="L7" s="55"/>
      <c r="M7" s="55"/>
      <c r="N7" s="16"/>
      <c r="O7" s="55" t="s">
        <v>61</v>
      </c>
      <c r="P7" s="55"/>
      <c r="Q7" s="55"/>
      <c r="R7" s="55"/>
    </row>
    <row r="8" spans="1:18" ht="12.75">
      <c r="A8" s="38"/>
      <c r="B8" s="38"/>
      <c r="C8" s="40" t="s">
        <v>24</v>
      </c>
      <c r="D8" s="38"/>
      <c r="E8" s="54" t="s">
        <v>25</v>
      </c>
      <c r="F8" s="53" t="s">
        <v>26</v>
      </c>
      <c r="G8" s="54" t="s">
        <v>25</v>
      </c>
      <c r="H8" s="53" t="s">
        <v>26</v>
      </c>
      <c r="I8" s="50"/>
      <c r="J8" s="54" t="s">
        <v>25</v>
      </c>
      <c r="K8" s="54" t="s">
        <v>27</v>
      </c>
      <c r="L8" s="54" t="s">
        <v>25</v>
      </c>
      <c r="M8" s="54" t="s">
        <v>27</v>
      </c>
      <c r="N8" s="50"/>
      <c r="O8" s="54" t="s">
        <v>25</v>
      </c>
      <c r="P8" s="54" t="s">
        <v>27</v>
      </c>
      <c r="Q8" s="54" t="s">
        <v>25</v>
      </c>
      <c r="R8" s="54" t="s">
        <v>27</v>
      </c>
    </row>
    <row r="9" spans="1:18" ht="12.75">
      <c r="A9" s="38"/>
      <c r="B9" s="38"/>
      <c r="C9" s="40"/>
      <c r="D9" s="38"/>
      <c r="E9" s="54" t="s">
        <v>225</v>
      </c>
      <c r="F9" s="54" t="s">
        <v>225</v>
      </c>
      <c r="G9" s="54" t="s">
        <v>80</v>
      </c>
      <c r="H9" s="53" t="s">
        <v>80</v>
      </c>
      <c r="I9" s="50"/>
      <c r="J9" s="54" t="s">
        <v>225</v>
      </c>
      <c r="K9" s="54" t="s">
        <v>225</v>
      </c>
      <c r="L9" s="54" t="s">
        <v>80</v>
      </c>
      <c r="M9" s="53" t="s">
        <v>80</v>
      </c>
      <c r="N9" s="50"/>
      <c r="O9" s="54" t="s">
        <v>225</v>
      </c>
      <c r="P9" s="54" t="s">
        <v>225</v>
      </c>
      <c r="Q9" s="54" t="s">
        <v>80</v>
      </c>
      <c r="R9" s="53" t="s">
        <v>80</v>
      </c>
    </row>
    <row r="10" spans="1:18" ht="12.75">
      <c r="A10" s="38" t="s">
        <v>166</v>
      </c>
      <c r="B10" s="38"/>
      <c r="C10" s="38"/>
      <c r="D10" s="38"/>
      <c r="E10" s="50"/>
      <c r="F10" s="51"/>
      <c r="G10" s="50"/>
      <c r="H10" s="51"/>
      <c r="I10" s="50"/>
      <c r="J10" s="50"/>
      <c r="K10" s="50"/>
      <c r="L10" s="50"/>
      <c r="M10" s="50"/>
      <c r="N10" s="50"/>
      <c r="O10" s="42"/>
      <c r="P10" s="50"/>
      <c r="Q10" s="50"/>
      <c r="R10" s="50"/>
    </row>
    <row r="11" spans="1:18" ht="12.75">
      <c r="A11" s="38"/>
      <c r="B11" s="38" t="s">
        <v>28</v>
      </c>
      <c r="C11" s="40">
        <v>1</v>
      </c>
      <c r="D11" s="40"/>
      <c r="E11" s="47"/>
      <c r="F11" s="47">
        <f aca="true" t="shared" si="0" ref="F11:F35">IF(E11="","",E11*$C11)</f>
      </c>
      <c r="G11" s="47">
        <f aca="true" t="shared" si="1" ref="G11:G35">IF(E11=0,"",IF(D11="nd",E11/2,E11))</f>
      </c>
      <c r="H11" s="47">
        <f aca="true" t="shared" si="2" ref="H11:H35">IF(G11="","",G11*$C11)</f>
      </c>
      <c r="I11" s="51"/>
      <c r="J11" s="17"/>
      <c r="K11" s="47">
        <f aca="true" t="shared" si="3" ref="K11:K35">IF(J11="","",J11*$C11)</f>
      </c>
      <c r="L11" s="47">
        <f>IF(J11=0,"",IF(I11="nd",J11/2,J11))</f>
      </c>
      <c r="M11" s="47">
        <f aca="true" t="shared" si="4" ref="M11:M35">IF(L11="","",L11*$C11)</f>
      </c>
      <c r="N11" s="51"/>
      <c r="O11" s="56"/>
      <c r="P11" s="56">
        <f aca="true" t="shared" si="5" ref="P11:P35">IF(O11="","",O11*$C11)</f>
      </c>
      <c r="Q11" s="56">
        <f>IF(O11=0,"",IF(N11="nd",O11/2,O11))</f>
      </c>
      <c r="R11" s="56">
        <f aca="true" t="shared" si="6" ref="R11:R35">IF(Q11="","",Q11*$C11)</f>
      </c>
    </row>
    <row r="12" spans="1:18" ht="12.75">
      <c r="A12" s="38"/>
      <c r="B12" s="38" t="s">
        <v>125</v>
      </c>
      <c r="C12" s="40">
        <v>0</v>
      </c>
      <c r="D12" s="40"/>
      <c r="E12" s="56">
        <v>74</v>
      </c>
      <c r="F12" s="56">
        <f t="shared" si="0"/>
        <v>0</v>
      </c>
      <c r="G12" s="56">
        <f>IF(E12=0,"",IF(D12="nd",E12/2,E12))</f>
        <v>74</v>
      </c>
      <c r="H12" s="56">
        <f t="shared" si="2"/>
        <v>0</v>
      </c>
      <c r="I12" s="51"/>
      <c r="J12" s="32">
        <v>95</v>
      </c>
      <c r="K12" s="47">
        <f t="shared" si="3"/>
        <v>0</v>
      </c>
      <c r="L12" s="56">
        <f>IF(J12=0,"",IF(I12="nd",J12/2,J12))</f>
        <v>95</v>
      </c>
      <c r="M12" s="47">
        <f t="shared" si="4"/>
        <v>0</v>
      </c>
      <c r="N12" s="51"/>
      <c r="O12" s="56">
        <v>60</v>
      </c>
      <c r="P12" s="56">
        <f t="shared" si="5"/>
        <v>0</v>
      </c>
      <c r="Q12" s="56">
        <f>IF(O12=0,"",IF(N12="nd",O12/2,O12))</f>
        <v>60</v>
      </c>
      <c r="R12" s="56">
        <f t="shared" si="6"/>
        <v>0</v>
      </c>
    </row>
    <row r="13" spans="1:18" ht="12.75">
      <c r="A13" s="38"/>
      <c r="B13" s="38" t="s">
        <v>29</v>
      </c>
      <c r="C13" s="40">
        <v>0.5</v>
      </c>
      <c r="D13" s="40"/>
      <c r="E13" s="47"/>
      <c r="F13" s="47">
        <f t="shared" si="0"/>
      </c>
      <c r="G13" s="47">
        <f t="shared" si="1"/>
      </c>
      <c r="H13" s="47">
        <f t="shared" si="2"/>
      </c>
      <c r="I13" s="51"/>
      <c r="J13" s="17"/>
      <c r="K13" s="47">
        <f t="shared" si="3"/>
      </c>
      <c r="L13" s="47">
        <f aca="true" t="shared" si="7" ref="L13:L35">IF(J13=0,"",IF(I13="nd",J13/2,J13))</f>
      </c>
      <c r="M13" s="47">
        <f t="shared" si="4"/>
      </c>
      <c r="N13" s="51"/>
      <c r="O13" s="57"/>
      <c r="P13" s="56">
        <f t="shared" si="5"/>
      </c>
      <c r="Q13" s="56">
        <f aca="true" t="shared" si="8" ref="Q13:Q35">IF(O13=0,"",IF(N13="nd",O13/2,O13))</f>
      </c>
      <c r="R13" s="56">
        <f t="shared" si="6"/>
      </c>
    </row>
    <row r="14" spans="1:18" ht="12.75">
      <c r="A14" s="38"/>
      <c r="B14" s="38" t="s">
        <v>126</v>
      </c>
      <c r="C14" s="40">
        <v>0</v>
      </c>
      <c r="D14" s="40"/>
      <c r="E14" s="56"/>
      <c r="F14" s="56">
        <f t="shared" si="0"/>
      </c>
      <c r="G14" s="56">
        <f>IF(E14=0,"",IF(D14="nd",E14/2,E14))</f>
      </c>
      <c r="H14" s="56">
        <f t="shared" si="2"/>
      </c>
      <c r="I14" s="51"/>
      <c r="J14" s="17">
        <v>61</v>
      </c>
      <c r="K14" s="47">
        <f t="shared" si="3"/>
        <v>0</v>
      </c>
      <c r="L14" s="56">
        <f>IF(J14=0,"",IF(I14="nd",J14/2,J14))</f>
        <v>61</v>
      </c>
      <c r="M14" s="47">
        <f t="shared" si="4"/>
        <v>0</v>
      </c>
      <c r="N14" s="51"/>
      <c r="O14" s="57"/>
      <c r="P14" s="56">
        <f t="shared" si="5"/>
      </c>
      <c r="Q14" s="56">
        <f>IF(O14=0,"",IF(N14="nd",O14/2,O14))</f>
      </c>
      <c r="R14" s="56">
        <f t="shared" si="6"/>
      </c>
    </row>
    <row r="15" spans="1:18" ht="12.75">
      <c r="A15" s="38"/>
      <c r="B15" s="38" t="s">
        <v>30</v>
      </c>
      <c r="C15" s="40">
        <v>0.1</v>
      </c>
      <c r="D15" s="40"/>
      <c r="E15" s="47"/>
      <c r="F15" s="47">
        <f t="shared" si="0"/>
      </c>
      <c r="G15" s="47">
        <f t="shared" si="1"/>
      </c>
      <c r="H15" s="47">
        <f t="shared" si="2"/>
      </c>
      <c r="I15" s="51"/>
      <c r="J15" s="17"/>
      <c r="K15" s="47">
        <f t="shared" si="3"/>
      </c>
      <c r="L15" s="47">
        <f t="shared" si="7"/>
      </c>
      <c r="M15" s="47">
        <f t="shared" si="4"/>
      </c>
      <c r="N15" s="51"/>
      <c r="O15" s="57"/>
      <c r="P15" s="56">
        <f t="shared" si="5"/>
      </c>
      <c r="Q15" s="56">
        <f t="shared" si="8"/>
      </c>
      <c r="R15" s="56">
        <f t="shared" si="6"/>
      </c>
    </row>
    <row r="16" spans="1:18" ht="12.75">
      <c r="A16" s="38"/>
      <c r="B16" s="38" t="s">
        <v>31</v>
      </c>
      <c r="C16" s="40">
        <v>0.1</v>
      </c>
      <c r="D16" s="40"/>
      <c r="E16" s="47"/>
      <c r="F16" s="47">
        <f t="shared" si="0"/>
      </c>
      <c r="G16" s="47">
        <f t="shared" si="1"/>
      </c>
      <c r="H16" s="47">
        <f t="shared" si="2"/>
      </c>
      <c r="I16" s="51"/>
      <c r="J16" s="17"/>
      <c r="K16" s="47">
        <f t="shared" si="3"/>
      </c>
      <c r="L16" s="47">
        <f t="shared" si="7"/>
      </c>
      <c r="M16" s="47">
        <f t="shared" si="4"/>
      </c>
      <c r="N16" s="51"/>
      <c r="O16" s="57"/>
      <c r="P16" s="56">
        <f t="shared" si="5"/>
      </c>
      <c r="Q16" s="56">
        <f t="shared" si="8"/>
      </c>
      <c r="R16" s="56">
        <f t="shared" si="6"/>
      </c>
    </row>
    <row r="17" spans="1:18" ht="12.75">
      <c r="A17" s="38"/>
      <c r="B17" s="38" t="s">
        <v>32</v>
      </c>
      <c r="C17" s="40">
        <v>0.1</v>
      </c>
      <c r="D17" s="40"/>
      <c r="E17" s="47"/>
      <c r="F17" s="47">
        <f t="shared" si="0"/>
      </c>
      <c r="G17" s="47">
        <f t="shared" si="1"/>
      </c>
      <c r="H17" s="47">
        <f t="shared" si="2"/>
      </c>
      <c r="I17" s="51"/>
      <c r="J17" s="17"/>
      <c r="K17" s="47">
        <f t="shared" si="3"/>
      </c>
      <c r="L17" s="47">
        <f t="shared" si="7"/>
      </c>
      <c r="M17" s="47">
        <f t="shared" si="4"/>
      </c>
      <c r="N17" s="51"/>
      <c r="O17" s="57"/>
      <c r="P17" s="56">
        <f t="shared" si="5"/>
      </c>
      <c r="Q17" s="56">
        <f t="shared" si="8"/>
      </c>
      <c r="R17" s="56">
        <f t="shared" si="6"/>
      </c>
    </row>
    <row r="18" spans="1:18" ht="12.75">
      <c r="A18" s="38"/>
      <c r="B18" s="38" t="s">
        <v>127</v>
      </c>
      <c r="C18" s="40">
        <v>0</v>
      </c>
      <c r="D18" s="40"/>
      <c r="E18" s="56">
        <v>95</v>
      </c>
      <c r="F18" s="56">
        <f t="shared" si="0"/>
        <v>0</v>
      </c>
      <c r="G18" s="56">
        <f>IF(E18=0,"",IF(D18="nd",E18/2,E18))</f>
        <v>95</v>
      </c>
      <c r="H18" s="56">
        <f t="shared" si="2"/>
        <v>0</v>
      </c>
      <c r="I18" s="51"/>
      <c r="J18" s="17">
        <v>200</v>
      </c>
      <c r="K18" s="47">
        <f t="shared" si="3"/>
        <v>0</v>
      </c>
      <c r="L18" s="56">
        <f>IF(J18=0,"",IF(I18="nd",J18/2,J18))</f>
        <v>200</v>
      </c>
      <c r="M18" s="47">
        <f t="shared" si="4"/>
        <v>0</v>
      </c>
      <c r="N18" s="51"/>
      <c r="O18" s="57">
        <v>180</v>
      </c>
      <c r="P18" s="56">
        <f t="shared" si="5"/>
        <v>0</v>
      </c>
      <c r="Q18" s="56">
        <f>IF(O18=0,"",IF(N18="nd",O18/2,O18))</f>
        <v>180</v>
      </c>
      <c r="R18" s="56">
        <f t="shared" si="6"/>
        <v>0</v>
      </c>
    </row>
    <row r="19" spans="1:18" ht="12.75">
      <c r="A19" s="38"/>
      <c r="B19" s="38" t="s">
        <v>33</v>
      </c>
      <c r="C19" s="40">
        <v>0.01</v>
      </c>
      <c r="D19" s="40"/>
      <c r="E19" s="56">
        <v>59</v>
      </c>
      <c r="F19" s="47">
        <f t="shared" si="0"/>
        <v>0.59</v>
      </c>
      <c r="G19" s="47">
        <f t="shared" si="1"/>
        <v>59</v>
      </c>
      <c r="H19" s="47">
        <f t="shared" si="2"/>
        <v>0.59</v>
      </c>
      <c r="I19" s="51"/>
      <c r="J19" s="17">
        <v>150</v>
      </c>
      <c r="K19" s="47">
        <f t="shared" si="3"/>
        <v>1.5</v>
      </c>
      <c r="L19" s="47">
        <f t="shared" si="7"/>
        <v>150</v>
      </c>
      <c r="M19" s="47">
        <f t="shared" si="4"/>
        <v>1.5</v>
      </c>
      <c r="N19" s="51"/>
      <c r="O19" s="57">
        <v>90</v>
      </c>
      <c r="P19" s="56">
        <f t="shared" si="5"/>
        <v>0.9</v>
      </c>
      <c r="Q19" s="56">
        <f t="shared" si="8"/>
        <v>90</v>
      </c>
      <c r="R19" s="56">
        <f t="shared" si="6"/>
        <v>0.9</v>
      </c>
    </row>
    <row r="20" spans="1:18" ht="12.75">
      <c r="A20" s="38"/>
      <c r="B20" s="38" t="s">
        <v>128</v>
      </c>
      <c r="C20" s="40">
        <v>0</v>
      </c>
      <c r="D20" s="40"/>
      <c r="E20" s="56">
        <v>120</v>
      </c>
      <c r="F20" s="56">
        <f t="shared" si="0"/>
        <v>0</v>
      </c>
      <c r="G20" s="56">
        <f>IF(E20=0,"",IF(D20="nd",E20/2,E20))</f>
        <v>120</v>
      </c>
      <c r="H20" s="56">
        <f t="shared" si="2"/>
        <v>0</v>
      </c>
      <c r="I20" s="51"/>
      <c r="J20" s="17">
        <v>300</v>
      </c>
      <c r="K20" s="47">
        <f t="shared" si="3"/>
        <v>0</v>
      </c>
      <c r="L20" s="56">
        <f>IF(J20=0,"",IF(I20="nd",J20/2,J20))</f>
        <v>300</v>
      </c>
      <c r="M20" s="47">
        <f t="shared" si="4"/>
        <v>0</v>
      </c>
      <c r="N20" s="51"/>
      <c r="O20" s="57">
        <v>190</v>
      </c>
      <c r="P20" s="56">
        <f t="shared" si="5"/>
        <v>0</v>
      </c>
      <c r="Q20" s="56">
        <f>IF(O20=0,"",IF(N20="nd",O20/2,O20))</f>
        <v>190</v>
      </c>
      <c r="R20" s="56">
        <f t="shared" si="6"/>
        <v>0</v>
      </c>
    </row>
    <row r="21" spans="1:18" ht="12.75">
      <c r="A21" s="38"/>
      <c r="B21" s="38" t="s">
        <v>34</v>
      </c>
      <c r="C21" s="40">
        <v>0.001</v>
      </c>
      <c r="D21" s="40"/>
      <c r="E21" s="56">
        <v>240</v>
      </c>
      <c r="F21" s="47">
        <f t="shared" si="0"/>
        <v>0.24</v>
      </c>
      <c r="G21" s="47">
        <f t="shared" si="1"/>
        <v>240</v>
      </c>
      <c r="H21" s="47">
        <f t="shared" si="2"/>
        <v>0.24</v>
      </c>
      <c r="I21" s="51"/>
      <c r="J21" s="17">
        <v>1180</v>
      </c>
      <c r="K21" s="47">
        <f t="shared" si="3"/>
        <v>1.18</v>
      </c>
      <c r="L21" s="56">
        <f t="shared" si="7"/>
        <v>1180</v>
      </c>
      <c r="M21" s="47">
        <f t="shared" si="4"/>
        <v>1.18</v>
      </c>
      <c r="N21" s="51"/>
      <c r="O21" s="57">
        <v>530</v>
      </c>
      <c r="P21" s="56">
        <f t="shared" si="5"/>
        <v>0.53</v>
      </c>
      <c r="Q21" s="56">
        <f t="shared" si="8"/>
        <v>530</v>
      </c>
      <c r="R21" s="56">
        <f t="shared" si="6"/>
        <v>0.53</v>
      </c>
    </row>
    <row r="22" spans="1:18" ht="12.75">
      <c r="A22" s="38"/>
      <c r="B22" s="38" t="s">
        <v>35</v>
      </c>
      <c r="C22" s="40">
        <v>0.1</v>
      </c>
      <c r="D22" s="40"/>
      <c r="E22" s="56">
        <v>41</v>
      </c>
      <c r="F22" s="47">
        <f t="shared" si="0"/>
        <v>4.1000000000000005</v>
      </c>
      <c r="G22" s="47">
        <f t="shared" si="1"/>
        <v>41</v>
      </c>
      <c r="H22" s="47">
        <f t="shared" si="2"/>
        <v>4.1000000000000005</v>
      </c>
      <c r="I22" s="51"/>
      <c r="J22" s="17">
        <v>84.4</v>
      </c>
      <c r="K22" s="47">
        <f t="shared" si="3"/>
        <v>8.440000000000001</v>
      </c>
      <c r="L22" s="56">
        <f t="shared" si="7"/>
        <v>84.4</v>
      </c>
      <c r="M22" s="47">
        <f t="shared" si="4"/>
        <v>8.440000000000001</v>
      </c>
      <c r="N22" s="51"/>
      <c r="O22" s="57">
        <v>84</v>
      </c>
      <c r="P22" s="56">
        <f t="shared" si="5"/>
        <v>8.4</v>
      </c>
      <c r="Q22" s="56">
        <f t="shared" si="8"/>
        <v>84</v>
      </c>
      <c r="R22" s="56">
        <f t="shared" si="6"/>
        <v>8.4</v>
      </c>
    </row>
    <row r="23" spans="1:18" ht="12.75">
      <c r="A23" s="38"/>
      <c r="B23" s="38" t="s">
        <v>129</v>
      </c>
      <c r="C23" s="40">
        <v>0</v>
      </c>
      <c r="D23" s="40"/>
      <c r="E23" s="56">
        <v>100</v>
      </c>
      <c r="F23" s="56">
        <f t="shared" si="0"/>
        <v>0</v>
      </c>
      <c r="G23" s="56">
        <f>IF(E23=0,"",IF(D23="nd",E23/2,E23))</f>
        <v>100</v>
      </c>
      <c r="H23" s="56">
        <f t="shared" si="2"/>
        <v>0</v>
      </c>
      <c r="I23" s="51"/>
      <c r="J23" s="17">
        <v>2014</v>
      </c>
      <c r="K23" s="47">
        <f t="shared" si="3"/>
        <v>0</v>
      </c>
      <c r="L23" s="56">
        <f>IF(J23=0,"",IF(I23="nd",J23/2,J23))</f>
        <v>2014</v>
      </c>
      <c r="M23" s="47">
        <f t="shared" si="4"/>
        <v>0</v>
      </c>
      <c r="N23" s="51"/>
      <c r="O23" s="57">
        <v>1736</v>
      </c>
      <c r="P23" s="56">
        <f t="shared" si="5"/>
        <v>0</v>
      </c>
      <c r="Q23" s="56">
        <f>IF(O23=0,"",IF(N23="nd",O23/2,O23))</f>
        <v>1736</v>
      </c>
      <c r="R23" s="56">
        <f t="shared" si="6"/>
        <v>0</v>
      </c>
    </row>
    <row r="24" spans="1:18" ht="12.75">
      <c r="A24" s="38"/>
      <c r="B24" s="38" t="s">
        <v>36</v>
      </c>
      <c r="C24" s="40">
        <v>0.05</v>
      </c>
      <c r="D24" s="40"/>
      <c r="E24" s="56"/>
      <c r="F24" s="56">
        <f t="shared" si="0"/>
      </c>
      <c r="G24" s="56">
        <f t="shared" si="1"/>
      </c>
      <c r="H24" s="56">
        <f t="shared" si="2"/>
      </c>
      <c r="I24" s="51"/>
      <c r="J24" s="17">
        <v>86</v>
      </c>
      <c r="K24" s="47">
        <f t="shared" si="3"/>
        <v>4.3</v>
      </c>
      <c r="L24" s="56">
        <f t="shared" si="7"/>
        <v>86</v>
      </c>
      <c r="M24" s="47">
        <f t="shared" si="4"/>
        <v>4.3</v>
      </c>
      <c r="N24" s="51"/>
      <c r="O24" s="57">
        <v>70</v>
      </c>
      <c r="P24" s="56">
        <f t="shared" si="5"/>
        <v>3.5</v>
      </c>
      <c r="Q24" s="56">
        <f t="shared" si="8"/>
        <v>70</v>
      </c>
      <c r="R24" s="56">
        <f t="shared" si="6"/>
        <v>3.5</v>
      </c>
    </row>
    <row r="25" spans="1:18" ht="12.75">
      <c r="A25" s="38"/>
      <c r="B25" s="38" t="s">
        <v>37</v>
      </c>
      <c r="C25" s="40">
        <v>0.5</v>
      </c>
      <c r="D25" s="40"/>
      <c r="E25" s="56">
        <v>57</v>
      </c>
      <c r="F25" s="56">
        <f t="shared" si="0"/>
        <v>28.5</v>
      </c>
      <c r="G25" s="56">
        <f t="shared" si="1"/>
        <v>57</v>
      </c>
      <c r="H25" s="56">
        <f t="shared" si="2"/>
        <v>28.5</v>
      </c>
      <c r="I25" s="51"/>
      <c r="J25" s="17">
        <v>130</v>
      </c>
      <c r="K25" s="47">
        <f t="shared" si="3"/>
        <v>65</v>
      </c>
      <c r="L25" s="56">
        <f t="shared" si="7"/>
        <v>130</v>
      </c>
      <c r="M25" s="47">
        <f t="shared" si="4"/>
        <v>65</v>
      </c>
      <c r="N25" s="51"/>
      <c r="O25" s="57">
        <v>110</v>
      </c>
      <c r="P25" s="56">
        <f t="shared" si="5"/>
        <v>55</v>
      </c>
      <c r="Q25" s="56">
        <f t="shared" si="8"/>
        <v>110</v>
      </c>
      <c r="R25" s="56">
        <f t="shared" si="6"/>
        <v>55</v>
      </c>
    </row>
    <row r="26" spans="1:18" ht="12.75">
      <c r="A26" s="38"/>
      <c r="B26" s="38" t="s">
        <v>130</v>
      </c>
      <c r="C26" s="40">
        <v>0</v>
      </c>
      <c r="D26" s="40"/>
      <c r="E26" s="56">
        <v>410</v>
      </c>
      <c r="F26" s="56">
        <f t="shared" si="0"/>
        <v>0</v>
      </c>
      <c r="G26" s="56">
        <f>IF(E26=0,"",IF(D26="nd",E26/2,E26))</f>
        <v>410</v>
      </c>
      <c r="H26" s="56">
        <f t="shared" si="2"/>
        <v>0</v>
      </c>
      <c r="I26" s="51"/>
      <c r="J26" s="17">
        <v>1400</v>
      </c>
      <c r="K26" s="47">
        <f t="shared" si="3"/>
        <v>0</v>
      </c>
      <c r="L26" s="56">
        <f>IF(J26=0,"",IF(I26="nd",J26/2,J26))</f>
        <v>1400</v>
      </c>
      <c r="M26" s="47">
        <f t="shared" si="4"/>
        <v>0</v>
      </c>
      <c r="N26" s="51"/>
      <c r="O26" s="57">
        <v>1100</v>
      </c>
      <c r="P26" s="56">
        <f t="shared" si="5"/>
        <v>0</v>
      </c>
      <c r="Q26" s="56">
        <f>IF(O26=0,"",IF(N26="nd",O26/2,O26))</f>
        <v>1100</v>
      </c>
      <c r="R26" s="56">
        <f t="shared" si="6"/>
        <v>0</v>
      </c>
    </row>
    <row r="27" spans="1:18" ht="12.75">
      <c r="A27" s="38"/>
      <c r="B27" s="38" t="s">
        <v>38</v>
      </c>
      <c r="C27" s="40">
        <v>0.1</v>
      </c>
      <c r="D27" s="40"/>
      <c r="E27" s="56"/>
      <c r="F27" s="56">
        <f t="shared" si="0"/>
      </c>
      <c r="G27" s="56">
        <f t="shared" si="1"/>
      </c>
      <c r="H27" s="56">
        <f t="shared" si="2"/>
      </c>
      <c r="I27" s="51"/>
      <c r="J27" s="17">
        <v>140</v>
      </c>
      <c r="K27" s="47">
        <f t="shared" si="3"/>
        <v>14</v>
      </c>
      <c r="L27" s="56">
        <f t="shared" si="7"/>
        <v>140</v>
      </c>
      <c r="M27" s="47">
        <f t="shared" si="4"/>
        <v>14</v>
      </c>
      <c r="N27" s="51"/>
      <c r="O27" s="57">
        <v>130</v>
      </c>
      <c r="P27" s="56">
        <f t="shared" si="5"/>
        <v>13</v>
      </c>
      <c r="Q27" s="56">
        <f t="shared" si="8"/>
        <v>130</v>
      </c>
      <c r="R27" s="56">
        <f t="shared" si="6"/>
        <v>13</v>
      </c>
    </row>
    <row r="28" spans="1:18" ht="12.75">
      <c r="A28" s="38"/>
      <c r="B28" s="38" t="s">
        <v>39</v>
      </c>
      <c r="C28" s="40">
        <v>0.1</v>
      </c>
      <c r="D28" s="40"/>
      <c r="E28" s="56"/>
      <c r="F28" s="56">
        <f t="shared" si="0"/>
      </c>
      <c r="G28" s="56">
        <f t="shared" si="1"/>
      </c>
      <c r="H28" s="56">
        <f t="shared" si="2"/>
      </c>
      <c r="I28" s="51"/>
      <c r="J28" s="17">
        <v>120</v>
      </c>
      <c r="K28" s="47">
        <f t="shared" si="3"/>
        <v>12</v>
      </c>
      <c r="L28" s="56">
        <f t="shared" si="7"/>
        <v>120</v>
      </c>
      <c r="M28" s="47">
        <f t="shared" si="4"/>
        <v>12</v>
      </c>
      <c r="N28" s="51"/>
      <c r="O28" s="57">
        <v>110</v>
      </c>
      <c r="P28" s="56">
        <f t="shared" si="5"/>
        <v>11</v>
      </c>
      <c r="Q28" s="56">
        <f t="shared" si="8"/>
        <v>110</v>
      </c>
      <c r="R28" s="56">
        <f t="shared" si="6"/>
        <v>11</v>
      </c>
    </row>
    <row r="29" spans="1:18" ht="12.75">
      <c r="A29" s="38"/>
      <c r="B29" s="38" t="s">
        <v>40</v>
      </c>
      <c r="C29" s="40">
        <v>0.1</v>
      </c>
      <c r="D29" s="40"/>
      <c r="E29" s="56"/>
      <c r="F29" s="56">
        <f t="shared" si="0"/>
      </c>
      <c r="G29" s="56">
        <f t="shared" si="1"/>
      </c>
      <c r="H29" s="56">
        <f t="shared" si="2"/>
      </c>
      <c r="I29" s="51"/>
      <c r="J29" s="17">
        <v>110</v>
      </c>
      <c r="K29" s="47">
        <f t="shared" si="3"/>
        <v>11</v>
      </c>
      <c r="L29" s="56">
        <f t="shared" si="7"/>
        <v>110</v>
      </c>
      <c r="M29" s="47">
        <f t="shared" si="4"/>
        <v>11</v>
      </c>
      <c r="N29" s="51"/>
      <c r="O29" s="57">
        <v>97</v>
      </c>
      <c r="P29" s="56">
        <f t="shared" si="5"/>
        <v>9.700000000000001</v>
      </c>
      <c r="Q29" s="56">
        <f t="shared" si="8"/>
        <v>97</v>
      </c>
      <c r="R29" s="56">
        <f t="shared" si="6"/>
        <v>9.700000000000001</v>
      </c>
    </row>
    <row r="30" spans="1:18" ht="12.75">
      <c r="A30" s="38"/>
      <c r="B30" s="38" t="s">
        <v>41</v>
      </c>
      <c r="C30" s="40">
        <v>0.1</v>
      </c>
      <c r="D30" s="40"/>
      <c r="E30" s="56"/>
      <c r="F30" s="56">
        <f t="shared" si="0"/>
      </c>
      <c r="G30" s="56">
        <f t="shared" si="1"/>
      </c>
      <c r="H30" s="56">
        <f t="shared" si="2"/>
      </c>
      <c r="I30" s="51"/>
      <c r="J30" s="17"/>
      <c r="K30" s="47">
        <f t="shared" si="3"/>
      </c>
      <c r="L30" s="56">
        <f t="shared" si="7"/>
      </c>
      <c r="M30" s="47">
        <f t="shared" si="4"/>
      </c>
      <c r="N30" s="51"/>
      <c r="O30" s="57"/>
      <c r="P30" s="56">
        <f t="shared" si="5"/>
      </c>
      <c r="Q30" s="56">
        <f t="shared" si="8"/>
      </c>
      <c r="R30" s="56">
        <f t="shared" si="6"/>
      </c>
    </row>
    <row r="31" spans="1:18" ht="12.75">
      <c r="A31" s="38"/>
      <c r="B31" s="38" t="s">
        <v>131</v>
      </c>
      <c r="C31" s="40">
        <v>0</v>
      </c>
      <c r="D31" s="40"/>
      <c r="E31" s="56">
        <v>240</v>
      </c>
      <c r="F31" s="56">
        <f t="shared" si="0"/>
        <v>0</v>
      </c>
      <c r="G31" s="56">
        <f>IF(E31=0,"",IF(D31="nd",E31/2,E31))</f>
        <v>240</v>
      </c>
      <c r="H31" s="56">
        <f t="shared" si="2"/>
        <v>0</v>
      </c>
      <c r="I31" s="51"/>
      <c r="J31" s="17">
        <v>1000</v>
      </c>
      <c r="K31" s="47">
        <f t="shared" si="3"/>
        <v>0</v>
      </c>
      <c r="L31" s="56">
        <f>IF(J31=0,"",IF(I31="nd",J31/2,J31))</f>
        <v>1000</v>
      </c>
      <c r="M31" s="47">
        <f t="shared" si="4"/>
        <v>0</v>
      </c>
      <c r="N31" s="51"/>
      <c r="O31" s="57">
        <v>890</v>
      </c>
      <c r="P31" s="56">
        <f t="shared" si="5"/>
        <v>0</v>
      </c>
      <c r="Q31" s="56">
        <f>IF(O31=0,"",IF(N31="nd",O31/2,O31))</f>
        <v>890</v>
      </c>
      <c r="R31" s="56">
        <f t="shared" si="6"/>
        <v>0</v>
      </c>
    </row>
    <row r="32" spans="1:18" ht="12.75">
      <c r="A32" s="38"/>
      <c r="B32" s="38" t="s">
        <v>42</v>
      </c>
      <c r="C32" s="40">
        <v>0.01</v>
      </c>
      <c r="D32" s="40"/>
      <c r="E32" s="56">
        <v>140</v>
      </c>
      <c r="F32" s="56">
        <f t="shared" si="0"/>
        <v>1.4000000000000001</v>
      </c>
      <c r="G32" s="56">
        <f t="shared" si="1"/>
        <v>140</v>
      </c>
      <c r="H32" s="56">
        <f t="shared" si="2"/>
        <v>1.4000000000000001</v>
      </c>
      <c r="I32" s="51"/>
      <c r="J32" s="17">
        <v>530</v>
      </c>
      <c r="K32" s="47">
        <f t="shared" si="3"/>
        <v>5.3</v>
      </c>
      <c r="L32" s="56">
        <f t="shared" si="7"/>
        <v>530</v>
      </c>
      <c r="M32" s="47">
        <f t="shared" si="4"/>
        <v>5.3</v>
      </c>
      <c r="N32" s="51"/>
      <c r="O32" s="57">
        <v>640</v>
      </c>
      <c r="P32" s="56">
        <f t="shared" si="5"/>
        <v>6.4</v>
      </c>
      <c r="Q32" s="56">
        <f t="shared" si="8"/>
        <v>640</v>
      </c>
      <c r="R32" s="56">
        <f t="shared" si="6"/>
        <v>6.4</v>
      </c>
    </row>
    <row r="33" spans="1:18" ht="12.75">
      <c r="A33" s="38"/>
      <c r="B33" s="38" t="s">
        <v>43</v>
      </c>
      <c r="C33" s="40">
        <v>0.01</v>
      </c>
      <c r="D33" s="40"/>
      <c r="E33" s="56"/>
      <c r="F33" s="56">
        <f t="shared" si="0"/>
      </c>
      <c r="G33" s="56">
        <f t="shared" si="1"/>
      </c>
      <c r="H33" s="56">
        <f t="shared" si="2"/>
      </c>
      <c r="I33" s="51"/>
      <c r="J33" s="17">
        <v>77</v>
      </c>
      <c r="K33" s="47">
        <f t="shared" si="3"/>
        <v>0.77</v>
      </c>
      <c r="L33" s="56">
        <f t="shared" si="7"/>
        <v>77</v>
      </c>
      <c r="M33" s="47">
        <f t="shared" si="4"/>
        <v>0.77</v>
      </c>
      <c r="N33" s="51"/>
      <c r="O33" s="57">
        <v>82</v>
      </c>
      <c r="P33" s="56">
        <f t="shared" si="5"/>
        <v>0.8200000000000001</v>
      </c>
      <c r="Q33" s="56">
        <f t="shared" si="8"/>
        <v>82</v>
      </c>
      <c r="R33" s="56">
        <f t="shared" si="6"/>
        <v>0.8200000000000001</v>
      </c>
    </row>
    <row r="34" spans="1:18" ht="12.75">
      <c r="A34" s="38"/>
      <c r="B34" s="38" t="s">
        <v>132</v>
      </c>
      <c r="C34" s="40">
        <v>0</v>
      </c>
      <c r="D34" s="40"/>
      <c r="E34" s="56">
        <v>140</v>
      </c>
      <c r="F34" s="56">
        <f t="shared" si="0"/>
        <v>0</v>
      </c>
      <c r="G34" s="56">
        <f>IF(E34=0,"",IF(D34="nd",E34/2,E34))</f>
        <v>140</v>
      </c>
      <c r="H34" s="56">
        <f t="shared" si="2"/>
        <v>0</v>
      </c>
      <c r="I34" s="51"/>
      <c r="J34" s="17">
        <v>860</v>
      </c>
      <c r="K34" s="47">
        <f t="shared" si="3"/>
        <v>0</v>
      </c>
      <c r="L34" s="56">
        <f>IF(J34=0,"",IF(I34="nd",J34/2,J34))</f>
        <v>860</v>
      </c>
      <c r="M34" s="47">
        <f t="shared" si="4"/>
        <v>0</v>
      </c>
      <c r="N34" s="51"/>
      <c r="O34" s="57">
        <v>970</v>
      </c>
      <c r="P34" s="56">
        <f t="shared" si="5"/>
        <v>0</v>
      </c>
      <c r="Q34" s="56">
        <f>IF(O34=0,"",IF(N34="nd",O34/2,O34))</f>
        <v>970</v>
      </c>
      <c r="R34" s="56">
        <f t="shared" si="6"/>
        <v>0</v>
      </c>
    </row>
    <row r="35" spans="1:18" ht="12.75">
      <c r="A35" s="38"/>
      <c r="B35" s="38" t="s">
        <v>44</v>
      </c>
      <c r="C35" s="40">
        <v>0.001</v>
      </c>
      <c r="D35" s="40"/>
      <c r="E35" s="56"/>
      <c r="F35" s="56">
        <f t="shared" si="0"/>
      </c>
      <c r="G35" s="56">
        <f t="shared" si="1"/>
      </c>
      <c r="H35" s="56">
        <f t="shared" si="2"/>
      </c>
      <c r="I35" s="51"/>
      <c r="J35" s="17">
        <v>310</v>
      </c>
      <c r="K35" s="47">
        <f t="shared" si="3"/>
        <v>0.31</v>
      </c>
      <c r="L35" s="56">
        <f t="shared" si="7"/>
        <v>310</v>
      </c>
      <c r="M35" s="47">
        <f t="shared" si="4"/>
        <v>0.31</v>
      </c>
      <c r="N35" s="51"/>
      <c r="O35" s="57">
        <v>330</v>
      </c>
      <c r="P35" s="56">
        <f t="shared" si="5"/>
        <v>0.33</v>
      </c>
      <c r="Q35" s="56">
        <f t="shared" si="8"/>
        <v>330</v>
      </c>
      <c r="R35" s="56">
        <f t="shared" si="6"/>
        <v>0.33</v>
      </c>
    </row>
    <row r="36" spans="1:18" ht="12.75">
      <c r="A36" s="38"/>
      <c r="B36" s="38"/>
      <c r="C36" s="38"/>
      <c r="D36" s="38"/>
      <c r="E36" s="47"/>
      <c r="F36" s="51"/>
      <c r="G36" s="47"/>
      <c r="H36" s="51"/>
      <c r="I36" s="47"/>
      <c r="J36" s="17"/>
      <c r="K36" s="42"/>
      <c r="L36" s="42"/>
      <c r="M36" s="42"/>
      <c r="N36" s="47"/>
      <c r="O36" s="17"/>
      <c r="P36" s="50"/>
      <c r="Q36" s="47"/>
      <c r="R36" s="50"/>
    </row>
    <row r="37" spans="1:18" ht="12.75">
      <c r="A37" s="38"/>
      <c r="B37" s="38" t="s">
        <v>45</v>
      </c>
      <c r="C37" s="38"/>
      <c r="D37" s="38"/>
      <c r="E37" s="47"/>
      <c r="F37" s="47">
        <v>104.82</v>
      </c>
      <c r="G37" s="47">
        <v>104.82</v>
      </c>
      <c r="H37" s="47">
        <v>104.82</v>
      </c>
      <c r="I37" s="47"/>
      <c r="J37" s="47"/>
      <c r="K37" s="47">
        <v>113.88</v>
      </c>
      <c r="L37" s="47">
        <v>113.88</v>
      </c>
      <c r="M37" s="47">
        <v>113.88</v>
      </c>
      <c r="N37" s="47"/>
      <c r="O37" s="47"/>
      <c r="P37" s="47">
        <v>111.05</v>
      </c>
      <c r="Q37" s="47">
        <v>111.05</v>
      </c>
      <c r="R37" s="47">
        <v>111.05</v>
      </c>
    </row>
    <row r="38" spans="1:18" ht="12.75">
      <c r="A38" s="38"/>
      <c r="B38" s="38" t="s">
        <v>68</v>
      </c>
      <c r="C38" s="38"/>
      <c r="D38" s="38"/>
      <c r="E38" s="47"/>
      <c r="F38" s="47">
        <v>14.73</v>
      </c>
      <c r="G38" s="47">
        <v>14.73</v>
      </c>
      <c r="H38" s="47">
        <v>14.73</v>
      </c>
      <c r="I38" s="47"/>
      <c r="J38" s="47"/>
      <c r="K38" s="42">
        <v>14.6</v>
      </c>
      <c r="L38" s="42">
        <v>14.6</v>
      </c>
      <c r="M38" s="42">
        <v>14.6</v>
      </c>
      <c r="N38" s="47"/>
      <c r="O38" s="47"/>
      <c r="P38" s="47">
        <v>14.8</v>
      </c>
      <c r="Q38" s="47">
        <v>14.8</v>
      </c>
      <c r="R38" s="47">
        <v>14.8</v>
      </c>
    </row>
    <row r="39" spans="1:18" ht="12.75">
      <c r="A39" s="38"/>
      <c r="B39" s="38"/>
      <c r="C39" s="38"/>
      <c r="D39" s="38"/>
      <c r="E39" s="47"/>
      <c r="F39" s="17"/>
      <c r="G39" s="47"/>
      <c r="H39" s="17"/>
      <c r="I39" s="17"/>
      <c r="J39" s="47"/>
      <c r="K39" s="48"/>
      <c r="L39" s="42"/>
      <c r="M39" s="48"/>
      <c r="N39" s="47"/>
      <c r="O39" s="47"/>
      <c r="P39" s="47"/>
      <c r="Q39" s="47"/>
      <c r="R39" s="47"/>
    </row>
    <row r="40" spans="1:18" ht="12.75">
      <c r="A40" s="38"/>
      <c r="B40" s="38" t="s">
        <v>134</v>
      </c>
      <c r="C40" s="51"/>
      <c r="D40" s="51"/>
      <c r="E40" s="42"/>
      <c r="F40" s="47">
        <f>SUM(F11:F35)/1000</f>
        <v>0.03483</v>
      </c>
      <c r="G40" s="42">
        <f>SUM(G35,G34,G31,G26,G23,G21,G20,G18,G14,G12)/1000</f>
        <v>1.419</v>
      </c>
      <c r="H40" s="47">
        <f>SUM(H11:H35)/1000</f>
        <v>0.03483</v>
      </c>
      <c r="I40" s="51"/>
      <c r="J40" s="42"/>
      <c r="K40" s="47">
        <f>SUM(K11:K35)/1000</f>
        <v>0.1238</v>
      </c>
      <c r="L40" s="42">
        <f>SUM(L35,L34,L31,L26,L23,L21,L20,L18,L14,L12)/1000</f>
        <v>7.42</v>
      </c>
      <c r="M40" s="47">
        <f>SUM(M11:M35)/1000</f>
        <v>0.1238</v>
      </c>
      <c r="N40" s="51"/>
      <c r="O40" s="47"/>
      <c r="P40" s="47">
        <f>SUM(P11:P35)/1000</f>
        <v>0.10958</v>
      </c>
      <c r="Q40" s="42">
        <f>SUM(Q35,Q34,Q31,Q26,Q23,Q21,Q20,Q18,Q14,Q12)/1000</f>
        <v>5.986</v>
      </c>
      <c r="R40" s="47">
        <f>SUM(R11:R35)/1000</f>
        <v>0.10958</v>
      </c>
    </row>
    <row r="41" spans="1:18" ht="12.75">
      <c r="A41" s="38"/>
      <c r="B41" s="38" t="s">
        <v>46</v>
      </c>
      <c r="C41" s="51"/>
      <c r="D41" s="42">
        <f>(F41-H41)*2/F41*100</f>
        <v>0</v>
      </c>
      <c r="E41" s="47"/>
      <c r="F41" s="51">
        <f>(F40/F37/0.0283*(21-7)/(21-F38))</f>
        <v>0.02621702320189134</v>
      </c>
      <c r="G41" s="47">
        <f>(G40/G37/0.0283*(21-7)/(21-G38))</f>
        <v>1.0681009452622399</v>
      </c>
      <c r="H41" s="51">
        <f>(H40/H37/0.0283*(21-7)/(21-H38))</f>
        <v>0.02621702320189134</v>
      </c>
      <c r="I41" s="42">
        <f>(K41-M41)*2/K41*100</f>
        <v>0</v>
      </c>
      <c r="J41" s="47"/>
      <c r="K41" s="51">
        <f>(K40/K37/0.0283*(21-7)/(21-K38))</f>
        <v>0.08403008684363057</v>
      </c>
      <c r="L41" s="47">
        <f>(L40/L37/0.0283*(21-7)/(21-L38))</f>
        <v>5.036375156540702</v>
      </c>
      <c r="M41" s="51">
        <f>(M40/M37/0.0283*(21-7)/(21-M38))</f>
        <v>0.08403008684363057</v>
      </c>
      <c r="N41" s="42">
        <f>(P41-R41)*2/P41*100</f>
        <v>0</v>
      </c>
      <c r="O41" s="47"/>
      <c r="P41" s="51">
        <f>(P40/P37/0.0283*(21-7)/(21-P38))</f>
        <v>0.0787340594605045</v>
      </c>
      <c r="Q41" s="47">
        <f>(Q40/Q37/0.0283*(21-7)/(21-Q38))</f>
        <v>4.300986310737177</v>
      </c>
      <c r="R41" s="51">
        <f>(R40/R37/0.0283*(21-7)/(21-R38))</f>
        <v>0.0787340594605045</v>
      </c>
    </row>
    <row r="42" spans="1:18" ht="12.75">
      <c r="A42" s="38"/>
      <c r="B42" s="38"/>
      <c r="C42" s="38"/>
      <c r="D42" s="38"/>
      <c r="E42" s="46"/>
      <c r="F42" s="51"/>
      <c r="G42" s="46"/>
      <c r="H42" s="51"/>
      <c r="I42" s="46"/>
      <c r="J42" s="46"/>
      <c r="K42" s="46"/>
      <c r="L42" s="46"/>
      <c r="M42" s="46"/>
      <c r="N42" s="46"/>
      <c r="O42" s="46"/>
      <c r="P42" s="50"/>
      <c r="Q42" s="46"/>
      <c r="R42" s="50"/>
    </row>
    <row r="43" spans="1:18" ht="12.75">
      <c r="A43" s="47"/>
      <c r="B43" s="38" t="s">
        <v>69</v>
      </c>
      <c r="C43" s="42">
        <f>AVERAGE(H41,M41,R41)</f>
        <v>0.06299372316867548</v>
      </c>
      <c r="D43" s="47"/>
      <c r="E43" s="47"/>
      <c r="F43" s="51"/>
      <c r="G43" s="47"/>
      <c r="H43" s="51"/>
      <c r="I43" s="47"/>
      <c r="J43" s="47"/>
      <c r="K43" s="47"/>
      <c r="L43" s="47"/>
      <c r="M43" s="47"/>
      <c r="N43" s="47"/>
      <c r="O43" s="47"/>
      <c r="P43" s="50"/>
      <c r="Q43" s="47"/>
      <c r="R43" s="50"/>
    </row>
    <row r="44" spans="1:18" ht="12.75">
      <c r="A44" s="38"/>
      <c r="B44" s="38" t="s">
        <v>70</v>
      </c>
      <c r="C44" s="42">
        <f>AVERAGE(G41,L41,Q41)</f>
        <v>3.4684874708467057</v>
      </c>
      <c r="D44" s="38"/>
      <c r="E44" s="50"/>
      <c r="F44" s="51"/>
      <c r="G44" s="50"/>
      <c r="H44" s="51"/>
      <c r="I44" s="50"/>
      <c r="J44" s="50"/>
      <c r="K44" s="50"/>
      <c r="L44" s="50"/>
      <c r="M44" s="50"/>
      <c r="N44" s="50"/>
      <c r="O44" s="50"/>
      <c r="P44" s="50"/>
      <c r="Q44" s="50"/>
      <c r="R44" s="50"/>
    </row>
    <row r="85" spans="1:18" ht="12.75">
      <c r="A85" s="2"/>
      <c r="B85" s="2"/>
      <c r="C85" s="2"/>
      <c r="D85" s="2"/>
      <c r="E85" s="7"/>
      <c r="G85" s="7"/>
      <c r="J85" s="7"/>
      <c r="K85" s="6"/>
      <c r="L85" s="4"/>
      <c r="M85" s="6"/>
      <c r="N85" s="7"/>
      <c r="O85" s="7"/>
      <c r="P85" s="7"/>
      <c r="Q85" s="7"/>
      <c r="R85" s="7"/>
    </row>
    <row r="86" spans="1:18" ht="12.75">
      <c r="A86" s="2"/>
      <c r="B86" s="2"/>
      <c r="C86" s="3"/>
      <c r="D86" s="3"/>
      <c r="E86" s="4"/>
      <c r="F86" s="7"/>
      <c r="G86" s="4"/>
      <c r="H86" s="7"/>
      <c r="I86" s="3"/>
      <c r="J86" s="4"/>
      <c r="K86" s="4"/>
      <c r="L86" s="4"/>
      <c r="M86" s="4"/>
      <c r="N86" s="3"/>
      <c r="O86" s="7"/>
      <c r="P86" s="3"/>
      <c r="Q86" s="3"/>
      <c r="R86" s="3"/>
    </row>
    <row r="87" spans="1:18" ht="12.75">
      <c r="A87" s="2"/>
      <c r="B87" s="2"/>
      <c r="C87" s="3"/>
      <c r="D87" s="3"/>
      <c r="E87" s="7"/>
      <c r="F87" s="3"/>
      <c r="G87" s="5"/>
      <c r="H87" s="3"/>
      <c r="I87" s="3"/>
      <c r="J87" s="7"/>
      <c r="K87" s="3"/>
      <c r="L87" s="4"/>
      <c r="M87" s="3"/>
      <c r="N87" s="3"/>
      <c r="O87" s="7"/>
      <c r="P87" s="5"/>
      <c r="Q87" s="5"/>
      <c r="R87" s="5"/>
    </row>
  </sheetData>
  <printOptions headings="1" horizontalCentered="1"/>
  <pageMargins left="0.25" right="0.25" top="0.5" bottom="0.5" header="0.25" footer="0.25"/>
  <pageSetup horizontalDpi="600" verticalDpi="600" orientation="landscape" pageOrder="overThenDown" scale="80" r:id="rId1"/>
  <headerFooter alignWithMargins="0">
    <oddFooter>&amp;C&amp;P, &amp;A,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Springsteen</dc:creator>
  <cp:keywords/>
  <dc:description/>
  <cp:lastModifiedBy>Alan Nguyen</cp:lastModifiedBy>
  <cp:lastPrinted>2004-02-24T21:49:35Z</cp:lastPrinted>
  <dcterms:created xsi:type="dcterms:W3CDTF">2000-01-10T00:44:42Z</dcterms:created>
  <dcterms:modified xsi:type="dcterms:W3CDTF">2004-02-24T21:49:45Z</dcterms:modified>
  <cp:category/>
  <cp:version/>
  <cp:contentType/>
  <cp:contentStatus/>
</cp:coreProperties>
</file>