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  <sheet name="df c3" sheetId="9" r:id="rId9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<sst xmlns="http://schemas.openxmlformats.org/spreadsheetml/2006/main" count="1700" uniqueCount="238">
  <si>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</si>
  <si>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</si>
  <si>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</si>
  <si>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</si>
  <si>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</si>
  <si>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</si>
  <si>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</si>
  <si>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</si>
  <si>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</si>
  <si>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</si>
  <si>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</si>
  <si>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</si>
  <si>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</si>
  <si>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</si>
  <si>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</si>
  <si>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</si>
  <si>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</si>
  <si>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</si>
  <si>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</si>
  <si>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</si>
  <si>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</si>
  <si>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</si>
  <si>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</si>
  <si>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</si>
  <si>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</si>
  <si>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</si>
  <si>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</si>
  <si>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</si>
  <si>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</si>
  <si>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</si>
  <si>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</si>
  <si>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</si>
  <si>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</si>
  <si>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</si>
  <si>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</si>
  <si>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</si>
  <si>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</si>
  <si>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</si>
  <si>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</si>
  <si>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</si>
  <si>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</si>
  <si>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</si>
  <si>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</si>
  <si>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</si>
  <si>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</si>
  <si>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</si>
  <si>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</si>
  <si>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</si>
  <si>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</si>
  <si>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HCl</t>
  </si>
  <si>
    <t>DRE</t>
  </si>
  <si>
    <t>lb/hr</t>
  </si>
  <si>
    <t>Run 1</t>
  </si>
  <si>
    <t>Run 3</t>
  </si>
  <si>
    <r>
      <t>o</t>
    </r>
    <r>
      <rPr>
        <sz val="10"/>
        <rFont val="Arial"/>
        <family val="2"/>
      </rPr>
      <t>F</t>
    </r>
  </si>
  <si>
    <t>Spike</t>
  </si>
  <si>
    <t>ug/dscm</t>
  </si>
  <si>
    <t>SVM</t>
  </si>
  <si>
    <t>LVM</t>
  </si>
  <si>
    <t>O2 (%)</t>
  </si>
  <si>
    <t>TEQ Cond Avg</t>
  </si>
  <si>
    <t>Total Cond Avg</t>
  </si>
  <si>
    <t>Stack Gas Emissions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</si>
  <si>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</si>
  <si>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</si>
  <si>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</si>
  <si>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</si>
  <si>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</si>
  <si>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</si>
  <si>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</si>
  <si>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</si>
  <si>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</si>
  <si>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</si>
  <si>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</si>
  <si>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</si>
  <si>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</si>
  <si>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</si>
  <si>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</si>
  <si>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</si>
  <si>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</si>
  <si>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</si>
  <si>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</si>
  <si>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</si>
  <si>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</si>
  <si>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</si>
  <si>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</si>
  <si>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</si>
  <si>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</si>
  <si>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</si>
  <si>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</si>
  <si>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</si>
  <si>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</si>
  <si>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</si>
  <si>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</si>
  <si>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</si>
  <si>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</si>
  <si>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</si>
  <si>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</si>
  <si>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</si>
  <si>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</si>
  <si>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</si>
  <si>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</si>
  <si>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WQ/VS/PBS/DM</t>
  </si>
  <si>
    <t>Water quench, venturi scrubber, packed bed scrubber, demister</t>
  </si>
  <si>
    <t>n</t>
  </si>
  <si>
    <t>mg/dscf</t>
  </si>
  <si>
    <t>HF</t>
  </si>
  <si>
    <t>PM, HCl/Cl2, HF</t>
  </si>
  <si>
    <t>Total Chlorine</t>
  </si>
  <si>
    <t>Phase I ID No.</t>
  </si>
  <si>
    <t>Silver</t>
  </si>
  <si>
    <t>Aluminum</t>
  </si>
  <si>
    <t>Arsenic</t>
  </si>
  <si>
    <t>Barium</t>
  </si>
  <si>
    <t>Boron</t>
  </si>
  <si>
    <t>Cadmium</t>
  </si>
  <si>
    <t>Cobolt</t>
  </si>
  <si>
    <t>Copper</t>
  </si>
  <si>
    <t>Manganese</t>
  </si>
  <si>
    <t>Nickel</t>
  </si>
  <si>
    <t>Phosphorus</t>
  </si>
  <si>
    <t>Antimony</t>
  </si>
  <si>
    <t>Selenium</t>
  </si>
  <si>
    <t>Tin</t>
  </si>
  <si>
    <t>Thallium</t>
  </si>
  <si>
    <t>Vanadium</t>
  </si>
  <si>
    <t>Zinc</t>
  </si>
  <si>
    <t>ug/dscf</t>
  </si>
  <si>
    <t>CO (RA)</t>
  </si>
  <si>
    <t>Comb Chamb Temp</t>
  </si>
  <si>
    <t>Afterburner Temp</t>
  </si>
  <si>
    <t>Comb Cham Pressure</t>
  </si>
  <si>
    <t>in H2O</t>
  </si>
  <si>
    <t>VS Pressure Drop</t>
  </si>
  <si>
    <t>gpm</t>
  </si>
  <si>
    <t>VS Brine Flow</t>
  </si>
  <si>
    <t>PBS Liquor Flow</t>
  </si>
  <si>
    <t>PBS Clean Liquor pH</t>
  </si>
  <si>
    <t>Brine pH</t>
  </si>
  <si>
    <t>Tooele</t>
  </si>
  <si>
    <t>UT</t>
  </si>
  <si>
    <t>LIC No. 2</t>
  </si>
  <si>
    <t>Liquid injection incinerator</t>
  </si>
  <si>
    <t>Natural gas</t>
  </si>
  <si>
    <t>Tooele Chemical Agent Disposal Facility (TOCDF), RCRA Agent Trial Burn Report for the Liquid Incinerator System #2, Revision 1, June 19, 1998</t>
  </si>
  <si>
    <t>EG&amp;G Defense Materials, Inc.</t>
  </si>
  <si>
    <t>TRC Environmental</t>
  </si>
  <si>
    <t>Baseline, natural gas only, 1 run only</t>
  </si>
  <si>
    <t>3005C1</t>
  </si>
  <si>
    <t>3005C2</t>
  </si>
  <si>
    <t>TOCDF, LIC No. 2</t>
  </si>
  <si>
    <t>Chemical agent GB</t>
  </si>
  <si>
    <t>PM, HCl/HF, metals, PCDD/PCDF, VOC/SVOC</t>
  </si>
  <si>
    <t>Run 2</t>
  </si>
  <si>
    <t>baseline natural gas only</t>
  </si>
  <si>
    <t>CO (MHRA)</t>
  </si>
  <si>
    <t>Agent GB</t>
  </si>
  <si>
    <t>Cobalt</t>
  </si>
  <si>
    <t xml:space="preserve">POHC </t>
  </si>
  <si>
    <t>POHC Feedrate</t>
  </si>
  <si>
    <t>Emission Rate</t>
  </si>
  <si>
    <t>&gt;</t>
  </si>
  <si>
    <t>Density</t>
  </si>
  <si>
    <t>g/cc</t>
  </si>
  <si>
    <t>Stack Gas Flowrate</t>
  </si>
  <si>
    <t>Oxygen</t>
  </si>
  <si>
    <t>Feedrate MTEC Calculations</t>
  </si>
  <si>
    <t>PBS Liquor Feed Pressure</t>
  </si>
  <si>
    <t>psig</t>
  </si>
  <si>
    <t>no Cl2 data</t>
  </si>
  <si>
    <t>UT5210090002</t>
  </si>
  <si>
    <t>LIC Metals Demonstration Test Report, September 28, 2001</t>
  </si>
  <si>
    <t>PM, metals, PCDD/PCDF</t>
  </si>
  <si>
    <t>3005C3</t>
  </si>
  <si>
    <t>Baseline - Nat gas only</t>
  </si>
  <si>
    <t>PM, HCl, HF</t>
  </si>
  <si>
    <t>GB trial burn, Aug 20, 22, 23, 1997</t>
  </si>
  <si>
    <t>Nat gas baseline, Aug 19, 1997</t>
  </si>
  <si>
    <t>Iron</t>
  </si>
  <si>
    <t>7%O2</t>
  </si>
  <si>
    <t>Metals test w/GB, June 30, July 2, 2001</t>
  </si>
  <si>
    <t>no Cl2</t>
  </si>
  <si>
    <t>Table 3-1 process data on page 20 not copied for SS data entry</t>
  </si>
  <si>
    <t>Table 3-1 process data on page 21 copied for SS data entry</t>
  </si>
  <si>
    <t>GB agent trial burn w/metals spike</t>
  </si>
  <si>
    <t>GB agent trial burn</t>
  </si>
  <si>
    <t>RCRA</t>
  </si>
  <si>
    <t>Agent GB Feed Rate</t>
  </si>
  <si>
    <t>Agent GB %</t>
  </si>
  <si>
    <t>Total Waste Feed</t>
  </si>
  <si>
    <t>mg/L</t>
  </si>
  <si>
    <t>Cond Description</t>
  </si>
  <si>
    <t>Deseret Army Depot TOCDF (Tooele Army Depot South)</t>
  </si>
  <si>
    <t>Combustor Type</t>
  </si>
  <si>
    <t>Combustor Class</t>
  </si>
  <si>
    <t>Liquid injection</t>
  </si>
  <si>
    <t>Report Name/Date</t>
  </si>
  <si>
    <t>Report Prepare</t>
  </si>
  <si>
    <t>Testing Firm</t>
  </si>
  <si>
    <t>Testing Dates</t>
  </si>
  <si>
    <t>Condition Descr</t>
  </si>
  <si>
    <t>Content</t>
  </si>
  <si>
    <t>Note: Cr+6 suspect because &gt; total Cr</t>
  </si>
  <si>
    <t>Feedstream 1</t>
  </si>
  <si>
    <t>R1</t>
  </si>
  <si>
    <t>R2</t>
  </si>
  <si>
    <t>R3</t>
  </si>
  <si>
    <t>LIC No. 1 (Phase I ID # 493)</t>
  </si>
  <si>
    <t>Full ND</t>
  </si>
  <si>
    <t>E1</t>
  </si>
  <si>
    <t>Chromium (Hex)</t>
  </si>
  <si>
    <t>E2</t>
  </si>
  <si>
    <t>Cond Dates</t>
  </si>
  <si>
    <t>August 20, 23, 27, 1997</t>
  </si>
  <si>
    <t>June 30 and July 2, 2001</t>
  </si>
  <si>
    <t>Number of Sister Facilities</t>
  </si>
  <si>
    <t>APCS Detailed Acronym</t>
  </si>
  <si>
    <t>APCS General Class</t>
  </si>
  <si>
    <t>WQ, HEWS, LEWS</t>
  </si>
  <si>
    <t>Liq</t>
  </si>
  <si>
    <t>source</t>
  </si>
  <si>
    <t>cond</t>
  </si>
  <si>
    <t>emiss</t>
  </si>
  <si>
    <t>feed</t>
  </si>
  <si>
    <t>process</t>
  </si>
  <si>
    <t>df c1</t>
  </si>
  <si>
    <t>df c2</t>
  </si>
  <si>
    <t>df c3</t>
  </si>
  <si>
    <t>Onsite incinerator, DoD government, chem demil</t>
  </si>
  <si>
    <t>Feedstream Number</t>
  </si>
  <si>
    <t>Feed Class</t>
  </si>
  <si>
    <t>Solid HW</t>
  </si>
  <si>
    <t>F1</t>
  </si>
  <si>
    <t>F2</t>
  </si>
  <si>
    <t>F3</t>
  </si>
  <si>
    <t>Feed Class 2</t>
  </si>
  <si>
    <t>N</t>
  </si>
  <si>
    <t>Liq HW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</si>
</sst>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%"/>
    <numFmt numFmtId="178" formatCode="0.000%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1" fontId="3" fillId="0" borderId="0" xfId="0" applyNumberFormat="1" applyFont="1" applyBorder="1" applyAlignment="1">
      <alignment/>
    </xf>
    <xf numFmtId="11" fontId="3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C19" sqref="C19"/>
    </sheetView>
  </sheetViews>
  <sheetFormatPr defaultColWidth="9.140625" defaultRowHeight="12.75"/>
  <sheetData>
    <row r="1" ht="12.75">
      <c r="A1" t="s">
        <v>220</v>
      </c>
    </row>
    <row r="2" ht="12.75">
      <c r="A2" t="s">
        <v>221</v>
      </c>
    </row>
    <row r="3" ht="12.75">
      <c r="A3" t="s">
        <v>222</v>
      </c>
    </row>
    <row r="4" ht="12.75">
      <c r="A4" t="s">
        <v>223</v>
      </c>
    </row>
    <row r="5" ht="12.75">
      <c r="A5" t="s">
        <v>224</v>
      </c>
    </row>
    <row r="6" ht="12.75">
      <c r="A6" t="s">
        <v>225</v>
      </c>
    </row>
    <row r="7" ht="12.75">
      <c r="A7" t="s">
        <v>226</v>
      </c>
    </row>
    <row r="8" ht="12.75">
      <c r="A8" t="s">
        <v>227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0"/>
  <sheetViews>
    <sheetView workbookViewId="0" topLeftCell="B1">
      <selection activeCell="C1" sqref="C1"/>
    </sheetView>
  </sheetViews>
  <sheetFormatPr defaultColWidth="9.140625" defaultRowHeight="12.75"/>
  <cols>
    <col min="1" max="1" width="9.140625" style="13" hidden="1" customWidth="1"/>
    <col min="2" max="2" width="24.8515625" style="13" customWidth="1"/>
    <col min="3" max="3" width="58.421875" style="13" customWidth="1"/>
    <col min="4" max="16384" width="8.8515625" style="13" customWidth="1"/>
  </cols>
  <sheetData>
    <row r="1" ht="12.75">
      <c r="B1" s="7" t="s">
        <v>74</v>
      </c>
    </row>
    <row r="3" spans="2:3" ht="12.75">
      <c r="B3" s="13" t="s">
        <v>109</v>
      </c>
      <c r="C3" s="14">
        <v>3005</v>
      </c>
    </row>
    <row r="4" spans="2:3" ht="12.75">
      <c r="B4" s="13" t="s">
        <v>0</v>
      </c>
      <c r="C4" s="13" t="s">
        <v>170</v>
      </c>
    </row>
    <row r="5" spans="2:3" ht="12.75">
      <c r="B5" s="13" t="s">
        <v>1</v>
      </c>
      <c r="C5" s="13" t="s">
        <v>192</v>
      </c>
    </row>
    <row r="6" ht="12.75">
      <c r="B6" s="13" t="s">
        <v>2</v>
      </c>
    </row>
    <row r="7" spans="2:3" ht="12.75">
      <c r="B7" s="13" t="s">
        <v>3</v>
      </c>
      <c r="C7" s="13" t="s">
        <v>139</v>
      </c>
    </row>
    <row r="8" spans="2:3" ht="12.75">
      <c r="B8" s="13" t="s">
        <v>4</v>
      </c>
      <c r="C8" s="13" t="s">
        <v>140</v>
      </c>
    </row>
    <row r="9" spans="2:3" ht="12.75">
      <c r="B9" s="13" t="s">
        <v>5</v>
      </c>
      <c r="C9" s="13" t="s">
        <v>141</v>
      </c>
    </row>
    <row r="10" spans="2:3" ht="12.75">
      <c r="B10" s="13" t="s">
        <v>6</v>
      </c>
      <c r="C10" s="13" t="s">
        <v>207</v>
      </c>
    </row>
    <row r="11" spans="2:3" ht="12.75">
      <c r="B11" s="13" t="s">
        <v>215</v>
      </c>
      <c r="C11" s="14">
        <v>1</v>
      </c>
    </row>
    <row r="12" spans="2:3" ht="12.75">
      <c r="B12" s="13" t="s">
        <v>194</v>
      </c>
      <c r="C12" s="13" t="s">
        <v>228</v>
      </c>
    </row>
    <row r="13" spans="2:3" ht="12.75">
      <c r="B13" s="13" t="s">
        <v>193</v>
      </c>
      <c r="C13" s="13" t="s">
        <v>195</v>
      </c>
    </row>
    <row r="14" spans="2:3" s="43" customFormat="1" ht="12.75">
      <c r="B14" s="43" t="s">
        <v>64</v>
      </c>
      <c r="C14" s="43" t="s">
        <v>142</v>
      </c>
    </row>
    <row r="15" s="43" customFormat="1" ht="12.75"/>
    <row r="16" spans="2:3" s="43" customFormat="1" ht="12.75">
      <c r="B16" s="43" t="s">
        <v>71</v>
      </c>
      <c r="C16" s="44"/>
    </row>
    <row r="17" s="43" customFormat="1" ht="12.75">
      <c r="B17" s="13" t="s">
        <v>75</v>
      </c>
    </row>
    <row r="18" spans="2:3" s="43" customFormat="1" ht="12.75">
      <c r="B18" s="13" t="s">
        <v>216</v>
      </c>
      <c r="C18" s="43" t="s">
        <v>102</v>
      </c>
    </row>
    <row r="19" spans="2:3" s="43" customFormat="1" ht="12.75">
      <c r="B19" s="13" t="s">
        <v>217</v>
      </c>
      <c r="C19" s="43" t="s">
        <v>218</v>
      </c>
    </row>
    <row r="20" spans="2:3" ht="12.75">
      <c r="B20" s="43" t="s">
        <v>7</v>
      </c>
      <c r="C20" s="43" t="s">
        <v>103</v>
      </c>
    </row>
    <row r="21" spans="2:3" ht="12.75">
      <c r="B21" s="13" t="s">
        <v>69</v>
      </c>
      <c r="C21" s="13" t="s">
        <v>219</v>
      </c>
    </row>
    <row r="22" spans="2:3" ht="12.75">
      <c r="B22" s="13" t="s">
        <v>76</v>
      </c>
      <c r="C22" s="48" t="s">
        <v>151</v>
      </c>
    </row>
    <row r="23" spans="2:3" ht="12.75">
      <c r="B23" s="13" t="s">
        <v>70</v>
      </c>
      <c r="C23" s="13" t="s">
        <v>143</v>
      </c>
    </row>
    <row r="24" ht="12.75" customHeight="1"/>
    <row r="25" spans="2:3" ht="12.75">
      <c r="B25" s="13" t="s">
        <v>8</v>
      </c>
      <c r="C25" s="14"/>
    </row>
    <row r="26" spans="2:3" ht="12.75">
      <c r="B26" s="13" t="s">
        <v>9</v>
      </c>
      <c r="C26" s="47">
        <v>2.3</v>
      </c>
    </row>
    <row r="27" spans="2:3" ht="12.75">
      <c r="B27" s="13" t="s">
        <v>10</v>
      </c>
      <c r="C27" s="14"/>
    </row>
    <row r="28" spans="2:3" ht="12.75">
      <c r="B28" s="13" t="s">
        <v>72</v>
      </c>
      <c r="C28" s="15">
        <f>13500/4.12/60</f>
        <v>54.6116504854369</v>
      </c>
    </row>
    <row r="29" spans="2:3" ht="14.25" customHeight="1">
      <c r="B29" s="13" t="s">
        <v>73</v>
      </c>
      <c r="C29" s="14">
        <f>emiss!M51</f>
        <v>276</v>
      </c>
    </row>
    <row r="30" ht="12" customHeight="1"/>
    <row r="31" spans="2:3" ht="12.75">
      <c r="B31" s="13" t="s">
        <v>11</v>
      </c>
      <c r="C31" s="13" t="s">
        <v>186</v>
      </c>
    </row>
    <row r="32" ht="12.75">
      <c r="B32" s="13" t="s">
        <v>89</v>
      </c>
    </row>
    <row r="60" spans="2:3" ht="12.75">
      <c r="B60" s="56"/>
      <c r="C60" s="4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6">
      <selection activeCell="C1" sqref="C1"/>
    </sheetView>
  </sheetViews>
  <sheetFormatPr defaultColWidth="9.140625" defaultRowHeight="12.75"/>
  <cols>
    <col min="1" max="1" width="2.421875" style="0" hidden="1" customWidth="1"/>
    <col min="2" max="2" width="22.8515625" style="0" customWidth="1"/>
    <col min="3" max="3" width="65.7109375" style="0" customWidth="1"/>
  </cols>
  <sheetData>
    <row r="1" ht="12.75">
      <c r="B1" s="7" t="s">
        <v>191</v>
      </c>
    </row>
    <row r="3" spans="2:12" s="1" customFormat="1" ht="12.75">
      <c r="B3" s="7" t="s">
        <v>148</v>
      </c>
      <c r="C3" s="7"/>
      <c r="D3" s="13"/>
      <c r="E3" s="13"/>
      <c r="F3" s="13"/>
      <c r="G3" s="13"/>
      <c r="H3" s="13"/>
      <c r="I3" s="13"/>
      <c r="J3" s="13"/>
      <c r="K3" s="13"/>
      <c r="L3" s="13"/>
    </row>
    <row r="4" spans="2:12" s="1" customFormat="1" ht="12.75">
      <c r="B4" s="7"/>
      <c r="C4" s="7"/>
      <c r="D4" s="13"/>
      <c r="E4" s="13"/>
      <c r="F4" s="13"/>
      <c r="G4" s="13"/>
      <c r="H4" s="13"/>
      <c r="I4" s="13"/>
      <c r="J4" s="13"/>
      <c r="K4" s="13"/>
      <c r="L4" s="13"/>
    </row>
    <row r="5" spans="2:12" s="1" customFormat="1" ht="25.5">
      <c r="B5" s="56" t="s">
        <v>196</v>
      </c>
      <c r="C5" s="48" t="s">
        <v>144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s="1" customFormat="1" ht="12.75">
      <c r="B6" s="13" t="s">
        <v>197</v>
      </c>
      <c r="C6" s="13" t="s">
        <v>145</v>
      </c>
      <c r="D6" s="13"/>
      <c r="E6" s="13"/>
      <c r="F6" s="13"/>
      <c r="G6" s="13"/>
      <c r="H6" s="13"/>
      <c r="I6" s="13"/>
      <c r="J6" s="13"/>
      <c r="K6" s="13"/>
      <c r="L6" s="13"/>
    </row>
    <row r="7" spans="2:12" s="1" customFormat="1" ht="12.75">
      <c r="B7" s="13" t="s">
        <v>198</v>
      </c>
      <c r="C7" s="13" t="s">
        <v>146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s="1" customFormat="1" ht="12.75">
      <c r="B8" s="13" t="s">
        <v>199</v>
      </c>
      <c r="C8" s="16" t="s">
        <v>213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s="1" customFormat="1" ht="12.75">
      <c r="B9" s="13" t="s">
        <v>212</v>
      </c>
      <c r="C9" s="75">
        <v>35431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s="1" customFormat="1" ht="12.75">
      <c r="B10" s="13" t="s">
        <v>200</v>
      </c>
      <c r="C10" s="13" t="s">
        <v>185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 s="1" customFormat="1" ht="12.75">
      <c r="B11" s="56" t="s">
        <v>201</v>
      </c>
      <c r="C11" s="49" t="s">
        <v>152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s="1" customFormat="1" ht="12.75">
      <c r="B12" s="56"/>
      <c r="C12" s="49"/>
      <c r="D12" s="13"/>
      <c r="E12" s="13"/>
      <c r="F12" s="13"/>
      <c r="G12" s="13"/>
      <c r="H12" s="13"/>
      <c r="I12" s="13"/>
      <c r="J12" s="13"/>
      <c r="K12" s="13"/>
      <c r="L12" s="13"/>
    </row>
    <row r="13" spans="2:12" s="1" customFormat="1" ht="12.75">
      <c r="B13" s="7" t="s">
        <v>149</v>
      </c>
      <c r="C13" s="7"/>
      <c r="D13" s="13"/>
      <c r="E13" s="13"/>
      <c r="F13" s="13"/>
      <c r="G13" s="13"/>
      <c r="H13" s="13"/>
      <c r="I13" s="13"/>
      <c r="J13" s="13"/>
      <c r="K13" s="13"/>
      <c r="L13" s="13"/>
    </row>
    <row r="14" spans="2:12" s="1" customFormat="1" ht="12.75">
      <c r="B14" s="7"/>
      <c r="C14" s="7"/>
      <c r="D14" s="13"/>
      <c r="E14" s="13"/>
      <c r="F14" s="13"/>
      <c r="G14" s="13"/>
      <c r="H14" s="13"/>
      <c r="I14" s="13"/>
      <c r="J14" s="13"/>
      <c r="K14" s="13"/>
      <c r="L14" s="13"/>
    </row>
    <row r="15" spans="2:12" s="1" customFormat="1" ht="25.5">
      <c r="B15" s="56" t="s">
        <v>196</v>
      </c>
      <c r="C15" s="48" t="s">
        <v>144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2:12" s="1" customFormat="1" ht="12.75">
      <c r="B16" s="13" t="s">
        <v>197</v>
      </c>
      <c r="C16" s="13" t="s">
        <v>145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2:12" s="1" customFormat="1" ht="12.75">
      <c r="B17" s="13" t="s">
        <v>198</v>
      </c>
      <c r="C17" s="13" t="s">
        <v>146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2:12" s="1" customFormat="1" ht="12.75">
      <c r="B18" s="13" t="s">
        <v>199</v>
      </c>
      <c r="C18" s="16">
        <v>35661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2:12" s="1" customFormat="1" ht="12.75">
      <c r="B19" s="13" t="s">
        <v>212</v>
      </c>
      <c r="C19" s="75">
        <v>35643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2:12" s="1" customFormat="1" ht="12.75">
      <c r="B20" s="13" t="s">
        <v>200</v>
      </c>
      <c r="C20" s="13" t="s">
        <v>147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2:12" s="1" customFormat="1" ht="12.75">
      <c r="B21" s="56" t="s">
        <v>201</v>
      </c>
      <c r="C21" s="49" t="s">
        <v>152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s="1" customFormat="1" ht="12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s="1" customFormat="1" ht="12.75">
      <c r="B23" s="7" t="s">
        <v>173</v>
      </c>
      <c r="C23" s="7"/>
      <c r="D23" s="13"/>
      <c r="E23" s="13"/>
      <c r="F23" s="13"/>
      <c r="G23" s="13"/>
      <c r="H23" s="13"/>
      <c r="I23" s="13"/>
      <c r="J23" s="13"/>
      <c r="K23" s="13"/>
      <c r="L23" s="13"/>
    </row>
    <row r="24" spans="2:12" s="1" customFormat="1" ht="12.75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</row>
    <row r="25" spans="2:12" s="1" customFormat="1" ht="12.75">
      <c r="B25" s="56" t="s">
        <v>196</v>
      </c>
      <c r="C25" s="48" t="s">
        <v>171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2:12" s="1" customFormat="1" ht="12.75">
      <c r="B26" s="13" t="s">
        <v>197</v>
      </c>
      <c r="C26" s="13" t="s">
        <v>145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2:12" s="1" customFormat="1" ht="12.75">
      <c r="B27" s="13" t="s">
        <v>198</v>
      </c>
      <c r="C27" s="13" t="s">
        <v>146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2:12" s="1" customFormat="1" ht="12.75">
      <c r="B28" s="13" t="s">
        <v>199</v>
      </c>
      <c r="C28" s="16" t="s">
        <v>214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s="1" customFormat="1" ht="12.75">
      <c r="B29" s="13" t="s">
        <v>212</v>
      </c>
      <c r="C29" s="75">
        <v>37408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2:12" s="1" customFormat="1" ht="12.75">
      <c r="B30" s="13" t="s">
        <v>200</v>
      </c>
      <c r="C30" s="13" t="s">
        <v>184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2:12" s="1" customFormat="1" ht="12.75">
      <c r="B31" s="56" t="s">
        <v>201</v>
      </c>
      <c r="C31" s="49" t="s">
        <v>172</v>
      </c>
      <c r="D31" s="13"/>
      <c r="E31" s="13"/>
      <c r="F31" s="13"/>
      <c r="G31" s="13"/>
      <c r="H31" s="13"/>
      <c r="I31" s="13"/>
      <c r="J31" s="13"/>
      <c r="K31" s="13"/>
      <c r="L31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30"/>
  <sheetViews>
    <sheetView tabSelected="1" workbookViewId="0" topLeftCell="B7">
      <selection activeCell="N26" sqref="N26"/>
    </sheetView>
  </sheetViews>
  <sheetFormatPr defaultColWidth="9.140625" defaultRowHeight="12.75"/>
  <cols>
    <col min="1" max="1" width="3.28125" style="18" customWidth="1"/>
    <col min="2" max="2" width="16.140625" style="18" customWidth="1"/>
    <col min="3" max="3" width="6.57421875" style="18" customWidth="1"/>
    <col min="4" max="4" width="8.8515625" style="9" customWidth="1"/>
    <col min="5" max="5" width="6.140625" style="9" customWidth="1"/>
    <col min="6" max="6" width="3.7109375" style="9" customWidth="1"/>
    <col min="7" max="7" width="11.28125" style="18" customWidth="1"/>
    <col min="8" max="8" width="4.140625" style="18" customWidth="1"/>
    <col min="9" max="9" width="12.00390625" style="19" customWidth="1"/>
    <col min="10" max="10" width="4.140625" style="18" customWidth="1"/>
    <col min="11" max="11" width="11.7109375" style="18" customWidth="1"/>
    <col min="12" max="12" width="4.140625" style="18" customWidth="1"/>
    <col min="13" max="13" width="9.7109375" style="18" customWidth="1"/>
    <col min="14" max="14" width="2.140625" style="18" customWidth="1"/>
    <col min="15" max="16384" width="8.8515625" style="18" customWidth="1"/>
  </cols>
  <sheetData>
    <row r="1" spans="2:3" ht="12.75">
      <c r="B1" s="17" t="s">
        <v>62</v>
      </c>
      <c r="C1" s="17"/>
    </row>
    <row r="2" spans="2:12" ht="12.75">
      <c r="B2" s="20"/>
      <c r="C2" s="20"/>
      <c r="G2" s="20"/>
      <c r="H2" s="20"/>
      <c r="I2" s="21"/>
      <c r="J2" s="20"/>
      <c r="K2" s="20"/>
      <c r="L2" s="20"/>
    </row>
    <row r="3" spans="2:12" ht="12.75">
      <c r="B3" s="13"/>
      <c r="C3" s="13" t="s">
        <v>82</v>
      </c>
      <c r="D3" s="9" t="s">
        <v>12</v>
      </c>
      <c r="E3" s="9" t="s">
        <v>65</v>
      </c>
      <c r="G3" s="20"/>
      <c r="H3" s="20"/>
      <c r="I3" s="21"/>
      <c r="J3" s="20"/>
      <c r="K3" s="20"/>
      <c r="L3" s="20"/>
    </row>
    <row r="4" spans="2:12" ht="12.75">
      <c r="B4" s="13"/>
      <c r="C4" s="13"/>
      <c r="G4" s="20"/>
      <c r="H4" s="20"/>
      <c r="I4" s="21"/>
      <c r="J4" s="20"/>
      <c r="K4" s="20"/>
      <c r="L4" s="20"/>
    </row>
    <row r="5" spans="1:13" ht="12.75">
      <c r="A5" s="18">
        <v>1</v>
      </c>
      <c r="B5" s="22" t="s">
        <v>148</v>
      </c>
      <c r="C5" s="22" t="str">
        <f>cond!C10</f>
        <v>GB agent trial burn</v>
      </c>
      <c r="G5" s="20" t="s">
        <v>204</v>
      </c>
      <c r="H5" s="20"/>
      <c r="I5" s="21" t="s">
        <v>205</v>
      </c>
      <c r="J5" s="20"/>
      <c r="K5" s="20" t="s">
        <v>206</v>
      </c>
      <c r="L5" s="20"/>
      <c r="M5" s="18" t="s">
        <v>47</v>
      </c>
    </row>
    <row r="6" spans="2:12" ht="12.75">
      <c r="B6" s="9"/>
      <c r="C6" s="9"/>
      <c r="D6" s="13"/>
      <c r="E6" s="13"/>
      <c r="F6" s="13"/>
      <c r="G6" s="13"/>
      <c r="H6" s="13"/>
      <c r="I6" s="23"/>
      <c r="J6" s="13"/>
      <c r="K6" s="13"/>
      <c r="L6" s="13"/>
    </row>
    <row r="7" spans="2:13" ht="12.75">
      <c r="B7" s="9" t="s">
        <v>128</v>
      </c>
      <c r="C7" s="9" t="s">
        <v>209</v>
      </c>
      <c r="D7" s="13" t="s">
        <v>16</v>
      </c>
      <c r="E7" s="13" t="s">
        <v>15</v>
      </c>
      <c r="F7"/>
      <c r="G7">
        <v>13</v>
      </c>
      <c r="H7"/>
      <c r="I7">
        <v>9</v>
      </c>
      <c r="J7"/>
      <c r="K7">
        <v>15</v>
      </c>
      <c r="L7"/>
      <c r="M7" s="59">
        <f>AVERAGE(K7,I7,G7)</f>
        <v>12.333333333333334</v>
      </c>
    </row>
    <row r="8" spans="2:13" ht="12.75">
      <c r="B8" s="9" t="s">
        <v>155</v>
      </c>
      <c r="C8" s="9" t="s">
        <v>209</v>
      </c>
      <c r="D8" s="13" t="s">
        <v>16</v>
      </c>
      <c r="E8" s="13" t="s">
        <v>15</v>
      </c>
      <c r="F8"/>
      <c r="G8">
        <v>50</v>
      </c>
      <c r="H8"/>
      <c r="I8">
        <v>22</v>
      </c>
      <c r="J8"/>
      <c r="K8">
        <v>50</v>
      </c>
      <c r="L8"/>
      <c r="M8" s="59">
        <f>AVERAGE(K8,I8,G8)</f>
        <v>40.666666666666664</v>
      </c>
    </row>
    <row r="9" spans="2:12" ht="12.75">
      <c r="B9" s="9"/>
      <c r="C9" s="9"/>
      <c r="D9" s="13"/>
      <c r="E9" s="13"/>
      <c r="F9"/>
      <c r="G9"/>
      <c r="H9"/>
      <c r="I9"/>
      <c r="J9"/>
      <c r="K9"/>
      <c r="L9"/>
    </row>
    <row r="10" spans="2:13" ht="12.75">
      <c r="B10" s="9" t="s">
        <v>13</v>
      </c>
      <c r="C10" s="9" t="s">
        <v>209</v>
      </c>
      <c r="D10" s="9" t="s">
        <v>14</v>
      </c>
      <c r="E10" s="9" t="s">
        <v>15</v>
      </c>
      <c r="F10"/>
      <c r="G10">
        <v>0.0012</v>
      </c>
      <c r="H10"/>
      <c r="I10">
        <v>0.0016</v>
      </c>
      <c r="J10"/>
      <c r="K10">
        <v>0.001</v>
      </c>
      <c r="L10"/>
      <c r="M10" s="57">
        <f>AVERAGE(K10,I10,G10)</f>
        <v>0.0012666666666666666</v>
      </c>
    </row>
    <row r="11" spans="2:13" ht="12.75">
      <c r="B11" s="9"/>
      <c r="C11" s="9"/>
      <c r="F11"/>
      <c r="G11"/>
      <c r="H11"/>
      <c r="I11"/>
      <c r="J11"/>
      <c r="K11"/>
      <c r="L11"/>
      <c r="M11" s="57"/>
    </row>
    <row r="12" spans="2:13" ht="12.75">
      <c r="B12" s="9" t="s">
        <v>49</v>
      </c>
      <c r="C12" s="9" t="s">
        <v>169</v>
      </c>
      <c r="D12" s="9" t="s">
        <v>105</v>
      </c>
      <c r="E12" s="9" t="s">
        <v>104</v>
      </c>
      <c r="F12" t="s">
        <v>100</v>
      </c>
      <c r="G12">
        <v>0.02</v>
      </c>
      <c r="H12" t="s">
        <v>100</v>
      </c>
      <c r="I12">
        <v>0.02</v>
      </c>
      <c r="J12" t="s">
        <v>100</v>
      </c>
      <c r="K12">
        <v>0.02</v>
      </c>
      <c r="L12"/>
      <c r="M12" s="5"/>
    </row>
    <row r="13" spans="2:13" ht="12.75">
      <c r="B13" s="9" t="s">
        <v>106</v>
      </c>
      <c r="C13" s="9"/>
      <c r="D13" s="9" t="s">
        <v>105</v>
      </c>
      <c r="F13" t="s">
        <v>100</v>
      </c>
      <c r="G13">
        <v>0.017</v>
      </c>
      <c r="H13" t="s">
        <v>100</v>
      </c>
      <c r="I13">
        <v>0.063</v>
      </c>
      <c r="J13" t="s">
        <v>100</v>
      </c>
      <c r="K13">
        <v>0.034</v>
      </c>
      <c r="L13"/>
      <c r="M13" s="5"/>
    </row>
    <row r="14" spans="2:13" ht="12.75">
      <c r="B14" s="9"/>
      <c r="C14" s="9"/>
      <c r="F14"/>
      <c r="G14"/>
      <c r="H14"/>
      <c r="I14"/>
      <c r="J14"/>
      <c r="K14"/>
      <c r="L14"/>
      <c r="M14" s="5"/>
    </row>
    <row r="15" spans="2:13" ht="12.75">
      <c r="B15" s="9" t="s">
        <v>49</v>
      </c>
      <c r="C15" s="9" t="s">
        <v>209</v>
      </c>
      <c r="D15" s="9" t="s">
        <v>16</v>
      </c>
      <c r="E15" s="9" t="s">
        <v>15</v>
      </c>
      <c r="F15" t="s">
        <v>100</v>
      </c>
      <c r="G15" s="63">
        <f>G12/0.0283/1.518*14/(21-G49)</f>
        <v>0.5431484921421932</v>
      </c>
      <c r="H15" s="76" t="s">
        <v>100</v>
      </c>
      <c r="I15" s="63">
        <f>I12/0.0283/1.518*14/(21-I49)</f>
        <v>0.534244418500518</v>
      </c>
      <c r="J15" s="76" t="s">
        <v>100</v>
      </c>
      <c r="K15" s="63">
        <f>K12/0.0283/1.518*14/(21-K49)</f>
        <v>0.534244418500518</v>
      </c>
      <c r="L15">
        <v>100</v>
      </c>
      <c r="M15" s="5">
        <f>AVERAGE(K15,I15,G15)</f>
        <v>0.5372124430477431</v>
      </c>
    </row>
    <row r="16" spans="2:15" ht="12.75">
      <c r="B16" s="9" t="s">
        <v>108</v>
      </c>
      <c r="D16" s="9" t="s">
        <v>16</v>
      </c>
      <c r="E16" s="9" t="s">
        <v>15</v>
      </c>
      <c r="F16"/>
      <c r="G16"/>
      <c r="H16"/>
      <c r="I16"/>
      <c r="J16"/>
      <c r="K16"/>
      <c r="L16"/>
      <c r="M16" s="5"/>
      <c r="O16" s="9" t="s">
        <v>181</v>
      </c>
    </row>
    <row r="17" spans="2:13" ht="12.75">
      <c r="B17" s="9" t="s">
        <v>106</v>
      </c>
      <c r="C17" s="9" t="s">
        <v>209</v>
      </c>
      <c r="D17" s="9" t="s">
        <v>16</v>
      </c>
      <c r="E17" s="9" t="s">
        <v>15</v>
      </c>
      <c r="F17"/>
      <c r="G17" s="63">
        <f>G13/0.0283/0.759</f>
        <v>0.7914449456929101</v>
      </c>
      <c r="H17" s="63"/>
      <c r="I17" s="63">
        <f>I13/0.0283/0.759</f>
        <v>2.9330018575678434</v>
      </c>
      <c r="J17" s="63"/>
      <c r="K17" s="63">
        <f>K13/0.0283/0.759</f>
        <v>1.5828898913858203</v>
      </c>
      <c r="L17"/>
      <c r="M17" s="5">
        <f>AVERAGE(K17,I17,G17)</f>
        <v>1.7691122315488579</v>
      </c>
    </row>
    <row r="18" spans="2:13" ht="12.75">
      <c r="B18" s="9"/>
      <c r="C18" s="9"/>
      <c r="F18"/>
      <c r="G18"/>
      <c r="H18"/>
      <c r="I18"/>
      <c r="J18"/>
      <c r="K18"/>
      <c r="L18"/>
      <c r="M18" s="5"/>
    </row>
    <row r="19" spans="2:13" ht="12.75">
      <c r="B19" s="9" t="s">
        <v>158</v>
      </c>
      <c r="C19" s="9" t="s">
        <v>156</v>
      </c>
      <c r="G19" s="24"/>
      <c r="H19" s="24"/>
      <c r="I19" s="25"/>
      <c r="J19" s="24"/>
      <c r="K19" s="24"/>
      <c r="M19" s="58"/>
    </row>
    <row r="20" spans="2:13" ht="12.75">
      <c r="B20" s="9" t="s">
        <v>159</v>
      </c>
      <c r="C20" s="9"/>
      <c r="D20" s="9" t="s">
        <v>51</v>
      </c>
      <c r="G20" s="24">
        <f>feed!G10</f>
        <v>633</v>
      </c>
      <c r="H20" s="24"/>
      <c r="I20" s="25">
        <f>feed!I10</f>
        <v>823</v>
      </c>
      <c r="J20" s="24"/>
      <c r="K20" s="24">
        <f>feed!K10</f>
        <v>638</v>
      </c>
      <c r="M20" s="64"/>
    </row>
    <row r="21" spans="2:13" ht="12.75">
      <c r="B21" s="9" t="s">
        <v>160</v>
      </c>
      <c r="C21" s="9" t="s">
        <v>209</v>
      </c>
      <c r="D21" s="9" t="s">
        <v>51</v>
      </c>
      <c r="F21" s="9" t="s">
        <v>100</v>
      </c>
      <c r="G21" s="60">
        <v>1.53E-07</v>
      </c>
      <c r="H21" s="9" t="s">
        <v>100</v>
      </c>
      <c r="I21" s="60">
        <v>1.79E-07</v>
      </c>
      <c r="J21" s="9" t="s">
        <v>100</v>
      </c>
      <c r="K21" s="60">
        <v>1.59E-07</v>
      </c>
      <c r="L21" s="9"/>
      <c r="M21" s="26"/>
    </row>
    <row r="22" spans="2:13" ht="12.75">
      <c r="B22" s="9" t="s">
        <v>50</v>
      </c>
      <c r="C22" s="9" t="s">
        <v>209</v>
      </c>
      <c r="D22" s="9" t="s">
        <v>18</v>
      </c>
      <c r="F22" s="9" t="s">
        <v>161</v>
      </c>
      <c r="G22" s="65">
        <f>(G20-G21)/G20*100</f>
        <v>99.9999999758294</v>
      </c>
      <c r="H22" s="9" t="s">
        <v>161</v>
      </c>
      <c r="I22" s="65">
        <f>(I20-I21)/I20*100</f>
        <v>99.9999999782503</v>
      </c>
      <c r="J22" s="9" t="s">
        <v>161</v>
      </c>
      <c r="K22" s="65">
        <f>(K20-K21)/K20*100</f>
        <v>99.99999997507837</v>
      </c>
      <c r="L22" s="9"/>
      <c r="M22" s="67"/>
    </row>
    <row r="23" spans="2:13" ht="12.75">
      <c r="B23" s="9"/>
      <c r="C23" s="9"/>
      <c r="F23"/>
      <c r="G23"/>
      <c r="H23"/>
      <c r="I23"/>
      <c r="J23"/>
      <c r="K23"/>
      <c r="L23"/>
      <c r="M23" s="5"/>
    </row>
    <row r="24" spans="2:13" ht="12.75">
      <c r="B24" s="9" t="s">
        <v>111</v>
      </c>
      <c r="C24" s="9"/>
      <c r="D24" s="9" t="s">
        <v>127</v>
      </c>
      <c r="E24" s="9" t="s">
        <v>104</v>
      </c>
      <c r="G24">
        <v>2</v>
      </c>
      <c r="H24" s="9"/>
      <c r="I24">
        <v>2.1</v>
      </c>
      <c r="J24" s="9"/>
      <c r="K24">
        <v>2.35</v>
      </c>
      <c r="L24"/>
      <c r="M24" s="5"/>
    </row>
    <row r="25" spans="2:13" ht="12.75">
      <c r="B25" s="9" t="s">
        <v>121</v>
      </c>
      <c r="C25" s="9"/>
      <c r="D25" s="9" t="s">
        <v>127</v>
      </c>
      <c r="E25" s="9" t="s">
        <v>104</v>
      </c>
      <c r="G25">
        <v>0.05</v>
      </c>
      <c r="H25" s="9"/>
      <c r="I25">
        <v>0.019</v>
      </c>
      <c r="J25" s="9"/>
      <c r="K25">
        <v>0.008</v>
      </c>
      <c r="L25"/>
      <c r="M25" s="5"/>
    </row>
    <row r="26" spans="2:13" ht="12.75">
      <c r="B26" s="9" t="s">
        <v>112</v>
      </c>
      <c r="C26" s="9"/>
      <c r="D26" s="9" t="s">
        <v>127</v>
      </c>
      <c r="E26" s="9" t="s">
        <v>104</v>
      </c>
      <c r="F26" t="s">
        <v>100</v>
      </c>
      <c r="G26">
        <v>0.008</v>
      </c>
      <c r="H26" t="s">
        <v>100</v>
      </c>
      <c r="I26">
        <v>0.007</v>
      </c>
      <c r="J26" t="s">
        <v>100</v>
      </c>
      <c r="K26">
        <v>0.008</v>
      </c>
      <c r="L26"/>
      <c r="M26" s="5"/>
    </row>
    <row r="27" spans="2:13" ht="12.75">
      <c r="B27" s="9" t="s">
        <v>113</v>
      </c>
      <c r="C27" s="9"/>
      <c r="D27" s="9" t="s">
        <v>127</v>
      </c>
      <c r="E27" s="9" t="s">
        <v>104</v>
      </c>
      <c r="F27"/>
      <c r="G27">
        <v>0.223</v>
      </c>
      <c r="H27"/>
      <c r="I27">
        <v>0.18</v>
      </c>
      <c r="J27"/>
      <c r="K27">
        <v>0.255</v>
      </c>
      <c r="L27"/>
      <c r="M27" s="5"/>
    </row>
    <row r="28" spans="2:13" ht="12.75">
      <c r="B28" s="9" t="s">
        <v>80</v>
      </c>
      <c r="C28" s="9"/>
      <c r="D28" s="9" t="s">
        <v>127</v>
      </c>
      <c r="E28" s="9" t="s">
        <v>104</v>
      </c>
      <c r="F28" t="s">
        <v>100</v>
      </c>
      <c r="G28">
        <v>0.019</v>
      </c>
      <c r="H28" t="s">
        <v>100</v>
      </c>
      <c r="I28">
        <v>0.018</v>
      </c>
      <c r="J28" t="s">
        <v>100</v>
      </c>
      <c r="K28">
        <v>0.004</v>
      </c>
      <c r="L28"/>
      <c r="M28" s="5"/>
    </row>
    <row r="29" spans="2:13" ht="12.75">
      <c r="B29" s="9" t="s">
        <v>114</v>
      </c>
      <c r="C29" s="9"/>
      <c r="D29" s="9" t="s">
        <v>127</v>
      </c>
      <c r="E29" s="9" t="s">
        <v>104</v>
      </c>
      <c r="F29"/>
      <c r="G29">
        <v>0.77</v>
      </c>
      <c r="H29"/>
      <c r="I29">
        <v>0.44</v>
      </c>
      <c r="J29"/>
      <c r="K29">
        <v>0.7</v>
      </c>
      <c r="L29"/>
      <c r="M29" s="5"/>
    </row>
    <row r="30" spans="2:13" ht="12.75">
      <c r="B30" s="9" t="s">
        <v>115</v>
      </c>
      <c r="C30" s="9"/>
      <c r="D30" s="9" t="s">
        <v>127</v>
      </c>
      <c r="E30" s="9" t="s">
        <v>104</v>
      </c>
      <c r="G30">
        <v>0.002</v>
      </c>
      <c r="H30" s="9"/>
      <c r="I30">
        <v>0.002</v>
      </c>
      <c r="J30" s="9"/>
      <c r="K30">
        <v>0.002</v>
      </c>
      <c r="L30"/>
      <c r="M30" s="5"/>
    </row>
    <row r="31" spans="2:13" ht="12.75">
      <c r="B31" s="9" t="s">
        <v>85</v>
      </c>
      <c r="C31" s="9"/>
      <c r="D31" s="9" t="s">
        <v>127</v>
      </c>
      <c r="E31" s="9" t="s">
        <v>104</v>
      </c>
      <c r="G31">
        <v>0.026</v>
      </c>
      <c r="H31" s="9"/>
      <c r="I31">
        <v>0.01</v>
      </c>
      <c r="J31" s="9"/>
      <c r="K31">
        <v>0.026</v>
      </c>
      <c r="L31"/>
      <c r="M31" s="5"/>
    </row>
    <row r="32" spans="2:13" ht="12.75">
      <c r="B32" s="74" t="s">
        <v>210</v>
      </c>
      <c r="C32" s="9"/>
      <c r="D32" s="9" t="s">
        <v>127</v>
      </c>
      <c r="E32" s="9" t="s">
        <v>104</v>
      </c>
      <c r="F32"/>
      <c r="G32">
        <v>0.039</v>
      </c>
      <c r="H32"/>
      <c r="I32">
        <v>0.036</v>
      </c>
      <c r="J32"/>
      <c r="K32">
        <v>0.031</v>
      </c>
      <c r="L32"/>
      <c r="M32" s="5"/>
    </row>
    <row r="33" spans="2:13" ht="12.75">
      <c r="B33" s="9" t="s">
        <v>116</v>
      </c>
      <c r="C33" s="9"/>
      <c r="D33" s="9" t="s">
        <v>127</v>
      </c>
      <c r="E33" s="9" t="s">
        <v>104</v>
      </c>
      <c r="G33">
        <v>0.004</v>
      </c>
      <c r="H33" s="9"/>
      <c r="I33">
        <v>0.004</v>
      </c>
      <c r="J33" s="9"/>
      <c r="K33">
        <v>0.005</v>
      </c>
      <c r="L33"/>
      <c r="M33" s="5"/>
    </row>
    <row r="34" spans="2:13" ht="12.75">
      <c r="B34" s="9" t="s">
        <v>117</v>
      </c>
      <c r="C34" s="9"/>
      <c r="D34" s="9" t="s">
        <v>127</v>
      </c>
      <c r="E34" s="9" t="s">
        <v>104</v>
      </c>
      <c r="F34"/>
      <c r="G34">
        <v>0.023</v>
      </c>
      <c r="H34"/>
      <c r="I34">
        <v>0.013</v>
      </c>
      <c r="J34"/>
      <c r="K34">
        <v>0.005</v>
      </c>
      <c r="L34"/>
      <c r="M34" s="5"/>
    </row>
    <row r="35" spans="2:13" ht="12.75">
      <c r="B35" s="9" t="s">
        <v>79</v>
      </c>
      <c r="C35" s="9"/>
      <c r="D35" s="9" t="s">
        <v>127</v>
      </c>
      <c r="E35" s="9" t="s">
        <v>104</v>
      </c>
      <c r="G35">
        <v>0.004</v>
      </c>
      <c r="H35"/>
      <c r="I35">
        <v>0.012</v>
      </c>
      <c r="J35"/>
      <c r="K35">
        <v>0.006</v>
      </c>
      <c r="L35"/>
      <c r="M35" s="5"/>
    </row>
    <row r="36" spans="2:13" ht="12.75">
      <c r="B36" s="9" t="s">
        <v>118</v>
      </c>
      <c r="C36" s="9"/>
      <c r="D36" s="9" t="s">
        <v>127</v>
      </c>
      <c r="E36" s="9" t="s">
        <v>104</v>
      </c>
      <c r="F36"/>
      <c r="G36">
        <v>0.109</v>
      </c>
      <c r="H36"/>
      <c r="I36">
        <v>0.151</v>
      </c>
      <c r="J36"/>
      <c r="K36">
        <v>0.239</v>
      </c>
      <c r="L36"/>
      <c r="M36" s="5"/>
    </row>
    <row r="37" spans="2:13" ht="12.75">
      <c r="B37" s="9" t="s">
        <v>81</v>
      </c>
      <c r="C37" s="9"/>
      <c r="D37" s="9" t="s">
        <v>127</v>
      </c>
      <c r="E37" s="9" t="s">
        <v>104</v>
      </c>
      <c r="F37" s="9" t="s">
        <v>100</v>
      </c>
      <c r="G37">
        <v>0.094</v>
      </c>
      <c r="H37" s="9" t="s">
        <v>100</v>
      </c>
      <c r="I37">
        <v>0.081</v>
      </c>
      <c r="J37" s="9" t="s">
        <v>100</v>
      </c>
      <c r="K37">
        <v>0.082</v>
      </c>
      <c r="L37"/>
      <c r="M37" s="5"/>
    </row>
    <row r="38" spans="2:13" ht="12.75">
      <c r="B38" s="9" t="s">
        <v>119</v>
      </c>
      <c r="C38" s="9"/>
      <c r="D38" s="9" t="s">
        <v>127</v>
      </c>
      <c r="E38" s="9" t="s">
        <v>104</v>
      </c>
      <c r="F38"/>
      <c r="G38">
        <v>0.004</v>
      </c>
      <c r="H38"/>
      <c r="I38" s="66">
        <v>0.01</v>
      </c>
      <c r="J38"/>
      <c r="K38">
        <v>0.008</v>
      </c>
      <c r="L38"/>
      <c r="M38" s="5"/>
    </row>
    <row r="39" spans="2:13" ht="12.75">
      <c r="B39" s="9" t="s">
        <v>120</v>
      </c>
      <c r="C39" s="9"/>
      <c r="D39" s="9" t="s">
        <v>127</v>
      </c>
      <c r="E39" s="9" t="s">
        <v>104</v>
      </c>
      <c r="F39"/>
      <c r="G39">
        <v>14.9</v>
      </c>
      <c r="H39"/>
      <c r="I39">
        <v>14.9</v>
      </c>
      <c r="J39"/>
      <c r="K39">
        <v>11.2</v>
      </c>
      <c r="L39"/>
      <c r="M39" s="5"/>
    </row>
    <row r="40" spans="2:13" ht="12.75">
      <c r="B40" s="9" t="s">
        <v>122</v>
      </c>
      <c r="C40" s="9"/>
      <c r="D40" s="9" t="s">
        <v>127</v>
      </c>
      <c r="E40" s="9" t="s">
        <v>104</v>
      </c>
      <c r="F40"/>
      <c r="G40">
        <v>0.008</v>
      </c>
      <c r="H40"/>
      <c r="I40">
        <v>0.007</v>
      </c>
      <c r="J40"/>
      <c r="K40">
        <v>0.005</v>
      </c>
      <c r="L40"/>
      <c r="M40" s="5"/>
    </row>
    <row r="41" spans="2:13" ht="12.75">
      <c r="B41" s="9" t="s">
        <v>110</v>
      </c>
      <c r="C41" s="9"/>
      <c r="D41" s="9" t="s">
        <v>127</v>
      </c>
      <c r="E41" s="9" t="s">
        <v>104</v>
      </c>
      <c r="F41"/>
      <c r="G41">
        <v>0.001</v>
      </c>
      <c r="H41"/>
      <c r="I41">
        <v>0.002</v>
      </c>
      <c r="J41"/>
      <c r="K41">
        <v>0.002</v>
      </c>
      <c r="L41"/>
      <c r="M41" s="5"/>
    </row>
    <row r="42" spans="2:13" ht="12.75">
      <c r="B42" s="9" t="s">
        <v>124</v>
      </c>
      <c r="C42" s="9"/>
      <c r="D42" s="9" t="s">
        <v>127</v>
      </c>
      <c r="E42" s="9" t="s">
        <v>104</v>
      </c>
      <c r="F42" t="s">
        <v>100</v>
      </c>
      <c r="G42">
        <v>0.004</v>
      </c>
      <c r="H42" t="s">
        <v>100</v>
      </c>
      <c r="I42">
        <v>0.003</v>
      </c>
      <c r="J42" t="s">
        <v>100</v>
      </c>
      <c r="K42">
        <v>0.004</v>
      </c>
      <c r="L42"/>
      <c r="M42" s="5"/>
    </row>
    <row r="43" spans="2:13" ht="12.75">
      <c r="B43" s="9" t="s">
        <v>123</v>
      </c>
      <c r="C43" s="9"/>
      <c r="D43" s="9" t="s">
        <v>127</v>
      </c>
      <c r="E43" s="9" t="s">
        <v>104</v>
      </c>
      <c r="F43"/>
      <c r="G43">
        <v>0.076</v>
      </c>
      <c r="H43"/>
      <c r="I43">
        <v>0.05</v>
      </c>
      <c r="J43"/>
      <c r="K43">
        <v>0.139</v>
      </c>
      <c r="L43"/>
      <c r="M43" s="5"/>
    </row>
    <row r="44" spans="2:13" ht="12.75">
      <c r="B44" s="9" t="s">
        <v>125</v>
      </c>
      <c r="C44" s="9"/>
      <c r="D44" s="9" t="s">
        <v>127</v>
      </c>
      <c r="E44" s="9" t="s">
        <v>104</v>
      </c>
      <c r="F44" t="s">
        <v>100</v>
      </c>
      <c r="G44">
        <v>0.077</v>
      </c>
      <c r="H44" t="s">
        <v>100</v>
      </c>
      <c r="I44">
        <v>0.089</v>
      </c>
      <c r="J44" t="s">
        <v>100</v>
      </c>
      <c r="K44">
        <v>0.019</v>
      </c>
      <c r="L44"/>
      <c r="M44" s="5"/>
    </row>
    <row r="45" spans="2:13" ht="12.75">
      <c r="B45" s="9" t="s">
        <v>126</v>
      </c>
      <c r="C45" s="9"/>
      <c r="D45" s="9" t="s">
        <v>127</v>
      </c>
      <c r="E45" s="9" t="s">
        <v>104</v>
      </c>
      <c r="F45"/>
      <c r="G45">
        <v>0.57</v>
      </c>
      <c r="H45"/>
      <c r="I45">
        <v>1.28</v>
      </c>
      <c r="J45"/>
      <c r="K45">
        <v>1.28</v>
      </c>
      <c r="L45"/>
      <c r="M45" s="5"/>
    </row>
    <row r="46" spans="2:13" ht="12.75">
      <c r="B46" s="9"/>
      <c r="C46" s="9"/>
      <c r="F46"/>
      <c r="G46"/>
      <c r="H46"/>
      <c r="I46"/>
      <c r="J46"/>
      <c r="K46"/>
      <c r="L46"/>
      <c r="M46"/>
    </row>
    <row r="47" spans="2:13" ht="12.75">
      <c r="B47" s="9" t="s">
        <v>86</v>
      </c>
      <c r="C47" s="9" t="s">
        <v>107</v>
      </c>
      <c r="D47" s="9" t="s">
        <v>209</v>
      </c>
      <c r="F47"/>
      <c r="G47"/>
      <c r="H47"/>
      <c r="I47"/>
      <c r="J47"/>
      <c r="K47"/>
      <c r="L47"/>
      <c r="M47"/>
    </row>
    <row r="48" spans="2:13" ht="12.75">
      <c r="B48" s="9" t="s">
        <v>78</v>
      </c>
      <c r="C48" s="9"/>
      <c r="D48" s="9" t="s">
        <v>17</v>
      </c>
      <c r="F48"/>
      <c r="G48">
        <v>3533</v>
      </c>
      <c r="H48"/>
      <c r="I48">
        <v>3865</v>
      </c>
      <c r="J48"/>
      <c r="K48">
        <v>3693</v>
      </c>
      <c r="L48"/>
      <c r="M48" s="5">
        <f>AVERAGE(K48,I48,G48)</f>
        <v>3697</v>
      </c>
    </row>
    <row r="49" spans="2:13" ht="12.75">
      <c r="B49" s="9" t="s">
        <v>83</v>
      </c>
      <c r="C49" s="9"/>
      <c r="D49" s="9" t="s">
        <v>18</v>
      </c>
      <c r="F49"/>
      <c r="G49">
        <v>9</v>
      </c>
      <c r="H49"/>
      <c r="I49">
        <v>8.8</v>
      </c>
      <c r="J49"/>
      <c r="K49">
        <v>8.8</v>
      </c>
      <c r="L49"/>
      <c r="M49" s="5">
        <f>AVERAGE(K49,I49,G49)</f>
        <v>8.866666666666667</v>
      </c>
    </row>
    <row r="50" spans="2:13" ht="12.75">
      <c r="B50" s="9" t="s">
        <v>84</v>
      </c>
      <c r="C50" s="9"/>
      <c r="D50" s="9" t="s">
        <v>18</v>
      </c>
      <c r="F50"/>
      <c r="G50">
        <v>54.5</v>
      </c>
      <c r="H50"/>
      <c r="I50">
        <v>54.7</v>
      </c>
      <c r="J50"/>
      <c r="K50">
        <v>53.5</v>
      </c>
      <c r="L50"/>
      <c r="M50" s="5">
        <f>AVERAGE(K50,I50,G50)</f>
        <v>54.23333333333333</v>
      </c>
    </row>
    <row r="51" spans="2:13" ht="12.75">
      <c r="B51" s="9" t="s">
        <v>77</v>
      </c>
      <c r="C51" s="9"/>
      <c r="D51" s="9" t="s">
        <v>19</v>
      </c>
      <c r="F51"/>
      <c r="G51">
        <v>273</v>
      </c>
      <c r="H51"/>
      <c r="I51">
        <v>280</v>
      </c>
      <c r="J51"/>
      <c r="K51">
        <v>275</v>
      </c>
      <c r="L51"/>
      <c r="M51" s="5">
        <f>AVERAGE(K51,I51,G51)</f>
        <v>276</v>
      </c>
    </row>
    <row r="52" spans="2:13" ht="12.75">
      <c r="B52" s="9"/>
      <c r="C52" s="9"/>
      <c r="F52"/>
      <c r="G52"/>
      <c r="H52"/>
      <c r="I52"/>
      <c r="J52"/>
      <c r="K52"/>
      <c r="L52"/>
      <c r="M52"/>
    </row>
    <row r="53" spans="2:13" ht="12.75">
      <c r="B53" s="9" t="s">
        <v>86</v>
      </c>
      <c r="C53" s="9" t="s">
        <v>99</v>
      </c>
      <c r="F53"/>
      <c r="G53"/>
      <c r="H53"/>
      <c r="I53"/>
      <c r="J53"/>
      <c r="K53"/>
      <c r="L53"/>
      <c r="M53"/>
    </row>
    <row r="54" spans="2:13" ht="12.75">
      <c r="B54" s="9" t="s">
        <v>78</v>
      </c>
      <c r="C54" s="9"/>
      <c r="D54" s="9" t="s">
        <v>211</v>
      </c>
      <c r="F54"/>
      <c r="G54">
        <v>3644</v>
      </c>
      <c r="H54"/>
      <c r="I54">
        <v>3916</v>
      </c>
      <c r="J54"/>
      <c r="K54">
        <v>3741</v>
      </c>
      <c r="L54"/>
      <c r="M54" s="5">
        <f>AVERAGE(K54,I54,G54)</f>
        <v>3767</v>
      </c>
    </row>
    <row r="55" spans="2:13" ht="12.75">
      <c r="B55" s="9" t="s">
        <v>83</v>
      </c>
      <c r="C55" s="9"/>
      <c r="D55" s="9" t="s">
        <v>18</v>
      </c>
      <c r="F55"/>
      <c r="G55">
        <v>9</v>
      </c>
      <c r="H55"/>
      <c r="I55">
        <v>8.8</v>
      </c>
      <c r="J55"/>
      <c r="K55">
        <v>8.8</v>
      </c>
      <c r="L55"/>
      <c r="M55" s="5">
        <f>AVERAGE(K55,I55,G55)</f>
        <v>8.866666666666667</v>
      </c>
    </row>
    <row r="56" spans="2:13" ht="12.75">
      <c r="B56" s="9" t="s">
        <v>84</v>
      </c>
      <c r="C56" s="9"/>
      <c r="D56" s="9" t="s">
        <v>18</v>
      </c>
      <c r="F56"/>
      <c r="G56">
        <v>54.6</v>
      </c>
      <c r="H56"/>
      <c r="I56">
        <v>54.5</v>
      </c>
      <c r="J56"/>
      <c r="K56">
        <v>53.2</v>
      </c>
      <c r="L56"/>
      <c r="M56" s="5">
        <f>AVERAGE(K56,I56,G56)</f>
        <v>54.1</v>
      </c>
    </row>
    <row r="57" spans="2:13" ht="12.75">
      <c r="B57" s="9" t="s">
        <v>77</v>
      </c>
      <c r="C57" s="9"/>
      <c r="D57" s="9" t="s">
        <v>19</v>
      </c>
      <c r="F57"/>
      <c r="G57">
        <v>271</v>
      </c>
      <c r="H57"/>
      <c r="I57">
        <v>279</v>
      </c>
      <c r="J57"/>
      <c r="K57">
        <v>278</v>
      </c>
      <c r="L57"/>
      <c r="M57" s="5">
        <f>AVERAGE(K57,I57,G57)</f>
        <v>276</v>
      </c>
    </row>
    <row r="58" spans="2:13" ht="12.75">
      <c r="B58" s="9"/>
      <c r="C58" s="9"/>
      <c r="F58"/>
      <c r="G58"/>
      <c r="H58"/>
      <c r="I58"/>
      <c r="J58"/>
      <c r="K58"/>
      <c r="L58"/>
      <c r="M58"/>
    </row>
    <row r="59" spans="2:13" ht="12.75">
      <c r="B59" s="9" t="s">
        <v>111</v>
      </c>
      <c r="C59" s="9" t="s">
        <v>211</v>
      </c>
      <c r="D59" s="9" t="s">
        <v>56</v>
      </c>
      <c r="E59" s="9" t="s">
        <v>15</v>
      </c>
      <c r="F59"/>
      <c r="G59" s="5">
        <f>G24/0.0283*(21-7)/(21-G$55)</f>
        <v>82.44994110718493</v>
      </c>
      <c r="H59"/>
      <c r="I59" s="5">
        <f>I24/0.0283*(21-7)/(21-I$55)</f>
        <v>85.15321786479755</v>
      </c>
      <c r="J59"/>
      <c r="K59" s="5">
        <f aca="true" t="shared" si="0" ref="K59:K80">K24/0.0283*(21-7)/(21-K$55)</f>
        <v>95.2905057058449</v>
      </c>
      <c r="L59"/>
      <c r="M59" s="5">
        <f aca="true" t="shared" si="1" ref="M59:M71">AVERAGE(G59,I59,K59)</f>
        <v>87.63122155927579</v>
      </c>
    </row>
    <row r="60" spans="2:13" ht="12.75">
      <c r="B60" s="9" t="s">
        <v>121</v>
      </c>
      <c r="C60" s="9" t="s">
        <v>211</v>
      </c>
      <c r="D60" s="9" t="s">
        <v>56</v>
      </c>
      <c r="E60" s="9" t="s">
        <v>15</v>
      </c>
      <c r="F60"/>
      <c r="G60" s="5">
        <f aca="true" t="shared" si="2" ref="G60:I80">G25/0.0283*(21-7)/(21-G$55)</f>
        <v>2.061248527679623</v>
      </c>
      <c r="H60"/>
      <c r="I60" s="5">
        <f t="shared" si="2"/>
        <v>0.7704338759195968</v>
      </c>
      <c r="J60"/>
      <c r="K60" s="5">
        <f t="shared" si="0"/>
        <v>0.3243932109135145</v>
      </c>
      <c r="L60"/>
      <c r="M60" s="5">
        <f t="shared" si="1"/>
        <v>1.052025204837578</v>
      </c>
    </row>
    <row r="61" spans="2:13" ht="12.75">
      <c r="B61" s="9" t="s">
        <v>112</v>
      </c>
      <c r="C61" s="9" t="s">
        <v>211</v>
      </c>
      <c r="D61" s="9" t="s">
        <v>56</v>
      </c>
      <c r="E61" s="9" t="s">
        <v>15</v>
      </c>
      <c r="F61" t="s">
        <v>100</v>
      </c>
      <c r="G61" s="5">
        <f t="shared" si="2"/>
        <v>0.3297997644287397</v>
      </c>
      <c r="H61" t="s">
        <v>100</v>
      </c>
      <c r="I61" s="5">
        <f t="shared" si="2"/>
        <v>0.2838440595493252</v>
      </c>
      <c r="J61" t="s">
        <v>100</v>
      </c>
      <c r="K61" s="5">
        <f t="shared" si="0"/>
        <v>0.3243932109135145</v>
      </c>
      <c r="L61">
        <v>100</v>
      </c>
      <c r="M61" s="5">
        <f t="shared" si="1"/>
        <v>0.3126790116305264</v>
      </c>
    </row>
    <row r="62" spans="2:13" ht="12.75">
      <c r="B62" s="9" t="s">
        <v>113</v>
      </c>
      <c r="C62" s="9" t="s">
        <v>211</v>
      </c>
      <c r="D62" s="9" t="s">
        <v>56</v>
      </c>
      <c r="E62" s="9" t="s">
        <v>15</v>
      </c>
      <c r="F62"/>
      <c r="G62" s="5">
        <f t="shared" si="2"/>
        <v>9.193168433451119</v>
      </c>
      <c r="H62"/>
      <c r="I62" s="5">
        <f t="shared" si="2"/>
        <v>7.298847245554075</v>
      </c>
      <c r="J62"/>
      <c r="K62" s="5">
        <f t="shared" si="0"/>
        <v>10.340033597868274</v>
      </c>
      <c r="L62"/>
      <c r="M62" s="5">
        <f t="shared" si="1"/>
        <v>8.944016425624488</v>
      </c>
    </row>
    <row r="63" spans="2:13" ht="12.75">
      <c r="B63" s="9" t="s">
        <v>80</v>
      </c>
      <c r="C63" s="9" t="s">
        <v>211</v>
      </c>
      <c r="D63" s="9" t="s">
        <v>56</v>
      </c>
      <c r="E63" s="9" t="s">
        <v>15</v>
      </c>
      <c r="F63" t="s">
        <v>100</v>
      </c>
      <c r="G63" s="5">
        <f t="shared" si="2"/>
        <v>0.7832744405182567</v>
      </c>
      <c r="H63" t="s">
        <v>100</v>
      </c>
      <c r="I63" s="5">
        <f t="shared" si="2"/>
        <v>0.7298847245554075</v>
      </c>
      <c r="J63" t="s">
        <v>100</v>
      </c>
      <c r="K63" s="5">
        <f t="shared" si="0"/>
        <v>0.16219660545675724</v>
      </c>
      <c r="L63">
        <v>100</v>
      </c>
      <c r="M63" s="5">
        <f t="shared" si="1"/>
        <v>0.5584519235101405</v>
      </c>
    </row>
    <row r="64" spans="2:13" ht="12.75">
      <c r="B64" s="9" t="s">
        <v>114</v>
      </c>
      <c r="C64" s="9" t="s">
        <v>211</v>
      </c>
      <c r="D64" s="9" t="s">
        <v>56</v>
      </c>
      <c r="E64" s="9" t="s">
        <v>15</v>
      </c>
      <c r="F64"/>
      <c r="G64" s="5">
        <f t="shared" si="2"/>
        <v>31.743227326266197</v>
      </c>
      <c r="H64"/>
      <c r="I64" s="5">
        <f t="shared" si="2"/>
        <v>17.8416266002433</v>
      </c>
      <c r="J64"/>
      <c r="K64" s="5">
        <f t="shared" si="0"/>
        <v>28.384405954932515</v>
      </c>
      <c r="L64"/>
      <c r="M64" s="5">
        <f t="shared" si="1"/>
        <v>25.989753293814005</v>
      </c>
    </row>
    <row r="65" spans="2:13" ht="12.75">
      <c r="B65" s="9" t="s">
        <v>115</v>
      </c>
      <c r="C65" s="9" t="s">
        <v>211</v>
      </c>
      <c r="D65" s="9" t="s">
        <v>56</v>
      </c>
      <c r="E65" s="9" t="s">
        <v>15</v>
      </c>
      <c r="F65"/>
      <c r="G65" s="63">
        <f t="shared" si="2"/>
        <v>0.08244994110718493</v>
      </c>
      <c r="H65"/>
      <c r="I65" s="5">
        <f t="shared" si="2"/>
        <v>0.08109830272837862</v>
      </c>
      <c r="J65"/>
      <c r="K65" s="5">
        <f t="shared" si="0"/>
        <v>0.08109830272837862</v>
      </c>
      <c r="L65"/>
      <c r="M65" s="5">
        <f t="shared" si="1"/>
        <v>0.08154884885464739</v>
      </c>
    </row>
    <row r="66" spans="2:13" ht="12.75">
      <c r="B66" s="9" t="s">
        <v>85</v>
      </c>
      <c r="C66" s="9" t="s">
        <v>211</v>
      </c>
      <c r="D66" s="9" t="s">
        <v>56</v>
      </c>
      <c r="E66" s="9" t="s">
        <v>15</v>
      </c>
      <c r="F66"/>
      <c r="G66" s="5">
        <f t="shared" si="2"/>
        <v>1.0718492343934038</v>
      </c>
      <c r="H66"/>
      <c r="I66" s="5">
        <f t="shared" si="2"/>
        <v>0.4054915136418931</v>
      </c>
      <c r="J66"/>
      <c r="K66" s="5">
        <f t="shared" si="0"/>
        <v>1.054277935468922</v>
      </c>
      <c r="L66"/>
      <c r="M66" s="5">
        <f t="shared" si="1"/>
        <v>0.8438728945014063</v>
      </c>
    </row>
    <row r="67" spans="2:13" ht="12.75">
      <c r="B67" s="74" t="s">
        <v>210</v>
      </c>
      <c r="C67" s="9" t="s">
        <v>211</v>
      </c>
      <c r="D67" s="9" t="s">
        <v>56</v>
      </c>
      <c r="E67" s="9" t="s">
        <v>15</v>
      </c>
      <c r="F67"/>
      <c r="G67" s="5">
        <f t="shared" si="2"/>
        <v>1.607773851590106</v>
      </c>
      <c r="H67"/>
      <c r="I67" s="5">
        <f t="shared" si="2"/>
        <v>1.459769449110815</v>
      </c>
      <c r="J67"/>
      <c r="K67" s="5">
        <f t="shared" si="0"/>
        <v>1.2570236922898685</v>
      </c>
      <c r="L67"/>
      <c r="M67" s="5">
        <f t="shared" si="1"/>
        <v>1.44152233099693</v>
      </c>
    </row>
    <row r="68" spans="2:13" ht="12.75">
      <c r="B68" s="9" t="s">
        <v>116</v>
      </c>
      <c r="C68" s="9" t="s">
        <v>211</v>
      </c>
      <c r="D68" s="9" t="s">
        <v>56</v>
      </c>
      <c r="E68" s="9" t="s">
        <v>15</v>
      </c>
      <c r="F68"/>
      <c r="G68" s="5">
        <f t="shared" si="2"/>
        <v>0.16489988221436985</v>
      </c>
      <c r="H68"/>
      <c r="I68" s="5">
        <f t="shared" si="2"/>
        <v>0.16219660545675724</v>
      </c>
      <c r="J68"/>
      <c r="K68" s="5">
        <f t="shared" si="0"/>
        <v>0.20274575682094656</v>
      </c>
      <c r="L68"/>
      <c r="M68" s="5">
        <f t="shared" si="1"/>
        <v>0.17661408149735788</v>
      </c>
    </row>
    <row r="69" spans="2:13" ht="12.75">
      <c r="B69" s="9" t="s">
        <v>117</v>
      </c>
      <c r="C69" s="9" t="s">
        <v>211</v>
      </c>
      <c r="D69" s="9" t="s">
        <v>56</v>
      </c>
      <c r="E69" s="9" t="s">
        <v>15</v>
      </c>
      <c r="F69"/>
      <c r="G69" s="5">
        <f t="shared" si="2"/>
        <v>0.9481743227326266</v>
      </c>
      <c r="H69"/>
      <c r="I69" s="5">
        <f t="shared" si="2"/>
        <v>0.527138967734461</v>
      </c>
      <c r="J69"/>
      <c r="K69" s="5">
        <f t="shared" si="0"/>
        <v>0.20274575682094656</v>
      </c>
      <c r="L69"/>
      <c r="M69" s="5">
        <f t="shared" si="1"/>
        <v>0.559353015762678</v>
      </c>
    </row>
    <row r="70" spans="2:13" ht="12.75">
      <c r="B70" s="9" t="s">
        <v>79</v>
      </c>
      <c r="C70" s="9" t="s">
        <v>211</v>
      </c>
      <c r="D70" s="9" t="s">
        <v>56</v>
      </c>
      <c r="E70" s="9" t="s">
        <v>15</v>
      </c>
      <c r="F70"/>
      <c r="G70" s="63">
        <f t="shared" si="2"/>
        <v>0.16489988221436985</v>
      </c>
      <c r="H70"/>
      <c r="I70" s="5">
        <f t="shared" si="2"/>
        <v>0.48658981637027177</v>
      </c>
      <c r="J70"/>
      <c r="K70" s="5">
        <f t="shared" si="0"/>
        <v>0.24329490818513588</v>
      </c>
      <c r="L70"/>
      <c r="M70" s="5">
        <f t="shared" si="1"/>
        <v>0.29826153558992585</v>
      </c>
    </row>
    <row r="71" spans="2:13" ht="12.75">
      <c r="B71" s="9" t="s">
        <v>118</v>
      </c>
      <c r="C71" s="9" t="s">
        <v>211</v>
      </c>
      <c r="D71" s="9" t="s">
        <v>56</v>
      </c>
      <c r="E71" s="9" t="s">
        <v>15</v>
      </c>
      <c r="F71"/>
      <c r="G71" s="5">
        <f t="shared" si="2"/>
        <v>4.493521790341579</v>
      </c>
      <c r="H71"/>
      <c r="I71" s="5">
        <f t="shared" si="2"/>
        <v>6.122921855992585</v>
      </c>
      <c r="J71"/>
      <c r="K71" s="5">
        <f t="shared" si="0"/>
        <v>9.691247176041244</v>
      </c>
      <c r="L71"/>
      <c r="M71" s="5">
        <f t="shared" si="1"/>
        <v>6.769230274125136</v>
      </c>
    </row>
    <row r="72" spans="2:13" ht="12.75">
      <c r="B72" s="9" t="s">
        <v>81</v>
      </c>
      <c r="C72" s="9" t="s">
        <v>211</v>
      </c>
      <c r="D72" s="9" t="s">
        <v>56</v>
      </c>
      <c r="E72" s="9" t="s">
        <v>15</v>
      </c>
      <c r="F72" s="9" t="s">
        <v>100</v>
      </c>
      <c r="G72" s="5">
        <f t="shared" si="2"/>
        <v>3.875147232037692</v>
      </c>
      <c r="H72" s="9" t="s">
        <v>100</v>
      </c>
      <c r="I72" s="5">
        <f t="shared" si="2"/>
        <v>3.2844812604993345</v>
      </c>
      <c r="J72" s="9" t="s">
        <v>100</v>
      </c>
      <c r="K72" s="5">
        <f t="shared" si="0"/>
        <v>3.3250304118635237</v>
      </c>
      <c r="L72">
        <v>100</v>
      </c>
      <c r="M72" s="5">
        <f>AVERAGE(G72,I72,K72)</f>
        <v>3.4948863014668503</v>
      </c>
    </row>
    <row r="73" spans="2:13" ht="12.75">
      <c r="B73" s="9" t="s">
        <v>119</v>
      </c>
      <c r="C73" s="9" t="s">
        <v>211</v>
      </c>
      <c r="D73" s="9" t="s">
        <v>56</v>
      </c>
      <c r="E73" s="9" t="s">
        <v>15</v>
      </c>
      <c r="F73"/>
      <c r="G73" s="5">
        <f t="shared" si="2"/>
        <v>0.16489988221436985</v>
      </c>
      <c r="H73"/>
      <c r="I73" s="5">
        <f t="shared" si="2"/>
        <v>0.4054915136418931</v>
      </c>
      <c r="J73"/>
      <c r="K73" s="5">
        <f t="shared" si="0"/>
        <v>0.3243932109135145</v>
      </c>
      <c r="L73"/>
      <c r="M73" s="5">
        <f aca="true" t="shared" si="3" ref="M73:M80">AVERAGE(G73,I73,K73)</f>
        <v>0.2982615355899258</v>
      </c>
    </row>
    <row r="74" spans="2:13" ht="12.75">
      <c r="B74" s="9" t="s">
        <v>120</v>
      </c>
      <c r="C74" s="9" t="s">
        <v>211</v>
      </c>
      <c r="D74" s="9" t="s">
        <v>56</v>
      </c>
      <c r="E74" s="9" t="s">
        <v>15</v>
      </c>
      <c r="F74"/>
      <c r="G74" s="5">
        <f t="shared" si="2"/>
        <v>614.2520612485278</v>
      </c>
      <c r="H74"/>
      <c r="I74" s="5">
        <f t="shared" si="2"/>
        <v>604.1823553264207</v>
      </c>
      <c r="J74"/>
      <c r="K74" s="5">
        <f t="shared" si="0"/>
        <v>454.15049527892023</v>
      </c>
      <c r="L74"/>
      <c r="M74" s="5">
        <f t="shared" si="3"/>
        <v>557.5283039512896</v>
      </c>
    </row>
    <row r="75" spans="2:13" ht="12.75">
      <c r="B75" s="9" t="s">
        <v>122</v>
      </c>
      <c r="C75" s="9" t="s">
        <v>211</v>
      </c>
      <c r="D75" s="9" t="s">
        <v>56</v>
      </c>
      <c r="E75" s="9" t="s">
        <v>15</v>
      </c>
      <c r="F75"/>
      <c r="G75" s="5">
        <f t="shared" si="2"/>
        <v>0.3297997644287397</v>
      </c>
      <c r="H75"/>
      <c r="I75" s="5">
        <f t="shared" si="2"/>
        <v>0.2838440595493252</v>
      </c>
      <c r="J75"/>
      <c r="K75" s="5">
        <f t="shared" si="0"/>
        <v>0.20274575682094656</v>
      </c>
      <c r="L75"/>
      <c r="M75" s="5">
        <f t="shared" si="3"/>
        <v>0.2721298602663371</v>
      </c>
    </row>
    <row r="76" spans="2:13" ht="12.75">
      <c r="B76" s="9" t="s">
        <v>110</v>
      </c>
      <c r="C76" s="9" t="s">
        <v>211</v>
      </c>
      <c r="D76" s="9" t="s">
        <v>56</v>
      </c>
      <c r="E76" s="9" t="s">
        <v>15</v>
      </c>
      <c r="F76"/>
      <c r="G76" s="5">
        <f t="shared" si="2"/>
        <v>0.04122497055359246</v>
      </c>
      <c r="H76"/>
      <c r="I76" s="5">
        <f t="shared" si="2"/>
        <v>0.08109830272837862</v>
      </c>
      <c r="J76"/>
      <c r="K76" s="5">
        <f t="shared" si="0"/>
        <v>0.08109830272837862</v>
      </c>
      <c r="L76"/>
      <c r="M76" s="5">
        <f t="shared" si="3"/>
        <v>0.06780719200344991</v>
      </c>
    </row>
    <row r="77" spans="2:13" ht="12.75">
      <c r="B77" s="9" t="s">
        <v>124</v>
      </c>
      <c r="C77" s="9" t="s">
        <v>211</v>
      </c>
      <c r="D77" s="9" t="s">
        <v>56</v>
      </c>
      <c r="E77" s="9" t="s">
        <v>15</v>
      </c>
      <c r="F77" t="s">
        <v>100</v>
      </c>
      <c r="G77" s="5">
        <f t="shared" si="2"/>
        <v>0.16489988221436985</v>
      </c>
      <c r="H77" t="s">
        <v>100</v>
      </c>
      <c r="I77" s="5">
        <f t="shared" si="2"/>
        <v>0.12164745409256794</v>
      </c>
      <c r="J77" t="s">
        <v>100</v>
      </c>
      <c r="K77" s="5">
        <f t="shared" si="0"/>
        <v>0.16219660545675724</v>
      </c>
      <c r="L77">
        <v>100</v>
      </c>
      <c r="M77" s="5">
        <f t="shared" si="3"/>
        <v>0.14958131392123167</v>
      </c>
    </row>
    <row r="78" spans="2:13" ht="12.75">
      <c r="B78" s="9" t="s">
        <v>123</v>
      </c>
      <c r="C78" s="9" t="s">
        <v>211</v>
      </c>
      <c r="D78" s="9" t="s">
        <v>56</v>
      </c>
      <c r="E78" s="9" t="s">
        <v>15</v>
      </c>
      <c r="F78"/>
      <c r="G78" s="5">
        <f t="shared" si="2"/>
        <v>3.1330977620730267</v>
      </c>
      <c r="H78"/>
      <c r="I78" s="5">
        <f t="shared" si="2"/>
        <v>2.0274575682094658</v>
      </c>
      <c r="J78"/>
      <c r="K78" s="5">
        <f t="shared" si="0"/>
        <v>5.636332039622315</v>
      </c>
      <c r="L78"/>
      <c r="M78" s="5">
        <f t="shared" si="3"/>
        <v>3.598962456634936</v>
      </c>
    </row>
    <row r="79" spans="2:13" ht="12.75">
      <c r="B79" s="9" t="s">
        <v>125</v>
      </c>
      <c r="C79" s="9" t="s">
        <v>211</v>
      </c>
      <c r="D79" s="9" t="s">
        <v>56</v>
      </c>
      <c r="E79" s="9" t="s">
        <v>15</v>
      </c>
      <c r="F79" t="s">
        <v>100</v>
      </c>
      <c r="G79" s="5">
        <f t="shared" si="2"/>
        <v>3.1743227326266195</v>
      </c>
      <c r="H79" t="s">
        <v>100</v>
      </c>
      <c r="I79" s="5">
        <f t="shared" si="2"/>
        <v>3.6088744714128485</v>
      </c>
      <c r="J79" t="s">
        <v>100</v>
      </c>
      <c r="K79" s="5">
        <f t="shared" si="0"/>
        <v>0.7704338759195968</v>
      </c>
      <c r="L79">
        <v>100</v>
      </c>
      <c r="M79" s="5">
        <f t="shared" si="3"/>
        <v>2.5178770266530215</v>
      </c>
    </row>
    <row r="80" spans="2:13" ht="12.75">
      <c r="B80" s="9" t="s">
        <v>126</v>
      </c>
      <c r="C80" s="9" t="s">
        <v>211</v>
      </c>
      <c r="D80" s="9" t="s">
        <v>56</v>
      </c>
      <c r="E80" s="9" t="s">
        <v>15</v>
      </c>
      <c r="F80"/>
      <c r="G80" s="5">
        <f t="shared" si="2"/>
        <v>23.4982332155477</v>
      </c>
      <c r="H80"/>
      <c r="I80" s="5">
        <f t="shared" si="2"/>
        <v>51.90291374616232</v>
      </c>
      <c r="J80"/>
      <c r="K80" s="5">
        <f t="shared" si="0"/>
        <v>51.90291374616232</v>
      </c>
      <c r="L80"/>
      <c r="M80" s="5">
        <f t="shared" si="3"/>
        <v>42.434686902624115</v>
      </c>
    </row>
    <row r="81" spans="2:13" ht="13.5" customHeight="1">
      <c r="B81" s="9"/>
      <c r="C81" s="9"/>
      <c r="F81"/>
      <c r="G81"/>
      <c r="H81"/>
      <c r="I81"/>
      <c r="J81"/>
      <c r="K81"/>
      <c r="L81"/>
      <c r="M81"/>
    </row>
    <row r="82" spans="2:13" ht="12.75">
      <c r="B82" t="s">
        <v>57</v>
      </c>
      <c r="C82" s="9" t="s">
        <v>211</v>
      </c>
      <c r="D82" s="9" t="s">
        <v>56</v>
      </c>
      <c r="E82" s="9" t="s">
        <v>15</v>
      </c>
      <c r="G82" s="63">
        <f>G70+G65</f>
        <v>0.24734982332155478</v>
      </c>
      <c r="H82" s="5"/>
      <c r="I82" s="63">
        <f>I70+I65</f>
        <v>0.5676881190986504</v>
      </c>
      <c r="J82" s="5"/>
      <c r="K82" s="63">
        <f>K70+K65</f>
        <v>0.3243932109135145</v>
      </c>
      <c r="L82" s="5"/>
      <c r="M82" s="5">
        <f>AVERAGE(G82,I82,K82)</f>
        <v>0.3798103844445732</v>
      </c>
    </row>
    <row r="83" spans="2:13" ht="12.75">
      <c r="B83" t="s">
        <v>58</v>
      </c>
      <c r="C83" s="9" t="s">
        <v>211</v>
      </c>
      <c r="D83" s="9" t="s">
        <v>56</v>
      </c>
      <c r="E83" s="9" t="s">
        <v>15</v>
      </c>
      <c r="F83" s="76">
        <f>(G63+G61)/G83*100</f>
        <v>50.9433962264151</v>
      </c>
      <c r="G83" s="5">
        <f>G66+G61+G63</f>
        <v>2.1849234393404</v>
      </c>
      <c r="H83" s="76">
        <f>(I63+I61)/I83*100</f>
        <v>71.42857142857143</v>
      </c>
      <c r="I83" s="5">
        <f>I66+I61+I63</f>
        <v>1.4192202977466257</v>
      </c>
      <c r="J83" s="76">
        <f>(K63+K61)/K83*100</f>
        <v>31.57894736842105</v>
      </c>
      <c r="K83" s="5">
        <f>K66+K61+K63</f>
        <v>1.5408677518391938</v>
      </c>
      <c r="L83" s="76">
        <f>(M63+M61)/M83*100</f>
        <v>50.79469328779719</v>
      </c>
      <c r="M83" s="5">
        <f>AVERAGE(G83,I83,K83)</f>
        <v>1.7150038296420733</v>
      </c>
    </row>
    <row r="84" ht="12.75"/>
    <row r="85" ht="12.75"/>
    <row r="86" spans="1:7" ht="12.75">
      <c r="A86" s="18">
        <v>2</v>
      </c>
      <c r="B86" s="22" t="s">
        <v>149</v>
      </c>
      <c r="C86" s="9" t="s">
        <v>154</v>
      </c>
      <c r="G86" s="51" t="s">
        <v>204</v>
      </c>
    </row>
    <row r="87" spans="2:7" ht="12.75">
      <c r="B87" s="22"/>
      <c r="C87" s="22"/>
      <c r="G87" s="18"/>
    </row>
    <row r="88" spans="1:7" ht="12.75">
      <c r="A88" s="18"/>
      <c r="B88" s="9" t="s">
        <v>128</v>
      </c>
      <c r="C88" s="9" t="s">
        <v>209</v>
      </c>
      <c r="D88" s="13" t="s">
        <v>16</v>
      </c>
      <c r="E88" s="13" t="s">
        <v>15</v>
      </c>
      <c r="G88">
        <v>8</v>
      </c>
    </row>
    <row r="89" spans="1:7" ht="12.75">
      <c r="A89" s="18"/>
      <c r="B89" s="9" t="s">
        <v>155</v>
      </c>
      <c r="C89" s="9" t="s">
        <v>209</v>
      </c>
      <c r="D89" s="13" t="s">
        <v>16</v>
      </c>
      <c r="E89" s="13" t="s">
        <v>15</v>
      </c>
      <c r="G89">
        <v>9</v>
      </c>
    </row>
    <row r="90" ht="12.75"/>
    <row r="91" spans="2:13" ht="12.75">
      <c r="B91" s="9" t="s">
        <v>13</v>
      </c>
      <c r="C91" s="9" t="s">
        <v>209</v>
      </c>
      <c r="D91" s="9" t="s">
        <v>14</v>
      </c>
      <c r="E91" s="9" t="s">
        <v>15</v>
      </c>
      <c r="F91"/>
      <c r="G91">
        <v>0.0015</v>
      </c>
      <c r="H91"/>
      <c r="I91"/>
      <c r="J91"/>
      <c r="K91"/>
      <c r="L91"/>
      <c r="M91" s="57"/>
    </row>
    <row r="92" ht="12.75"/>
    <row r="93" spans="2:13" ht="12.75">
      <c r="B93" s="9" t="s">
        <v>49</v>
      </c>
      <c r="C93" s="9"/>
      <c r="D93" s="9" t="s">
        <v>105</v>
      </c>
      <c r="E93" s="9" t="s">
        <v>104</v>
      </c>
      <c r="F93" s="9" t="s">
        <v>100</v>
      </c>
      <c r="G93">
        <v>0.01</v>
      </c>
      <c r="H93"/>
      <c r="I93"/>
      <c r="J93"/>
      <c r="K93"/>
      <c r="L93"/>
      <c r="M93" s="5"/>
    </row>
    <row r="94" spans="2:13" ht="12.75">
      <c r="B94" s="9" t="s">
        <v>106</v>
      </c>
      <c r="C94" s="9"/>
      <c r="D94" s="9" t="s">
        <v>105</v>
      </c>
      <c r="E94" s="9" t="s">
        <v>104</v>
      </c>
      <c r="F94" s="9" t="s">
        <v>100</v>
      </c>
      <c r="G94">
        <v>0.015</v>
      </c>
      <c r="H94"/>
      <c r="I94"/>
      <c r="J94"/>
      <c r="K94"/>
      <c r="L94"/>
      <c r="M94" s="5"/>
    </row>
    <row r="95" spans="2:13" ht="12.75">
      <c r="B95" s="9"/>
      <c r="C95" s="9"/>
      <c r="F95"/>
      <c r="G95"/>
      <c r="H95"/>
      <c r="I95"/>
      <c r="J95"/>
      <c r="K95"/>
      <c r="L95"/>
      <c r="M95" s="5"/>
    </row>
    <row r="96" spans="2:13" ht="12.75">
      <c r="B96" s="9" t="s">
        <v>49</v>
      </c>
      <c r="C96" s="9" t="s">
        <v>209</v>
      </c>
      <c r="D96" s="9" t="s">
        <v>16</v>
      </c>
      <c r="E96" s="9" t="s">
        <v>15</v>
      </c>
      <c r="F96"/>
      <c r="G96" s="63">
        <f>G93/0.0283/1.518/2*14/(21-G101)</f>
        <v>0.11638896260189854</v>
      </c>
      <c r="H96"/>
      <c r="I96"/>
      <c r="J96"/>
      <c r="K96"/>
      <c r="L96"/>
      <c r="M96" s="5"/>
    </row>
    <row r="97" spans="2:13" ht="12.75">
      <c r="B97" s="9" t="s">
        <v>106</v>
      </c>
      <c r="C97" s="9" t="s">
        <v>209</v>
      </c>
      <c r="D97" s="9" t="s">
        <v>16</v>
      </c>
      <c r="E97" s="9" t="s">
        <v>15</v>
      </c>
      <c r="F97"/>
      <c r="G97" s="63">
        <f>G94/0.0283/0.759/2*14/(21-G101)</f>
        <v>0.3491668878056956</v>
      </c>
      <c r="H97"/>
      <c r="I97"/>
      <c r="J97"/>
      <c r="K97"/>
      <c r="L97"/>
      <c r="M97" s="5"/>
    </row>
    <row r="98" spans="8:13" ht="12.75">
      <c r="H98"/>
      <c r="I98"/>
      <c r="J98"/>
      <c r="K98"/>
      <c r="L98"/>
      <c r="M98" s="5"/>
    </row>
    <row r="99" spans="2:13" ht="12.75">
      <c r="B99" s="9" t="s">
        <v>86</v>
      </c>
      <c r="C99" s="9" t="s">
        <v>175</v>
      </c>
      <c r="D99" s="9" t="s">
        <v>209</v>
      </c>
      <c r="F99"/>
      <c r="G99"/>
      <c r="H99"/>
      <c r="I99"/>
      <c r="J99"/>
      <c r="K99"/>
      <c r="L99"/>
      <c r="M99" s="5"/>
    </row>
    <row r="100" spans="2:13" ht="12.75">
      <c r="B100" s="9" t="s">
        <v>78</v>
      </c>
      <c r="C100" s="9"/>
      <c r="D100" s="9" t="s">
        <v>17</v>
      </c>
      <c r="F100"/>
      <c r="G100">
        <v>3744</v>
      </c>
      <c r="H100"/>
      <c r="I100"/>
      <c r="J100"/>
      <c r="K100"/>
      <c r="L100"/>
      <c r="M100" s="5"/>
    </row>
    <row r="101" spans="2:7" ht="12.75">
      <c r="B101" s="9" t="s">
        <v>83</v>
      </c>
      <c r="C101" s="9"/>
      <c r="D101" s="9" t="s">
        <v>18</v>
      </c>
      <c r="E101" s="9"/>
      <c r="G101">
        <v>7</v>
      </c>
    </row>
    <row r="102" spans="2:13" ht="12.75">
      <c r="B102" s="9" t="s">
        <v>84</v>
      </c>
      <c r="C102" s="9"/>
      <c r="D102" s="9" t="s">
        <v>18</v>
      </c>
      <c r="F102"/>
      <c r="G102">
        <v>53.3</v>
      </c>
      <c r="H102"/>
      <c r="I102"/>
      <c r="J102"/>
      <c r="K102"/>
      <c r="L102"/>
      <c r="M102"/>
    </row>
    <row r="103" spans="2:13" ht="12.75">
      <c r="B103" s="9" t="s">
        <v>77</v>
      </c>
      <c r="C103" s="9"/>
      <c r="D103" s="9" t="s">
        <v>19</v>
      </c>
      <c r="F103"/>
      <c r="G103">
        <v>277</v>
      </c>
      <c r="H103"/>
      <c r="I103"/>
      <c r="J103"/>
      <c r="K103"/>
      <c r="L103"/>
      <c r="M103" s="5"/>
    </row>
    <row r="104" spans="2:13" ht="12.75">
      <c r="B104"/>
      <c r="C104"/>
      <c r="D104"/>
      <c r="E104"/>
      <c r="F104"/>
      <c r="G104"/>
      <c r="H104"/>
      <c r="I104"/>
      <c r="J104"/>
      <c r="K104"/>
      <c r="L104"/>
      <c r="M104" s="5"/>
    </row>
    <row r="105" spans="2:13" ht="12.75">
      <c r="B105" s="9" t="s">
        <v>86</v>
      </c>
      <c r="C105" s="9" t="s">
        <v>99</v>
      </c>
      <c r="D105" s="9" t="s">
        <v>211</v>
      </c>
      <c r="F105"/>
      <c r="G105" s="5"/>
      <c r="H105"/>
      <c r="I105"/>
      <c r="J105"/>
      <c r="K105"/>
      <c r="L105"/>
      <c r="M105" s="5"/>
    </row>
    <row r="106" spans="2:13" ht="12.75">
      <c r="B106" s="9" t="s">
        <v>78</v>
      </c>
      <c r="C106" s="9"/>
      <c r="D106" s="9" t="s">
        <v>17</v>
      </c>
      <c r="F106"/>
      <c r="G106" s="5">
        <v>3816</v>
      </c>
      <c r="H106"/>
      <c r="I106"/>
      <c r="J106"/>
      <c r="K106"/>
      <c r="L106"/>
      <c r="M106" s="5"/>
    </row>
    <row r="107" spans="2:7" ht="12.75">
      <c r="B107" s="9" t="s">
        <v>83</v>
      </c>
      <c r="C107" s="9"/>
      <c r="D107" s="9" t="s">
        <v>18</v>
      </c>
      <c r="E107" s="9"/>
      <c r="G107" s="5">
        <v>7</v>
      </c>
    </row>
    <row r="108" spans="2:7" ht="12.75">
      <c r="B108" s="9" t="s">
        <v>84</v>
      </c>
      <c r="C108" s="9"/>
      <c r="D108" s="9" t="s">
        <v>18</v>
      </c>
      <c r="E108" s="9"/>
      <c r="G108" s="5">
        <v>53.2</v>
      </c>
    </row>
    <row r="109" spans="2:7" ht="12.75">
      <c r="B109" s="9" t="s">
        <v>77</v>
      </c>
      <c r="C109" s="9"/>
      <c r="D109" s="9" t="s">
        <v>19</v>
      </c>
      <c r="E109" s="9"/>
      <c r="G109" s="5">
        <v>277</v>
      </c>
    </row>
    <row r="110" spans="2:7" ht="12.75">
      <c r="B110" s="9"/>
      <c r="C110" s="9"/>
      <c r="G110" s="5"/>
    </row>
    <row r="111" spans="2:7" ht="12.75">
      <c r="B111" s="9" t="s">
        <v>111</v>
      </c>
      <c r="C111" s="9"/>
      <c r="D111" s="9" t="s">
        <v>127</v>
      </c>
      <c r="E111" s="9" t="s">
        <v>104</v>
      </c>
      <c r="F111" s="9" t="s">
        <v>100</v>
      </c>
      <c r="G111" s="63">
        <v>2.04</v>
      </c>
    </row>
    <row r="112" spans="2:7" ht="12.75">
      <c r="B112" s="9" t="s">
        <v>121</v>
      </c>
      <c r="C112" s="9"/>
      <c r="D112" s="9" t="s">
        <v>127</v>
      </c>
      <c r="E112" s="9" t="s">
        <v>104</v>
      </c>
      <c r="F112" s="9" t="s">
        <v>100</v>
      </c>
      <c r="G112" s="5">
        <v>0.006</v>
      </c>
    </row>
    <row r="113" spans="2:7" ht="12.75">
      <c r="B113" s="9" t="s">
        <v>112</v>
      </c>
      <c r="C113" s="9"/>
      <c r="D113" s="9" t="s">
        <v>127</v>
      </c>
      <c r="E113" s="9" t="s">
        <v>104</v>
      </c>
      <c r="F113" s="9" t="s">
        <v>100</v>
      </c>
      <c r="G113" s="5">
        <v>0.007</v>
      </c>
    </row>
    <row r="114" spans="2:7" ht="12.75">
      <c r="B114" s="9" t="s">
        <v>113</v>
      </c>
      <c r="C114" s="9"/>
      <c r="D114" s="9" t="s">
        <v>127</v>
      </c>
      <c r="E114" s="9" t="s">
        <v>104</v>
      </c>
      <c r="G114" s="5">
        <v>0.221</v>
      </c>
    </row>
    <row r="115" spans="2:7" ht="12.75">
      <c r="B115" s="9" t="s">
        <v>80</v>
      </c>
      <c r="C115" s="9"/>
      <c r="D115" s="9" t="s">
        <v>127</v>
      </c>
      <c r="E115" s="9" t="s">
        <v>104</v>
      </c>
      <c r="F115" s="9" t="s">
        <v>100</v>
      </c>
      <c r="G115" s="5">
        <v>0.017</v>
      </c>
    </row>
    <row r="116" spans="2:7" ht="12.75">
      <c r="B116" s="9" t="s">
        <v>114</v>
      </c>
      <c r="C116" s="9"/>
      <c r="D116" s="9" t="s">
        <v>127</v>
      </c>
      <c r="E116" s="9" t="s">
        <v>104</v>
      </c>
      <c r="G116" s="63">
        <v>0.62</v>
      </c>
    </row>
    <row r="117" spans="2:7" ht="12.75">
      <c r="B117" s="9" t="s">
        <v>115</v>
      </c>
      <c r="C117" s="9"/>
      <c r="D117" s="9" t="s">
        <v>127</v>
      </c>
      <c r="E117" s="9" t="s">
        <v>104</v>
      </c>
      <c r="F117" s="9" t="s">
        <v>100</v>
      </c>
      <c r="G117" s="5">
        <v>0.003</v>
      </c>
    </row>
    <row r="118" spans="2:7" ht="12.75">
      <c r="B118" s="9" t="s">
        <v>85</v>
      </c>
      <c r="C118" s="9"/>
      <c r="D118" s="9" t="s">
        <v>127</v>
      </c>
      <c r="E118" s="9" t="s">
        <v>104</v>
      </c>
      <c r="F118" s="9" t="s">
        <v>100</v>
      </c>
      <c r="G118" s="5">
        <v>0.29</v>
      </c>
    </row>
    <row r="119" spans="2:7" ht="12.75">
      <c r="B119" s="74" t="s">
        <v>210</v>
      </c>
      <c r="C119" s="9"/>
      <c r="D119" s="9" t="s">
        <v>127</v>
      </c>
      <c r="E119" s="9" t="s">
        <v>104</v>
      </c>
      <c r="G119" s="5"/>
    </row>
    <row r="120" spans="2:7" ht="12.75">
      <c r="B120" s="9" t="s">
        <v>116</v>
      </c>
      <c r="C120" s="9"/>
      <c r="D120" s="9" t="s">
        <v>127</v>
      </c>
      <c r="E120" s="9" t="s">
        <v>104</v>
      </c>
      <c r="F120" s="9" t="s">
        <v>100</v>
      </c>
      <c r="G120" s="5">
        <v>0.002</v>
      </c>
    </row>
    <row r="121" spans="2:7" ht="12.75">
      <c r="B121" s="9" t="s">
        <v>117</v>
      </c>
      <c r="C121" s="9"/>
      <c r="D121" s="9" t="s">
        <v>127</v>
      </c>
      <c r="E121" s="9" t="s">
        <v>104</v>
      </c>
      <c r="G121" s="5">
        <v>0.047</v>
      </c>
    </row>
    <row r="122" spans="2:7" ht="12.75">
      <c r="B122" s="9" t="s">
        <v>79</v>
      </c>
      <c r="C122" s="9"/>
      <c r="D122" s="9" t="s">
        <v>127</v>
      </c>
      <c r="E122" s="9" t="s">
        <v>104</v>
      </c>
      <c r="G122" s="5">
        <v>0.005</v>
      </c>
    </row>
    <row r="123" spans="2:7" ht="12.75">
      <c r="B123" s="9" t="s">
        <v>118</v>
      </c>
      <c r="C123" s="9"/>
      <c r="D123" s="9" t="s">
        <v>127</v>
      </c>
      <c r="E123" s="9" t="s">
        <v>104</v>
      </c>
      <c r="G123" s="5">
        <v>0.067</v>
      </c>
    </row>
    <row r="124" spans="2:7" ht="12.75">
      <c r="B124" s="9" t="s">
        <v>81</v>
      </c>
      <c r="C124" s="9"/>
      <c r="D124" s="9" t="s">
        <v>127</v>
      </c>
      <c r="E124" s="9" t="s">
        <v>104</v>
      </c>
      <c r="F124" t="s">
        <v>100</v>
      </c>
      <c r="G124" s="5">
        <v>0.068</v>
      </c>
    </row>
    <row r="125" spans="2:7" ht="12.75">
      <c r="B125" s="9" t="s">
        <v>119</v>
      </c>
      <c r="C125" s="9"/>
      <c r="D125" s="9" t="s">
        <v>127</v>
      </c>
      <c r="E125" s="9" t="s">
        <v>104</v>
      </c>
      <c r="F125" t="s">
        <v>100</v>
      </c>
      <c r="G125" s="5">
        <v>0.008</v>
      </c>
    </row>
    <row r="126" spans="2:7" ht="12.75">
      <c r="B126" s="9" t="s">
        <v>120</v>
      </c>
      <c r="C126" s="9"/>
      <c r="D126" s="9" t="s">
        <v>127</v>
      </c>
      <c r="E126" s="9" t="s">
        <v>104</v>
      </c>
      <c r="F126" s="9" t="s">
        <v>100</v>
      </c>
      <c r="G126" s="5">
        <v>12.4</v>
      </c>
    </row>
    <row r="127" spans="2:7" ht="12.75">
      <c r="B127" s="9" t="s">
        <v>122</v>
      </c>
      <c r="C127" s="9"/>
      <c r="D127" s="9" t="s">
        <v>127</v>
      </c>
      <c r="E127" s="9" t="s">
        <v>104</v>
      </c>
      <c r="F127" s="9" t="s">
        <v>100</v>
      </c>
      <c r="G127" s="5">
        <v>0.007</v>
      </c>
    </row>
    <row r="128" spans="2:7" ht="12.75">
      <c r="B128" s="9" t="s">
        <v>110</v>
      </c>
      <c r="C128" s="9"/>
      <c r="D128" s="9" t="s">
        <v>127</v>
      </c>
      <c r="E128" s="9" t="s">
        <v>104</v>
      </c>
      <c r="F128" s="9" t="s">
        <v>100</v>
      </c>
      <c r="G128" s="63">
        <v>0.003</v>
      </c>
    </row>
    <row r="129" spans="2:7" ht="12.75">
      <c r="B129" s="9" t="s">
        <v>124</v>
      </c>
      <c r="C129" s="9"/>
      <c r="D129" s="9" t="s">
        <v>127</v>
      </c>
      <c r="E129" s="9" t="s">
        <v>104</v>
      </c>
      <c r="F129" s="9" t="s">
        <v>100</v>
      </c>
      <c r="G129" s="5">
        <v>0.003</v>
      </c>
    </row>
    <row r="130" spans="2:7" ht="12.75">
      <c r="B130" s="9" t="s">
        <v>123</v>
      </c>
      <c r="C130" s="9"/>
      <c r="D130" s="9" t="s">
        <v>127</v>
      </c>
      <c r="E130" s="9" t="s">
        <v>104</v>
      </c>
      <c r="G130" s="5">
        <v>0.033</v>
      </c>
    </row>
    <row r="131" spans="2:7" ht="12.75">
      <c r="B131" s="9" t="s">
        <v>125</v>
      </c>
      <c r="C131" s="9"/>
      <c r="D131" s="9" t="s">
        <v>127</v>
      </c>
      <c r="E131" s="9" t="s">
        <v>104</v>
      </c>
      <c r="F131" s="9" t="s">
        <v>100</v>
      </c>
      <c r="G131" s="5">
        <v>0.087</v>
      </c>
    </row>
    <row r="132" spans="2:7" ht="12.75">
      <c r="B132" s="9" t="s">
        <v>126</v>
      </c>
      <c r="C132" s="9"/>
      <c r="D132" s="9" t="s">
        <v>127</v>
      </c>
      <c r="E132" s="9" t="s">
        <v>104</v>
      </c>
      <c r="G132" s="5">
        <v>0.72</v>
      </c>
    </row>
    <row r="133" ht="12.75"/>
    <row r="134" spans="2:7" ht="12.75">
      <c r="B134" s="9" t="s">
        <v>111</v>
      </c>
      <c r="C134" s="9" t="s">
        <v>211</v>
      </c>
      <c r="D134" s="9" t="s">
        <v>56</v>
      </c>
      <c r="E134" s="9" t="s">
        <v>15</v>
      </c>
      <c r="G134" s="5">
        <f aca="true" t="shared" si="4" ref="G134:G155">G111/0.0283*(21-7)/(21-G$107)</f>
        <v>72.08480565371025</v>
      </c>
    </row>
    <row r="135" spans="2:7" ht="12.75">
      <c r="B135" s="9" t="s">
        <v>121</v>
      </c>
      <c r="C135" s="9" t="s">
        <v>211</v>
      </c>
      <c r="D135" s="9" t="s">
        <v>56</v>
      </c>
      <c r="E135" s="9" t="s">
        <v>15</v>
      </c>
      <c r="G135" s="5">
        <f t="shared" si="4"/>
        <v>0.21201413427561838</v>
      </c>
    </row>
    <row r="136" spans="2:7" ht="12.75">
      <c r="B136" s="9" t="s">
        <v>112</v>
      </c>
      <c r="C136" s="9" t="s">
        <v>211</v>
      </c>
      <c r="D136" s="9" t="s">
        <v>56</v>
      </c>
      <c r="E136" s="9" t="s">
        <v>15</v>
      </c>
      <c r="F136" t="s">
        <v>100</v>
      </c>
      <c r="G136" s="5">
        <f t="shared" si="4"/>
        <v>0.24734982332155478</v>
      </c>
    </row>
    <row r="137" spans="2:7" ht="12.75">
      <c r="B137" s="9" t="s">
        <v>113</v>
      </c>
      <c r="C137" s="9" t="s">
        <v>211</v>
      </c>
      <c r="D137" s="9" t="s">
        <v>56</v>
      </c>
      <c r="E137" s="9" t="s">
        <v>15</v>
      </c>
      <c r="G137" s="5">
        <f t="shared" si="4"/>
        <v>7.809187279151944</v>
      </c>
    </row>
    <row r="138" spans="2:7" ht="12.75">
      <c r="B138" s="9" t="s">
        <v>80</v>
      </c>
      <c r="C138" s="9" t="s">
        <v>211</v>
      </c>
      <c r="D138" s="9" t="s">
        <v>56</v>
      </c>
      <c r="E138" s="9" t="s">
        <v>15</v>
      </c>
      <c r="F138" t="s">
        <v>100</v>
      </c>
      <c r="G138" s="5">
        <f t="shared" si="4"/>
        <v>0.6007067137809188</v>
      </c>
    </row>
    <row r="139" spans="2:7" ht="12.75">
      <c r="B139" s="9" t="s">
        <v>114</v>
      </c>
      <c r="C139" s="9" t="s">
        <v>211</v>
      </c>
      <c r="D139" s="9" t="s">
        <v>56</v>
      </c>
      <c r="E139" s="9" t="s">
        <v>15</v>
      </c>
      <c r="G139" s="5">
        <f t="shared" si="4"/>
        <v>21.90812720848057</v>
      </c>
    </row>
    <row r="140" spans="2:7" ht="12.75">
      <c r="B140" s="9" t="s">
        <v>115</v>
      </c>
      <c r="C140" s="9" t="s">
        <v>211</v>
      </c>
      <c r="D140" s="9" t="s">
        <v>56</v>
      </c>
      <c r="E140" s="9" t="s">
        <v>15</v>
      </c>
      <c r="G140" s="5">
        <f t="shared" si="4"/>
        <v>0.10600706713780919</v>
      </c>
    </row>
    <row r="141" spans="2:7" ht="12.75">
      <c r="B141" s="9" t="s">
        <v>85</v>
      </c>
      <c r="C141" s="9" t="s">
        <v>211</v>
      </c>
      <c r="D141" s="9" t="s">
        <v>56</v>
      </c>
      <c r="E141" s="9" t="s">
        <v>15</v>
      </c>
      <c r="G141" s="5">
        <f t="shared" si="4"/>
        <v>10.247349823321555</v>
      </c>
    </row>
    <row r="142" spans="2:7" ht="12.75">
      <c r="B142" s="74" t="s">
        <v>210</v>
      </c>
      <c r="C142" s="9" t="s">
        <v>211</v>
      </c>
      <c r="D142" s="9" t="s">
        <v>56</v>
      </c>
      <c r="E142" s="9" t="s">
        <v>15</v>
      </c>
      <c r="G142" s="5">
        <f t="shared" si="4"/>
        <v>0</v>
      </c>
    </row>
    <row r="143" spans="2:7" ht="12.75">
      <c r="B143" s="9" t="s">
        <v>116</v>
      </c>
      <c r="C143" s="9" t="s">
        <v>211</v>
      </c>
      <c r="D143" s="9" t="s">
        <v>56</v>
      </c>
      <c r="E143" s="9" t="s">
        <v>15</v>
      </c>
      <c r="G143" s="5">
        <f t="shared" si="4"/>
        <v>0.0706713780918728</v>
      </c>
    </row>
    <row r="144" spans="2:7" ht="12.75">
      <c r="B144" s="9" t="s">
        <v>117</v>
      </c>
      <c r="C144" s="9" t="s">
        <v>211</v>
      </c>
      <c r="D144" s="9" t="s">
        <v>56</v>
      </c>
      <c r="E144" s="9" t="s">
        <v>15</v>
      </c>
      <c r="G144" s="5">
        <f t="shared" si="4"/>
        <v>1.6607773851590106</v>
      </c>
    </row>
    <row r="145" spans="2:7" ht="12.75">
      <c r="B145" s="9" t="s">
        <v>79</v>
      </c>
      <c r="C145" s="9" t="s">
        <v>211</v>
      </c>
      <c r="D145" s="9" t="s">
        <v>56</v>
      </c>
      <c r="E145" s="9" t="s">
        <v>15</v>
      </c>
      <c r="G145" s="5">
        <f t="shared" si="4"/>
        <v>0.17667844522968199</v>
      </c>
    </row>
    <row r="146" spans="2:7" ht="12.75">
      <c r="B146" s="9" t="s">
        <v>118</v>
      </c>
      <c r="C146" s="9" t="s">
        <v>211</v>
      </c>
      <c r="D146" s="9" t="s">
        <v>56</v>
      </c>
      <c r="E146" s="9" t="s">
        <v>15</v>
      </c>
      <c r="G146" s="5">
        <f t="shared" si="4"/>
        <v>2.367491166077739</v>
      </c>
    </row>
    <row r="147" spans="2:7" ht="12.75">
      <c r="B147" s="9" t="s">
        <v>81</v>
      </c>
      <c r="C147" s="9" t="s">
        <v>211</v>
      </c>
      <c r="D147" s="9" t="s">
        <v>56</v>
      </c>
      <c r="E147" s="9" t="s">
        <v>15</v>
      </c>
      <c r="F147" s="9" t="s">
        <v>100</v>
      </c>
      <c r="G147" s="5">
        <f t="shared" si="4"/>
        <v>2.402826855123675</v>
      </c>
    </row>
    <row r="148" spans="2:7" ht="12.75">
      <c r="B148" s="9" t="s">
        <v>119</v>
      </c>
      <c r="C148" s="9" t="s">
        <v>211</v>
      </c>
      <c r="D148" s="9" t="s">
        <v>56</v>
      </c>
      <c r="E148" s="9" t="s">
        <v>15</v>
      </c>
      <c r="G148" s="5">
        <f t="shared" si="4"/>
        <v>0.2826855123674912</v>
      </c>
    </row>
    <row r="149" spans="2:7" ht="12.75">
      <c r="B149" s="9" t="s">
        <v>120</v>
      </c>
      <c r="C149" s="9" t="s">
        <v>211</v>
      </c>
      <c r="D149" s="9" t="s">
        <v>56</v>
      </c>
      <c r="E149" s="9" t="s">
        <v>15</v>
      </c>
      <c r="G149" s="5">
        <f t="shared" si="4"/>
        <v>438.16254416961135</v>
      </c>
    </row>
    <row r="150" spans="2:7" ht="12.75">
      <c r="B150" s="9" t="s">
        <v>122</v>
      </c>
      <c r="C150" s="9" t="s">
        <v>211</v>
      </c>
      <c r="D150" s="9" t="s">
        <v>56</v>
      </c>
      <c r="E150" s="9" t="s">
        <v>15</v>
      </c>
      <c r="G150" s="5">
        <f t="shared" si="4"/>
        <v>0.24734982332155478</v>
      </c>
    </row>
    <row r="151" spans="2:7" ht="12.75">
      <c r="B151" s="9" t="s">
        <v>110</v>
      </c>
      <c r="C151" s="9" t="s">
        <v>211</v>
      </c>
      <c r="D151" s="9" t="s">
        <v>56</v>
      </c>
      <c r="E151" s="9" t="s">
        <v>15</v>
      </c>
      <c r="G151" s="5">
        <f t="shared" si="4"/>
        <v>0.10600706713780919</v>
      </c>
    </row>
    <row r="152" spans="2:7" ht="12.75">
      <c r="B152" s="9" t="s">
        <v>124</v>
      </c>
      <c r="C152" s="9" t="s">
        <v>211</v>
      </c>
      <c r="D152" s="9" t="s">
        <v>56</v>
      </c>
      <c r="E152" s="9" t="s">
        <v>15</v>
      </c>
      <c r="F152" t="s">
        <v>100</v>
      </c>
      <c r="G152" s="5">
        <f t="shared" si="4"/>
        <v>0.10600706713780919</v>
      </c>
    </row>
    <row r="153" spans="2:7" ht="12.75">
      <c r="B153" s="9" t="s">
        <v>123</v>
      </c>
      <c r="C153" s="9" t="s">
        <v>211</v>
      </c>
      <c r="D153" s="9" t="s">
        <v>56</v>
      </c>
      <c r="E153" s="9" t="s">
        <v>15</v>
      </c>
      <c r="G153" s="5">
        <f t="shared" si="4"/>
        <v>1.1660777385159011</v>
      </c>
    </row>
    <row r="154" spans="2:12" ht="12.75">
      <c r="B154" s="9" t="s">
        <v>125</v>
      </c>
      <c r="C154" s="9" t="s">
        <v>211</v>
      </c>
      <c r="D154" s="9" t="s">
        <v>56</v>
      </c>
      <c r="E154" s="9" t="s">
        <v>15</v>
      </c>
      <c r="F154" t="s">
        <v>100</v>
      </c>
      <c r="G154" s="5">
        <f t="shared" si="4"/>
        <v>3.0742049469964665</v>
      </c>
      <c r="H154" s="24"/>
      <c r="I154" s="25"/>
      <c r="J154" s="24"/>
      <c r="K154" s="24"/>
      <c r="L154" s="24"/>
    </row>
    <row r="155" spans="2:12" ht="12.75">
      <c r="B155" s="9" t="s">
        <v>126</v>
      </c>
      <c r="C155" s="9" t="s">
        <v>211</v>
      </c>
      <c r="D155" s="9" t="s">
        <v>56</v>
      </c>
      <c r="E155" s="9" t="s">
        <v>15</v>
      </c>
      <c r="F155"/>
      <c r="G155" s="5">
        <f t="shared" si="4"/>
        <v>25.441696113074205</v>
      </c>
      <c r="H155" s="24"/>
      <c r="I155" s="25"/>
      <c r="J155" s="24"/>
      <c r="K155" s="24"/>
      <c r="L155" s="24"/>
    </row>
    <row r="156" spans="2:7" ht="12.75">
      <c r="B156" s="9"/>
      <c r="C156" s="9"/>
      <c r="G156" s="24"/>
    </row>
    <row r="157" spans="2:12" ht="12.75">
      <c r="B157" t="s">
        <v>57</v>
      </c>
      <c r="C157" s="9" t="s">
        <v>211</v>
      </c>
      <c r="D157" s="9" t="s">
        <v>56</v>
      </c>
      <c r="E157" s="9" t="s">
        <v>15</v>
      </c>
      <c r="F157"/>
      <c r="G157" s="63">
        <f>G145+G140</f>
        <v>0.2826855123674912</v>
      </c>
      <c r="H157" s="20"/>
      <c r="I157" s="21"/>
      <c r="J157" s="20"/>
      <c r="K157" s="20"/>
      <c r="L157" s="20"/>
    </row>
    <row r="158" spans="2:12" ht="12.75">
      <c r="B158" t="s">
        <v>58</v>
      </c>
      <c r="C158" s="9" t="s">
        <v>211</v>
      </c>
      <c r="D158" s="9" t="s">
        <v>56</v>
      </c>
      <c r="E158" s="9" t="s">
        <v>15</v>
      </c>
      <c r="F158">
        <v>7.6</v>
      </c>
      <c r="G158" s="5">
        <f>G141+G136+G138</f>
        <v>11.095406360424029</v>
      </c>
      <c r="H158" s="13"/>
      <c r="I158" s="23"/>
      <c r="J158" s="13"/>
      <c r="K158" s="13"/>
      <c r="L158" s="13"/>
    </row>
    <row r="159" spans="8:12" ht="12.75">
      <c r="H159" s="24"/>
      <c r="I159" s="25"/>
      <c r="J159" s="24"/>
      <c r="K159" s="24"/>
      <c r="L159" s="24"/>
    </row>
    <row r="160" spans="2:12" ht="12.75">
      <c r="B160" s="9"/>
      <c r="C160" s="9"/>
      <c r="G160" s="24"/>
      <c r="H160" s="24"/>
      <c r="I160" s="25"/>
      <c r="J160" s="24"/>
      <c r="K160" s="24"/>
      <c r="L160" s="24"/>
    </row>
    <row r="161" spans="1:13" ht="12.75">
      <c r="A161" s="18">
        <v>3</v>
      </c>
      <c r="B161" s="22" t="s">
        <v>173</v>
      </c>
      <c r="C161" s="9" t="str">
        <f>cond!C30</f>
        <v>GB agent trial burn w/metals spike</v>
      </c>
      <c r="G161" s="20" t="s">
        <v>204</v>
      </c>
      <c r="H161" s="20"/>
      <c r="I161" s="21" t="s">
        <v>205</v>
      </c>
      <c r="J161" s="20"/>
      <c r="K161" s="20" t="s">
        <v>206</v>
      </c>
      <c r="L161" s="20"/>
      <c r="M161" s="20" t="s">
        <v>47</v>
      </c>
    </row>
    <row r="162" spans="2:12" ht="12.75">
      <c r="B162" s="9"/>
      <c r="C162" s="9"/>
      <c r="D162" s="13"/>
      <c r="E162" s="13"/>
      <c r="F162" s="13"/>
      <c r="G162" s="13"/>
      <c r="H162" s="13"/>
      <c r="I162" s="23"/>
      <c r="J162" s="13"/>
      <c r="K162" s="13"/>
      <c r="L162" s="13"/>
    </row>
    <row r="163" spans="2:13" ht="12.75">
      <c r="B163" s="9" t="s">
        <v>128</v>
      </c>
      <c r="C163" s="9" t="s">
        <v>209</v>
      </c>
      <c r="D163" s="13" t="s">
        <v>16</v>
      </c>
      <c r="E163" s="13" t="s">
        <v>15</v>
      </c>
      <c r="F163"/>
      <c r="G163">
        <v>7</v>
      </c>
      <c r="H163"/>
      <c r="I163">
        <v>8</v>
      </c>
      <c r="J163"/>
      <c r="K163">
        <v>9</v>
      </c>
      <c r="L163"/>
      <c r="M163" s="59">
        <f>AVERAGE(K163,I163,G163)</f>
        <v>8</v>
      </c>
    </row>
    <row r="164" spans="2:13" ht="12.75">
      <c r="B164" s="9" t="s">
        <v>155</v>
      </c>
      <c r="C164" s="9" t="s">
        <v>209</v>
      </c>
      <c r="D164" s="13" t="s">
        <v>16</v>
      </c>
      <c r="E164" s="13" t="s">
        <v>15</v>
      </c>
      <c r="F164"/>
      <c r="G164">
        <v>8</v>
      </c>
      <c r="H164"/>
      <c r="I164">
        <v>9</v>
      </c>
      <c r="J164"/>
      <c r="K164">
        <v>42</v>
      </c>
      <c r="L164"/>
      <c r="M164" s="59">
        <f>AVERAGE(K164,I164,G164)</f>
        <v>19.666666666666668</v>
      </c>
    </row>
    <row r="165" spans="2:12" ht="12.75">
      <c r="B165" s="9"/>
      <c r="C165" s="9"/>
      <c r="D165" s="13"/>
      <c r="E165" s="13"/>
      <c r="F165"/>
      <c r="G165"/>
      <c r="H165"/>
      <c r="I165"/>
      <c r="J165"/>
      <c r="K165"/>
      <c r="L165"/>
    </row>
    <row r="166" spans="2:13" ht="12.75">
      <c r="B166" s="9" t="s">
        <v>13</v>
      </c>
      <c r="C166" s="9" t="s">
        <v>209</v>
      </c>
      <c r="D166" s="9" t="s">
        <v>14</v>
      </c>
      <c r="E166" s="9" t="s">
        <v>15</v>
      </c>
      <c r="F166"/>
      <c r="G166">
        <v>0.0021</v>
      </c>
      <c r="H166"/>
      <c r="I166">
        <v>0.001</v>
      </c>
      <c r="J166"/>
      <c r="K166">
        <v>0.0003</v>
      </c>
      <c r="L166"/>
      <c r="M166" s="57">
        <f>AVERAGE(K166,I166,G166)</f>
        <v>0.0011333333333333332</v>
      </c>
    </row>
    <row r="167" spans="2:13" ht="12.75">
      <c r="B167" s="9"/>
      <c r="C167" s="9"/>
      <c r="F167"/>
      <c r="G167"/>
      <c r="H167"/>
      <c r="I167"/>
      <c r="J167"/>
      <c r="K167"/>
      <c r="L167"/>
      <c r="M167" s="57"/>
    </row>
    <row r="168" spans="2:13" ht="12.75">
      <c r="B168" s="9"/>
      <c r="C168" s="9"/>
      <c r="F168"/>
      <c r="G168"/>
      <c r="H168"/>
      <c r="I168"/>
      <c r="J168"/>
      <c r="K168"/>
      <c r="L168"/>
      <c r="M168" s="5"/>
    </row>
    <row r="169" spans="2:13" ht="12.75">
      <c r="B169" s="9" t="s">
        <v>111</v>
      </c>
      <c r="C169" s="9"/>
      <c r="D169" s="9" t="s">
        <v>56</v>
      </c>
      <c r="E169" s="9" t="s">
        <v>104</v>
      </c>
      <c r="G169">
        <v>57</v>
      </c>
      <c r="H169" s="9"/>
      <c r="I169">
        <v>47</v>
      </c>
      <c r="J169" s="9"/>
      <c r="K169">
        <v>44</v>
      </c>
      <c r="L169"/>
      <c r="M169" s="5"/>
    </row>
    <row r="170" spans="2:13" ht="12.75">
      <c r="B170" s="9" t="s">
        <v>121</v>
      </c>
      <c r="C170" s="9"/>
      <c r="D170" s="9" t="s">
        <v>56</v>
      </c>
      <c r="E170" s="9" t="s">
        <v>104</v>
      </c>
      <c r="F170" s="9" t="s">
        <v>100</v>
      </c>
      <c r="G170">
        <v>2.2</v>
      </c>
      <c r="H170" t="s">
        <v>100</v>
      </c>
      <c r="I170">
        <v>1.2</v>
      </c>
      <c r="J170" t="s">
        <v>100</v>
      </c>
      <c r="K170">
        <v>0.56</v>
      </c>
      <c r="L170"/>
      <c r="M170" s="5"/>
    </row>
    <row r="171" spans="2:13" ht="12.75">
      <c r="B171" s="9" t="s">
        <v>112</v>
      </c>
      <c r="C171" s="9"/>
      <c r="D171" s="9" t="s">
        <v>56</v>
      </c>
      <c r="E171" s="9" t="s">
        <v>104</v>
      </c>
      <c r="F171"/>
      <c r="G171">
        <v>3.5</v>
      </c>
      <c r="H171" t="s">
        <v>100</v>
      </c>
      <c r="I171">
        <v>1.2</v>
      </c>
      <c r="J171" t="s">
        <v>100</v>
      </c>
      <c r="K171">
        <v>0.8</v>
      </c>
      <c r="L171"/>
      <c r="M171" s="5"/>
    </row>
    <row r="172" spans="2:13" ht="12.75">
      <c r="B172" s="9" t="s">
        <v>113</v>
      </c>
      <c r="C172" s="9"/>
      <c r="D172" s="9" t="s">
        <v>56</v>
      </c>
      <c r="E172" s="9" t="s">
        <v>104</v>
      </c>
      <c r="F172" s="9" t="s">
        <v>100</v>
      </c>
      <c r="G172">
        <v>0.9</v>
      </c>
      <c r="H172"/>
      <c r="I172">
        <v>0.25</v>
      </c>
      <c r="J172"/>
      <c r="K172">
        <v>0.11</v>
      </c>
      <c r="L172"/>
      <c r="M172" s="5"/>
    </row>
    <row r="173" spans="2:13" ht="12.75">
      <c r="B173" s="9" t="s">
        <v>80</v>
      </c>
      <c r="C173" s="9"/>
      <c r="D173" s="9" t="s">
        <v>56</v>
      </c>
      <c r="E173" s="9" t="s">
        <v>104</v>
      </c>
      <c r="F173" t="s">
        <v>100</v>
      </c>
      <c r="G173">
        <v>0.12</v>
      </c>
      <c r="H173" t="s">
        <v>100</v>
      </c>
      <c r="I173">
        <v>0.12</v>
      </c>
      <c r="J173" t="s">
        <v>100</v>
      </c>
      <c r="K173">
        <v>0.12</v>
      </c>
      <c r="L173"/>
      <c r="M173" s="5"/>
    </row>
    <row r="174" spans="2:13" ht="12.75">
      <c r="B174" s="9" t="s">
        <v>114</v>
      </c>
      <c r="C174" s="9"/>
      <c r="D174" s="9" t="s">
        <v>56</v>
      </c>
      <c r="E174" s="9" t="s">
        <v>104</v>
      </c>
      <c r="F174"/>
      <c r="G174">
        <v>31.8</v>
      </c>
      <c r="H174" t="s">
        <v>100</v>
      </c>
      <c r="I174">
        <v>15</v>
      </c>
      <c r="J174" t="s">
        <v>100</v>
      </c>
      <c r="K174">
        <v>16</v>
      </c>
      <c r="L174"/>
      <c r="M174" s="5"/>
    </row>
    <row r="175" spans="2:13" ht="12.75">
      <c r="B175" s="9" t="s">
        <v>115</v>
      </c>
      <c r="C175" s="9"/>
      <c r="D175" s="9" t="s">
        <v>56</v>
      </c>
      <c r="E175" s="9" t="s">
        <v>104</v>
      </c>
      <c r="F175" s="9" t="s">
        <v>100</v>
      </c>
      <c r="G175">
        <v>0.35</v>
      </c>
      <c r="H175" s="9" t="s">
        <v>100</v>
      </c>
      <c r="I175">
        <v>0.25</v>
      </c>
      <c r="J175" s="9" t="s">
        <v>100</v>
      </c>
      <c r="K175">
        <v>0.46</v>
      </c>
      <c r="L175"/>
      <c r="M175" s="5"/>
    </row>
    <row r="176" spans="2:13" ht="12.75">
      <c r="B176" s="9" t="s">
        <v>85</v>
      </c>
      <c r="C176" s="9"/>
      <c r="D176" s="9" t="s">
        <v>56</v>
      </c>
      <c r="E176" s="9" t="s">
        <v>104</v>
      </c>
      <c r="G176">
        <v>2.9</v>
      </c>
      <c r="H176" s="9" t="s">
        <v>100</v>
      </c>
      <c r="I176">
        <v>1.2</v>
      </c>
      <c r="J176" s="9"/>
      <c r="K176">
        <v>1.2</v>
      </c>
      <c r="L176"/>
      <c r="M176" s="5"/>
    </row>
    <row r="177" spans="2:13" ht="12.75">
      <c r="B177" s="74" t="s">
        <v>210</v>
      </c>
      <c r="C177" s="9"/>
      <c r="D177" s="9" t="s">
        <v>56</v>
      </c>
      <c r="E177" s="9" t="s">
        <v>104</v>
      </c>
      <c r="F177" s="9" t="s">
        <v>100</v>
      </c>
      <c r="G177">
        <v>23.4</v>
      </c>
      <c r="H177"/>
      <c r="I177">
        <v>4.58</v>
      </c>
      <c r="J177"/>
      <c r="K177">
        <v>1.3</v>
      </c>
      <c r="L177"/>
      <c r="M177" s="5"/>
    </row>
    <row r="178" spans="2:13" ht="12.75">
      <c r="B178" s="9" t="s">
        <v>116</v>
      </c>
      <c r="C178" s="9"/>
      <c r="D178" s="9" t="s">
        <v>56</v>
      </c>
      <c r="E178" s="9" t="s">
        <v>104</v>
      </c>
      <c r="G178">
        <v>1.24</v>
      </c>
      <c r="H178" s="9"/>
      <c r="I178">
        <v>0.09</v>
      </c>
      <c r="J178" s="9"/>
      <c r="K178">
        <v>0.17</v>
      </c>
      <c r="L178"/>
      <c r="M178" s="5"/>
    </row>
    <row r="179" spans="2:13" ht="12.75">
      <c r="B179" s="9" t="s">
        <v>117</v>
      </c>
      <c r="C179" s="9"/>
      <c r="D179" s="9" t="s">
        <v>56</v>
      </c>
      <c r="E179" s="9" t="s">
        <v>104</v>
      </c>
      <c r="F179"/>
      <c r="G179">
        <v>6.1</v>
      </c>
      <c r="H179" s="9" t="s">
        <v>100</v>
      </c>
      <c r="I179">
        <v>0.9</v>
      </c>
      <c r="J179"/>
      <c r="K179">
        <v>7.2</v>
      </c>
      <c r="L179"/>
      <c r="M179" s="5"/>
    </row>
    <row r="180" spans="2:13" ht="12.75">
      <c r="B180" s="9" t="s">
        <v>79</v>
      </c>
      <c r="C180" s="9"/>
      <c r="D180" s="9" t="s">
        <v>56</v>
      </c>
      <c r="E180" s="9" t="s">
        <v>104</v>
      </c>
      <c r="G180">
        <v>8.7</v>
      </c>
      <c r="H180"/>
      <c r="I180">
        <v>4.1</v>
      </c>
      <c r="J180"/>
      <c r="K180">
        <v>14</v>
      </c>
      <c r="L180"/>
      <c r="M180" s="5"/>
    </row>
    <row r="181" spans="2:13" ht="12.75">
      <c r="B181" s="9" t="s">
        <v>118</v>
      </c>
      <c r="C181" s="9"/>
      <c r="D181" s="9" t="s">
        <v>56</v>
      </c>
      <c r="E181" s="9" t="s">
        <v>104</v>
      </c>
      <c r="F181"/>
      <c r="G181">
        <v>2.4</v>
      </c>
      <c r="H181"/>
      <c r="I181">
        <v>2.1</v>
      </c>
      <c r="J181"/>
      <c r="K181">
        <v>1.6</v>
      </c>
      <c r="L181"/>
      <c r="M181" s="5"/>
    </row>
    <row r="182" spans="2:13" ht="12.75">
      <c r="B182" s="9" t="s">
        <v>81</v>
      </c>
      <c r="C182" s="9"/>
      <c r="D182" s="9" t="s">
        <v>56</v>
      </c>
      <c r="E182" s="9" t="s">
        <v>104</v>
      </c>
      <c r="F182" s="9" t="s">
        <v>100</v>
      </c>
      <c r="G182">
        <v>2.3</v>
      </c>
      <c r="H182" s="9" t="s">
        <v>100</v>
      </c>
      <c r="I182">
        <v>2.4</v>
      </c>
      <c r="J182" s="9" t="s">
        <v>100</v>
      </c>
      <c r="K182">
        <v>2.8</v>
      </c>
      <c r="L182"/>
      <c r="M182" s="5"/>
    </row>
    <row r="183" spans="2:13" ht="12.75">
      <c r="B183" s="9" t="s">
        <v>119</v>
      </c>
      <c r="C183" s="9"/>
      <c r="D183" s="9" t="s">
        <v>56</v>
      </c>
      <c r="E183" s="9" t="s">
        <v>104</v>
      </c>
      <c r="F183"/>
      <c r="G183">
        <v>3.4</v>
      </c>
      <c r="H183"/>
      <c r="I183" s="66">
        <v>1.8</v>
      </c>
      <c r="J183"/>
      <c r="K183">
        <v>2.9</v>
      </c>
      <c r="L183"/>
      <c r="M183" s="5"/>
    </row>
    <row r="184" spans="2:13" ht="12.75">
      <c r="B184" s="9" t="s">
        <v>120</v>
      </c>
      <c r="C184" s="9"/>
      <c r="D184" s="9" t="s">
        <v>56</v>
      </c>
      <c r="E184" s="9" t="s">
        <v>104</v>
      </c>
      <c r="F184"/>
      <c r="G184">
        <v>281</v>
      </c>
      <c r="H184"/>
      <c r="I184">
        <v>232</v>
      </c>
      <c r="J184"/>
      <c r="K184">
        <v>226</v>
      </c>
      <c r="L184"/>
      <c r="M184" s="5"/>
    </row>
    <row r="185" spans="2:13" ht="12.75">
      <c r="B185" s="9" t="s">
        <v>122</v>
      </c>
      <c r="C185" s="9"/>
      <c r="D185" s="9" t="s">
        <v>56</v>
      </c>
      <c r="E185" s="9" t="s">
        <v>104</v>
      </c>
      <c r="F185" s="9" t="s">
        <v>100</v>
      </c>
      <c r="G185">
        <v>0.22</v>
      </c>
      <c r="H185" s="9" t="s">
        <v>100</v>
      </c>
      <c r="I185">
        <v>0.25</v>
      </c>
      <c r="J185" s="9" t="s">
        <v>100</v>
      </c>
      <c r="K185">
        <v>0.3</v>
      </c>
      <c r="L185"/>
      <c r="M185" s="5"/>
    </row>
    <row r="186" spans="2:13" ht="12.75">
      <c r="B186" s="9" t="s">
        <v>110</v>
      </c>
      <c r="C186" s="9"/>
      <c r="D186" s="9" t="s">
        <v>56</v>
      </c>
      <c r="E186" s="9" t="s">
        <v>104</v>
      </c>
      <c r="F186"/>
      <c r="G186">
        <v>0.55</v>
      </c>
      <c r="H186" t="s">
        <v>100</v>
      </c>
      <c r="I186">
        <v>0.12</v>
      </c>
      <c r="J186" t="s">
        <v>100</v>
      </c>
      <c r="K186">
        <v>0.45</v>
      </c>
      <c r="L186"/>
      <c r="M186" s="5"/>
    </row>
    <row r="187" spans="2:13" ht="12.75">
      <c r="B187" s="9" t="s">
        <v>124</v>
      </c>
      <c r="C187" s="9"/>
      <c r="D187" s="9" t="s">
        <v>56</v>
      </c>
      <c r="E187" s="9" t="s">
        <v>104</v>
      </c>
      <c r="F187" t="s">
        <v>100</v>
      </c>
      <c r="G187">
        <v>0.16</v>
      </c>
      <c r="H187" t="s">
        <v>100</v>
      </c>
      <c r="I187">
        <v>0.12</v>
      </c>
      <c r="J187" t="s">
        <v>100</v>
      </c>
      <c r="K187">
        <v>0.12</v>
      </c>
      <c r="L187"/>
      <c r="M187" s="5"/>
    </row>
    <row r="188" spans="2:13" ht="12.75">
      <c r="B188" s="9" t="s">
        <v>123</v>
      </c>
      <c r="C188" s="9"/>
      <c r="D188" s="9" t="s">
        <v>56</v>
      </c>
      <c r="E188" s="9" t="s">
        <v>104</v>
      </c>
      <c r="F188" s="9" t="s">
        <v>100</v>
      </c>
      <c r="G188">
        <v>3.1</v>
      </c>
      <c r="H188" s="9" t="s">
        <v>100</v>
      </c>
      <c r="I188">
        <v>2.6</v>
      </c>
      <c r="J188" s="9" t="s">
        <v>100</v>
      </c>
      <c r="K188">
        <v>2.8</v>
      </c>
      <c r="L188"/>
      <c r="M188" s="5"/>
    </row>
    <row r="189" spans="2:13" ht="12.75">
      <c r="B189" s="9" t="s">
        <v>125</v>
      </c>
      <c r="C189" s="9"/>
      <c r="D189" s="9" t="s">
        <v>56</v>
      </c>
      <c r="E189" s="9" t="s">
        <v>104</v>
      </c>
      <c r="F189" t="s">
        <v>100</v>
      </c>
      <c r="G189">
        <v>1.2</v>
      </c>
      <c r="H189" t="s">
        <v>100</v>
      </c>
      <c r="I189">
        <v>1.2</v>
      </c>
      <c r="J189" t="s">
        <v>100</v>
      </c>
      <c r="K189">
        <v>1.2</v>
      </c>
      <c r="L189"/>
      <c r="M189" s="5"/>
    </row>
    <row r="190" spans="2:13" ht="12.75">
      <c r="B190" s="9" t="s">
        <v>126</v>
      </c>
      <c r="C190" s="9"/>
      <c r="D190" s="9" t="s">
        <v>56</v>
      </c>
      <c r="E190" s="9" t="s">
        <v>104</v>
      </c>
      <c r="F190"/>
      <c r="G190">
        <v>47</v>
      </c>
      <c r="H190"/>
      <c r="I190">
        <v>52</v>
      </c>
      <c r="J190"/>
      <c r="K190">
        <v>30</v>
      </c>
      <c r="L190"/>
      <c r="M190" s="5"/>
    </row>
    <row r="191" spans="2:13" ht="12.75">
      <c r="B191" s="9"/>
      <c r="C191" s="9"/>
      <c r="F191"/>
      <c r="G191"/>
      <c r="H191"/>
      <c r="I191"/>
      <c r="J191"/>
      <c r="K191"/>
      <c r="L191"/>
      <c r="M191"/>
    </row>
    <row r="192" spans="2:13" ht="12.75">
      <c r="B192" s="9" t="s">
        <v>86</v>
      </c>
      <c r="C192" s="9" t="s">
        <v>107</v>
      </c>
      <c r="D192" s="9" t="s">
        <v>209</v>
      </c>
      <c r="F192"/>
      <c r="G192"/>
      <c r="H192"/>
      <c r="I192"/>
      <c r="J192"/>
      <c r="K192"/>
      <c r="L192"/>
      <c r="M192"/>
    </row>
    <row r="193" spans="2:13" ht="12.75">
      <c r="B193" s="9" t="s">
        <v>78</v>
      </c>
      <c r="C193" s="9"/>
      <c r="D193" s="9" t="s">
        <v>17</v>
      </c>
      <c r="F193"/>
      <c r="G193">
        <v>3533</v>
      </c>
      <c r="H193"/>
      <c r="I193">
        <v>3865</v>
      </c>
      <c r="J193"/>
      <c r="K193">
        <v>3693</v>
      </c>
      <c r="L193"/>
      <c r="M193" s="5">
        <f>AVERAGE(K193,I193,G193)</f>
        <v>3697</v>
      </c>
    </row>
    <row r="194" spans="2:13" ht="12.75">
      <c r="B194" s="9" t="s">
        <v>83</v>
      </c>
      <c r="C194" s="9"/>
      <c r="D194" s="9" t="s">
        <v>18</v>
      </c>
      <c r="F194"/>
      <c r="G194">
        <v>9</v>
      </c>
      <c r="H194"/>
      <c r="I194">
        <v>8.8</v>
      </c>
      <c r="J194"/>
      <c r="K194">
        <v>8.8</v>
      </c>
      <c r="L194"/>
      <c r="M194" s="5">
        <f>AVERAGE(K194,I194,G194)</f>
        <v>8.866666666666667</v>
      </c>
    </row>
    <row r="195" spans="2:13" ht="12.75">
      <c r="B195" s="9" t="s">
        <v>84</v>
      </c>
      <c r="C195" s="9"/>
      <c r="D195" s="9" t="s">
        <v>18</v>
      </c>
      <c r="F195"/>
      <c r="G195">
        <v>54.5</v>
      </c>
      <c r="H195"/>
      <c r="I195">
        <v>54.7</v>
      </c>
      <c r="J195"/>
      <c r="K195">
        <v>53.5</v>
      </c>
      <c r="L195"/>
      <c r="M195" s="5">
        <f>AVERAGE(K195,I195,G195)</f>
        <v>54.23333333333333</v>
      </c>
    </row>
    <row r="196" spans="2:13" ht="12.75">
      <c r="B196" s="9" t="s">
        <v>77</v>
      </c>
      <c r="C196" s="9"/>
      <c r="D196" s="9" t="s">
        <v>19</v>
      </c>
      <c r="F196"/>
      <c r="G196">
        <v>273</v>
      </c>
      <c r="H196"/>
      <c r="I196">
        <v>280</v>
      </c>
      <c r="J196"/>
      <c r="K196">
        <v>275</v>
      </c>
      <c r="L196"/>
      <c r="M196" s="5">
        <f>AVERAGE(K196,I196,G196)</f>
        <v>276</v>
      </c>
    </row>
    <row r="197" spans="2:13" ht="12.75">
      <c r="B197" s="9"/>
      <c r="C197" s="9"/>
      <c r="F197"/>
      <c r="G197"/>
      <c r="H197"/>
      <c r="I197"/>
      <c r="J197"/>
      <c r="K197"/>
      <c r="L197"/>
      <c r="M197"/>
    </row>
    <row r="198" spans="2:13" ht="12.75">
      <c r="B198" s="9" t="s">
        <v>86</v>
      </c>
      <c r="C198" s="9" t="s">
        <v>99</v>
      </c>
      <c r="D198" s="9" t="s">
        <v>211</v>
      </c>
      <c r="F198"/>
      <c r="G198"/>
      <c r="H198"/>
      <c r="I198"/>
      <c r="J198"/>
      <c r="K198"/>
      <c r="L198"/>
      <c r="M198"/>
    </row>
    <row r="199" spans="2:13" ht="12.75">
      <c r="B199" s="9" t="s">
        <v>78</v>
      </c>
      <c r="C199" s="9"/>
      <c r="D199" s="9" t="s">
        <v>17</v>
      </c>
      <c r="F199"/>
      <c r="G199">
        <f>feed!G100</f>
        <v>4056</v>
      </c>
      <c r="H199"/>
      <c r="I199">
        <f>feed!I100</f>
        <v>4233</v>
      </c>
      <c r="J199"/>
      <c r="K199">
        <f>feed!K100</f>
        <v>3893</v>
      </c>
      <c r="L199"/>
      <c r="M199" s="5">
        <f>AVERAGE(K199,I199,G199)</f>
        <v>4060.6666666666665</v>
      </c>
    </row>
    <row r="200" spans="2:13" ht="12.75">
      <c r="B200" s="9" t="s">
        <v>83</v>
      </c>
      <c r="C200" s="9"/>
      <c r="D200" s="9" t="s">
        <v>18</v>
      </c>
      <c r="F200"/>
      <c r="G200">
        <f>feed!G101</f>
        <v>8.9</v>
      </c>
      <c r="H200"/>
      <c r="I200">
        <f>feed!I101</f>
        <v>9</v>
      </c>
      <c r="J200"/>
      <c r="K200">
        <f>feed!K101</f>
        <v>9</v>
      </c>
      <c r="L200"/>
      <c r="M200" s="5">
        <f>AVERAGE(K200,I200,G200)</f>
        <v>8.966666666666667</v>
      </c>
    </row>
    <row r="201" spans="2:13" ht="12.75">
      <c r="B201" s="9" t="s">
        <v>84</v>
      </c>
      <c r="C201" s="9"/>
      <c r="D201" s="9" t="s">
        <v>18</v>
      </c>
      <c r="F201"/>
      <c r="G201">
        <v>52.7</v>
      </c>
      <c r="H201"/>
      <c r="I201">
        <v>50.1</v>
      </c>
      <c r="J201"/>
      <c r="K201">
        <v>52.9</v>
      </c>
      <c r="L201"/>
      <c r="M201" s="5">
        <f>AVERAGE(K201,I201,G201)</f>
        <v>51.9</v>
      </c>
    </row>
    <row r="202" spans="2:13" ht="12.75">
      <c r="B202" s="9" t="s">
        <v>77</v>
      </c>
      <c r="C202" s="9"/>
      <c r="D202" s="9" t="s">
        <v>19</v>
      </c>
      <c r="F202"/>
      <c r="G202">
        <v>267</v>
      </c>
      <c r="H202"/>
      <c r="I202">
        <v>273</v>
      </c>
      <c r="J202"/>
      <c r="K202">
        <v>274</v>
      </c>
      <c r="L202"/>
      <c r="M202" s="5">
        <f>AVERAGE(K202,I202,G202)</f>
        <v>271.3333333333333</v>
      </c>
    </row>
    <row r="203" spans="2:13" ht="12.75">
      <c r="B203" s="9"/>
      <c r="C203" s="9"/>
      <c r="F203"/>
      <c r="G203"/>
      <c r="H203"/>
      <c r="I203"/>
      <c r="J203"/>
      <c r="K203"/>
      <c r="L203"/>
      <c r="M203"/>
    </row>
    <row r="204" spans="2:13" ht="12.75">
      <c r="B204" s="9" t="s">
        <v>111</v>
      </c>
      <c r="C204" s="9" t="s">
        <v>211</v>
      </c>
      <c r="D204" s="9" t="s">
        <v>56</v>
      </c>
      <c r="E204" s="9" t="s">
        <v>15</v>
      </c>
      <c r="G204" s="5">
        <f aca="true" t="shared" si="5" ref="G204:G225">G169*(21-7)/(21-G$200)</f>
        <v>65.9504132231405</v>
      </c>
      <c r="H204" s="9"/>
      <c r="I204" s="5">
        <f aca="true" t="shared" si="6" ref="I204:I225">I169*(21-7)/(21-I$200)</f>
        <v>54.833333333333336</v>
      </c>
      <c r="J204" s="9"/>
      <c r="K204" s="5">
        <f aca="true" t="shared" si="7" ref="K204:K225">K169*(21-7)/(21-K$200)</f>
        <v>51.333333333333336</v>
      </c>
      <c r="L204"/>
      <c r="M204" s="5">
        <f aca="true" t="shared" si="8" ref="M204:M210">AVERAGE(G204,I204,K204)</f>
        <v>57.372359963269055</v>
      </c>
    </row>
    <row r="205" spans="2:13" ht="12.75">
      <c r="B205" s="9" t="s">
        <v>121</v>
      </c>
      <c r="C205" s="9" t="s">
        <v>211</v>
      </c>
      <c r="D205" s="9" t="s">
        <v>56</v>
      </c>
      <c r="E205" s="9" t="s">
        <v>15</v>
      </c>
      <c r="F205" s="9" t="s">
        <v>100</v>
      </c>
      <c r="G205" s="5">
        <f t="shared" si="5"/>
        <v>2.545454545454546</v>
      </c>
      <c r="H205" t="s">
        <v>100</v>
      </c>
      <c r="I205" s="5">
        <f t="shared" si="6"/>
        <v>1.4000000000000001</v>
      </c>
      <c r="J205" t="s">
        <v>100</v>
      </c>
      <c r="K205" s="5">
        <f t="shared" si="7"/>
        <v>0.6533333333333334</v>
      </c>
      <c r="L205">
        <v>100</v>
      </c>
      <c r="M205" s="5">
        <f t="shared" si="8"/>
        <v>1.5329292929292933</v>
      </c>
    </row>
    <row r="206" spans="2:13" ht="12.75">
      <c r="B206" s="9" t="s">
        <v>112</v>
      </c>
      <c r="C206" s="9" t="s">
        <v>211</v>
      </c>
      <c r="D206" s="9" t="s">
        <v>56</v>
      </c>
      <c r="E206" s="9" t="s">
        <v>15</v>
      </c>
      <c r="F206"/>
      <c r="G206" s="5">
        <f t="shared" si="5"/>
        <v>4.049586776859504</v>
      </c>
      <c r="H206" t="s">
        <v>100</v>
      </c>
      <c r="I206" s="5">
        <f t="shared" si="6"/>
        <v>1.4000000000000001</v>
      </c>
      <c r="J206" t="s">
        <v>100</v>
      </c>
      <c r="K206" s="5">
        <f t="shared" si="7"/>
        <v>0.9333333333333335</v>
      </c>
      <c r="L206">
        <v>100</v>
      </c>
      <c r="M206" s="5">
        <f t="shared" si="8"/>
        <v>2.1276400367309463</v>
      </c>
    </row>
    <row r="207" spans="2:13" ht="12.75">
      <c r="B207" s="9" t="s">
        <v>113</v>
      </c>
      <c r="C207" s="9" t="s">
        <v>211</v>
      </c>
      <c r="D207" s="9" t="s">
        <v>56</v>
      </c>
      <c r="E207" s="9" t="s">
        <v>15</v>
      </c>
      <c r="F207" s="9" t="s">
        <v>100</v>
      </c>
      <c r="G207" s="5">
        <f t="shared" si="5"/>
        <v>1.0413223140495869</v>
      </c>
      <c r="H207"/>
      <c r="I207" s="5">
        <f t="shared" si="6"/>
        <v>0.2916666666666667</v>
      </c>
      <c r="J207"/>
      <c r="K207" s="5">
        <f t="shared" si="7"/>
        <v>0.12833333333333333</v>
      </c>
      <c r="L207"/>
      <c r="M207" s="5">
        <f t="shared" si="8"/>
        <v>0.487107438016529</v>
      </c>
    </row>
    <row r="208" spans="2:13" ht="12.75">
      <c r="B208" s="9" t="s">
        <v>80</v>
      </c>
      <c r="C208" s="9" t="s">
        <v>211</v>
      </c>
      <c r="D208" s="9" t="s">
        <v>56</v>
      </c>
      <c r="E208" s="9" t="s">
        <v>15</v>
      </c>
      <c r="F208" t="s">
        <v>100</v>
      </c>
      <c r="G208" s="5">
        <f t="shared" si="5"/>
        <v>0.13884297520661157</v>
      </c>
      <c r="H208" t="s">
        <v>100</v>
      </c>
      <c r="I208" s="5">
        <f t="shared" si="6"/>
        <v>0.13999999999999999</v>
      </c>
      <c r="J208" t="s">
        <v>100</v>
      </c>
      <c r="K208" s="5">
        <f t="shared" si="7"/>
        <v>0.13999999999999999</v>
      </c>
      <c r="L208">
        <v>100</v>
      </c>
      <c r="M208" s="5">
        <f t="shared" si="8"/>
        <v>0.1396143250688705</v>
      </c>
    </row>
    <row r="209" spans="2:13" ht="12.75">
      <c r="B209" s="9" t="s">
        <v>114</v>
      </c>
      <c r="C209" s="9" t="s">
        <v>211</v>
      </c>
      <c r="D209" s="9" t="s">
        <v>56</v>
      </c>
      <c r="E209" s="9" t="s">
        <v>15</v>
      </c>
      <c r="F209"/>
      <c r="G209" s="5">
        <f t="shared" si="5"/>
        <v>36.79338842975206</v>
      </c>
      <c r="H209" t="s">
        <v>100</v>
      </c>
      <c r="I209" s="5">
        <f t="shared" si="6"/>
        <v>17.5</v>
      </c>
      <c r="J209" t="s">
        <v>100</v>
      </c>
      <c r="K209" s="5">
        <f t="shared" si="7"/>
        <v>18.666666666666668</v>
      </c>
      <c r="L209"/>
      <c r="M209" s="5">
        <f t="shared" si="8"/>
        <v>24.320018365472908</v>
      </c>
    </row>
    <row r="210" spans="2:13" ht="12.75">
      <c r="B210" s="9" t="s">
        <v>115</v>
      </c>
      <c r="C210" s="9" t="s">
        <v>211</v>
      </c>
      <c r="D210" s="9" t="s">
        <v>56</v>
      </c>
      <c r="E210" s="9" t="s">
        <v>15</v>
      </c>
      <c r="F210" s="9" t="s">
        <v>100</v>
      </c>
      <c r="G210" s="5">
        <f t="shared" si="5"/>
        <v>0.4049586776859504</v>
      </c>
      <c r="H210" s="9" t="s">
        <v>100</v>
      </c>
      <c r="I210" s="5">
        <f t="shared" si="6"/>
        <v>0.2916666666666667</v>
      </c>
      <c r="J210" s="9" t="s">
        <v>100</v>
      </c>
      <c r="K210" s="5">
        <f t="shared" si="7"/>
        <v>0.5366666666666667</v>
      </c>
      <c r="L210">
        <v>100</v>
      </c>
      <c r="M210" s="5">
        <f t="shared" si="8"/>
        <v>0.4110973370064279</v>
      </c>
    </row>
    <row r="211" spans="2:13" ht="12.75">
      <c r="B211" s="9" t="s">
        <v>85</v>
      </c>
      <c r="C211" s="9" t="s">
        <v>211</v>
      </c>
      <c r="D211" s="9" t="s">
        <v>56</v>
      </c>
      <c r="E211" s="9" t="s">
        <v>15</v>
      </c>
      <c r="G211" s="5">
        <f t="shared" si="5"/>
        <v>3.3553719008264467</v>
      </c>
      <c r="H211" s="9" t="s">
        <v>100</v>
      </c>
      <c r="I211" s="5">
        <f t="shared" si="6"/>
        <v>1.4000000000000001</v>
      </c>
      <c r="J211" s="9"/>
      <c r="K211" s="5">
        <f t="shared" si="7"/>
        <v>1.4000000000000001</v>
      </c>
      <c r="L211"/>
      <c r="M211" s="5">
        <f>AVERAGE(G211,I211,K211)</f>
        <v>2.0517906336088156</v>
      </c>
    </row>
    <row r="212" spans="2:13" ht="12.75">
      <c r="B212" s="74" t="s">
        <v>210</v>
      </c>
      <c r="C212" s="9" t="s">
        <v>211</v>
      </c>
      <c r="D212" s="9" t="s">
        <v>56</v>
      </c>
      <c r="E212" s="9" t="s">
        <v>15</v>
      </c>
      <c r="F212" s="9" t="s">
        <v>100</v>
      </c>
      <c r="G212" s="5">
        <f t="shared" si="5"/>
        <v>27.074380165289256</v>
      </c>
      <c r="H212"/>
      <c r="I212" s="5">
        <f t="shared" si="6"/>
        <v>5.343333333333334</v>
      </c>
      <c r="J212"/>
      <c r="K212" s="5">
        <f t="shared" si="7"/>
        <v>1.5166666666666666</v>
      </c>
      <c r="L212"/>
      <c r="M212" s="5">
        <f aca="true" t="shared" si="9" ref="M212:M225">AVERAGE(G212,I212,K212)</f>
        <v>11.311460055096418</v>
      </c>
    </row>
    <row r="213" spans="2:13" ht="12.75">
      <c r="B213" s="9" t="s">
        <v>116</v>
      </c>
      <c r="C213" s="9" t="s">
        <v>211</v>
      </c>
      <c r="D213" s="9" t="s">
        <v>56</v>
      </c>
      <c r="E213" s="9" t="s">
        <v>15</v>
      </c>
      <c r="G213" s="5">
        <f t="shared" si="5"/>
        <v>1.4347107438016529</v>
      </c>
      <c r="H213" s="9"/>
      <c r="I213" s="5">
        <f t="shared" si="6"/>
        <v>0.105</v>
      </c>
      <c r="J213" s="9"/>
      <c r="K213" s="5">
        <f t="shared" si="7"/>
        <v>0.19833333333333336</v>
      </c>
      <c r="L213"/>
      <c r="M213" s="5">
        <f t="shared" si="9"/>
        <v>0.5793480257116621</v>
      </c>
    </row>
    <row r="214" spans="2:13" ht="12.75">
      <c r="B214" s="9" t="s">
        <v>117</v>
      </c>
      <c r="C214" s="9" t="s">
        <v>211</v>
      </c>
      <c r="D214" s="9" t="s">
        <v>56</v>
      </c>
      <c r="E214" s="9" t="s">
        <v>15</v>
      </c>
      <c r="F214"/>
      <c r="G214" s="5">
        <f t="shared" si="5"/>
        <v>7.057851239669421</v>
      </c>
      <c r="H214" s="9" t="s">
        <v>100</v>
      </c>
      <c r="I214" s="5">
        <f t="shared" si="6"/>
        <v>1.05</v>
      </c>
      <c r="J214"/>
      <c r="K214" s="5">
        <f t="shared" si="7"/>
        <v>8.4</v>
      </c>
      <c r="L214"/>
      <c r="M214" s="5">
        <f t="shared" si="9"/>
        <v>5.502617079889807</v>
      </c>
    </row>
    <row r="215" spans="2:13" ht="12.75">
      <c r="B215" s="9" t="s">
        <v>79</v>
      </c>
      <c r="C215" s="9" t="s">
        <v>211</v>
      </c>
      <c r="D215" s="9" t="s">
        <v>56</v>
      </c>
      <c r="E215" s="9" t="s">
        <v>15</v>
      </c>
      <c r="G215" s="5">
        <f t="shared" si="5"/>
        <v>10.066115702479337</v>
      </c>
      <c r="H215"/>
      <c r="I215" s="5">
        <f t="shared" si="6"/>
        <v>4.783333333333332</v>
      </c>
      <c r="J215"/>
      <c r="K215" s="5">
        <f t="shared" si="7"/>
        <v>16.333333333333332</v>
      </c>
      <c r="L215"/>
      <c r="M215" s="5">
        <f t="shared" si="9"/>
        <v>10.394260789715334</v>
      </c>
    </row>
    <row r="216" spans="2:13" ht="12.75">
      <c r="B216" s="9" t="s">
        <v>118</v>
      </c>
      <c r="C216" s="9" t="s">
        <v>211</v>
      </c>
      <c r="D216" s="9" t="s">
        <v>56</v>
      </c>
      <c r="E216" s="9" t="s">
        <v>15</v>
      </c>
      <c r="F216"/>
      <c r="G216" s="5">
        <f t="shared" si="5"/>
        <v>2.7768595041322315</v>
      </c>
      <c r="H216"/>
      <c r="I216" s="5">
        <f t="shared" si="6"/>
        <v>2.45</v>
      </c>
      <c r="J216"/>
      <c r="K216" s="5">
        <f t="shared" si="7"/>
        <v>1.866666666666667</v>
      </c>
      <c r="L216"/>
      <c r="M216" s="5">
        <f t="shared" si="9"/>
        <v>2.364508723599633</v>
      </c>
    </row>
    <row r="217" spans="2:18" ht="12.75">
      <c r="B217" s="9" t="s">
        <v>81</v>
      </c>
      <c r="C217" s="9" t="s">
        <v>211</v>
      </c>
      <c r="D217" s="9" t="s">
        <v>56</v>
      </c>
      <c r="E217" s="9" t="s">
        <v>15</v>
      </c>
      <c r="F217" s="9" t="s">
        <v>100</v>
      </c>
      <c r="G217" s="5">
        <f t="shared" si="5"/>
        <v>2.661157024793388</v>
      </c>
      <c r="H217" s="9" t="s">
        <v>100</v>
      </c>
      <c r="I217" s="5">
        <f t="shared" si="6"/>
        <v>2.8000000000000003</v>
      </c>
      <c r="J217" s="9" t="s">
        <v>100</v>
      </c>
      <c r="K217" s="5">
        <f t="shared" si="7"/>
        <v>3.266666666666666</v>
      </c>
      <c r="L217">
        <v>100</v>
      </c>
      <c r="M217" s="5">
        <f t="shared" si="9"/>
        <v>2.909274563820018</v>
      </c>
      <c r="P217" s="17"/>
      <c r="Q217" s="17"/>
      <c r="R217" s="17"/>
    </row>
    <row r="218" spans="2:13" ht="12.75">
      <c r="B218" s="9" t="s">
        <v>119</v>
      </c>
      <c r="C218" s="9" t="s">
        <v>211</v>
      </c>
      <c r="D218" s="9" t="s">
        <v>56</v>
      </c>
      <c r="E218" s="9" t="s">
        <v>15</v>
      </c>
      <c r="F218"/>
      <c r="G218" s="5">
        <f t="shared" si="5"/>
        <v>3.9338842975206614</v>
      </c>
      <c r="H218"/>
      <c r="I218" s="5">
        <f t="shared" si="6"/>
        <v>2.1</v>
      </c>
      <c r="J218"/>
      <c r="K218" s="5">
        <f t="shared" si="7"/>
        <v>3.3833333333333333</v>
      </c>
      <c r="L218"/>
      <c r="M218" s="5">
        <f t="shared" si="9"/>
        <v>3.139072543617998</v>
      </c>
    </row>
    <row r="219" spans="2:13" ht="12.75">
      <c r="B219" s="9" t="s">
        <v>120</v>
      </c>
      <c r="C219" s="9" t="s">
        <v>211</v>
      </c>
      <c r="D219" s="9" t="s">
        <v>56</v>
      </c>
      <c r="E219" s="9" t="s">
        <v>15</v>
      </c>
      <c r="F219"/>
      <c r="G219" s="5">
        <f t="shared" si="5"/>
        <v>325.1239669421488</v>
      </c>
      <c r="H219"/>
      <c r="I219" s="5">
        <f t="shared" si="6"/>
        <v>270.6666666666667</v>
      </c>
      <c r="J219"/>
      <c r="K219" s="5">
        <f t="shared" si="7"/>
        <v>263.6666666666667</v>
      </c>
      <c r="L219"/>
      <c r="M219" s="5">
        <f t="shared" si="9"/>
        <v>286.48576675849404</v>
      </c>
    </row>
    <row r="220" spans="2:13" ht="12.75">
      <c r="B220" s="9" t="s">
        <v>122</v>
      </c>
      <c r="C220" s="9" t="s">
        <v>211</v>
      </c>
      <c r="D220" s="9" t="s">
        <v>56</v>
      </c>
      <c r="E220" s="9" t="s">
        <v>15</v>
      </c>
      <c r="F220" s="9" t="s">
        <v>100</v>
      </c>
      <c r="G220" s="5">
        <f t="shared" si="5"/>
        <v>0.2545454545454546</v>
      </c>
      <c r="H220" s="9" t="s">
        <v>100</v>
      </c>
      <c r="I220" s="5">
        <f t="shared" si="6"/>
        <v>0.2916666666666667</v>
      </c>
      <c r="J220" s="9" t="s">
        <v>100</v>
      </c>
      <c r="K220" s="5">
        <f t="shared" si="7"/>
        <v>0.35000000000000003</v>
      </c>
      <c r="L220">
        <v>100</v>
      </c>
      <c r="M220" s="5">
        <f t="shared" si="9"/>
        <v>0.29873737373737375</v>
      </c>
    </row>
    <row r="221" spans="2:13" ht="12.75">
      <c r="B221" s="9" t="s">
        <v>110</v>
      </c>
      <c r="C221" s="9" t="s">
        <v>211</v>
      </c>
      <c r="D221" s="9" t="s">
        <v>56</v>
      </c>
      <c r="E221" s="9" t="s">
        <v>15</v>
      </c>
      <c r="F221"/>
      <c r="G221" s="5">
        <f t="shared" si="5"/>
        <v>0.6363636363636365</v>
      </c>
      <c r="H221" t="s">
        <v>100</v>
      </c>
      <c r="I221" s="5">
        <f t="shared" si="6"/>
        <v>0.13999999999999999</v>
      </c>
      <c r="J221" t="s">
        <v>100</v>
      </c>
      <c r="K221" s="5">
        <f t="shared" si="7"/>
        <v>0.525</v>
      </c>
      <c r="L221"/>
      <c r="M221" s="5">
        <f t="shared" si="9"/>
        <v>0.43378787878787883</v>
      </c>
    </row>
    <row r="222" spans="2:13" ht="12.75">
      <c r="B222" s="9" t="s">
        <v>124</v>
      </c>
      <c r="C222" s="9" t="s">
        <v>211</v>
      </c>
      <c r="D222" s="9" t="s">
        <v>56</v>
      </c>
      <c r="E222" s="9" t="s">
        <v>15</v>
      </c>
      <c r="F222" t="s">
        <v>100</v>
      </c>
      <c r="G222" s="5">
        <f t="shared" si="5"/>
        <v>0.18512396694214878</v>
      </c>
      <c r="H222" t="s">
        <v>100</v>
      </c>
      <c r="I222" s="5">
        <f t="shared" si="6"/>
        <v>0.13999999999999999</v>
      </c>
      <c r="J222" t="s">
        <v>100</v>
      </c>
      <c r="K222" s="5">
        <f t="shared" si="7"/>
        <v>0.13999999999999999</v>
      </c>
      <c r="L222">
        <v>100</v>
      </c>
      <c r="M222" s="5">
        <f t="shared" si="9"/>
        <v>0.15504132231404957</v>
      </c>
    </row>
    <row r="223" spans="2:13" ht="12.75">
      <c r="B223" s="9" t="s">
        <v>123</v>
      </c>
      <c r="C223" s="9" t="s">
        <v>211</v>
      </c>
      <c r="D223" s="9" t="s">
        <v>56</v>
      </c>
      <c r="E223" s="9" t="s">
        <v>15</v>
      </c>
      <c r="F223" s="9" t="s">
        <v>100</v>
      </c>
      <c r="G223" s="5">
        <f t="shared" si="5"/>
        <v>3.5867768595041323</v>
      </c>
      <c r="H223" s="9" t="s">
        <v>100</v>
      </c>
      <c r="I223" s="5">
        <f t="shared" si="6"/>
        <v>3.033333333333333</v>
      </c>
      <c r="J223" s="9" t="s">
        <v>100</v>
      </c>
      <c r="K223" s="5">
        <f t="shared" si="7"/>
        <v>3.266666666666666</v>
      </c>
      <c r="L223">
        <v>100</v>
      </c>
      <c r="M223" s="5">
        <f t="shared" si="9"/>
        <v>3.295592286501377</v>
      </c>
    </row>
    <row r="224" spans="2:13" ht="12.75">
      <c r="B224" s="9" t="s">
        <v>125</v>
      </c>
      <c r="C224" s="9" t="s">
        <v>211</v>
      </c>
      <c r="D224" s="9" t="s">
        <v>56</v>
      </c>
      <c r="E224" s="9" t="s">
        <v>15</v>
      </c>
      <c r="F224" t="s">
        <v>100</v>
      </c>
      <c r="G224" s="5">
        <f t="shared" si="5"/>
        <v>1.3884297520661157</v>
      </c>
      <c r="H224" t="s">
        <v>100</v>
      </c>
      <c r="I224" s="5">
        <f t="shared" si="6"/>
        <v>1.4000000000000001</v>
      </c>
      <c r="J224" t="s">
        <v>100</v>
      </c>
      <c r="K224" s="5">
        <f t="shared" si="7"/>
        <v>1.4000000000000001</v>
      </c>
      <c r="L224">
        <v>100</v>
      </c>
      <c r="M224" s="5">
        <f t="shared" si="9"/>
        <v>1.3961432506887055</v>
      </c>
    </row>
    <row r="225" spans="2:13" ht="12.75">
      <c r="B225" s="9" t="s">
        <v>126</v>
      </c>
      <c r="C225" s="9" t="s">
        <v>211</v>
      </c>
      <c r="D225" s="9" t="s">
        <v>56</v>
      </c>
      <c r="E225" s="9" t="s">
        <v>15</v>
      </c>
      <c r="F225"/>
      <c r="G225" s="5">
        <f t="shared" si="5"/>
        <v>54.3801652892562</v>
      </c>
      <c r="H225"/>
      <c r="I225" s="5">
        <f t="shared" si="6"/>
        <v>60.666666666666664</v>
      </c>
      <c r="J225"/>
      <c r="K225" s="5">
        <f t="shared" si="7"/>
        <v>35</v>
      </c>
      <c r="L225"/>
      <c r="M225" s="5">
        <f t="shared" si="9"/>
        <v>50.01561065197429</v>
      </c>
    </row>
    <row r="226" spans="2:13" ht="12.75">
      <c r="B226" s="9"/>
      <c r="C226" s="9"/>
      <c r="F226"/>
      <c r="G226"/>
      <c r="H226"/>
      <c r="I226"/>
      <c r="J226"/>
      <c r="K226"/>
      <c r="L226"/>
      <c r="M226"/>
    </row>
    <row r="227" spans="2:13" ht="12.75">
      <c r="B227" t="s">
        <v>57</v>
      </c>
      <c r="C227" s="9" t="s">
        <v>211</v>
      </c>
      <c r="D227" s="9" t="s">
        <v>56</v>
      </c>
      <c r="E227" s="9" t="s">
        <v>15</v>
      </c>
      <c r="F227">
        <v>3.9</v>
      </c>
      <c r="G227" s="63">
        <f>G215+G210</f>
        <v>10.471074380165287</v>
      </c>
      <c r="H227" s="5">
        <v>5.7</v>
      </c>
      <c r="I227" s="63">
        <f>I215+I210</f>
        <v>5.074999999999999</v>
      </c>
      <c r="J227" s="5">
        <v>3.2</v>
      </c>
      <c r="K227" s="63">
        <f>K215+K210</f>
        <v>16.869999999999997</v>
      </c>
      <c r="L227" s="5">
        <v>3.8</v>
      </c>
      <c r="M227" s="5">
        <f>AVERAGE(G227,I227,K227)</f>
        <v>10.805358126721762</v>
      </c>
    </row>
    <row r="228" spans="2:13" ht="12.75">
      <c r="B228" t="s">
        <v>58</v>
      </c>
      <c r="C228" s="9" t="s">
        <v>211</v>
      </c>
      <c r="D228" s="9" t="s">
        <v>56</v>
      </c>
      <c r="E228" s="9" t="s">
        <v>15</v>
      </c>
      <c r="G228" s="5">
        <f>G211+G206+G208</f>
        <v>7.543801652892562</v>
      </c>
      <c r="I228" s="5">
        <f>I211+I206+I208</f>
        <v>2.9400000000000004</v>
      </c>
      <c r="K228" s="5">
        <f>K211+K206+K208</f>
        <v>2.4733333333333336</v>
      </c>
      <c r="M228" s="5">
        <f>AVERAGE(G228,I228,K228)</f>
        <v>4.319044995408632</v>
      </c>
    </row>
    <row r="229" spans="2:13" ht="12.75">
      <c r="B229"/>
      <c r="C229"/>
      <c r="D229"/>
      <c r="E229"/>
      <c r="F229"/>
      <c r="G229"/>
      <c r="H229"/>
      <c r="I229"/>
      <c r="J229"/>
      <c r="K229"/>
      <c r="L229"/>
      <c r="M229"/>
    </row>
    <row r="230" ht="12.75">
      <c r="B230" s="18" t="s">
        <v>202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72"/>
  <sheetViews>
    <sheetView workbookViewId="0" topLeftCell="B37">
      <selection activeCell="C1" sqref="C1"/>
    </sheetView>
  </sheetViews>
  <sheetFormatPr defaultColWidth="9.140625" defaultRowHeight="12.75"/>
  <cols>
    <col min="1" max="1" width="2.28125" style="28" hidden="1" customWidth="1"/>
    <col min="2" max="2" width="22.57421875" style="10" customWidth="1"/>
    <col min="3" max="3" width="3.00390625" style="10" customWidth="1"/>
    <col min="4" max="4" width="11.8515625" style="10" customWidth="1"/>
    <col min="5" max="5" width="6.421875" style="10" customWidth="1"/>
    <col min="6" max="6" width="3.8515625" style="28" customWidth="1"/>
    <col min="7" max="7" width="11.8515625" style="29" customWidth="1"/>
    <col min="8" max="8" width="4.00390625" style="29" customWidth="1"/>
    <col min="9" max="9" width="12.00390625" style="28" customWidth="1"/>
    <col min="10" max="10" width="4.140625" style="28" customWidth="1"/>
    <col min="11" max="11" width="11.7109375" style="28" customWidth="1"/>
    <col min="12" max="12" width="3.7109375" style="28" customWidth="1"/>
    <col min="13" max="13" width="10.140625" style="28" customWidth="1"/>
    <col min="14" max="14" width="4.00390625" style="28" customWidth="1"/>
    <col min="15" max="15" width="8.8515625" style="28" customWidth="1"/>
    <col min="16" max="16" width="4.421875" style="28" customWidth="1"/>
    <col min="17" max="17" width="9.00390625" style="28" customWidth="1"/>
    <col min="18" max="18" width="3.7109375" style="28" customWidth="1"/>
    <col min="19" max="19" width="8.57421875" style="28" customWidth="1"/>
    <col min="20" max="20" width="4.140625" style="28" customWidth="1"/>
    <col min="21" max="21" width="8.57421875" style="28" customWidth="1"/>
    <col min="22" max="22" width="4.28125" style="28" customWidth="1"/>
    <col min="23" max="23" width="11.00390625" style="28" customWidth="1"/>
    <col min="24" max="24" width="4.00390625" style="28" customWidth="1"/>
    <col min="25" max="25" width="9.7109375" style="28" customWidth="1"/>
    <col min="26" max="26" width="4.28125" style="28" customWidth="1"/>
    <col min="27" max="27" width="10.28125" style="28" customWidth="1"/>
    <col min="28" max="28" width="3.8515625" style="28" customWidth="1"/>
    <col min="29" max="16384" width="8.8515625" style="28" customWidth="1"/>
  </cols>
  <sheetData>
    <row r="1" spans="2:3" ht="12.75">
      <c r="B1" s="27" t="s">
        <v>203</v>
      </c>
      <c r="C1" s="27"/>
    </row>
    <row r="4" spans="1:21" ht="12.75">
      <c r="A4" s="28" t="s">
        <v>87</v>
      </c>
      <c r="B4" s="27" t="s">
        <v>148</v>
      </c>
      <c r="C4" s="10" t="str">
        <f>cond!C10</f>
        <v>GB agent trial burn</v>
      </c>
      <c r="E4" s="10" t="s">
        <v>179</v>
      </c>
      <c r="G4" s="30" t="s">
        <v>204</v>
      </c>
      <c r="H4" s="30"/>
      <c r="I4" s="30" t="s">
        <v>205</v>
      </c>
      <c r="J4" s="30"/>
      <c r="K4" s="30" t="s">
        <v>206</v>
      </c>
      <c r="L4" s="30"/>
      <c r="M4" s="30" t="s">
        <v>47</v>
      </c>
      <c r="O4" s="30" t="s">
        <v>204</v>
      </c>
      <c r="P4" s="30"/>
      <c r="Q4" s="30" t="s">
        <v>205</v>
      </c>
      <c r="R4" s="30"/>
      <c r="S4" s="30" t="s">
        <v>206</v>
      </c>
      <c r="T4" s="30"/>
      <c r="U4" s="30" t="s">
        <v>47</v>
      </c>
    </row>
    <row r="5" spans="2:13" ht="12.75">
      <c r="B5" s="27"/>
      <c r="G5" s="30"/>
      <c r="H5" s="30"/>
      <c r="I5" s="30"/>
      <c r="J5" s="30"/>
      <c r="K5" s="30"/>
      <c r="L5" s="30"/>
      <c r="M5" s="30"/>
    </row>
    <row r="6" spans="2:21" ht="12.75">
      <c r="B6" s="10" t="s">
        <v>229</v>
      </c>
      <c r="G6" s="30" t="s">
        <v>232</v>
      </c>
      <c r="H6" s="30"/>
      <c r="I6" s="30" t="s">
        <v>232</v>
      </c>
      <c r="J6" s="30"/>
      <c r="K6" s="30" t="s">
        <v>232</v>
      </c>
      <c r="L6" s="30"/>
      <c r="M6" s="30" t="s">
        <v>232</v>
      </c>
      <c r="O6" s="28" t="s">
        <v>233</v>
      </c>
      <c r="Q6" s="28" t="s">
        <v>233</v>
      </c>
      <c r="S6" s="28" t="s">
        <v>233</v>
      </c>
      <c r="U6" s="28" t="s">
        <v>233</v>
      </c>
    </row>
    <row r="7" spans="2:21" ht="12.75">
      <c r="B7" s="10" t="s">
        <v>230</v>
      </c>
      <c r="G7" s="29" t="s">
        <v>237</v>
      </c>
      <c r="I7" s="29" t="s">
        <v>237</v>
      </c>
      <c r="K7" s="29" t="s">
        <v>237</v>
      </c>
      <c r="M7" s="29" t="s">
        <v>237</v>
      </c>
      <c r="O7" s="50" t="s">
        <v>25</v>
      </c>
      <c r="P7" s="50"/>
      <c r="Q7" s="50" t="s">
        <v>25</v>
      </c>
      <c r="R7" s="55"/>
      <c r="S7" s="50" t="s">
        <v>25</v>
      </c>
      <c r="T7" s="50"/>
      <c r="U7" s="50" t="s">
        <v>25</v>
      </c>
    </row>
    <row r="8" spans="2:21" ht="12.75">
      <c r="B8" s="10" t="s">
        <v>235</v>
      </c>
      <c r="G8" s="29" t="s">
        <v>63</v>
      </c>
      <c r="I8" s="29" t="s">
        <v>63</v>
      </c>
      <c r="K8" s="29" t="s">
        <v>63</v>
      </c>
      <c r="M8" s="29" t="s">
        <v>63</v>
      </c>
      <c r="O8" s="50" t="s">
        <v>25</v>
      </c>
      <c r="P8" s="50"/>
      <c r="Q8" s="50" t="s">
        <v>25</v>
      </c>
      <c r="R8" s="55"/>
      <c r="S8" s="50" t="s">
        <v>25</v>
      </c>
      <c r="T8" s="50"/>
      <c r="U8" s="50" t="s">
        <v>25</v>
      </c>
    </row>
    <row r="9" spans="2:21" s="50" customFormat="1" ht="12.75">
      <c r="B9" s="50" t="s">
        <v>48</v>
      </c>
      <c r="G9" s="10" t="s">
        <v>156</v>
      </c>
      <c r="H9" s="30"/>
      <c r="I9" s="10" t="s">
        <v>156</v>
      </c>
      <c r="J9" s="30"/>
      <c r="K9" s="10" t="s">
        <v>156</v>
      </c>
      <c r="L9" s="10"/>
      <c r="M9" s="10" t="s">
        <v>156</v>
      </c>
      <c r="O9" s="50" t="s">
        <v>25</v>
      </c>
      <c r="Q9" s="50" t="s">
        <v>25</v>
      </c>
      <c r="R9" s="55"/>
      <c r="S9" s="50" t="s">
        <v>25</v>
      </c>
      <c r="U9" s="50" t="s">
        <v>25</v>
      </c>
    </row>
    <row r="10" spans="2:17" ht="12.75">
      <c r="B10" s="10" t="s">
        <v>187</v>
      </c>
      <c r="D10" s="10" t="s">
        <v>51</v>
      </c>
      <c r="G10" s="28">
        <v>633</v>
      </c>
      <c r="H10" s="28"/>
      <c r="I10" s="28">
        <v>823</v>
      </c>
      <c r="K10" s="28">
        <v>638</v>
      </c>
      <c r="M10" s="41">
        <f>AVERAGE(G10:K10)</f>
        <v>698</v>
      </c>
      <c r="N10" s="41"/>
      <c r="O10" s="41"/>
      <c r="P10" s="41"/>
      <c r="Q10" s="33"/>
    </row>
    <row r="11" spans="2:17" ht="12.75">
      <c r="B11" s="10" t="s">
        <v>162</v>
      </c>
      <c r="D11" s="10" t="s">
        <v>163</v>
      </c>
      <c r="G11" s="28">
        <v>1.09</v>
      </c>
      <c r="H11" s="28"/>
      <c r="I11" s="28">
        <v>1.07</v>
      </c>
      <c r="K11" s="28">
        <v>1.08</v>
      </c>
      <c r="M11" s="33">
        <f>AVERAGE(G11:K11)</f>
        <v>1.08</v>
      </c>
      <c r="N11" s="41"/>
      <c r="O11" s="41"/>
      <c r="P11" s="41"/>
      <c r="Q11" s="33"/>
    </row>
    <row r="12" spans="2:17" ht="12.75">
      <c r="B12" s="10" t="s">
        <v>188</v>
      </c>
      <c r="F12" s="30"/>
      <c r="G12" s="61">
        <v>87.5</v>
      </c>
      <c r="H12" s="61"/>
      <c r="I12" s="61">
        <v>78.1</v>
      </c>
      <c r="J12" s="61"/>
      <c r="K12" s="62">
        <v>89.2</v>
      </c>
      <c r="L12" s="62"/>
      <c r="M12" s="33"/>
      <c r="N12" s="62"/>
      <c r="O12" s="62"/>
      <c r="P12" s="62"/>
      <c r="Q12" s="33"/>
    </row>
    <row r="13" spans="2:17" ht="12.75">
      <c r="B13" s="10" t="s">
        <v>189</v>
      </c>
      <c r="D13" s="10" t="s">
        <v>51</v>
      </c>
      <c r="F13" s="30"/>
      <c r="G13" s="69">
        <f>G10/G12*100</f>
        <v>723.4285714285714</v>
      </c>
      <c r="H13" s="61"/>
      <c r="I13" s="69">
        <f>I10/I12*100</f>
        <v>1053.7772087067863</v>
      </c>
      <c r="J13" s="61"/>
      <c r="K13" s="69">
        <f>K10/K12*100</f>
        <v>715.2466367713005</v>
      </c>
      <c r="L13" s="69"/>
      <c r="M13" s="33"/>
      <c r="N13" s="62"/>
      <c r="O13" s="62"/>
      <c r="P13" s="62"/>
      <c r="Q13" s="33"/>
    </row>
    <row r="14" spans="7:17" ht="12.75">
      <c r="G14" s="11"/>
      <c r="H14" s="11"/>
      <c r="M14" s="33"/>
      <c r="N14" s="62"/>
      <c r="O14" s="62"/>
      <c r="P14" s="62"/>
      <c r="Q14" s="33"/>
    </row>
    <row r="15" spans="6:17" ht="12.75">
      <c r="F15" s="30"/>
      <c r="G15" s="11"/>
      <c r="H15" s="11"/>
      <c r="M15" s="41"/>
      <c r="N15" s="62"/>
      <c r="O15" s="62"/>
      <c r="P15" s="62"/>
      <c r="Q15" s="33"/>
    </row>
    <row r="16" spans="2:17" ht="12.75">
      <c r="B16" s="10" t="s">
        <v>111</v>
      </c>
      <c r="D16" s="10" t="s">
        <v>190</v>
      </c>
      <c r="F16" s="30"/>
      <c r="G16" s="11">
        <v>850</v>
      </c>
      <c r="H16" s="11"/>
      <c r="I16" s="28">
        <f>(1051+992)/2</f>
        <v>1021.5</v>
      </c>
      <c r="K16" s="28">
        <v>880</v>
      </c>
      <c r="M16" s="41"/>
      <c r="N16" s="62"/>
      <c r="O16" s="62"/>
      <c r="P16" s="62"/>
      <c r="Q16" s="33"/>
    </row>
    <row r="17" spans="2:17" ht="12.75">
      <c r="B17" s="10" t="s">
        <v>121</v>
      </c>
      <c r="D17" s="10" t="s">
        <v>190</v>
      </c>
      <c r="F17" s="30" t="s">
        <v>100</v>
      </c>
      <c r="G17" s="11">
        <v>23</v>
      </c>
      <c r="H17" s="30" t="s">
        <v>100</v>
      </c>
      <c r="I17" s="11">
        <v>23</v>
      </c>
      <c r="J17" s="30" t="s">
        <v>100</v>
      </c>
      <c r="K17" s="11">
        <v>23</v>
      </c>
      <c r="L17" s="11"/>
      <c r="M17" s="41"/>
      <c r="N17" s="62"/>
      <c r="O17" s="62"/>
      <c r="P17" s="62"/>
      <c r="Q17" s="33"/>
    </row>
    <row r="18" spans="2:17" ht="12.75">
      <c r="B18" s="10" t="s">
        <v>112</v>
      </c>
      <c r="D18" s="10" t="s">
        <v>190</v>
      </c>
      <c r="F18" s="30" t="s">
        <v>100</v>
      </c>
      <c r="G18" s="11">
        <v>6.9</v>
      </c>
      <c r="H18" s="11"/>
      <c r="I18" s="28">
        <f>(7.8+9.1)/2</f>
        <v>8.45</v>
      </c>
      <c r="J18" s="28" t="s">
        <v>100</v>
      </c>
      <c r="K18" s="28">
        <f>6.8</f>
        <v>6.8</v>
      </c>
      <c r="M18" s="41"/>
      <c r="N18" s="62"/>
      <c r="O18" s="62"/>
      <c r="P18" s="62"/>
      <c r="Q18" s="33"/>
    </row>
    <row r="19" spans="2:17" ht="12.75">
      <c r="B19" s="10" t="s">
        <v>113</v>
      </c>
      <c r="D19" s="10" t="s">
        <v>190</v>
      </c>
      <c r="F19" s="30"/>
      <c r="G19" s="11">
        <v>9.6</v>
      </c>
      <c r="H19" s="11"/>
      <c r="I19" s="28">
        <v>8</v>
      </c>
      <c r="K19" s="28">
        <v>10.4</v>
      </c>
      <c r="M19" s="41"/>
      <c r="N19" s="62"/>
      <c r="O19" s="62"/>
      <c r="P19" s="62"/>
      <c r="Q19" s="33"/>
    </row>
    <row r="20" spans="2:17" ht="12.75">
      <c r="B20" s="10" t="s">
        <v>80</v>
      </c>
      <c r="D20" s="10" t="s">
        <v>190</v>
      </c>
      <c r="F20" s="30" t="s">
        <v>100</v>
      </c>
      <c r="G20" s="72">
        <v>0.09</v>
      </c>
      <c r="H20" s="30" t="s">
        <v>100</v>
      </c>
      <c r="I20" s="72">
        <v>0.09</v>
      </c>
      <c r="J20" s="30" t="s">
        <v>100</v>
      </c>
      <c r="K20" s="72">
        <v>0.09</v>
      </c>
      <c r="L20" s="72"/>
      <c r="M20" s="41"/>
      <c r="N20" s="62"/>
      <c r="O20" s="62"/>
      <c r="P20" s="62"/>
      <c r="Q20" s="33"/>
    </row>
    <row r="21" spans="2:17" ht="12.75">
      <c r="B21" s="10" t="s">
        <v>114</v>
      </c>
      <c r="D21" s="10" t="s">
        <v>190</v>
      </c>
      <c r="F21" s="30"/>
      <c r="G21" s="11">
        <v>2458</v>
      </c>
      <c r="H21" s="11"/>
      <c r="I21" s="28">
        <f>(3299+3087)/2</f>
        <v>3193</v>
      </c>
      <c r="K21" s="18">
        <v>2632</v>
      </c>
      <c r="L21" s="18"/>
      <c r="M21" s="41"/>
      <c r="N21" s="62"/>
      <c r="O21" s="62"/>
      <c r="P21" s="62"/>
      <c r="Q21" s="33"/>
    </row>
    <row r="22" spans="2:17" ht="12.75">
      <c r="B22" s="10" t="s">
        <v>115</v>
      </c>
      <c r="D22" s="10" t="s">
        <v>190</v>
      </c>
      <c r="F22" s="30" t="s">
        <v>100</v>
      </c>
      <c r="G22" s="72">
        <v>0.91</v>
      </c>
      <c r="H22" s="30" t="s">
        <v>100</v>
      </c>
      <c r="I22" s="72">
        <v>0.91</v>
      </c>
      <c r="J22" s="30" t="s">
        <v>100</v>
      </c>
      <c r="K22" s="72">
        <v>0.91</v>
      </c>
      <c r="L22" s="72"/>
      <c r="M22" s="41"/>
      <c r="N22" s="62"/>
      <c r="O22" s="62"/>
      <c r="P22" s="62"/>
      <c r="Q22" s="33"/>
    </row>
    <row r="23" spans="2:17" ht="12.75">
      <c r="B23" s="10" t="s">
        <v>85</v>
      </c>
      <c r="D23" s="10" t="s">
        <v>190</v>
      </c>
      <c r="F23" s="30" t="s">
        <v>100</v>
      </c>
      <c r="G23" s="11">
        <v>2.3</v>
      </c>
      <c r="H23" s="11"/>
      <c r="I23" s="28">
        <f>5.1+2.3/2</f>
        <v>6.25</v>
      </c>
      <c r="J23" s="18" t="s">
        <v>100</v>
      </c>
      <c r="K23" s="18">
        <v>2.3</v>
      </c>
      <c r="L23" s="18"/>
      <c r="M23" s="41"/>
      <c r="N23" s="62"/>
      <c r="O23" s="62"/>
      <c r="P23" s="62"/>
      <c r="Q23" s="33"/>
    </row>
    <row r="24" spans="2:17" ht="12.75">
      <c r="B24" s="10" t="s">
        <v>157</v>
      </c>
      <c r="D24" s="10" t="s">
        <v>190</v>
      </c>
      <c r="F24" s="30"/>
      <c r="G24" s="11">
        <v>5.3</v>
      </c>
      <c r="H24" s="11"/>
      <c r="I24" s="73">
        <v>6.03</v>
      </c>
      <c r="K24" s="73">
        <v>7.5</v>
      </c>
      <c r="L24" s="73"/>
      <c r="M24" s="41"/>
      <c r="N24" s="62"/>
      <c r="O24" s="62"/>
      <c r="P24" s="62"/>
      <c r="Q24" s="33"/>
    </row>
    <row r="25" spans="2:17" ht="12.75">
      <c r="B25" s="10" t="s">
        <v>117</v>
      </c>
      <c r="D25" s="10" t="s">
        <v>190</v>
      </c>
      <c r="F25" s="30"/>
      <c r="G25" s="11">
        <v>36.7</v>
      </c>
      <c r="H25" s="11"/>
      <c r="I25" s="18">
        <v>17.2</v>
      </c>
      <c r="K25" s="18">
        <v>16.9</v>
      </c>
      <c r="L25" s="18"/>
      <c r="M25" s="41"/>
      <c r="N25" s="62"/>
      <c r="O25" s="62"/>
      <c r="P25" s="62"/>
      <c r="Q25" s="33"/>
    </row>
    <row r="26" spans="2:17" ht="12.75">
      <c r="B26" s="10" t="s">
        <v>79</v>
      </c>
      <c r="D26" s="10" t="s">
        <v>190</v>
      </c>
      <c r="F26" s="30" t="s">
        <v>100</v>
      </c>
      <c r="G26" s="11">
        <v>9.1</v>
      </c>
      <c r="H26" s="30" t="s">
        <v>100</v>
      </c>
      <c r="I26" s="11">
        <v>9.1</v>
      </c>
      <c r="J26" s="30" t="s">
        <v>100</v>
      </c>
      <c r="K26" s="11">
        <v>9.1</v>
      </c>
      <c r="L26" s="11"/>
      <c r="M26" s="41"/>
      <c r="N26" s="62"/>
      <c r="O26" s="62"/>
      <c r="P26" s="62"/>
      <c r="Q26" s="33"/>
    </row>
    <row r="27" spans="2:17" ht="12.75">
      <c r="B27" s="10" t="s">
        <v>118</v>
      </c>
      <c r="D27" s="10" t="s">
        <v>190</v>
      </c>
      <c r="F27" s="30"/>
      <c r="G27" s="11">
        <v>1.6</v>
      </c>
      <c r="H27" s="11"/>
      <c r="I27" s="28">
        <f>1.4</f>
        <v>1.4</v>
      </c>
      <c r="K27" s="28">
        <v>0.9</v>
      </c>
      <c r="M27" s="41"/>
      <c r="N27" s="62"/>
      <c r="O27" s="62"/>
      <c r="P27" s="62"/>
      <c r="Q27" s="33"/>
    </row>
    <row r="28" spans="2:17" ht="12.75">
      <c r="B28" s="10" t="s">
        <v>81</v>
      </c>
      <c r="D28" s="10" t="s">
        <v>190</v>
      </c>
      <c r="F28" s="30" t="s">
        <v>100</v>
      </c>
      <c r="G28" s="72">
        <v>0.02</v>
      </c>
      <c r="H28" s="30" t="s">
        <v>100</v>
      </c>
      <c r="I28" s="72">
        <v>0.02</v>
      </c>
      <c r="J28" s="30" t="s">
        <v>100</v>
      </c>
      <c r="K28" s="72">
        <v>0.02</v>
      </c>
      <c r="L28" s="72"/>
      <c r="M28" s="41"/>
      <c r="N28" s="62"/>
      <c r="O28" s="62"/>
      <c r="P28" s="62"/>
      <c r="Q28" s="33"/>
    </row>
    <row r="29" spans="2:17" ht="12.75">
      <c r="B29" s="10" t="s">
        <v>119</v>
      </c>
      <c r="D29" s="10" t="s">
        <v>190</v>
      </c>
      <c r="F29" s="28" t="s">
        <v>100</v>
      </c>
      <c r="G29" s="61">
        <v>6.9</v>
      </c>
      <c r="H29" s="28" t="s">
        <v>100</v>
      </c>
      <c r="I29" s="61">
        <v>6.9</v>
      </c>
      <c r="K29" s="61">
        <v>8.2</v>
      </c>
      <c r="L29" s="61"/>
      <c r="M29" s="33"/>
      <c r="N29" s="62"/>
      <c r="O29" s="62"/>
      <c r="P29" s="62"/>
      <c r="Q29" s="33"/>
    </row>
    <row r="30" spans="2:17" ht="12.75">
      <c r="B30" s="10" t="s">
        <v>122</v>
      </c>
      <c r="D30" s="10" t="s">
        <v>190</v>
      </c>
      <c r="F30" s="20" t="s">
        <v>100</v>
      </c>
      <c r="G30" s="61">
        <v>16</v>
      </c>
      <c r="H30" s="20" t="s">
        <v>100</v>
      </c>
      <c r="I30" s="61">
        <v>16</v>
      </c>
      <c r="J30" s="20" t="s">
        <v>100</v>
      </c>
      <c r="K30" s="61">
        <v>16</v>
      </c>
      <c r="L30" s="61"/>
      <c r="M30" s="33"/>
      <c r="N30" s="62"/>
      <c r="O30" s="62"/>
      <c r="P30" s="62"/>
      <c r="Q30" s="33"/>
    </row>
    <row r="31" spans="2:17" ht="12.75">
      <c r="B31" s="10" t="s">
        <v>110</v>
      </c>
      <c r="D31" s="10" t="s">
        <v>190</v>
      </c>
      <c r="F31" s="20" t="s">
        <v>100</v>
      </c>
      <c r="G31" s="61">
        <v>1.4</v>
      </c>
      <c r="H31" s="20" t="s">
        <v>100</v>
      </c>
      <c r="I31" s="61">
        <v>1.4</v>
      </c>
      <c r="J31" s="20" t="s">
        <v>100</v>
      </c>
      <c r="K31" s="61">
        <v>1.4</v>
      </c>
      <c r="L31" s="61"/>
      <c r="M31" s="33"/>
      <c r="N31" s="62"/>
      <c r="O31" s="62"/>
      <c r="P31" s="62"/>
      <c r="Q31" s="33"/>
    </row>
    <row r="32" spans="2:17" ht="12.75">
      <c r="B32" s="10" t="s">
        <v>124</v>
      </c>
      <c r="D32" s="10" t="s">
        <v>190</v>
      </c>
      <c r="F32" s="20" t="s">
        <v>100</v>
      </c>
      <c r="G32" s="61">
        <v>23</v>
      </c>
      <c r="H32" s="20" t="s">
        <v>100</v>
      </c>
      <c r="I32" s="61">
        <v>23</v>
      </c>
      <c r="J32" s="20" t="s">
        <v>100</v>
      </c>
      <c r="K32" s="61">
        <v>23</v>
      </c>
      <c r="L32" s="61"/>
      <c r="M32" s="33"/>
      <c r="N32" s="62"/>
      <c r="O32" s="62"/>
      <c r="P32" s="62"/>
      <c r="Q32" s="33"/>
    </row>
    <row r="33" spans="2:17" ht="12.75">
      <c r="B33" s="10" t="s">
        <v>123</v>
      </c>
      <c r="D33" s="10" t="s">
        <v>190</v>
      </c>
      <c r="F33" s="20" t="s">
        <v>100</v>
      </c>
      <c r="G33" s="61">
        <v>91</v>
      </c>
      <c r="H33" s="61" t="s">
        <v>100</v>
      </c>
      <c r="I33" s="25">
        <v>91</v>
      </c>
      <c r="J33" s="21" t="s">
        <v>100</v>
      </c>
      <c r="K33" s="25">
        <v>91</v>
      </c>
      <c r="L33" s="25"/>
      <c r="M33" s="33"/>
      <c r="N33" s="62"/>
      <c r="O33" s="62"/>
      <c r="P33" s="62"/>
      <c r="Q33" s="33"/>
    </row>
    <row r="34" spans="2:17" ht="12.75">
      <c r="B34" s="10" t="s">
        <v>125</v>
      </c>
      <c r="D34" s="10" t="s">
        <v>190</v>
      </c>
      <c r="F34" s="20" t="s">
        <v>100</v>
      </c>
      <c r="G34" s="61">
        <v>0.91</v>
      </c>
      <c r="H34" s="20" t="s">
        <v>100</v>
      </c>
      <c r="I34" s="61">
        <v>0.91</v>
      </c>
      <c r="J34" s="20" t="s">
        <v>100</v>
      </c>
      <c r="K34" s="61">
        <v>0.91</v>
      </c>
      <c r="L34" s="61"/>
      <c r="M34" s="33"/>
      <c r="N34" s="62"/>
      <c r="O34" s="62"/>
      <c r="P34" s="62"/>
      <c r="Q34" s="33"/>
    </row>
    <row r="35" spans="2:17" ht="12.75">
      <c r="B35" s="10" t="s">
        <v>126</v>
      </c>
      <c r="D35" s="10" t="s">
        <v>190</v>
      </c>
      <c r="G35" s="61">
        <v>74</v>
      </c>
      <c r="H35" s="61"/>
      <c r="I35" s="25">
        <v>26.5</v>
      </c>
      <c r="J35" s="62"/>
      <c r="K35" s="25">
        <v>20</v>
      </c>
      <c r="L35" s="25"/>
      <c r="M35" s="33"/>
      <c r="N35" s="62"/>
      <c r="O35" s="62"/>
      <c r="P35" s="62"/>
      <c r="Q35" s="33"/>
    </row>
    <row r="36" spans="7:17" ht="12.75">
      <c r="G36" s="61"/>
      <c r="H36" s="61"/>
      <c r="I36" s="62"/>
      <c r="J36" s="62"/>
      <c r="K36" s="62"/>
      <c r="L36" s="62"/>
      <c r="M36" s="33"/>
      <c r="N36" s="62"/>
      <c r="O36" s="62"/>
      <c r="P36" s="62"/>
      <c r="Q36" s="33"/>
    </row>
    <row r="37" spans="2:17" ht="12.75">
      <c r="B37" s="10" t="s">
        <v>164</v>
      </c>
      <c r="D37" s="10" t="s">
        <v>17</v>
      </c>
      <c r="F37" s="30"/>
      <c r="G37" s="11">
        <f>emiss!G54</f>
        <v>3644</v>
      </c>
      <c r="H37" s="11"/>
      <c r="I37" s="28">
        <f>emiss!I54</f>
        <v>3916</v>
      </c>
      <c r="K37" s="28">
        <f>emiss!K54</f>
        <v>3741</v>
      </c>
      <c r="M37" s="41">
        <f>AVERAGE(G37:K37)</f>
        <v>3767</v>
      </c>
      <c r="N37" s="62"/>
      <c r="O37" s="62"/>
      <c r="P37" s="62"/>
      <c r="Q37" s="33"/>
    </row>
    <row r="38" spans="2:17" ht="12.75">
      <c r="B38" s="10" t="s">
        <v>165</v>
      </c>
      <c r="D38" s="10" t="s">
        <v>18</v>
      </c>
      <c r="F38" s="30"/>
      <c r="G38" s="11">
        <f>emiss!G49</f>
        <v>9</v>
      </c>
      <c r="H38" s="11"/>
      <c r="I38" s="28">
        <f>emiss!I55</f>
        <v>8.8</v>
      </c>
      <c r="K38" s="28">
        <f>emiss!K55</f>
        <v>8.8</v>
      </c>
      <c r="M38" s="41">
        <f>AVERAGE(G38:K38)</f>
        <v>8.866666666666667</v>
      </c>
      <c r="N38" s="62"/>
      <c r="O38" s="62"/>
      <c r="P38" s="62"/>
      <c r="Q38" s="33"/>
    </row>
    <row r="39" spans="7:17" ht="12.75">
      <c r="G39" s="61"/>
      <c r="H39" s="61"/>
      <c r="I39" s="62"/>
      <c r="J39" s="62"/>
      <c r="K39" s="62"/>
      <c r="L39" s="62"/>
      <c r="M39" s="33"/>
      <c r="N39" s="62"/>
      <c r="O39" s="62"/>
      <c r="P39" s="62"/>
      <c r="Q39" s="33"/>
    </row>
    <row r="40" spans="7:17" ht="12.75">
      <c r="G40" s="61"/>
      <c r="H40" s="61"/>
      <c r="I40" s="62"/>
      <c r="J40" s="62"/>
      <c r="K40" s="62"/>
      <c r="L40" s="62"/>
      <c r="M40" s="33"/>
      <c r="N40" s="62"/>
      <c r="O40" s="62"/>
      <c r="P40" s="62"/>
      <c r="Q40" s="33"/>
    </row>
    <row r="41" spans="7:17" ht="12.75">
      <c r="G41" s="61"/>
      <c r="H41" s="61"/>
      <c r="I41" s="62"/>
      <c r="J41" s="62"/>
      <c r="K41" s="62"/>
      <c r="L41" s="62"/>
      <c r="M41" s="33"/>
      <c r="N41" s="62"/>
      <c r="O41" s="62"/>
      <c r="P41" s="62"/>
      <c r="Q41" s="33"/>
    </row>
    <row r="42" spans="2:17" ht="12.75">
      <c r="B42" s="45" t="s">
        <v>166</v>
      </c>
      <c r="G42" s="61"/>
      <c r="H42" s="61"/>
      <c r="I42" s="62"/>
      <c r="J42" s="62"/>
      <c r="K42" s="62"/>
      <c r="L42" s="62"/>
      <c r="M42" s="33"/>
      <c r="N42" s="62"/>
      <c r="O42" s="62"/>
      <c r="P42" s="62"/>
      <c r="Q42" s="33"/>
    </row>
    <row r="43" spans="7:17" ht="12.75">
      <c r="G43" s="61"/>
      <c r="H43" s="61"/>
      <c r="I43" s="62"/>
      <c r="J43" s="62"/>
      <c r="K43" s="62"/>
      <c r="L43" s="62"/>
      <c r="M43" s="33"/>
      <c r="N43" s="62"/>
      <c r="O43" s="62"/>
      <c r="P43" s="62"/>
      <c r="Q43" s="33"/>
    </row>
    <row r="44" spans="2:21" ht="12.75">
      <c r="B44" s="10" t="s">
        <v>111</v>
      </c>
      <c r="D44" s="10" t="s">
        <v>56</v>
      </c>
      <c r="F44" s="30"/>
      <c r="G44" s="69">
        <f aca="true" t="shared" si="0" ref="G44:G63">G16/G$11*G$13*1/1000000*1/60*454*1000000/(0.0283*G$37)*(21-7)/(21-G$38)</f>
        <v>48291.942298788956</v>
      </c>
      <c r="H44" s="11"/>
      <c r="I44" s="69">
        <f aca="true" t="shared" si="1" ref="I44:I63">I16/I$11*I$13*1/1000000*1/60*454*1000000/(0.0283*I$37)*(21-7)/(21-I$38)</f>
        <v>78821.9334177967</v>
      </c>
      <c r="K44" s="69">
        <f aca="true" t="shared" si="2" ref="K44:K63">K16/K$11*K$13*1/1000000*1/60*454*1000000/(0.0283*K$37)*(21-7)/(21-K$38)</f>
        <v>47798.40500196718</v>
      </c>
      <c r="L44" s="69"/>
      <c r="M44" s="41">
        <f aca="true" t="shared" si="3" ref="M44:M63">AVERAGE(K44,I44,G44)</f>
        <v>58304.09357285094</v>
      </c>
      <c r="N44" s="62"/>
      <c r="O44" s="41">
        <f>G44</f>
        <v>48291.942298788956</v>
      </c>
      <c r="P44" s="62"/>
      <c r="Q44" s="41">
        <f>I44</f>
        <v>78821.9334177967</v>
      </c>
      <c r="S44" s="41">
        <f>K44</f>
        <v>47798.40500196718</v>
      </c>
      <c r="U44" s="41">
        <f>M44</f>
        <v>58304.09357285094</v>
      </c>
    </row>
    <row r="45" spans="2:21" ht="12.75">
      <c r="B45" s="10" t="s">
        <v>121</v>
      </c>
      <c r="D45" s="10" t="s">
        <v>56</v>
      </c>
      <c r="F45" s="30">
        <v>100</v>
      </c>
      <c r="G45" s="69">
        <f t="shared" si="0"/>
        <v>1306.723144555466</v>
      </c>
      <c r="H45" s="30">
        <v>100</v>
      </c>
      <c r="I45" s="69">
        <f t="shared" si="1"/>
        <v>1774.7473995196517</v>
      </c>
      <c r="J45" s="30">
        <v>100</v>
      </c>
      <c r="K45" s="69">
        <f t="shared" si="2"/>
        <v>1249.2764943695968</v>
      </c>
      <c r="L45" s="69">
        <f>SUM((K45*J45/100),(I45*H45/100),(G45*F45/100))/M45/3*100</f>
        <v>100</v>
      </c>
      <c r="M45" s="41">
        <f t="shared" si="3"/>
        <v>1443.582346148238</v>
      </c>
      <c r="N45" s="30">
        <v>100</v>
      </c>
      <c r="O45" s="41">
        <f aca="true" t="shared" si="4" ref="O45:U63">G45</f>
        <v>1306.723144555466</v>
      </c>
      <c r="P45" s="30">
        <v>100</v>
      </c>
      <c r="Q45" s="41">
        <f t="shared" si="4"/>
        <v>1774.7473995196517</v>
      </c>
      <c r="R45" s="30">
        <v>100</v>
      </c>
      <c r="S45" s="41">
        <f t="shared" si="4"/>
        <v>1249.2764943695968</v>
      </c>
      <c r="T45" s="69">
        <f>SUM((S45*R45/100),(Q45*P45/100),(O45*N45/100))/U45/3*100</f>
        <v>100</v>
      </c>
      <c r="U45" s="41">
        <f t="shared" si="4"/>
        <v>1443.582346148238</v>
      </c>
    </row>
    <row r="46" spans="2:21" ht="12.75">
      <c r="B46" s="10" t="s">
        <v>112</v>
      </c>
      <c r="D46" s="10" t="s">
        <v>56</v>
      </c>
      <c r="F46" s="30">
        <v>100</v>
      </c>
      <c r="G46" s="69">
        <f>G18/G$11*G$13*1/1000000*1/60*454*1000000/(0.0283*G$37)*(21-7)/(21-G$38)</f>
        <v>392.0169433666397</v>
      </c>
      <c r="H46" s="11"/>
      <c r="I46" s="69">
        <f t="shared" si="1"/>
        <v>652.0267619974371</v>
      </c>
      <c r="J46" s="30">
        <v>100</v>
      </c>
      <c r="K46" s="69">
        <f t="shared" si="2"/>
        <v>369.3513113788372</v>
      </c>
      <c r="L46" s="69">
        <f aca="true" t="shared" si="5" ref="L46:L66">SUM((K46*J46/100),(I46*H46/100),(G46*F46/100))/M46/3*100</f>
        <v>53.86804437021474</v>
      </c>
      <c r="M46" s="41">
        <f t="shared" si="3"/>
        <v>471.13167224763794</v>
      </c>
      <c r="N46" s="30">
        <v>100</v>
      </c>
      <c r="O46" s="41">
        <f t="shared" si="4"/>
        <v>392.0169433666397</v>
      </c>
      <c r="P46" s="11"/>
      <c r="Q46" s="41">
        <f t="shared" si="4"/>
        <v>652.0267619974371</v>
      </c>
      <c r="R46" s="30">
        <v>100</v>
      </c>
      <c r="S46" s="41">
        <f t="shared" si="4"/>
        <v>369.3513113788372</v>
      </c>
      <c r="T46" s="69">
        <f aca="true" t="shared" si="6" ref="T46:T66">SUM((S46*R46/100),(Q46*P46/100),(O46*N46/100))/U46/3*100</f>
        <v>53.86804437021474</v>
      </c>
      <c r="U46" s="41">
        <f t="shared" si="4"/>
        <v>471.13167224763794</v>
      </c>
    </row>
    <row r="47" spans="2:21" ht="12.75">
      <c r="B47" s="10" t="s">
        <v>113</v>
      </c>
      <c r="D47" s="10" t="s">
        <v>56</v>
      </c>
      <c r="F47" s="30"/>
      <c r="G47" s="69">
        <f t="shared" si="0"/>
        <v>545.4148777274987</v>
      </c>
      <c r="H47" s="11"/>
      <c r="I47" s="69">
        <f t="shared" si="1"/>
        <v>617.3034433111831</v>
      </c>
      <c r="K47" s="69">
        <f t="shared" si="2"/>
        <v>564.8902409323395</v>
      </c>
      <c r="L47" s="69"/>
      <c r="M47" s="41">
        <f t="shared" si="3"/>
        <v>575.869520657007</v>
      </c>
      <c r="N47" s="30"/>
      <c r="O47" s="41">
        <f t="shared" si="4"/>
        <v>545.4148777274987</v>
      </c>
      <c r="P47" s="11"/>
      <c r="Q47" s="41">
        <f t="shared" si="4"/>
        <v>617.3034433111831</v>
      </c>
      <c r="S47" s="41">
        <f t="shared" si="4"/>
        <v>564.8902409323395</v>
      </c>
      <c r="T47" s="69"/>
      <c r="U47" s="41">
        <f t="shared" si="4"/>
        <v>575.869520657007</v>
      </c>
    </row>
    <row r="48" spans="2:21" ht="12.75">
      <c r="B48" s="10" t="s">
        <v>80</v>
      </c>
      <c r="D48" s="10" t="s">
        <v>56</v>
      </c>
      <c r="F48" s="30">
        <v>100</v>
      </c>
      <c r="G48" s="69">
        <f t="shared" si="0"/>
        <v>5.113264478695302</v>
      </c>
      <c r="H48" s="30">
        <v>100</v>
      </c>
      <c r="I48" s="69">
        <f t="shared" si="1"/>
        <v>6.944663737250811</v>
      </c>
      <c r="J48" s="30">
        <v>100</v>
      </c>
      <c r="K48" s="69">
        <f t="shared" si="2"/>
        <v>4.888473238837551</v>
      </c>
      <c r="L48" s="69">
        <f t="shared" si="5"/>
        <v>100</v>
      </c>
      <c r="M48" s="41">
        <f t="shared" si="3"/>
        <v>5.6488004849278886</v>
      </c>
      <c r="N48" s="30">
        <v>100</v>
      </c>
      <c r="O48" s="41">
        <f t="shared" si="4"/>
        <v>5.113264478695302</v>
      </c>
      <c r="P48" s="30">
        <v>100</v>
      </c>
      <c r="Q48" s="41">
        <f t="shared" si="4"/>
        <v>6.944663737250811</v>
      </c>
      <c r="R48" s="30">
        <v>100</v>
      </c>
      <c r="S48" s="41">
        <f t="shared" si="4"/>
        <v>4.888473238837551</v>
      </c>
      <c r="T48" s="69">
        <f t="shared" si="6"/>
        <v>100</v>
      </c>
      <c r="U48" s="41">
        <f t="shared" si="4"/>
        <v>5.6488004849278886</v>
      </c>
    </row>
    <row r="49" spans="2:21" ht="12.75">
      <c r="B49" s="10" t="s">
        <v>114</v>
      </c>
      <c r="D49" s="10" t="s">
        <v>56</v>
      </c>
      <c r="F49" s="30"/>
      <c r="G49" s="69">
        <f t="shared" si="0"/>
        <v>139648.934318145</v>
      </c>
      <c r="H49" s="11"/>
      <c r="I49" s="69">
        <f t="shared" si="1"/>
        <v>246381.23681157595</v>
      </c>
      <c r="K49" s="69">
        <f t="shared" si="2"/>
        <v>142960.6840513382</v>
      </c>
      <c r="L49" s="69"/>
      <c r="M49" s="41">
        <f t="shared" si="3"/>
        <v>176330.28506035308</v>
      </c>
      <c r="N49" s="30"/>
      <c r="O49" s="41">
        <f t="shared" si="4"/>
        <v>139648.934318145</v>
      </c>
      <c r="P49" s="11"/>
      <c r="Q49" s="41">
        <f t="shared" si="4"/>
        <v>246381.23681157595</v>
      </c>
      <c r="S49" s="41">
        <f t="shared" si="4"/>
        <v>142960.6840513382</v>
      </c>
      <c r="T49" s="69"/>
      <c r="U49" s="41">
        <f t="shared" si="4"/>
        <v>176330.28506035308</v>
      </c>
    </row>
    <row r="50" spans="2:21" ht="12.75">
      <c r="B50" s="10" t="s">
        <v>115</v>
      </c>
      <c r="D50" s="10" t="s">
        <v>56</v>
      </c>
      <c r="F50" s="30">
        <v>100</v>
      </c>
      <c r="G50" s="69">
        <f t="shared" si="0"/>
        <v>51.70078528458581</v>
      </c>
      <c r="H50" s="30">
        <v>100</v>
      </c>
      <c r="I50" s="69">
        <f t="shared" si="1"/>
        <v>70.21826667664708</v>
      </c>
      <c r="J50" s="30">
        <v>100</v>
      </c>
      <c r="K50" s="69">
        <f t="shared" si="2"/>
        <v>49.42789608157969</v>
      </c>
      <c r="L50" s="69">
        <f t="shared" si="5"/>
        <v>100</v>
      </c>
      <c r="M50" s="41">
        <f t="shared" si="3"/>
        <v>57.1156493476042</v>
      </c>
      <c r="N50" s="30">
        <v>100</v>
      </c>
      <c r="O50" s="41">
        <f t="shared" si="4"/>
        <v>51.70078528458581</v>
      </c>
      <c r="P50" s="30">
        <v>100</v>
      </c>
      <c r="Q50" s="41">
        <f t="shared" si="4"/>
        <v>70.21826667664708</v>
      </c>
      <c r="R50" s="30">
        <v>100</v>
      </c>
      <c r="S50" s="41">
        <f t="shared" si="4"/>
        <v>49.42789608157969</v>
      </c>
      <c r="T50" s="69">
        <f t="shared" si="6"/>
        <v>100</v>
      </c>
      <c r="U50" s="41">
        <f t="shared" si="4"/>
        <v>57.1156493476042</v>
      </c>
    </row>
    <row r="51" spans="2:21" ht="12.75">
      <c r="B51" s="10" t="s">
        <v>85</v>
      </c>
      <c r="D51" s="10" t="s">
        <v>56</v>
      </c>
      <c r="F51" s="30">
        <v>100</v>
      </c>
      <c r="G51" s="69">
        <f t="shared" si="0"/>
        <v>130.6723144555466</v>
      </c>
      <c r="H51" s="11"/>
      <c r="I51" s="69">
        <f t="shared" si="1"/>
        <v>482.2683150868619</v>
      </c>
      <c r="J51" s="30">
        <v>100</v>
      </c>
      <c r="K51" s="69">
        <f t="shared" si="2"/>
        <v>124.92764943695964</v>
      </c>
      <c r="L51" s="69">
        <f t="shared" si="5"/>
        <v>34.64032418442712</v>
      </c>
      <c r="M51" s="41">
        <f t="shared" si="3"/>
        <v>245.95609299312272</v>
      </c>
      <c r="N51" s="30">
        <v>100</v>
      </c>
      <c r="O51" s="41">
        <f t="shared" si="4"/>
        <v>130.6723144555466</v>
      </c>
      <c r="P51" s="11"/>
      <c r="Q51" s="41">
        <f t="shared" si="4"/>
        <v>482.2683150868619</v>
      </c>
      <c r="R51" s="30">
        <v>100</v>
      </c>
      <c r="S51" s="41">
        <f t="shared" si="4"/>
        <v>124.92764943695964</v>
      </c>
      <c r="T51" s="69">
        <f t="shared" si="6"/>
        <v>34.64032418442712</v>
      </c>
      <c r="U51" s="41">
        <f t="shared" si="4"/>
        <v>245.95609299312272</v>
      </c>
    </row>
    <row r="52" spans="2:21" ht="12.75">
      <c r="B52" s="10" t="s">
        <v>157</v>
      </c>
      <c r="D52" s="10" t="s">
        <v>56</v>
      </c>
      <c r="F52" s="30"/>
      <c r="G52" s="69">
        <f t="shared" si="0"/>
        <v>301.11446374538997</v>
      </c>
      <c r="H52" s="11"/>
      <c r="I52" s="69">
        <f t="shared" si="1"/>
        <v>465.2924703958042</v>
      </c>
      <c r="K52" s="69">
        <f t="shared" si="2"/>
        <v>407.3727699031293</v>
      </c>
      <c r="L52" s="69"/>
      <c r="M52" s="41">
        <f t="shared" si="3"/>
        <v>391.2599013481078</v>
      </c>
      <c r="N52" s="30"/>
      <c r="O52" s="41">
        <f t="shared" si="4"/>
        <v>301.11446374538997</v>
      </c>
      <c r="P52" s="11"/>
      <c r="Q52" s="41">
        <f t="shared" si="4"/>
        <v>465.2924703958042</v>
      </c>
      <c r="S52" s="41">
        <f t="shared" si="4"/>
        <v>407.3727699031293</v>
      </c>
      <c r="T52" s="69"/>
      <c r="U52" s="41">
        <f t="shared" si="4"/>
        <v>391.2599013481078</v>
      </c>
    </row>
    <row r="53" spans="2:21" ht="12.75">
      <c r="B53" s="10" t="s">
        <v>117</v>
      </c>
      <c r="D53" s="10" t="s">
        <v>56</v>
      </c>
      <c r="F53" s="30"/>
      <c r="G53" s="69">
        <f t="shared" si="0"/>
        <v>2085.075626312417</v>
      </c>
      <c r="H53" s="11"/>
      <c r="I53" s="69">
        <f t="shared" si="1"/>
        <v>1327.2024031190435</v>
      </c>
      <c r="K53" s="69">
        <f t="shared" si="2"/>
        <v>917.9466415150512</v>
      </c>
      <c r="L53" s="69"/>
      <c r="M53" s="41">
        <f t="shared" si="3"/>
        <v>1443.4082236488375</v>
      </c>
      <c r="N53" s="30"/>
      <c r="O53" s="41">
        <f t="shared" si="4"/>
        <v>2085.075626312417</v>
      </c>
      <c r="P53" s="11"/>
      <c r="Q53" s="41">
        <f t="shared" si="4"/>
        <v>1327.2024031190435</v>
      </c>
      <c r="S53" s="41">
        <f t="shared" si="4"/>
        <v>917.9466415150512</v>
      </c>
      <c r="T53" s="69"/>
      <c r="U53" s="41">
        <f t="shared" si="4"/>
        <v>1443.4082236488375</v>
      </c>
    </row>
    <row r="54" spans="2:21" ht="12.75">
      <c r="B54" s="10" t="s">
        <v>79</v>
      </c>
      <c r="D54" s="10" t="s">
        <v>56</v>
      </c>
      <c r="F54" s="30">
        <v>100</v>
      </c>
      <c r="G54" s="69">
        <f t="shared" si="0"/>
        <v>517.0078528458581</v>
      </c>
      <c r="H54" s="30">
        <v>100</v>
      </c>
      <c r="I54" s="69">
        <f t="shared" si="1"/>
        <v>702.1826667664707</v>
      </c>
      <c r="J54" s="30">
        <v>100</v>
      </c>
      <c r="K54" s="69">
        <f t="shared" si="2"/>
        <v>494.27896081579706</v>
      </c>
      <c r="L54" s="69">
        <f t="shared" si="5"/>
        <v>100</v>
      </c>
      <c r="M54" s="41">
        <f t="shared" si="3"/>
        <v>571.1564934760419</v>
      </c>
      <c r="N54" s="30">
        <v>100</v>
      </c>
      <c r="O54" s="41">
        <f t="shared" si="4"/>
        <v>517.0078528458581</v>
      </c>
      <c r="P54" s="30">
        <v>100</v>
      </c>
      <c r="Q54" s="41">
        <f t="shared" si="4"/>
        <v>702.1826667664707</v>
      </c>
      <c r="R54" s="30">
        <v>100</v>
      </c>
      <c r="S54" s="41">
        <f t="shared" si="4"/>
        <v>494.27896081579706</v>
      </c>
      <c r="T54" s="69">
        <f t="shared" si="6"/>
        <v>100</v>
      </c>
      <c r="U54" s="41">
        <f t="shared" si="4"/>
        <v>571.1564934760419</v>
      </c>
    </row>
    <row r="55" spans="2:21" ht="12.75">
      <c r="B55" s="10" t="s">
        <v>118</v>
      </c>
      <c r="D55" s="10" t="s">
        <v>56</v>
      </c>
      <c r="F55" s="30"/>
      <c r="G55" s="69">
        <f t="shared" si="0"/>
        <v>90.90247962124981</v>
      </c>
      <c r="H55" s="11"/>
      <c r="I55" s="69">
        <f t="shared" si="1"/>
        <v>108.02810257945704</v>
      </c>
      <c r="K55" s="69">
        <f t="shared" si="2"/>
        <v>48.88473238837553</v>
      </c>
      <c r="L55" s="69"/>
      <c r="M55" s="41">
        <f t="shared" si="3"/>
        <v>82.60510486302746</v>
      </c>
      <c r="N55" s="30"/>
      <c r="O55" s="41">
        <f t="shared" si="4"/>
        <v>90.90247962124981</v>
      </c>
      <c r="P55" s="11"/>
      <c r="Q55" s="41">
        <f t="shared" si="4"/>
        <v>108.02810257945704</v>
      </c>
      <c r="S55" s="41">
        <f t="shared" si="4"/>
        <v>48.88473238837553</v>
      </c>
      <c r="T55" s="69"/>
      <c r="U55" s="41">
        <f t="shared" si="4"/>
        <v>82.60510486302746</v>
      </c>
    </row>
    <row r="56" spans="2:21" ht="12.75">
      <c r="B56" s="10" t="s">
        <v>81</v>
      </c>
      <c r="D56" s="10" t="s">
        <v>56</v>
      </c>
      <c r="F56" s="30">
        <v>100</v>
      </c>
      <c r="G56" s="72">
        <f t="shared" si="0"/>
        <v>1.136280995265622</v>
      </c>
      <c r="H56" s="30">
        <v>100</v>
      </c>
      <c r="I56" s="72">
        <f t="shared" si="1"/>
        <v>1.5432586082779576</v>
      </c>
      <c r="J56" s="30">
        <v>100</v>
      </c>
      <c r="K56" s="72">
        <f t="shared" si="2"/>
        <v>1.086327386408345</v>
      </c>
      <c r="L56" s="69">
        <f t="shared" si="5"/>
        <v>100</v>
      </c>
      <c r="M56" s="41">
        <f t="shared" si="3"/>
        <v>1.2552889966506415</v>
      </c>
      <c r="N56" s="30">
        <v>100</v>
      </c>
      <c r="O56" s="41">
        <f t="shared" si="4"/>
        <v>1.136280995265622</v>
      </c>
      <c r="P56" s="30">
        <v>100</v>
      </c>
      <c r="Q56" s="41">
        <f t="shared" si="4"/>
        <v>1.5432586082779576</v>
      </c>
      <c r="R56" s="30">
        <v>100</v>
      </c>
      <c r="S56" s="41">
        <f t="shared" si="4"/>
        <v>1.086327386408345</v>
      </c>
      <c r="T56" s="69">
        <f t="shared" si="6"/>
        <v>100</v>
      </c>
      <c r="U56" s="41">
        <f t="shared" si="4"/>
        <v>1.2552889966506415</v>
      </c>
    </row>
    <row r="57" spans="2:21" ht="12.75">
      <c r="B57" s="10" t="s">
        <v>119</v>
      </c>
      <c r="D57" s="10" t="s">
        <v>56</v>
      </c>
      <c r="F57" s="30">
        <v>100</v>
      </c>
      <c r="G57" s="69">
        <f t="shared" si="0"/>
        <v>392.0169433666397</v>
      </c>
      <c r="H57" s="30">
        <v>100</v>
      </c>
      <c r="I57" s="69">
        <f t="shared" si="1"/>
        <v>532.4242198558954</v>
      </c>
      <c r="K57" s="69">
        <f t="shared" si="2"/>
        <v>445.3942284274214</v>
      </c>
      <c r="L57" s="69">
        <f t="shared" si="5"/>
        <v>67.48556570063887</v>
      </c>
      <c r="M57" s="41">
        <f t="shared" si="3"/>
        <v>456.6117972166522</v>
      </c>
      <c r="N57" s="30">
        <v>100</v>
      </c>
      <c r="O57" s="41">
        <f t="shared" si="4"/>
        <v>392.0169433666397</v>
      </c>
      <c r="P57" s="30">
        <v>100</v>
      </c>
      <c r="Q57" s="41">
        <f t="shared" si="4"/>
        <v>532.4242198558954</v>
      </c>
      <c r="S57" s="41">
        <f t="shared" si="4"/>
        <v>445.3942284274214</v>
      </c>
      <c r="T57" s="69">
        <f t="shared" si="6"/>
        <v>67.48556570063887</v>
      </c>
      <c r="U57" s="41">
        <f t="shared" si="4"/>
        <v>456.6117972166522</v>
      </c>
    </row>
    <row r="58" spans="2:21" ht="12.75">
      <c r="B58" s="10" t="s">
        <v>122</v>
      </c>
      <c r="D58" s="10" t="s">
        <v>56</v>
      </c>
      <c r="F58" s="30">
        <v>100</v>
      </c>
      <c r="G58" s="69">
        <f t="shared" si="0"/>
        <v>909.0247962124981</v>
      </c>
      <c r="H58" s="30">
        <v>100</v>
      </c>
      <c r="I58" s="69">
        <f t="shared" si="1"/>
        <v>1234.6068866223661</v>
      </c>
      <c r="J58" s="30">
        <v>100</v>
      </c>
      <c r="K58" s="69">
        <f t="shared" si="2"/>
        <v>869.061909126676</v>
      </c>
      <c r="L58" s="69">
        <f t="shared" si="5"/>
        <v>100</v>
      </c>
      <c r="M58" s="41">
        <f t="shared" si="3"/>
        <v>1004.2311973205134</v>
      </c>
      <c r="N58" s="30">
        <v>100</v>
      </c>
      <c r="O58" s="41">
        <f t="shared" si="4"/>
        <v>909.0247962124981</v>
      </c>
      <c r="P58" s="30">
        <v>100</v>
      </c>
      <c r="Q58" s="41">
        <f t="shared" si="4"/>
        <v>1234.6068866223661</v>
      </c>
      <c r="R58" s="30">
        <v>100</v>
      </c>
      <c r="S58" s="41">
        <f t="shared" si="4"/>
        <v>869.061909126676</v>
      </c>
      <c r="T58" s="69">
        <f t="shared" si="6"/>
        <v>100</v>
      </c>
      <c r="U58" s="41">
        <f t="shared" si="4"/>
        <v>1004.2311973205134</v>
      </c>
    </row>
    <row r="59" spans="2:21" ht="12.75">
      <c r="B59" s="10" t="s">
        <v>110</v>
      </c>
      <c r="D59" s="10" t="s">
        <v>56</v>
      </c>
      <c r="F59" s="30">
        <v>100</v>
      </c>
      <c r="G59" s="69">
        <f t="shared" si="0"/>
        <v>79.53966966859356</v>
      </c>
      <c r="H59" s="30">
        <v>100</v>
      </c>
      <c r="I59" s="69">
        <f t="shared" si="1"/>
        <v>108.02810257945704</v>
      </c>
      <c r="J59" s="30">
        <v>100</v>
      </c>
      <c r="K59" s="69">
        <f t="shared" si="2"/>
        <v>76.04291704858413</v>
      </c>
      <c r="L59" s="69">
        <f t="shared" si="5"/>
        <v>100</v>
      </c>
      <c r="M59" s="41">
        <f t="shared" si="3"/>
        <v>87.87022976554492</v>
      </c>
      <c r="N59" s="30">
        <v>100</v>
      </c>
      <c r="O59" s="41">
        <f t="shared" si="4"/>
        <v>79.53966966859356</v>
      </c>
      <c r="P59" s="30">
        <v>100</v>
      </c>
      <c r="Q59" s="41">
        <f t="shared" si="4"/>
        <v>108.02810257945704</v>
      </c>
      <c r="R59" s="30">
        <v>100</v>
      </c>
      <c r="S59" s="41">
        <f t="shared" si="4"/>
        <v>76.04291704858413</v>
      </c>
      <c r="T59" s="69">
        <f t="shared" si="6"/>
        <v>100</v>
      </c>
      <c r="U59" s="41">
        <f t="shared" si="4"/>
        <v>87.87022976554492</v>
      </c>
    </row>
    <row r="60" spans="2:21" ht="12.75">
      <c r="B60" s="10" t="s">
        <v>124</v>
      </c>
      <c r="D60" s="10" t="s">
        <v>56</v>
      </c>
      <c r="F60" s="30">
        <v>100</v>
      </c>
      <c r="G60" s="69">
        <f t="shared" si="0"/>
        <v>1306.723144555466</v>
      </c>
      <c r="H60" s="30">
        <v>100</v>
      </c>
      <c r="I60" s="69">
        <f t="shared" si="1"/>
        <v>1774.7473995196517</v>
      </c>
      <c r="J60" s="30">
        <v>100</v>
      </c>
      <c r="K60" s="69">
        <f t="shared" si="2"/>
        <v>1249.2764943695968</v>
      </c>
      <c r="L60" s="69">
        <f t="shared" si="5"/>
        <v>100</v>
      </c>
      <c r="M60" s="41">
        <f t="shared" si="3"/>
        <v>1443.582346148238</v>
      </c>
      <c r="N60" s="30">
        <v>100</v>
      </c>
      <c r="O60" s="41">
        <f t="shared" si="4"/>
        <v>1306.723144555466</v>
      </c>
      <c r="P60" s="30">
        <v>100</v>
      </c>
      <c r="Q60" s="41">
        <f t="shared" si="4"/>
        <v>1774.7473995196517</v>
      </c>
      <c r="R60" s="30">
        <v>100</v>
      </c>
      <c r="S60" s="41">
        <f t="shared" si="4"/>
        <v>1249.2764943695968</v>
      </c>
      <c r="T60" s="69">
        <f t="shared" si="6"/>
        <v>100</v>
      </c>
      <c r="U60" s="41">
        <f t="shared" si="4"/>
        <v>1443.582346148238</v>
      </c>
    </row>
    <row r="61" spans="2:21" ht="12.75">
      <c r="B61" s="10" t="s">
        <v>123</v>
      </c>
      <c r="D61" s="10" t="s">
        <v>56</v>
      </c>
      <c r="F61" s="30">
        <v>100</v>
      </c>
      <c r="G61" s="69">
        <f t="shared" si="0"/>
        <v>5170.078528458583</v>
      </c>
      <c r="H61" s="30">
        <v>100</v>
      </c>
      <c r="I61" s="69">
        <f t="shared" si="1"/>
        <v>7021.826667664708</v>
      </c>
      <c r="J61" s="30">
        <v>100</v>
      </c>
      <c r="K61" s="69">
        <f t="shared" si="2"/>
        <v>4942.789608157968</v>
      </c>
      <c r="L61" s="69">
        <f t="shared" si="5"/>
        <v>100</v>
      </c>
      <c r="M61" s="41">
        <f t="shared" si="3"/>
        <v>5711.564934760419</v>
      </c>
      <c r="N61" s="30">
        <v>100</v>
      </c>
      <c r="O61" s="41">
        <f t="shared" si="4"/>
        <v>5170.078528458583</v>
      </c>
      <c r="P61" s="30">
        <v>100</v>
      </c>
      <c r="Q61" s="41">
        <f t="shared" si="4"/>
        <v>7021.826667664708</v>
      </c>
      <c r="R61" s="30">
        <v>100</v>
      </c>
      <c r="S61" s="41">
        <f t="shared" si="4"/>
        <v>4942.789608157968</v>
      </c>
      <c r="T61" s="69">
        <f t="shared" si="6"/>
        <v>100</v>
      </c>
      <c r="U61" s="41">
        <f t="shared" si="4"/>
        <v>5711.564934760419</v>
      </c>
    </row>
    <row r="62" spans="2:21" ht="12.75">
      <c r="B62" s="10" t="s">
        <v>125</v>
      </c>
      <c r="D62" s="10" t="s">
        <v>56</v>
      </c>
      <c r="F62" s="30">
        <v>100</v>
      </c>
      <c r="G62" s="69">
        <f t="shared" si="0"/>
        <v>51.70078528458581</v>
      </c>
      <c r="H62" s="30">
        <v>100</v>
      </c>
      <c r="I62" s="69">
        <f t="shared" si="1"/>
        <v>70.21826667664708</v>
      </c>
      <c r="J62" s="30">
        <v>100</v>
      </c>
      <c r="K62" s="69">
        <f t="shared" si="2"/>
        <v>49.42789608157969</v>
      </c>
      <c r="L62" s="69">
        <f t="shared" si="5"/>
        <v>100</v>
      </c>
      <c r="M62" s="41">
        <f t="shared" si="3"/>
        <v>57.1156493476042</v>
      </c>
      <c r="N62" s="30">
        <v>100</v>
      </c>
      <c r="O62" s="41">
        <f t="shared" si="4"/>
        <v>51.70078528458581</v>
      </c>
      <c r="P62" s="30">
        <v>100</v>
      </c>
      <c r="Q62" s="41">
        <f t="shared" si="4"/>
        <v>70.21826667664708</v>
      </c>
      <c r="R62" s="30">
        <v>100</v>
      </c>
      <c r="S62" s="41">
        <f t="shared" si="4"/>
        <v>49.42789608157969</v>
      </c>
      <c r="T62" s="69">
        <f t="shared" si="6"/>
        <v>100</v>
      </c>
      <c r="U62" s="41">
        <f t="shared" si="4"/>
        <v>57.1156493476042</v>
      </c>
    </row>
    <row r="63" spans="2:21" ht="12.75">
      <c r="B63" s="10" t="s">
        <v>126</v>
      </c>
      <c r="D63" s="10" t="s">
        <v>56</v>
      </c>
      <c r="G63" s="69">
        <f t="shared" si="0"/>
        <v>4204.239682482803</v>
      </c>
      <c r="H63" s="61"/>
      <c r="I63" s="69">
        <f t="shared" si="1"/>
        <v>2044.817655968294</v>
      </c>
      <c r="J63" s="62"/>
      <c r="K63" s="69">
        <f t="shared" si="2"/>
        <v>1086.3273864083449</v>
      </c>
      <c r="L63" s="69"/>
      <c r="M63" s="41">
        <f t="shared" si="3"/>
        <v>2445.128241619814</v>
      </c>
      <c r="O63" s="41">
        <f t="shared" si="4"/>
        <v>4204.239682482803</v>
      </c>
      <c r="P63" s="61"/>
      <c r="Q63" s="41">
        <f t="shared" si="4"/>
        <v>2044.817655968294</v>
      </c>
      <c r="R63" s="62"/>
      <c r="S63" s="41">
        <f t="shared" si="4"/>
        <v>1086.3273864083449</v>
      </c>
      <c r="T63" s="69"/>
      <c r="U63" s="41">
        <f t="shared" si="4"/>
        <v>2445.128241619814</v>
      </c>
    </row>
    <row r="64" spans="7:21" ht="12.75">
      <c r="G64" s="61"/>
      <c r="H64" s="61"/>
      <c r="I64" s="62"/>
      <c r="J64" s="62"/>
      <c r="K64" s="62"/>
      <c r="L64" s="69"/>
      <c r="M64" s="33"/>
      <c r="O64" s="62"/>
      <c r="P64" s="61"/>
      <c r="Q64" s="62"/>
      <c r="R64" s="62"/>
      <c r="S64" s="62"/>
      <c r="T64" s="69"/>
      <c r="U64" s="62"/>
    </row>
    <row r="65" spans="2:21" ht="12.75">
      <c r="B65" s="10" t="s">
        <v>57</v>
      </c>
      <c r="D65" s="10" t="s">
        <v>56</v>
      </c>
      <c r="F65" s="20">
        <v>100</v>
      </c>
      <c r="G65" s="69">
        <f>G50+G54</f>
        <v>568.7086381304439</v>
      </c>
      <c r="H65" s="61">
        <v>100</v>
      </c>
      <c r="I65" s="69">
        <f>I50+I54</f>
        <v>772.4009334431178</v>
      </c>
      <c r="J65" s="21">
        <v>100</v>
      </c>
      <c r="K65" s="69">
        <f>K50+K54</f>
        <v>543.7068568973767</v>
      </c>
      <c r="L65" s="69">
        <f t="shared" si="5"/>
        <v>100.00000000000003</v>
      </c>
      <c r="M65" s="41">
        <f>AVERAGE(G65,I65,K65)</f>
        <v>628.272142823646</v>
      </c>
      <c r="N65" s="20">
        <v>100</v>
      </c>
      <c r="O65" s="33">
        <f>G65</f>
        <v>568.7086381304439</v>
      </c>
      <c r="P65" s="61">
        <v>100</v>
      </c>
      <c r="Q65" s="33">
        <f>I65</f>
        <v>772.4009334431178</v>
      </c>
      <c r="R65" s="21">
        <v>100</v>
      </c>
      <c r="S65" s="33">
        <f>K65</f>
        <v>543.7068568973767</v>
      </c>
      <c r="T65" s="69">
        <f t="shared" si="6"/>
        <v>100.00000000000003</v>
      </c>
      <c r="U65" s="33">
        <f>M65</f>
        <v>628.272142823646</v>
      </c>
    </row>
    <row r="66" spans="2:21" ht="12.75">
      <c r="B66" s="10" t="s">
        <v>58</v>
      </c>
      <c r="D66" s="10" t="s">
        <v>56</v>
      </c>
      <c r="F66" s="20">
        <v>100</v>
      </c>
      <c r="G66" s="69">
        <f>G46+G48+G51</f>
        <v>527.8025223008816</v>
      </c>
      <c r="H66" s="69">
        <f>I48/I66*100</f>
        <v>0.6085192697768763</v>
      </c>
      <c r="I66" s="69">
        <f>I46+I48+I51</f>
        <v>1141.2397408215497</v>
      </c>
      <c r="J66" s="21">
        <v>100</v>
      </c>
      <c r="K66" s="69">
        <f>K46+K48+K51</f>
        <v>499.1674340546344</v>
      </c>
      <c r="L66" s="69">
        <f t="shared" si="5"/>
        <v>47.68517645866486</v>
      </c>
      <c r="M66" s="41">
        <f>AVERAGE(G66,I66,K66)</f>
        <v>722.7365657256886</v>
      </c>
      <c r="N66" s="20">
        <v>100</v>
      </c>
      <c r="O66" s="33">
        <f>G66</f>
        <v>527.8025223008816</v>
      </c>
      <c r="P66" s="69">
        <f>Q48/Q66*100</f>
        <v>0.6085192697768763</v>
      </c>
      <c r="Q66" s="33">
        <f>I66</f>
        <v>1141.2397408215497</v>
      </c>
      <c r="R66" s="21">
        <v>100</v>
      </c>
      <c r="S66" s="33">
        <f>K66</f>
        <v>499.1674340546344</v>
      </c>
      <c r="T66" s="69">
        <f t="shared" si="6"/>
        <v>47.68517645866486</v>
      </c>
      <c r="U66" s="33">
        <f>M66</f>
        <v>722.7365657256886</v>
      </c>
    </row>
    <row r="67" spans="6:17" ht="12.75">
      <c r="F67" s="20"/>
      <c r="G67" s="69"/>
      <c r="H67" s="69"/>
      <c r="I67" s="69"/>
      <c r="J67" s="62"/>
      <c r="K67" s="69"/>
      <c r="L67" s="69"/>
      <c r="M67" s="33"/>
      <c r="N67" s="62"/>
      <c r="O67" s="62"/>
      <c r="P67" s="62"/>
      <c r="Q67" s="33"/>
    </row>
    <row r="68" spans="6:17" ht="12.75">
      <c r="F68" s="20"/>
      <c r="G68" s="69"/>
      <c r="H68" s="69"/>
      <c r="I68" s="69"/>
      <c r="J68" s="62"/>
      <c r="K68" s="69"/>
      <c r="L68" s="69"/>
      <c r="M68" s="33"/>
      <c r="N68" s="62"/>
      <c r="O68" s="62"/>
      <c r="P68" s="62"/>
      <c r="Q68" s="33"/>
    </row>
    <row r="69" spans="7:29" ht="12.75">
      <c r="G69" s="30"/>
      <c r="H69" s="30"/>
      <c r="I69" s="30"/>
      <c r="J69" s="30"/>
      <c r="K69" s="30"/>
      <c r="L69" s="30"/>
      <c r="M69" s="30"/>
      <c r="N69" s="62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27" t="s">
        <v>173</v>
      </c>
      <c r="C70" s="10" t="str">
        <f>emiss!C161</f>
        <v>GB agent trial burn w/metals spike</v>
      </c>
      <c r="G70" s="30" t="s">
        <v>204</v>
      </c>
      <c r="H70" s="30"/>
      <c r="I70" s="30" t="s">
        <v>205</v>
      </c>
      <c r="J70" s="30"/>
      <c r="K70" s="30" t="s">
        <v>206</v>
      </c>
      <c r="L70" s="30"/>
      <c r="M70" s="30" t="s">
        <v>47</v>
      </c>
      <c r="N70" s="62"/>
      <c r="O70" s="30" t="s">
        <v>204</v>
      </c>
      <c r="P70" s="30"/>
      <c r="Q70" s="30" t="s">
        <v>205</v>
      </c>
      <c r="R70" s="30"/>
      <c r="S70" s="30" t="s">
        <v>206</v>
      </c>
      <c r="U70" s="30" t="s">
        <v>47</v>
      </c>
      <c r="W70" s="30" t="s">
        <v>204</v>
      </c>
      <c r="X70" s="30"/>
      <c r="Y70" s="30" t="s">
        <v>205</v>
      </c>
      <c r="Z70" s="30"/>
      <c r="AA70" s="30" t="s">
        <v>206</v>
      </c>
      <c r="AC70" s="30" t="s">
        <v>47</v>
      </c>
    </row>
    <row r="71" spans="2:29" ht="12.75">
      <c r="B71" s="27"/>
      <c r="G71" s="30"/>
      <c r="H71" s="30"/>
      <c r="I71" s="30"/>
      <c r="J71" s="30"/>
      <c r="K71" s="30"/>
      <c r="L71" s="30"/>
      <c r="M71" s="30"/>
      <c r="N71" s="62"/>
      <c r="O71" s="30"/>
      <c r="P71" s="30"/>
      <c r="Q71" s="30"/>
      <c r="R71" s="30"/>
      <c r="S71" s="30"/>
      <c r="U71" s="30"/>
      <c r="W71" s="30"/>
      <c r="X71" s="30"/>
      <c r="Y71" s="30"/>
      <c r="Z71" s="30"/>
      <c r="AA71" s="30"/>
      <c r="AC71" s="30"/>
    </row>
    <row r="72" spans="2:29" ht="12.75">
      <c r="B72" s="10" t="s">
        <v>229</v>
      </c>
      <c r="G72" s="30" t="s">
        <v>232</v>
      </c>
      <c r="H72" s="30"/>
      <c r="I72" s="30" t="s">
        <v>232</v>
      </c>
      <c r="J72" s="30"/>
      <c r="K72" s="30" t="s">
        <v>232</v>
      </c>
      <c r="L72" s="30"/>
      <c r="M72" s="30" t="s">
        <v>232</v>
      </c>
      <c r="N72" s="62"/>
      <c r="O72" s="30" t="s">
        <v>233</v>
      </c>
      <c r="P72" s="30"/>
      <c r="Q72" s="30" t="s">
        <v>233</v>
      </c>
      <c r="R72" s="30"/>
      <c r="S72" s="30" t="s">
        <v>233</v>
      </c>
      <c r="U72" s="30" t="s">
        <v>233</v>
      </c>
      <c r="W72" s="30" t="s">
        <v>234</v>
      </c>
      <c r="X72" s="30"/>
      <c r="Y72" s="30" t="s">
        <v>234</v>
      </c>
      <c r="Z72" s="30"/>
      <c r="AA72" s="30" t="s">
        <v>234</v>
      </c>
      <c r="AC72" s="30" t="s">
        <v>234</v>
      </c>
    </row>
    <row r="73" spans="2:29" ht="12.75">
      <c r="B73" s="10" t="s">
        <v>230</v>
      </c>
      <c r="G73" s="28" t="s">
        <v>231</v>
      </c>
      <c r="H73" s="28"/>
      <c r="I73" s="28" t="s">
        <v>231</v>
      </c>
      <c r="K73" s="28" t="s">
        <v>231</v>
      </c>
      <c r="M73" s="28" t="s">
        <v>231</v>
      </c>
      <c r="N73" s="62"/>
      <c r="O73" s="30" t="s">
        <v>55</v>
      </c>
      <c r="P73" s="10"/>
      <c r="Q73" s="30" t="s">
        <v>55</v>
      </c>
      <c r="R73" s="10"/>
      <c r="S73" s="30" t="s">
        <v>55</v>
      </c>
      <c r="T73" s="30"/>
      <c r="U73" s="30" t="s">
        <v>55</v>
      </c>
      <c r="W73" s="30" t="s">
        <v>25</v>
      </c>
      <c r="Y73" s="30" t="s">
        <v>25</v>
      </c>
      <c r="AA73" s="30" t="s">
        <v>25</v>
      </c>
      <c r="AC73" s="30" t="s">
        <v>25</v>
      </c>
    </row>
    <row r="74" spans="2:29" ht="12.75">
      <c r="B74" s="10" t="s">
        <v>235</v>
      </c>
      <c r="G74" s="29" t="s">
        <v>63</v>
      </c>
      <c r="I74" s="29" t="s">
        <v>63</v>
      </c>
      <c r="K74" s="29" t="s">
        <v>63</v>
      </c>
      <c r="M74" s="29" t="s">
        <v>63</v>
      </c>
      <c r="O74" s="30" t="s">
        <v>55</v>
      </c>
      <c r="P74" s="10"/>
      <c r="Q74" s="30" t="s">
        <v>55</v>
      </c>
      <c r="R74" s="10"/>
      <c r="S74" s="30" t="s">
        <v>55</v>
      </c>
      <c r="T74" s="30"/>
      <c r="U74" s="30" t="s">
        <v>55</v>
      </c>
      <c r="W74" s="30" t="s">
        <v>25</v>
      </c>
      <c r="Y74" s="30" t="s">
        <v>25</v>
      </c>
      <c r="AA74" s="30" t="s">
        <v>25</v>
      </c>
      <c r="AC74" s="30" t="s">
        <v>25</v>
      </c>
    </row>
    <row r="75" spans="2:29" ht="12.75">
      <c r="B75" s="50" t="s">
        <v>48</v>
      </c>
      <c r="C75" s="50"/>
      <c r="D75" s="50"/>
      <c r="E75" s="50"/>
      <c r="F75" s="50"/>
      <c r="G75" s="30" t="s">
        <v>156</v>
      </c>
      <c r="H75" s="10"/>
      <c r="I75" s="30" t="s">
        <v>156</v>
      </c>
      <c r="J75" s="10"/>
      <c r="K75" s="30" t="s">
        <v>156</v>
      </c>
      <c r="L75" s="30"/>
      <c r="M75" s="30" t="s">
        <v>156</v>
      </c>
      <c r="N75" s="62"/>
      <c r="O75" s="30" t="s">
        <v>55</v>
      </c>
      <c r="P75" s="10"/>
      <c r="Q75" s="30" t="s">
        <v>55</v>
      </c>
      <c r="R75" s="10"/>
      <c r="S75" s="30" t="s">
        <v>55</v>
      </c>
      <c r="T75" s="30"/>
      <c r="U75" s="30" t="s">
        <v>55</v>
      </c>
      <c r="W75" s="30" t="s">
        <v>25</v>
      </c>
      <c r="Y75" s="30" t="s">
        <v>25</v>
      </c>
      <c r="AA75" s="30" t="s">
        <v>25</v>
      </c>
      <c r="AC75" s="30" t="s">
        <v>25</v>
      </c>
    </row>
    <row r="76" spans="2:17" ht="12.75">
      <c r="B76" s="10" t="s">
        <v>88</v>
      </c>
      <c r="D76" s="10" t="s">
        <v>51</v>
      </c>
      <c r="G76" s="28">
        <f>832+15.28</f>
        <v>847.28</v>
      </c>
      <c r="H76" s="28"/>
      <c r="I76" s="28">
        <f>836.9+15.33</f>
        <v>852.23</v>
      </c>
      <c r="K76" s="28">
        <f>836+15.39</f>
        <v>851.39</v>
      </c>
      <c r="M76" s="41">
        <f aca="true" t="shared" si="7" ref="M76:M98">AVERAGE(G76:K76)</f>
        <v>850.3000000000001</v>
      </c>
      <c r="N76" s="62"/>
      <c r="O76" s="62"/>
      <c r="P76" s="62"/>
      <c r="Q76" s="33"/>
    </row>
    <row r="77" spans="2:17" ht="12.75">
      <c r="B77" s="10" t="s">
        <v>162</v>
      </c>
      <c r="D77" s="10" t="s">
        <v>163</v>
      </c>
      <c r="G77" s="28"/>
      <c r="H77" s="28"/>
      <c r="M77" s="33"/>
      <c r="N77" s="62"/>
      <c r="O77" s="62"/>
      <c r="P77" s="62"/>
      <c r="Q77" s="33"/>
    </row>
    <row r="78" spans="2:27" ht="12.75">
      <c r="B78" s="10" t="s">
        <v>111</v>
      </c>
      <c r="D78" s="10" t="s">
        <v>51</v>
      </c>
      <c r="F78" s="30" t="s">
        <v>100</v>
      </c>
      <c r="G78" s="68">
        <v>0.00987</v>
      </c>
      <c r="H78" s="61" t="s">
        <v>100</v>
      </c>
      <c r="I78" s="68">
        <v>0.00962</v>
      </c>
      <c r="J78" s="61" t="s">
        <v>100</v>
      </c>
      <c r="K78" s="35">
        <v>0.00971</v>
      </c>
      <c r="L78" s="35"/>
      <c r="M78" s="36">
        <f t="shared" si="7"/>
        <v>0.009733333333333333</v>
      </c>
      <c r="N78" s="62"/>
      <c r="O78" s="62"/>
      <c r="P78" s="62"/>
      <c r="Q78" s="33"/>
      <c r="W78" s="35"/>
      <c r="Y78" s="35"/>
      <c r="AA78" s="35"/>
    </row>
    <row r="79" spans="2:27" ht="12.75">
      <c r="B79" s="10" t="s">
        <v>121</v>
      </c>
      <c r="D79" s="10" t="s">
        <v>51</v>
      </c>
      <c r="F79" s="28" t="s">
        <v>100</v>
      </c>
      <c r="G79" s="68">
        <v>0.000391</v>
      </c>
      <c r="H79" s="61" t="s">
        <v>100</v>
      </c>
      <c r="I79" s="35">
        <v>0.000385</v>
      </c>
      <c r="J79" s="62" t="s">
        <v>100</v>
      </c>
      <c r="K79" s="35">
        <v>0.000389</v>
      </c>
      <c r="L79" s="35"/>
      <c r="M79" s="36">
        <f t="shared" si="7"/>
        <v>0.00038833333333333336</v>
      </c>
      <c r="N79" s="62"/>
      <c r="O79" s="62"/>
      <c r="P79" s="62"/>
      <c r="Q79" s="33"/>
      <c r="W79" s="35"/>
      <c r="Y79" s="35"/>
      <c r="AA79" s="35"/>
    </row>
    <row r="80" spans="2:27" ht="12.75">
      <c r="B80" s="10" t="s">
        <v>112</v>
      </c>
      <c r="D80" s="10" t="s">
        <v>51</v>
      </c>
      <c r="G80" s="68">
        <v>0.00367</v>
      </c>
      <c r="H80" s="61"/>
      <c r="I80" s="35">
        <v>0.00352</v>
      </c>
      <c r="J80" s="62"/>
      <c r="K80" s="35">
        <v>0.00378</v>
      </c>
      <c r="L80" s="35"/>
      <c r="M80" s="36">
        <f t="shared" si="7"/>
        <v>0.003656666666666667</v>
      </c>
      <c r="N80" s="62"/>
      <c r="O80" s="62"/>
      <c r="P80" s="62"/>
      <c r="Q80" s="33"/>
      <c r="R80" s="31"/>
      <c r="S80" s="31"/>
      <c r="T80" s="31"/>
      <c r="U80" s="31"/>
      <c r="W80" s="35"/>
      <c r="Y80" s="35"/>
      <c r="AA80" s="35"/>
    </row>
    <row r="81" spans="2:27" ht="12.75">
      <c r="B81" s="10" t="s">
        <v>113</v>
      </c>
      <c r="D81" s="10" t="s">
        <v>51</v>
      </c>
      <c r="F81" s="28" t="s">
        <v>100</v>
      </c>
      <c r="G81" s="68">
        <v>0.0002</v>
      </c>
      <c r="H81" s="61"/>
      <c r="I81" s="26">
        <v>0.000201</v>
      </c>
      <c r="J81" s="19" t="s">
        <v>100</v>
      </c>
      <c r="K81" s="26">
        <v>0.000196</v>
      </c>
      <c r="L81" s="26"/>
      <c r="M81" s="36">
        <f t="shared" si="7"/>
        <v>0.00019899999999999999</v>
      </c>
      <c r="N81" s="62"/>
      <c r="O81" s="62"/>
      <c r="P81" s="62"/>
      <c r="Q81" s="33"/>
      <c r="R81" s="11"/>
      <c r="S81" s="11"/>
      <c r="T81" s="11"/>
      <c r="U81" s="11"/>
      <c r="W81" s="35"/>
      <c r="Y81" s="35"/>
      <c r="AA81" s="35"/>
    </row>
    <row r="82" spans="2:27" ht="12.75">
      <c r="B82" s="10" t="s">
        <v>80</v>
      </c>
      <c r="D82" s="10" t="s">
        <v>51</v>
      </c>
      <c r="F82" s="28" t="s">
        <v>100</v>
      </c>
      <c r="G82" s="68">
        <v>0.0002</v>
      </c>
      <c r="H82" s="61" t="s">
        <v>100</v>
      </c>
      <c r="I82" s="26">
        <v>0.000192</v>
      </c>
      <c r="J82" s="19" t="s">
        <v>100</v>
      </c>
      <c r="K82" s="26">
        <v>0.000196</v>
      </c>
      <c r="L82" s="26"/>
      <c r="M82" s="36">
        <f t="shared" si="7"/>
        <v>0.000196</v>
      </c>
      <c r="N82" s="62"/>
      <c r="O82" s="62"/>
      <c r="P82" s="62"/>
      <c r="Q82" s="33"/>
      <c r="R82" s="11"/>
      <c r="S82" s="11"/>
      <c r="T82" s="11"/>
      <c r="U82" s="11"/>
      <c r="W82" s="35"/>
      <c r="Y82" s="35"/>
      <c r="AA82" s="35"/>
    </row>
    <row r="83" spans="2:27" ht="12.75">
      <c r="B83" s="10" t="s">
        <v>114</v>
      </c>
      <c r="D83" s="10" t="s">
        <v>51</v>
      </c>
      <c r="F83" s="18" t="s">
        <v>100</v>
      </c>
      <c r="G83" s="68">
        <v>0.00987</v>
      </c>
      <c r="H83" s="61" t="s">
        <v>100</v>
      </c>
      <c r="I83" s="26">
        <v>0.00962</v>
      </c>
      <c r="J83" s="19" t="s">
        <v>100</v>
      </c>
      <c r="K83" s="26">
        <v>0.00971</v>
      </c>
      <c r="L83" s="26"/>
      <c r="M83" s="36">
        <f t="shared" si="7"/>
        <v>0.009733333333333333</v>
      </c>
      <c r="N83" s="62"/>
      <c r="O83" s="62"/>
      <c r="P83" s="62"/>
      <c r="Q83" s="33"/>
      <c r="R83" s="11"/>
      <c r="S83" s="11"/>
      <c r="T83" s="11"/>
      <c r="U83" s="11"/>
      <c r="W83" s="35"/>
      <c r="Y83" s="35"/>
      <c r="AA83" s="35"/>
    </row>
    <row r="84" spans="2:27" ht="12.75">
      <c r="B84" s="10" t="s">
        <v>115</v>
      </c>
      <c r="D84" s="10" t="s">
        <v>51</v>
      </c>
      <c r="F84" s="18" t="s">
        <v>100</v>
      </c>
      <c r="G84" s="68">
        <v>0.0002</v>
      </c>
      <c r="H84" s="61" t="s">
        <v>100</v>
      </c>
      <c r="I84" s="26">
        <v>0.000192</v>
      </c>
      <c r="J84" s="19" t="s">
        <v>100</v>
      </c>
      <c r="K84" s="26">
        <v>0.000251</v>
      </c>
      <c r="L84" s="26"/>
      <c r="M84" s="36">
        <f t="shared" si="7"/>
        <v>0.0002143333333333333</v>
      </c>
      <c r="N84" s="62"/>
      <c r="O84" s="62"/>
      <c r="P84" s="62"/>
      <c r="Q84" s="33"/>
      <c r="W84" s="35"/>
      <c r="Y84" s="35"/>
      <c r="AA84" s="35"/>
    </row>
    <row r="85" spans="2:27" ht="12.75">
      <c r="B85" s="10" t="s">
        <v>85</v>
      </c>
      <c r="D85" s="10" t="s">
        <v>51</v>
      </c>
      <c r="G85" s="68">
        <v>0.00138</v>
      </c>
      <c r="H85" s="61"/>
      <c r="I85" s="35">
        <v>0.00217</v>
      </c>
      <c r="J85" s="62"/>
      <c r="K85" s="26">
        <v>0.00074</v>
      </c>
      <c r="L85" s="26"/>
      <c r="M85" s="36">
        <f t="shared" si="7"/>
        <v>0.00143</v>
      </c>
      <c r="N85" s="62"/>
      <c r="O85" s="35">
        <v>0.0512</v>
      </c>
      <c r="P85" s="62"/>
      <c r="Q85" s="35">
        <v>0.0549</v>
      </c>
      <c r="S85" s="35">
        <v>0.0532</v>
      </c>
      <c r="T85" s="35"/>
      <c r="U85" s="35">
        <f>AVERAGE(O85,Q85,S85)</f>
        <v>0.0531</v>
      </c>
      <c r="W85" s="35"/>
      <c r="Y85" s="35"/>
      <c r="AA85" s="35"/>
    </row>
    <row r="86" spans="2:27" ht="12.75">
      <c r="B86" s="10" t="s">
        <v>157</v>
      </c>
      <c r="D86" s="10" t="s">
        <v>51</v>
      </c>
      <c r="F86" s="18" t="s">
        <v>100</v>
      </c>
      <c r="G86" s="68">
        <v>0.0002</v>
      </c>
      <c r="H86" s="61"/>
      <c r="I86" s="68">
        <v>0.00031</v>
      </c>
      <c r="J86" s="61" t="s">
        <v>100</v>
      </c>
      <c r="K86" s="26">
        <v>0.000196</v>
      </c>
      <c r="L86" s="26"/>
      <c r="M86" s="36">
        <f t="shared" si="7"/>
        <v>0.00023533333333333335</v>
      </c>
      <c r="N86" s="62"/>
      <c r="O86" s="35">
        <v>0.0191</v>
      </c>
      <c r="P86" s="62"/>
      <c r="Q86" s="35">
        <v>0.0205</v>
      </c>
      <c r="S86" s="35">
        <v>0.0203</v>
      </c>
      <c r="T86" s="35"/>
      <c r="U86" s="35">
        <f>AVERAGE(O86,Q86,S86)</f>
        <v>0.019966666666666664</v>
      </c>
      <c r="W86" s="35"/>
      <c r="Y86" s="35"/>
      <c r="AA86" s="35"/>
    </row>
    <row r="87" spans="2:27" ht="12.75">
      <c r="B87" s="10" t="s">
        <v>117</v>
      </c>
      <c r="D87" s="10" t="s">
        <v>51</v>
      </c>
      <c r="G87" s="68">
        <v>0.032</v>
      </c>
      <c r="H87" s="61"/>
      <c r="I87" s="68">
        <v>0.0223</v>
      </c>
      <c r="J87" s="61"/>
      <c r="K87" s="26">
        <v>0.0278</v>
      </c>
      <c r="L87" s="26"/>
      <c r="M87" s="36">
        <f t="shared" si="7"/>
        <v>0.027366666666666668</v>
      </c>
      <c r="O87" s="35">
        <v>0.107</v>
      </c>
      <c r="Q87" s="35">
        <v>0.115</v>
      </c>
      <c r="S87" s="35">
        <v>0.115</v>
      </c>
      <c r="T87" s="35"/>
      <c r="U87" s="35">
        <f>AVERAGE(O87,Q87,S87)</f>
        <v>0.11233333333333334</v>
      </c>
      <c r="W87" s="35"/>
      <c r="Y87" s="35"/>
      <c r="AA87" s="35"/>
    </row>
    <row r="88" spans="2:27" ht="12.75">
      <c r="B88" s="10" t="s">
        <v>178</v>
      </c>
      <c r="D88" s="10" t="s">
        <v>51</v>
      </c>
      <c r="G88" s="68">
        <v>0.099</v>
      </c>
      <c r="H88" s="61"/>
      <c r="I88" s="61">
        <v>0.267</v>
      </c>
      <c r="J88" s="61"/>
      <c r="K88" s="19">
        <v>0.115</v>
      </c>
      <c r="L88" s="19"/>
      <c r="M88" s="36">
        <f t="shared" si="7"/>
        <v>0.16033333333333333</v>
      </c>
      <c r="O88" s="35"/>
      <c r="W88" s="35"/>
      <c r="Y88" s="35"/>
      <c r="AA88" s="35"/>
    </row>
    <row r="89" spans="2:27" ht="12.75">
      <c r="B89" s="10" t="s">
        <v>79</v>
      </c>
      <c r="D89" s="10" t="s">
        <v>51</v>
      </c>
      <c r="G89" s="68">
        <v>0.00789</v>
      </c>
      <c r="H89" s="61"/>
      <c r="I89" s="68">
        <v>0.00886</v>
      </c>
      <c r="J89" s="61"/>
      <c r="K89" s="26">
        <v>0.0181</v>
      </c>
      <c r="L89" s="26"/>
      <c r="M89" s="36">
        <f t="shared" si="7"/>
        <v>0.01161666666666667</v>
      </c>
      <c r="O89" s="35">
        <v>0.74</v>
      </c>
      <c r="Q89" s="35">
        <v>0.793</v>
      </c>
      <c r="S89" s="35">
        <v>0.786</v>
      </c>
      <c r="T89" s="35"/>
      <c r="U89" s="35">
        <f>AVERAGE(O89,Q89,S89)</f>
        <v>0.773</v>
      </c>
      <c r="W89" s="35"/>
      <c r="Y89" s="35"/>
      <c r="AA89" s="35"/>
    </row>
    <row r="90" spans="2:27" ht="12.75">
      <c r="B90" s="10" t="s">
        <v>118</v>
      </c>
      <c r="D90" s="10" t="s">
        <v>51</v>
      </c>
      <c r="G90" s="68">
        <v>0.000865</v>
      </c>
      <c r="H90" s="61"/>
      <c r="I90" s="68">
        <v>0.00173</v>
      </c>
      <c r="J90" s="61"/>
      <c r="K90" s="26">
        <v>0.000911</v>
      </c>
      <c r="L90" s="26"/>
      <c r="M90" s="36">
        <f t="shared" si="7"/>
        <v>0.0011686666666666666</v>
      </c>
      <c r="O90" s="35">
        <v>0.114</v>
      </c>
      <c r="Q90" s="35">
        <v>0.122</v>
      </c>
      <c r="S90" s="35">
        <v>0.121</v>
      </c>
      <c r="T90" s="35"/>
      <c r="U90" s="35">
        <f>AVERAGE(O90,Q90,S90)</f>
        <v>0.119</v>
      </c>
      <c r="W90" s="35"/>
      <c r="Y90" s="35"/>
      <c r="AA90" s="35"/>
    </row>
    <row r="91" spans="2:27" ht="12.75">
      <c r="B91" s="10" t="s">
        <v>81</v>
      </c>
      <c r="D91" s="10" t="s">
        <v>51</v>
      </c>
      <c r="F91" s="28" t="s">
        <v>100</v>
      </c>
      <c r="G91" s="68">
        <v>1.66E-05</v>
      </c>
      <c r="H91" s="61" t="s">
        <v>100</v>
      </c>
      <c r="I91" s="60">
        <v>1.67E-05</v>
      </c>
      <c r="J91" s="25" t="s">
        <v>100</v>
      </c>
      <c r="K91" s="26">
        <v>1.67E-05</v>
      </c>
      <c r="L91" s="26"/>
      <c r="M91" s="36">
        <f t="shared" si="7"/>
        <v>1.6666666666666664E-05</v>
      </c>
      <c r="W91" s="35"/>
      <c r="Y91" s="35"/>
      <c r="AA91" s="35"/>
    </row>
    <row r="92" spans="2:27" ht="12.75">
      <c r="B92" s="10" t="s">
        <v>119</v>
      </c>
      <c r="D92" s="10" t="s">
        <v>51</v>
      </c>
      <c r="G92" s="68">
        <v>0.0513</v>
      </c>
      <c r="H92" s="61"/>
      <c r="I92" s="60">
        <v>0.0502</v>
      </c>
      <c r="J92" s="62"/>
      <c r="K92" s="26">
        <v>0.0544</v>
      </c>
      <c r="L92" s="26"/>
      <c r="M92" s="36">
        <f t="shared" si="7"/>
        <v>0.05196666666666667</v>
      </c>
      <c r="O92" s="35">
        <v>0.387</v>
      </c>
      <c r="Q92" s="32">
        <v>0.414</v>
      </c>
      <c r="R92" s="31"/>
      <c r="S92" s="35">
        <v>0.409</v>
      </c>
      <c r="T92" s="35"/>
      <c r="U92" s="35">
        <f>AVERAGE(O92,Q92,S92)</f>
        <v>0.4033333333333333</v>
      </c>
      <c r="W92" s="35"/>
      <c r="Y92" s="35"/>
      <c r="AA92" s="35"/>
    </row>
    <row r="93" spans="2:27" ht="12.75">
      <c r="B93" s="10" t="s">
        <v>122</v>
      </c>
      <c r="D93" s="10" t="s">
        <v>51</v>
      </c>
      <c r="F93" s="61" t="s">
        <v>100</v>
      </c>
      <c r="G93" s="68">
        <v>0.000591</v>
      </c>
      <c r="H93" s="61" t="s">
        <v>100</v>
      </c>
      <c r="I93" s="60">
        <v>0.000577</v>
      </c>
      <c r="J93" s="25" t="s">
        <v>100</v>
      </c>
      <c r="K93" s="26">
        <v>0.000581</v>
      </c>
      <c r="L93" s="26"/>
      <c r="M93" s="36">
        <f t="shared" si="7"/>
        <v>0.0005830000000000001</v>
      </c>
      <c r="Q93" s="31"/>
      <c r="R93" s="31"/>
      <c r="W93" s="35"/>
      <c r="Y93" s="35"/>
      <c r="AA93" s="35"/>
    </row>
    <row r="94" spans="2:27" ht="12.75">
      <c r="B94" s="10" t="s">
        <v>110</v>
      </c>
      <c r="D94" s="10" t="s">
        <v>51</v>
      </c>
      <c r="F94" s="61" t="s">
        <v>100</v>
      </c>
      <c r="G94" s="68">
        <v>0.00197</v>
      </c>
      <c r="H94" s="61" t="s">
        <v>100</v>
      </c>
      <c r="I94" s="60">
        <v>0.000192</v>
      </c>
      <c r="J94" s="25" t="s">
        <v>100</v>
      </c>
      <c r="K94" s="26">
        <v>0.000196</v>
      </c>
      <c r="L94" s="26"/>
      <c r="M94" s="36">
        <f t="shared" si="7"/>
        <v>0.0007859999999999999</v>
      </c>
      <c r="Q94" s="31"/>
      <c r="R94" s="31"/>
      <c r="W94" s="35"/>
      <c r="Y94" s="35"/>
      <c r="AA94" s="35"/>
    </row>
    <row r="95" spans="2:27" ht="12.75">
      <c r="B95" s="10" t="s">
        <v>124</v>
      </c>
      <c r="C95" s="45"/>
      <c r="D95" s="10" t="s">
        <v>51</v>
      </c>
      <c r="F95" s="61" t="s">
        <v>100</v>
      </c>
      <c r="G95" s="68">
        <v>0.0002</v>
      </c>
      <c r="H95" s="61" t="s">
        <v>100</v>
      </c>
      <c r="I95" s="60">
        <v>0.000192</v>
      </c>
      <c r="J95" s="25" t="s">
        <v>100</v>
      </c>
      <c r="K95" s="26">
        <v>0.000196</v>
      </c>
      <c r="L95" s="26"/>
      <c r="M95" s="36">
        <f t="shared" si="7"/>
        <v>0.000196</v>
      </c>
      <c r="Q95" s="31"/>
      <c r="R95" s="31"/>
      <c r="W95" s="35"/>
      <c r="Y95" s="35"/>
      <c r="AA95" s="35"/>
    </row>
    <row r="96" spans="2:27" ht="12.75">
      <c r="B96" s="10" t="s">
        <v>123</v>
      </c>
      <c r="D96" s="10" t="s">
        <v>51</v>
      </c>
      <c r="F96" s="25" t="s">
        <v>100</v>
      </c>
      <c r="G96" s="68">
        <v>0.00197</v>
      </c>
      <c r="H96" s="61" t="s">
        <v>100</v>
      </c>
      <c r="I96" s="60">
        <v>0.00192</v>
      </c>
      <c r="J96" s="25" t="s">
        <v>100</v>
      </c>
      <c r="K96" s="26">
        <v>0.00194</v>
      </c>
      <c r="L96" s="26"/>
      <c r="M96" s="36">
        <f t="shared" si="7"/>
        <v>0.0019433333333333334</v>
      </c>
      <c r="Q96" s="31"/>
      <c r="R96" s="31"/>
      <c r="W96" s="35"/>
      <c r="Y96" s="35"/>
      <c r="AA96" s="35"/>
    </row>
    <row r="97" spans="2:27" ht="12.75">
      <c r="B97" s="10" t="s">
        <v>125</v>
      </c>
      <c r="D97" s="10" t="s">
        <v>51</v>
      </c>
      <c r="F97" s="25" t="s">
        <v>100</v>
      </c>
      <c r="G97" s="68">
        <v>0.00197</v>
      </c>
      <c r="H97" s="61" t="s">
        <v>100</v>
      </c>
      <c r="I97" s="60">
        <v>0.00192</v>
      </c>
      <c r="J97" s="61" t="s">
        <v>100</v>
      </c>
      <c r="K97" s="26">
        <v>0.00194</v>
      </c>
      <c r="L97" s="26"/>
      <c r="M97" s="36">
        <f t="shared" si="7"/>
        <v>0.0019433333333333334</v>
      </c>
      <c r="Q97" s="31"/>
      <c r="R97" s="31"/>
      <c r="W97" s="35"/>
      <c r="Y97" s="35"/>
      <c r="AA97" s="35"/>
    </row>
    <row r="98" spans="2:27" ht="12.75">
      <c r="B98" s="10" t="s">
        <v>126</v>
      </c>
      <c r="D98" s="10" t="s">
        <v>51</v>
      </c>
      <c r="G98" s="68">
        <v>0.0947</v>
      </c>
      <c r="H98" s="61"/>
      <c r="I98" s="25">
        <v>0.2</v>
      </c>
      <c r="J98" s="62"/>
      <c r="K98" s="26">
        <v>0.0167</v>
      </c>
      <c r="L98" s="26"/>
      <c r="M98" s="36">
        <f t="shared" si="7"/>
        <v>0.1038</v>
      </c>
      <c r="O98" s="35">
        <v>0.174</v>
      </c>
      <c r="Q98" s="32">
        <v>0.187</v>
      </c>
      <c r="R98" s="31"/>
      <c r="S98" s="35">
        <v>0.185</v>
      </c>
      <c r="T98" s="35"/>
      <c r="U98" s="35">
        <f>AVERAGE(O98,Q98,S98)</f>
        <v>0.18200000000000002</v>
      </c>
      <c r="W98" s="35"/>
      <c r="Y98" s="35"/>
      <c r="AA98" s="35"/>
    </row>
    <row r="99" spans="7:18" ht="12.75">
      <c r="G99" s="11"/>
      <c r="H99" s="11"/>
      <c r="Q99" s="31"/>
      <c r="R99" s="31"/>
    </row>
    <row r="100" spans="2:19" ht="12.75">
      <c r="B100" s="10" t="s">
        <v>164</v>
      </c>
      <c r="D100" s="10" t="s">
        <v>17</v>
      </c>
      <c r="F100" s="30"/>
      <c r="G100" s="11">
        <v>4056</v>
      </c>
      <c r="H100" s="11"/>
      <c r="I100" s="28">
        <v>4233</v>
      </c>
      <c r="K100" s="28">
        <v>3893</v>
      </c>
      <c r="M100" s="41"/>
      <c r="O100" s="41">
        <f>AVERAGE(I100,K100,N100)</f>
        <v>4063</v>
      </c>
      <c r="Q100" s="11">
        <v>4056</v>
      </c>
      <c r="R100" s="11"/>
      <c r="S100" s="28">
        <v>4233</v>
      </c>
    </row>
    <row r="101" spans="2:21" ht="12.75">
      <c r="B101" s="10" t="s">
        <v>165</v>
      </c>
      <c r="D101" s="10" t="s">
        <v>18</v>
      </c>
      <c r="F101" s="30"/>
      <c r="G101" s="11">
        <v>8.9</v>
      </c>
      <c r="H101" s="11"/>
      <c r="I101" s="28">
        <v>9</v>
      </c>
      <c r="K101" s="28">
        <v>9</v>
      </c>
      <c r="M101" s="31"/>
      <c r="O101" s="31">
        <f>AVERAGE(I101,K101,N101)</f>
        <v>9</v>
      </c>
      <c r="Q101" s="11">
        <v>8.9</v>
      </c>
      <c r="R101" s="11"/>
      <c r="S101" s="31">
        <v>9</v>
      </c>
      <c r="T101" s="31"/>
      <c r="U101" s="31"/>
    </row>
    <row r="102" spans="6:18" ht="12.75">
      <c r="F102" s="30"/>
      <c r="G102" s="11"/>
      <c r="H102" s="11"/>
      <c r="M102" s="31"/>
      <c r="Q102" s="31"/>
      <c r="R102" s="31"/>
    </row>
    <row r="103" spans="2:18" ht="12.75">
      <c r="B103" s="45" t="s">
        <v>166</v>
      </c>
      <c r="G103" s="11"/>
      <c r="H103" s="11"/>
      <c r="M103" s="31"/>
      <c r="Q103" s="31"/>
      <c r="R103" s="31"/>
    </row>
    <row r="104" spans="2:29" ht="12.75">
      <c r="B104" s="10" t="s">
        <v>111</v>
      </c>
      <c r="D104" s="10" t="s">
        <v>56</v>
      </c>
      <c r="E104" s="10" t="s">
        <v>15</v>
      </c>
      <c r="F104" s="30">
        <v>100</v>
      </c>
      <c r="G104" s="31">
        <f>(G78/60)*(453.6*1000000)/(G$100*0.0283)*(21-7)/(21-G$101)</f>
        <v>752.1374817329748</v>
      </c>
      <c r="H104" s="30">
        <v>100</v>
      </c>
      <c r="I104" s="31">
        <f aca="true" t="shared" si="8" ref="I104:I124">(I78/60)*(453.6*1000000)/(I$100*0.0283)*(21-7)/(21-I$101)</f>
        <v>708.2864820328917</v>
      </c>
      <c r="J104" s="30">
        <v>100</v>
      </c>
      <c r="K104" s="31">
        <f aca="true" t="shared" si="9" ref="K104:K124">(K78/60)*(453.6*1000000)/(K$100*0.0283)*(21-7)/(21-K$101)</f>
        <v>777.3506674569468</v>
      </c>
      <c r="L104" s="69">
        <f aca="true" t="shared" si="10" ref="L104:L127">SUM((K104*J104/100),(I104*H104/100),(G104*F104/100))/M104/3*100</f>
        <v>100</v>
      </c>
      <c r="M104" s="41">
        <f aca="true" t="shared" si="11" ref="M104:M124">AVERAGE(G104,I104,K104)</f>
        <v>745.9248770742711</v>
      </c>
      <c r="N104" s="30"/>
      <c r="O104" s="31"/>
      <c r="P104" s="61"/>
      <c r="Q104" s="31"/>
      <c r="R104" s="61"/>
      <c r="S104" s="31"/>
      <c r="T104" s="31"/>
      <c r="U104" s="41"/>
      <c r="V104" s="28">
        <f>(G104*F104/100)/W104*100</f>
        <v>100</v>
      </c>
      <c r="W104" s="31">
        <f aca="true" t="shared" si="12" ref="W104:W127">G104+O104</f>
        <v>752.1374817329748</v>
      </c>
      <c r="X104" s="28">
        <f>(I104*H104/100)/Y104*100</f>
        <v>100.00000000000003</v>
      </c>
      <c r="Y104" s="31">
        <f aca="true" t="shared" si="13" ref="Y104:Y127">I104+Q104</f>
        <v>708.2864820328917</v>
      </c>
      <c r="Z104" s="28">
        <f>(K104*J104/100)/AA104*100</f>
        <v>100</v>
      </c>
      <c r="AA104" s="31">
        <f aca="true" t="shared" si="14" ref="AA104:AA127">K104+S104</f>
        <v>777.3506674569468</v>
      </c>
      <c r="AB104" s="69">
        <f aca="true" t="shared" si="15" ref="AB104:AB127">SUM((AA104*Z104/100),(Y104*X104/100),(W104*V104/100))/AC104/3*100</f>
        <v>100.00000000000003</v>
      </c>
      <c r="AC104" s="35">
        <f>AVERAGE(AA104,Y104,W104)</f>
        <v>745.9248770742711</v>
      </c>
    </row>
    <row r="105" spans="2:29" ht="12.75">
      <c r="B105" s="10" t="s">
        <v>121</v>
      </c>
      <c r="D105" s="10" t="s">
        <v>56</v>
      </c>
      <c r="E105" s="10" t="s">
        <v>15</v>
      </c>
      <c r="F105" s="30">
        <v>100</v>
      </c>
      <c r="G105" s="31">
        <f aca="true" t="shared" si="16" ref="G105:G124">(G79/60)*(453.6*1000000)/(G$100*0.0283)*(21-7)/(21-G$101)</f>
        <v>29.795922528631518</v>
      </c>
      <c r="H105" s="30">
        <v>100</v>
      </c>
      <c r="I105" s="31">
        <f t="shared" si="8"/>
        <v>28.346184572002414</v>
      </c>
      <c r="J105" s="30">
        <v>100</v>
      </c>
      <c r="K105" s="31">
        <f t="shared" si="9"/>
        <v>31.142060725103224</v>
      </c>
      <c r="L105" s="69">
        <f t="shared" si="10"/>
        <v>100</v>
      </c>
      <c r="M105" s="41">
        <f t="shared" si="11"/>
        <v>29.76138927524572</v>
      </c>
      <c r="O105" s="31"/>
      <c r="P105" s="61"/>
      <c r="Q105" s="31"/>
      <c r="R105" s="62"/>
      <c r="S105" s="31"/>
      <c r="T105" s="31"/>
      <c r="U105" s="31"/>
      <c r="V105" s="28">
        <f>(G105*F105/100)/W105*100</f>
        <v>100</v>
      </c>
      <c r="W105" s="31">
        <f t="shared" si="12"/>
        <v>29.795922528631518</v>
      </c>
      <c r="X105" s="28">
        <f>(I105*H105/100)/Y105*100</f>
        <v>99.99999999999999</v>
      </c>
      <c r="Y105" s="31">
        <f t="shared" si="13"/>
        <v>28.346184572002414</v>
      </c>
      <c r="Z105" s="28">
        <f>(K105*J105/100)/AA105*100</f>
        <v>100</v>
      </c>
      <c r="AA105" s="31">
        <f t="shared" si="14"/>
        <v>31.142060725103224</v>
      </c>
      <c r="AB105" s="69">
        <f t="shared" si="15"/>
        <v>100</v>
      </c>
      <c r="AC105" s="35">
        <f aca="true" t="shared" si="17" ref="AC105:AC127">AVERAGE(AA105,Y105,W105)</f>
        <v>29.76138927524572</v>
      </c>
    </row>
    <row r="106" spans="2:29" ht="12.75">
      <c r="B106" s="10" t="s">
        <v>112</v>
      </c>
      <c r="D106" s="10" t="s">
        <v>56</v>
      </c>
      <c r="E106" s="10" t="s">
        <v>15</v>
      </c>
      <c r="G106" s="31">
        <f t="shared" si="16"/>
        <v>279.6701679797383</v>
      </c>
      <c r="H106" s="28"/>
      <c r="I106" s="31">
        <f t="shared" si="8"/>
        <v>259.1651160868792</v>
      </c>
      <c r="K106" s="31">
        <f t="shared" si="9"/>
        <v>302.6143689997178</v>
      </c>
      <c r="L106" s="69"/>
      <c r="M106" s="41">
        <f t="shared" si="11"/>
        <v>280.48321768877844</v>
      </c>
      <c r="O106" s="31"/>
      <c r="P106" s="61"/>
      <c r="Q106" s="31"/>
      <c r="R106" s="62"/>
      <c r="S106" s="31"/>
      <c r="T106" s="31"/>
      <c r="U106" s="41"/>
      <c r="W106" s="31">
        <f t="shared" si="12"/>
        <v>279.6701679797383</v>
      </c>
      <c r="Y106" s="31">
        <f t="shared" si="13"/>
        <v>259.1651160868792</v>
      </c>
      <c r="AA106" s="31">
        <f t="shared" si="14"/>
        <v>302.6143689997178</v>
      </c>
      <c r="AB106" s="69"/>
      <c r="AC106" s="35">
        <f t="shared" si="17"/>
        <v>280.48321768877844</v>
      </c>
    </row>
    <row r="107" spans="2:29" ht="12.75">
      <c r="B107" s="10" t="s">
        <v>113</v>
      </c>
      <c r="D107" s="10" t="s">
        <v>56</v>
      </c>
      <c r="E107" s="10" t="s">
        <v>15</v>
      </c>
      <c r="F107" s="30">
        <v>100</v>
      </c>
      <c r="G107" s="31">
        <f t="shared" si="16"/>
        <v>15.240881088814076</v>
      </c>
      <c r="H107" s="30">
        <v>100</v>
      </c>
      <c r="I107" s="31">
        <f t="shared" si="8"/>
        <v>14.798917140188273</v>
      </c>
      <c r="J107" s="30">
        <v>100</v>
      </c>
      <c r="K107" s="31">
        <f t="shared" si="9"/>
        <v>15.691115429614994</v>
      </c>
      <c r="L107" s="69">
        <f t="shared" si="10"/>
        <v>100</v>
      </c>
      <c r="M107" s="41">
        <f t="shared" si="11"/>
        <v>15.243637886205782</v>
      </c>
      <c r="O107" s="31"/>
      <c r="P107" s="61"/>
      <c r="Q107" s="31"/>
      <c r="R107" s="19"/>
      <c r="S107" s="31"/>
      <c r="T107" s="31"/>
      <c r="U107" s="31"/>
      <c r="V107" s="28">
        <f>(G107*F107/100)/W107*100</f>
        <v>100</v>
      </c>
      <c r="W107" s="31">
        <f t="shared" si="12"/>
        <v>15.240881088814076</v>
      </c>
      <c r="X107" s="28">
        <f>(I107*H107/100)/Y107*100</f>
        <v>100</v>
      </c>
      <c r="Y107" s="31">
        <f t="shared" si="13"/>
        <v>14.798917140188273</v>
      </c>
      <c r="Z107" s="28">
        <f>(K107*J107/100)/AA107*100</f>
        <v>100</v>
      </c>
      <c r="AA107" s="31">
        <f t="shared" si="14"/>
        <v>15.691115429614994</v>
      </c>
      <c r="AB107" s="69">
        <f t="shared" si="15"/>
        <v>100</v>
      </c>
      <c r="AC107" s="35">
        <f t="shared" si="17"/>
        <v>15.243637886205782</v>
      </c>
    </row>
    <row r="108" spans="2:29" ht="12.75">
      <c r="B108" s="10" t="s">
        <v>80</v>
      </c>
      <c r="D108" s="10" t="s">
        <v>56</v>
      </c>
      <c r="E108" s="10" t="s">
        <v>15</v>
      </c>
      <c r="F108" s="30">
        <v>100</v>
      </c>
      <c r="G108" s="31">
        <f t="shared" si="16"/>
        <v>15.240881088814076</v>
      </c>
      <c r="H108" s="30">
        <v>100</v>
      </c>
      <c r="I108" s="31">
        <f t="shared" si="8"/>
        <v>14.136279059284325</v>
      </c>
      <c r="J108" s="30">
        <v>100</v>
      </c>
      <c r="K108" s="31">
        <f t="shared" si="9"/>
        <v>15.691115429614994</v>
      </c>
      <c r="L108" s="69">
        <f t="shared" si="10"/>
        <v>100</v>
      </c>
      <c r="M108" s="41">
        <f t="shared" si="11"/>
        <v>15.022758525904464</v>
      </c>
      <c r="O108" s="31"/>
      <c r="P108" s="61"/>
      <c r="Q108" s="31"/>
      <c r="R108" s="19"/>
      <c r="S108" s="31"/>
      <c r="T108" s="31"/>
      <c r="U108" s="31"/>
      <c r="V108" s="28">
        <f>(G108*F108/100)/W108*100</f>
        <v>100</v>
      </c>
      <c r="W108" s="31">
        <f t="shared" si="12"/>
        <v>15.240881088814076</v>
      </c>
      <c r="X108" s="28">
        <f>(I108*H108/100)/Y108*100</f>
        <v>100</v>
      </c>
      <c r="Y108" s="31">
        <f t="shared" si="13"/>
        <v>14.136279059284325</v>
      </c>
      <c r="Z108" s="28">
        <f>(K108*J108/100)/AA108*100</f>
        <v>100</v>
      </c>
      <c r="AA108" s="31">
        <f t="shared" si="14"/>
        <v>15.691115429614994</v>
      </c>
      <c r="AB108" s="69">
        <f t="shared" si="15"/>
        <v>100</v>
      </c>
      <c r="AC108" s="35">
        <f t="shared" si="17"/>
        <v>15.022758525904464</v>
      </c>
    </row>
    <row r="109" spans="2:29" ht="12.75">
      <c r="B109" s="10" t="s">
        <v>114</v>
      </c>
      <c r="D109" s="10" t="s">
        <v>56</v>
      </c>
      <c r="E109" s="10" t="s">
        <v>15</v>
      </c>
      <c r="F109" s="30">
        <v>100</v>
      </c>
      <c r="G109" s="31">
        <f t="shared" si="16"/>
        <v>752.1374817329748</v>
      </c>
      <c r="H109" s="30">
        <v>100</v>
      </c>
      <c r="I109" s="31">
        <f t="shared" si="8"/>
        <v>708.2864820328917</v>
      </c>
      <c r="J109" s="30">
        <v>100</v>
      </c>
      <c r="K109" s="31">
        <f t="shared" si="9"/>
        <v>777.3506674569468</v>
      </c>
      <c r="L109" s="69">
        <f t="shared" si="10"/>
        <v>100</v>
      </c>
      <c r="M109" s="41">
        <f t="shared" si="11"/>
        <v>745.9248770742711</v>
      </c>
      <c r="N109" s="18"/>
      <c r="O109" s="31"/>
      <c r="P109" s="61"/>
      <c r="Q109" s="31"/>
      <c r="R109" s="19"/>
      <c r="S109" s="31"/>
      <c r="T109" s="31"/>
      <c r="U109" s="41"/>
      <c r="V109" s="28">
        <f>(G109*F109/100)/W109*100</f>
        <v>100</v>
      </c>
      <c r="W109" s="31">
        <f t="shared" si="12"/>
        <v>752.1374817329748</v>
      </c>
      <c r="X109" s="28">
        <f>(I109*H109/100)/Y109*100</f>
        <v>100.00000000000003</v>
      </c>
      <c r="Y109" s="31">
        <f t="shared" si="13"/>
        <v>708.2864820328917</v>
      </c>
      <c r="Z109" s="28">
        <f>(K109*J109/100)/AA109*100</f>
        <v>100</v>
      </c>
      <c r="AA109" s="31">
        <f t="shared" si="14"/>
        <v>777.3506674569468</v>
      </c>
      <c r="AB109" s="69">
        <f t="shared" si="15"/>
        <v>100.00000000000003</v>
      </c>
      <c r="AC109" s="35">
        <f t="shared" si="17"/>
        <v>745.9248770742711</v>
      </c>
    </row>
    <row r="110" spans="2:29" ht="12.75">
      <c r="B110" s="10" t="s">
        <v>115</v>
      </c>
      <c r="D110" s="10" t="s">
        <v>56</v>
      </c>
      <c r="E110" s="10" t="s">
        <v>15</v>
      </c>
      <c r="F110" s="30">
        <v>100</v>
      </c>
      <c r="G110" s="31">
        <f t="shared" si="16"/>
        <v>15.240881088814076</v>
      </c>
      <c r="H110" s="30">
        <v>100</v>
      </c>
      <c r="I110" s="31">
        <f t="shared" si="8"/>
        <v>14.136279059284325</v>
      </c>
      <c r="J110" s="30">
        <v>100</v>
      </c>
      <c r="K110" s="31">
        <f t="shared" si="9"/>
        <v>20.09423455527226</v>
      </c>
      <c r="L110" s="69">
        <f t="shared" si="10"/>
        <v>100</v>
      </c>
      <c r="M110" s="41">
        <f t="shared" si="11"/>
        <v>16.490464901123556</v>
      </c>
      <c r="N110" s="18"/>
      <c r="O110" s="31"/>
      <c r="P110" s="61"/>
      <c r="Q110" s="31"/>
      <c r="R110" s="19"/>
      <c r="S110" s="31"/>
      <c r="T110" s="31"/>
      <c r="U110" s="31"/>
      <c r="V110" s="28">
        <f>(G110*F110/100)/W110*100</f>
        <v>100</v>
      </c>
      <c r="W110" s="31">
        <f t="shared" si="12"/>
        <v>15.240881088814076</v>
      </c>
      <c r="X110" s="28">
        <f>(I110*H110/100)/Y110*100</f>
        <v>100</v>
      </c>
      <c r="Y110" s="31">
        <f t="shared" si="13"/>
        <v>14.136279059284325</v>
      </c>
      <c r="Z110" s="28">
        <f>(K110*J110/100)/AA110*100</f>
        <v>100</v>
      </c>
      <c r="AA110" s="31">
        <f t="shared" si="14"/>
        <v>20.09423455527226</v>
      </c>
      <c r="AB110" s="69">
        <f t="shared" si="15"/>
        <v>100</v>
      </c>
      <c r="AC110" s="35">
        <f t="shared" si="17"/>
        <v>16.490464901123556</v>
      </c>
    </row>
    <row r="111" spans="2:29" ht="12.75">
      <c r="B111" s="10" t="s">
        <v>85</v>
      </c>
      <c r="D111" s="10" t="s">
        <v>56</v>
      </c>
      <c r="E111" s="10" t="s">
        <v>15</v>
      </c>
      <c r="G111" s="31">
        <f t="shared" si="16"/>
        <v>105.16207951281713</v>
      </c>
      <c r="H111" s="28"/>
      <c r="I111" s="31">
        <f t="shared" si="8"/>
        <v>159.76940395128636</v>
      </c>
      <c r="K111" s="31">
        <f t="shared" si="9"/>
        <v>59.24196641793416</v>
      </c>
      <c r="L111" s="69"/>
      <c r="M111" s="41">
        <f t="shared" si="11"/>
        <v>108.0578166273459</v>
      </c>
      <c r="O111" s="31">
        <f>(O85/60)*(453.6*1000000)/(O$100*0.0283)*(21-7)/(21-O$101)</f>
        <v>3927.4013788137195</v>
      </c>
      <c r="P111" s="61"/>
      <c r="Q111" s="31">
        <f>(Q85/60)*(453.6*1000000)/(Q$100*0.0283)*(21-7)/(21-Q$101)</f>
        <v>4183.621858879464</v>
      </c>
      <c r="R111" s="62"/>
      <c r="S111" s="31">
        <f>(S85/60)*(453.6*1000000)/(S$100*0.0283)*(21-7)/(21-S$101)</f>
        <v>3916.927322676697</v>
      </c>
      <c r="T111" s="31"/>
      <c r="U111" s="41">
        <f>AVERAGE(O111,Q111,S111)</f>
        <v>4009.3168534566266</v>
      </c>
      <c r="W111" s="31">
        <f t="shared" si="12"/>
        <v>4032.5634583265364</v>
      </c>
      <c r="Y111" s="31">
        <f t="shared" si="13"/>
        <v>4343.39126283075</v>
      </c>
      <c r="AA111" s="31">
        <f t="shared" si="14"/>
        <v>3976.169289094631</v>
      </c>
      <c r="AB111" s="69"/>
      <c r="AC111" s="35">
        <f t="shared" si="17"/>
        <v>4117.374670083972</v>
      </c>
    </row>
    <row r="112" spans="2:29" ht="12.75">
      <c r="B112" s="10" t="s">
        <v>157</v>
      </c>
      <c r="D112" s="10" t="s">
        <v>56</v>
      </c>
      <c r="E112" s="10" t="s">
        <v>15</v>
      </c>
      <c r="F112" s="30">
        <v>100</v>
      </c>
      <c r="G112" s="31">
        <f t="shared" si="16"/>
        <v>15.240881088814076</v>
      </c>
      <c r="H112" s="30">
        <v>100</v>
      </c>
      <c r="I112" s="31">
        <f t="shared" si="8"/>
        <v>22.82420056446948</v>
      </c>
      <c r="J112" s="30">
        <v>100</v>
      </c>
      <c r="K112" s="31">
        <f t="shared" si="9"/>
        <v>15.691115429614994</v>
      </c>
      <c r="L112" s="69">
        <f t="shared" si="10"/>
        <v>100</v>
      </c>
      <c r="M112" s="41">
        <f t="shared" si="11"/>
        <v>17.918732360966185</v>
      </c>
      <c r="N112" s="18"/>
      <c r="O112" s="31">
        <f>(O86/60)*(453.6*1000000)/(O$100*0.0283)*(21-7)/(21-O$101)</f>
        <v>1465.104811237149</v>
      </c>
      <c r="P112" s="61"/>
      <c r="Q112" s="31">
        <f>(Q86/60)*(453.6*1000000)/(Q$100*0.0283)*(21-7)/(21-Q$101)</f>
        <v>1562.1903116034428</v>
      </c>
      <c r="R112" s="61"/>
      <c r="S112" s="31">
        <f>(S86/60)*(453.6*1000000)/(S$100*0.0283)*(21-7)/(21-S$101)</f>
        <v>1494.617004705582</v>
      </c>
      <c r="T112" s="31"/>
      <c r="U112" s="41">
        <f aca="true" t="shared" si="18" ref="U112:U127">AVERAGE(O112,Q112,S112)</f>
        <v>1507.3040425153913</v>
      </c>
      <c r="V112" s="28">
        <f>(G112*F112/100)/W112*100</f>
        <v>1.0295487849778622</v>
      </c>
      <c r="W112" s="31">
        <f t="shared" si="12"/>
        <v>1480.3456923259632</v>
      </c>
      <c r="X112" s="28">
        <f>(I112*H112/100)/Y112*100</f>
        <v>1.4399994693582683</v>
      </c>
      <c r="Y112" s="31">
        <f t="shared" si="13"/>
        <v>1585.0145121679122</v>
      </c>
      <c r="Z112" s="28">
        <f>(K112*J112/100)/AA112*100</f>
        <v>1.038934719374374</v>
      </c>
      <c r="AA112" s="31">
        <f t="shared" si="14"/>
        <v>1510.308120135197</v>
      </c>
      <c r="AB112" s="69">
        <f t="shared" si="15"/>
        <v>1.174827222365518</v>
      </c>
      <c r="AC112" s="35">
        <f t="shared" si="17"/>
        <v>1525.2227748763573</v>
      </c>
    </row>
    <row r="113" spans="2:29" ht="12.75">
      <c r="B113" s="10" t="s">
        <v>117</v>
      </c>
      <c r="D113" s="10" t="s">
        <v>56</v>
      </c>
      <c r="E113" s="10" t="s">
        <v>15</v>
      </c>
      <c r="G113" s="31">
        <f t="shared" si="16"/>
        <v>2438.540974210252</v>
      </c>
      <c r="H113" s="28"/>
      <c r="I113" s="31">
        <f t="shared" si="8"/>
        <v>1641.869911573127</v>
      </c>
      <c r="K113" s="31">
        <f t="shared" si="9"/>
        <v>2225.57657624131</v>
      </c>
      <c r="L113" s="69"/>
      <c r="M113" s="41">
        <f t="shared" si="11"/>
        <v>2101.995820674896</v>
      </c>
      <c r="O113" s="31">
        <f>(O87/60)*(453.6*1000000)/(O$100*0.0283)*(21-7)/(21-O$101)</f>
        <v>8207.655225255234</v>
      </c>
      <c r="P113" s="61"/>
      <c r="Q113" s="31">
        <f>(Q87/60)*(453.6*1000000)/(Q$100*0.0283)*(21-7)/(21-Q$101)</f>
        <v>8763.506626068094</v>
      </c>
      <c r="R113" s="61"/>
      <c r="S113" s="31">
        <f>(S87/60)*(453.6*1000000)/(S$100*0.0283)*(21-7)/(21-S$101)</f>
        <v>8467.042144883839</v>
      </c>
      <c r="T113" s="31"/>
      <c r="U113" s="41">
        <f t="shared" si="18"/>
        <v>8479.401332069056</v>
      </c>
      <c r="W113" s="31">
        <f t="shared" si="12"/>
        <v>10646.196199465485</v>
      </c>
      <c r="Y113" s="31">
        <f t="shared" si="13"/>
        <v>10405.376537641221</v>
      </c>
      <c r="AA113" s="31">
        <f t="shared" si="14"/>
        <v>10692.618721125149</v>
      </c>
      <c r="AB113" s="69"/>
      <c r="AC113" s="35">
        <f t="shared" si="17"/>
        <v>10581.397152743952</v>
      </c>
    </row>
    <row r="114" spans="2:29" ht="12.75">
      <c r="B114" s="10" t="s">
        <v>178</v>
      </c>
      <c r="D114" s="10" t="s">
        <v>56</v>
      </c>
      <c r="E114" s="10" t="s">
        <v>15</v>
      </c>
      <c r="G114" s="31">
        <f t="shared" si="16"/>
        <v>7544.236138962968</v>
      </c>
      <c r="H114" s="28"/>
      <c r="I114" s="31">
        <f t="shared" si="8"/>
        <v>19658.26306681726</v>
      </c>
      <c r="K114" s="31">
        <f t="shared" si="9"/>
        <v>9206.52180819247</v>
      </c>
      <c r="L114" s="69"/>
      <c r="M114" s="41">
        <f t="shared" si="11"/>
        <v>12136.3403379909</v>
      </c>
      <c r="O114" s="31"/>
      <c r="P114" s="61"/>
      <c r="Q114" s="31"/>
      <c r="R114" s="61"/>
      <c r="S114" s="31"/>
      <c r="T114" s="31"/>
      <c r="U114" s="41"/>
      <c r="W114" s="31">
        <f t="shared" si="12"/>
        <v>7544.236138962968</v>
      </c>
      <c r="Y114" s="31">
        <f t="shared" si="13"/>
        <v>19658.26306681726</v>
      </c>
      <c r="AA114" s="31">
        <f t="shared" si="14"/>
        <v>9206.52180819247</v>
      </c>
      <c r="AB114" s="69"/>
      <c r="AC114" s="35">
        <f t="shared" si="17"/>
        <v>12136.3403379909</v>
      </c>
    </row>
    <row r="115" spans="2:29" ht="12.75">
      <c r="B115" s="10" t="s">
        <v>79</v>
      </c>
      <c r="C115" s="27"/>
      <c r="D115" s="10" t="s">
        <v>56</v>
      </c>
      <c r="E115" s="10" t="s">
        <v>15</v>
      </c>
      <c r="G115" s="31">
        <f t="shared" si="16"/>
        <v>601.2527589537152</v>
      </c>
      <c r="H115" s="28"/>
      <c r="I115" s="31">
        <f>(I89/60)*(453.6*1000000)/(I$100*0.0283)*(21-7)/(21-I$101)</f>
        <v>652.3303774232243</v>
      </c>
      <c r="K115" s="31">
        <f t="shared" si="9"/>
        <v>1449.0264758981195</v>
      </c>
      <c r="L115" s="69"/>
      <c r="M115" s="41">
        <f t="shared" si="11"/>
        <v>900.8698707583529</v>
      </c>
      <c r="O115" s="31">
        <f>(O89/60)*(453.6*1000000)/(O$100*0.0283)*(21-7)/(21-O$101)</f>
        <v>56763.22305316703</v>
      </c>
      <c r="P115" s="61"/>
      <c r="Q115" s="31">
        <f>(Q89/60)*(453.6*1000000)/(Q$100*0.0283)*(21-7)/(21-Q$101)</f>
        <v>60430.09351714781</v>
      </c>
      <c r="R115" s="61"/>
      <c r="S115" s="31">
        <f>(S89/60)*(453.6*1000000)/(S$100*0.0283)*(21-7)/(21-S$101)</f>
        <v>57870.392398945194</v>
      </c>
      <c r="T115" s="31"/>
      <c r="U115" s="41">
        <f t="shared" si="18"/>
        <v>58354.56965642001</v>
      </c>
      <c r="W115" s="31">
        <f t="shared" si="12"/>
        <v>57364.47581212074</v>
      </c>
      <c r="Y115" s="31">
        <f t="shared" si="13"/>
        <v>61082.42389457104</v>
      </c>
      <c r="AA115" s="31">
        <f t="shared" si="14"/>
        <v>59319.418874843315</v>
      </c>
      <c r="AB115" s="69"/>
      <c r="AC115" s="35">
        <f t="shared" si="17"/>
        <v>59255.439527178365</v>
      </c>
    </row>
    <row r="116" spans="2:29" ht="12.75">
      <c r="B116" s="10" t="s">
        <v>118</v>
      </c>
      <c r="D116" s="10" t="s">
        <v>56</v>
      </c>
      <c r="E116" s="10" t="s">
        <v>15</v>
      </c>
      <c r="G116" s="31">
        <f t="shared" si="16"/>
        <v>65.91681070912088</v>
      </c>
      <c r="H116" s="28"/>
      <c r="I116" s="31">
        <f t="shared" si="8"/>
        <v>127.37376444042646</v>
      </c>
      <c r="K116" s="31">
        <f t="shared" si="9"/>
        <v>72.93166406315949</v>
      </c>
      <c r="L116" s="69"/>
      <c r="M116" s="41">
        <f t="shared" si="11"/>
        <v>88.74074640423561</v>
      </c>
      <c r="O116" s="31">
        <f>(O90/60)*(453.6*1000000)/(O$100*0.0283)*(21-7)/(21-O$101)</f>
        <v>8744.604632514922</v>
      </c>
      <c r="P116" s="61"/>
      <c r="Q116" s="31">
        <f>(Q90/60)*(453.6*1000000)/(Q$100*0.0283)*(21-7)/(21-Q$101)</f>
        <v>9296.937464176586</v>
      </c>
      <c r="R116" s="61"/>
      <c r="S116" s="31">
        <f>(S90/60)*(453.6*1000000)/(S$100*0.0283)*(21-7)/(21-S$101)</f>
        <v>8908.800865486473</v>
      </c>
      <c r="T116" s="31"/>
      <c r="U116" s="41">
        <f t="shared" si="18"/>
        <v>8983.447654059326</v>
      </c>
      <c r="W116" s="31">
        <f t="shared" si="12"/>
        <v>8810.521443224043</v>
      </c>
      <c r="Y116" s="31">
        <f t="shared" si="13"/>
        <v>9424.311228617013</v>
      </c>
      <c r="AA116" s="31">
        <f t="shared" si="14"/>
        <v>8981.732529549632</v>
      </c>
      <c r="AB116" s="69"/>
      <c r="AC116" s="35">
        <f t="shared" si="17"/>
        <v>9072.188400463563</v>
      </c>
    </row>
    <row r="117" spans="2:29" ht="12.75">
      <c r="B117" s="10" t="s">
        <v>81</v>
      </c>
      <c r="D117" s="10" t="s">
        <v>56</v>
      </c>
      <c r="E117" s="10" t="s">
        <v>15</v>
      </c>
      <c r="F117" s="30">
        <v>100</v>
      </c>
      <c r="G117" s="31">
        <f>(G91/60)*(453.6*1000000)/(G$100*0.0283)*(21-7)/(21-G$101)</f>
        <v>1.2649931303715685</v>
      </c>
      <c r="H117" s="30">
        <v>100</v>
      </c>
      <c r="I117" s="31">
        <f>(I91/60)*(453.6*1000000)/(I$100*0.0283)*(21-7)/(21-I$101)</f>
        <v>1.2295617723440007</v>
      </c>
      <c r="J117" s="30">
        <v>100</v>
      </c>
      <c r="K117" s="31">
        <f>(K91/60)*(453.6*1000000)/(K$100*0.0283)*(21-7)/(21-K$101)</f>
        <v>1.3369470799722978</v>
      </c>
      <c r="L117" s="69">
        <f t="shared" si="10"/>
        <v>100</v>
      </c>
      <c r="M117" s="41">
        <f t="shared" si="11"/>
        <v>1.277167327562622</v>
      </c>
      <c r="O117" s="31"/>
      <c r="P117" s="61"/>
      <c r="Q117" s="31"/>
      <c r="R117" s="25"/>
      <c r="S117" s="31"/>
      <c r="T117" s="31"/>
      <c r="U117" s="41"/>
      <c r="V117" s="28">
        <f>(G117*F117/100)/W117*100</f>
        <v>100</v>
      </c>
      <c r="W117" s="31">
        <f t="shared" si="12"/>
        <v>1.2649931303715685</v>
      </c>
      <c r="X117" s="28">
        <f>(I117*H117/100)/Y117*100</f>
        <v>100</v>
      </c>
      <c r="Y117" s="31">
        <f t="shared" si="13"/>
        <v>1.2295617723440007</v>
      </c>
      <c r="Z117" s="28">
        <f>(K117*J117/100)/AA117*100</f>
        <v>100</v>
      </c>
      <c r="AA117" s="31">
        <f t="shared" si="14"/>
        <v>1.3369470799722978</v>
      </c>
      <c r="AB117" s="69">
        <f t="shared" si="15"/>
        <v>100</v>
      </c>
      <c r="AC117" s="35">
        <f t="shared" si="17"/>
        <v>1.277167327562622</v>
      </c>
    </row>
    <row r="118" spans="1:29" ht="12.75">
      <c r="A118" s="28" t="s">
        <v>87</v>
      </c>
      <c r="B118" s="10" t="s">
        <v>119</v>
      </c>
      <c r="D118" s="10" t="s">
        <v>56</v>
      </c>
      <c r="E118" s="10" t="s">
        <v>15</v>
      </c>
      <c r="G118" s="31">
        <f t="shared" si="16"/>
        <v>3909.2859992808108</v>
      </c>
      <c r="H118" s="28"/>
      <c r="I118" s="31">
        <f t="shared" si="8"/>
        <v>3696.04796237538</v>
      </c>
      <c r="K118" s="31">
        <f t="shared" si="9"/>
        <v>4355.085098831916</v>
      </c>
      <c r="L118" s="69"/>
      <c r="M118" s="41">
        <f t="shared" si="11"/>
        <v>3986.806353496036</v>
      </c>
      <c r="O118" s="31">
        <f>(O92/60)*(453.6*1000000)/(O$100*0.0283)*(21-7)/(21-O$101)</f>
        <v>29685.631515642763</v>
      </c>
      <c r="P118" s="61"/>
      <c r="Q118" s="31">
        <f>(Q92/60)*(453.6*1000000)/(Q$100*0.0283)*(21-7)/(21-Q$101)</f>
        <v>31548.62385384514</v>
      </c>
      <c r="R118" s="62"/>
      <c r="S118" s="31">
        <f>(S92/60)*(453.6*1000000)/(S$100*0.0283)*(21-7)/(21-S$101)</f>
        <v>30113.21945441296</v>
      </c>
      <c r="T118" s="31"/>
      <c r="U118" s="41">
        <f t="shared" si="18"/>
        <v>30449.15827463362</v>
      </c>
      <c r="W118" s="31">
        <f t="shared" si="12"/>
        <v>33594.917514923574</v>
      </c>
      <c r="Y118" s="31">
        <f t="shared" si="13"/>
        <v>35244.67181622052</v>
      </c>
      <c r="AA118" s="31">
        <f t="shared" si="14"/>
        <v>34468.304553244874</v>
      </c>
      <c r="AB118" s="69"/>
      <c r="AC118" s="35">
        <f t="shared" si="17"/>
        <v>34435.96462812965</v>
      </c>
    </row>
    <row r="119" spans="2:29" ht="12.75">
      <c r="B119" s="10" t="s">
        <v>122</v>
      </c>
      <c r="D119" s="10" t="s">
        <v>56</v>
      </c>
      <c r="E119" s="10" t="s">
        <v>15</v>
      </c>
      <c r="F119" s="30">
        <v>100</v>
      </c>
      <c r="G119" s="31">
        <f t="shared" si="16"/>
        <v>45.03680361744559</v>
      </c>
      <c r="H119" s="30">
        <v>100</v>
      </c>
      <c r="I119" s="31">
        <f t="shared" si="8"/>
        <v>42.48246363128674</v>
      </c>
      <c r="J119" s="30">
        <v>100</v>
      </c>
      <c r="K119" s="31">
        <f t="shared" si="9"/>
        <v>46.512949309215884</v>
      </c>
      <c r="L119" s="69">
        <f t="shared" si="10"/>
        <v>99.99999999999999</v>
      </c>
      <c r="M119" s="41">
        <f t="shared" si="11"/>
        <v>44.677405519316075</v>
      </c>
      <c r="O119" s="31"/>
      <c r="P119" s="61"/>
      <c r="Q119" s="31"/>
      <c r="R119" s="25"/>
      <c r="S119" s="31"/>
      <c r="T119" s="31"/>
      <c r="U119" s="41"/>
      <c r="V119" s="28">
        <f>(G119*F119/100)/W119*100</f>
        <v>100</v>
      </c>
      <c r="W119" s="31">
        <f t="shared" si="12"/>
        <v>45.03680361744559</v>
      </c>
      <c r="X119" s="28">
        <f>(I119*H119/100)/Y119*100</f>
        <v>99.99999999999997</v>
      </c>
      <c r="Y119" s="31">
        <f t="shared" si="13"/>
        <v>42.48246363128674</v>
      </c>
      <c r="Z119" s="28">
        <f>(K119*J119/100)/AA119*100</f>
        <v>100</v>
      </c>
      <c r="AA119" s="31">
        <f t="shared" si="14"/>
        <v>46.512949309215884</v>
      </c>
      <c r="AB119" s="69">
        <f t="shared" si="15"/>
        <v>99.99999999999999</v>
      </c>
      <c r="AC119" s="35">
        <f t="shared" si="17"/>
        <v>44.677405519316075</v>
      </c>
    </row>
    <row r="120" spans="1:29" ht="12.75">
      <c r="A120" s="50"/>
      <c r="B120" s="10" t="s">
        <v>110</v>
      </c>
      <c r="D120" s="10" t="s">
        <v>56</v>
      </c>
      <c r="E120" s="10" t="s">
        <v>15</v>
      </c>
      <c r="F120" s="30">
        <v>100</v>
      </c>
      <c r="G120" s="31">
        <f t="shared" si="16"/>
        <v>150.12267872481863</v>
      </c>
      <c r="H120" s="30">
        <v>100</v>
      </c>
      <c r="I120" s="31">
        <f t="shared" si="8"/>
        <v>14.136279059284325</v>
      </c>
      <c r="J120" s="30">
        <v>100</v>
      </c>
      <c r="K120" s="31">
        <f t="shared" si="9"/>
        <v>15.691115429614994</v>
      </c>
      <c r="L120" s="69">
        <f t="shared" si="10"/>
        <v>100</v>
      </c>
      <c r="M120" s="41">
        <f t="shared" si="11"/>
        <v>59.98335773790598</v>
      </c>
      <c r="N120" s="50"/>
      <c r="O120" s="31"/>
      <c r="P120" s="61"/>
      <c r="Q120" s="31"/>
      <c r="R120" s="25"/>
      <c r="S120" s="31"/>
      <c r="T120" s="31"/>
      <c r="U120" s="41"/>
      <c r="V120" s="28">
        <f>(G120*F120/100)/W120*100</f>
        <v>100</v>
      </c>
      <c r="W120" s="31">
        <f t="shared" si="12"/>
        <v>150.12267872481863</v>
      </c>
      <c r="X120" s="28">
        <f>(I120*H120/100)/Y120*100</f>
        <v>100</v>
      </c>
      <c r="Y120" s="31">
        <f t="shared" si="13"/>
        <v>14.136279059284325</v>
      </c>
      <c r="Z120" s="28">
        <f>(K120*J120/100)/AA120*100</f>
        <v>100</v>
      </c>
      <c r="AA120" s="31">
        <f t="shared" si="14"/>
        <v>15.691115429614994</v>
      </c>
      <c r="AB120" s="69">
        <f t="shared" si="15"/>
        <v>100</v>
      </c>
      <c r="AC120" s="35">
        <f t="shared" si="17"/>
        <v>59.98335773790598</v>
      </c>
    </row>
    <row r="121" spans="2:29" ht="12.75">
      <c r="B121" s="10" t="s">
        <v>124</v>
      </c>
      <c r="D121" s="10" t="s">
        <v>56</v>
      </c>
      <c r="E121" s="10" t="s">
        <v>15</v>
      </c>
      <c r="F121" s="30">
        <v>100</v>
      </c>
      <c r="G121" s="31">
        <f t="shared" si="16"/>
        <v>15.240881088814076</v>
      </c>
      <c r="H121" s="30">
        <v>100</v>
      </c>
      <c r="I121" s="31">
        <f t="shared" si="8"/>
        <v>14.136279059284325</v>
      </c>
      <c r="J121" s="30">
        <v>100</v>
      </c>
      <c r="K121" s="31">
        <f t="shared" si="9"/>
        <v>15.691115429614994</v>
      </c>
      <c r="L121" s="69">
        <f t="shared" si="10"/>
        <v>100</v>
      </c>
      <c r="M121" s="41">
        <f t="shared" si="11"/>
        <v>15.022758525904464</v>
      </c>
      <c r="N121" s="41"/>
      <c r="O121" s="31"/>
      <c r="P121" s="61"/>
      <c r="Q121" s="31"/>
      <c r="R121" s="25"/>
      <c r="S121" s="31"/>
      <c r="T121" s="31"/>
      <c r="U121" s="41"/>
      <c r="V121" s="28">
        <f>(G121*F121/100)/W121*100</f>
        <v>100</v>
      </c>
      <c r="W121" s="31">
        <f t="shared" si="12"/>
        <v>15.240881088814076</v>
      </c>
      <c r="X121" s="28">
        <f>(I121*H121/100)/Y121*100</f>
        <v>100</v>
      </c>
      <c r="Y121" s="31">
        <f t="shared" si="13"/>
        <v>14.136279059284325</v>
      </c>
      <c r="Z121" s="28">
        <f>(K121*J121/100)/AA121*100</f>
        <v>100</v>
      </c>
      <c r="AA121" s="31">
        <f t="shared" si="14"/>
        <v>15.691115429614994</v>
      </c>
      <c r="AB121" s="69">
        <f t="shared" si="15"/>
        <v>100</v>
      </c>
      <c r="AC121" s="35">
        <f t="shared" si="17"/>
        <v>15.022758525904464</v>
      </c>
    </row>
    <row r="122" spans="2:29" ht="12.75">
      <c r="B122" s="10" t="s">
        <v>123</v>
      </c>
      <c r="D122" s="10" t="s">
        <v>56</v>
      </c>
      <c r="E122" s="10" t="s">
        <v>15</v>
      </c>
      <c r="F122" s="30">
        <v>100</v>
      </c>
      <c r="G122" s="31">
        <f t="shared" si="16"/>
        <v>150.12267872481863</v>
      </c>
      <c r="H122" s="30">
        <v>100</v>
      </c>
      <c r="I122" s="31">
        <f t="shared" si="8"/>
        <v>141.3627905928432</v>
      </c>
      <c r="J122" s="30">
        <v>100</v>
      </c>
      <c r="K122" s="31">
        <f t="shared" si="9"/>
        <v>155.3100200686382</v>
      </c>
      <c r="L122" s="69">
        <f t="shared" si="10"/>
        <v>100</v>
      </c>
      <c r="M122" s="41">
        <f t="shared" si="11"/>
        <v>148.93182979543334</v>
      </c>
      <c r="N122" s="41"/>
      <c r="O122" s="31"/>
      <c r="P122" s="61"/>
      <c r="Q122" s="31"/>
      <c r="R122" s="25"/>
      <c r="S122" s="31"/>
      <c r="T122" s="31"/>
      <c r="U122" s="41"/>
      <c r="V122" s="28">
        <f>(G122*F122/100)/W122*100</f>
        <v>100</v>
      </c>
      <c r="W122" s="31">
        <f t="shared" si="12"/>
        <v>150.12267872481863</v>
      </c>
      <c r="X122" s="28">
        <f>(I122*H122/100)/Y122*100</f>
        <v>100</v>
      </c>
      <c r="Y122" s="31">
        <f t="shared" si="13"/>
        <v>141.3627905928432</v>
      </c>
      <c r="Z122" s="28">
        <f>(K122*J122/100)/AA122*100</f>
        <v>100</v>
      </c>
      <c r="AA122" s="31">
        <f t="shared" si="14"/>
        <v>155.3100200686382</v>
      </c>
      <c r="AB122" s="69">
        <f t="shared" si="15"/>
        <v>100</v>
      </c>
      <c r="AC122" s="35">
        <f t="shared" si="17"/>
        <v>148.93182979543334</v>
      </c>
    </row>
    <row r="123" spans="2:29" ht="12.75">
      <c r="B123" s="10" t="s">
        <v>125</v>
      </c>
      <c r="D123" s="10" t="s">
        <v>56</v>
      </c>
      <c r="E123" s="10" t="s">
        <v>15</v>
      </c>
      <c r="F123" s="30">
        <v>100</v>
      </c>
      <c r="G123" s="31">
        <f t="shared" si="16"/>
        <v>150.12267872481863</v>
      </c>
      <c r="H123" s="30">
        <v>100</v>
      </c>
      <c r="I123" s="31">
        <f t="shared" si="8"/>
        <v>141.3627905928432</v>
      </c>
      <c r="J123" s="30">
        <v>100</v>
      </c>
      <c r="K123" s="31">
        <f t="shared" si="9"/>
        <v>155.3100200686382</v>
      </c>
      <c r="L123" s="69">
        <f t="shared" si="10"/>
        <v>100</v>
      </c>
      <c r="M123" s="41">
        <f t="shared" si="11"/>
        <v>148.93182979543334</v>
      </c>
      <c r="N123" s="62"/>
      <c r="O123" s="31"/>
      <c r="P123" s="61"/>
      <c r="Q123" s="31"/>
      <c r="R123" s="61"/>
      <c r="S123" s="31"/>
      <c r="T123" s="31"/>
      <c r="U123" s="41"/>
      <c r="V123" s="28">
        <f>(G123*F123/100)/W123*100</f>
        <v>100</v>
      </c>
      <c r="W123" s="31">
        <f t="shared" si="12"/>
        <v>150.12267872481863</v>
      </c>
      <c r="X123" s="28">
        <f>(I123*H123/100)/Y123*100</f>
        <v>100</v>
      </c>
      <c r="Y123" s="31">
        <f t="shared" si="13"/>
        <v>141.3627905928432</v>
      </c>
      <c r="Z123" s="28">
        <f>(K123*J123/100)/AA123*100</f>
        <v>100</v>
      </c>
      <c r="AA123" s="31">
        <f t="shared" si="14"/>
        <v>155.3100200686382</v>
      </c>
      <c r="AB123" s="69">
        <f t="shared" si="15"/>
        <v>100</v>
      </c>
      <c r="AC123" s="35">
        <f t="shared" si="17"/>
        <v>148.93182979543334</v>
      </c>
    </row>
    <row r="124" spans="2:29" ht="12.75">
      <c r="B124" s="10" t="s">
        <v>126</v>
      </c>
      <c r="D124" s="10" t="s">
        <v>56</v>
      </c>
      <c r="E124" s="10" t="s">
        <v>15</v>
      </c>
      <c r="G124" s="31">
        <f t="shared" si="16"/>
        <v>7216.557195553467</v>
      </c>
      <c r="H124" s="28"/>
      <c r="I124" s="31">
        <f t="shared" si="8"/>
        <v>14725.2906867545</v>
      </c>
      <c r="K124" s="31">
        <f t="shared" si="9"/>
        <v>1336.9470799722978</v>
      </c>
      <c r="L124" s="69"/>
      <c r="M124" s="41">
        <f t="shared" si="11"/>
        <v>7759.598320760088</v>
      </c>
      <c r="N124" s="62"/>
      <c r="O124" s="31">
        <f>(O98/60)*(453.6*1000000)/(O$100*0.0283)*(21-7)/(21-O$101)</f>
        <v>13347.02812331225</v>
      </c>
      <c r="P124" s="61"/>
      <c r="Q124" s="31">
        <f>(Q98/60)*(453.6*1000000)/(Q$100*0.0283)*(21-7)/(21-Q$101)</f>
        <v>14250.22381804116</v>
      </c>
      <c r="R124" s="62"/>
      <c r="S124" s="31">
        <f>(S98/60)*(453.6*1000000)/(S$100*0.0283)*(21-7)/(21-S$101)</f>
        <v>13620.893885247913</v>
      </c>
      <c r="T124" s="31"/>
      <c r="U124" s="41">
        <f t="shared" si="18"/>
        <v>13739.38194220044</v>
      </c>
      <c r="W124" s="31">
        <f t="shared" si="12"/>
        <v>20563.585318865717</v>
      </c>
      <c r="Y124" s="31">
        <f t="shared" si="13"/>
        <v>28975.51450479566</v>
      </c>
      <c r="AA124" s="31">
        <f t="shared" si="14"/>
        <v>14957.840965220212</v>
      </c>
      <c r="AB124" s="69"/>
      <c r="AC124" s="35">
        <f t="shared" si="17"/>
        <v>21498.98026296053</v>
      </c>
    </row>
    <row r="125" spans="8:29" ht="12.75">
      <c r="H125" s="28"/>
      <c r="L125" s="69"/>
      <c r="N125" s="62"/>
      <c r="O125" s="62"/>
      <c r="P125" s="62"/>
      <c r="Q125" s="33"/>
      <c r="U125" s="41"/>
      <c r="W125" s="31"/>
      <c r="Y125" s="31"/>
      <c r="AA125" s="31"/>
      <c r="AB125" s="69"/>
      <c r="AC125" s="35"/>
    </row>
    <row r="126" spans="2:29" ht="12.75">
      <c r="B126" s="10" t="s">
        <v>57</v>
      </c>
      <c r="D126" s="10" t="s">
        <v>56</v>
      </c>
      <c r="E126" s="10" t="s">
        <v>15</v>
      </c>
      <c r="F126" s="28">
        <f>G110/G126*100</f>
        <v>2.472187886279358</v>
      </c>
      <c r="G126" s="69">
        <f>G110+G115</f>
        <v>616.4936400425293</v>
      </c>
      <c r="H126" s="28">
        <f>I110/I126*100</f>
        <v>2.1210782147591702</v>
      </c>
      <c r="I126" s="69">
        <f>I110+I115</f>
        <v>666.4666564825086</v>
      </c>
      <c r="J126" s="28">
        <f>K110/K126*100</f>
        <v>1.3677728734128924</v>
      </c>
      <c r="K126" s="69">
        <f>K110+K115</f>
        <v>1469.120710453392</v>
      </c>
      <c r="L126" s="69">
        <f t="shared" si="10"/>
        <v>1.7975995102588345</v>
      </c>
      <c r="M126" s="41">
        <f>AVERAGE(G126,I126,K126)</f>
        <v>917.3603356594766</v>
      </c>
      <c r="N126" s="62"/>
      <c r="O126" s="41">
        <f>O115</f>
        <v>56763.22305316703</v>
      </c>
      <c r="P126" s="41"/>
      <c r="Q126" s="41">
        <f>Q115</f>
        <v>60430.09351714781</v>
      </c>
      <c r="R126" s="41"/>
      <c r="S126" s="41">
        <f>S115</f>
        <v>57870.392398945194</v>
      </c>
      <c r="T126" s="41"/>
      <c r="U126" s="41">
        <f t="shared" si="18"/>
        <v>58354.56965642001</v>
      </c>
      <c r="V126" s="28">
        <f>(G126*F126/100)/W126*100</f>
        <v>0.02656144360262712</v>
      </c>
      <c r="W126" s="31">
        <f t="shared" si="12"/>
        <v>57379.71669320956</v>
      </c>
      <c r="X126" s="28">
        <f>(I126*H126/100)/Y126*100</f>
        <v>0.023137602213791467</v>
      </c>
      <c r="Y126" s="31">
        <f t="shared" si="13"/>
        <v>61096.56017363032</v>
      </c>
      <c r="Z126" s="28">
        <f>(K126*J126/100)/AA126*100</f>
        <v>0.03386316048503202</v>
      </c>
      <c r="AA126" s="31">
        <f>K126+S126</f>
        <v>59339.513109398584</v>
      </c>
      <c r="AB126" s="69">
        <f t="shared" si="15"/>
        <v>0.02782171072095539</v>
      </c>
      <c r="AC126" s="35">
        <f t="shared" si="17"/>
        <v>59271.92999207948</v>
      </c>
    </row>
    <row r="127" spans="2:29" ht="12.75">
      <c r="B127" s="10" t="s">
        <v>58</v>
      </c>
      <c r="D127" s="10" t="s">
        <v>56</v>
      </c>
      <c r="E127" s="10" t="s">
        <v>15</v>
      </c>
      <c r="F127" s="28">
        <f>G108/G127*100</f>
        <v>3.8095238095238093</v>
      </c>
      <c r="G127" s="69">
        <f>G106+G108+G111</f>
        <v>400.07312858136953</v>
      </c>
      <c r="H127" s="28">
        <f>I108/I127*100</f>
        <v>3.264195851751105</v>
      </c>
      <c r="I127" s="69">
        <f>I106+I108+I111</f>
        <v>433.07079909744994</v>
      </c>
      <c r="J127" s="28">
        <f>K108/K127*100</f>
        <v>4.156064461407973</v>
      </c>
      <c r="K127" s="69">
        <f>K106+K108+K111</f>
        <v>377.54745084726693</v>
      </c>
      <c r="L127" s="69">
        <f t="shared" si="10"/>
        <v>3.7225238716558953</v>
      </c>
      <c r="M127" s="41">
        <f>AVERAGE(G127,I127,K127)</f>
        <v>403.56379284202876</v>
      </c>
      <c r="N127" s="62"/>
      <c r="O127" s="41">
        <f>O111</f>
        <v>3927.4013788137195</v>
      </c>
      <c r="P127" s="62"/>
      <c r="Q127" s="41">
        <f>Q111</f>
        <v>4183.621858879464</v>
      </c>
      <c r="S127" s="41">
        <f>S111</f>
        <v>3916.927322676697</v>
      </c>
      <c r="T127" s="41"/>
      <c r="U127" s="41">
        <f t="shared" si="18"/>
        <v>4009.3168534566266</v>
      </c>
      <c r="V127" s="28">
        <f>(G127*F127/100)/W127*100</f>
        <v>0.35218881273059843</v>
      </c>
      <c r="W127" s="31">
        <f t="shared" si="12"/>
        <v>4327.474507395089</v>
      </c>
      <c r="X127" s="28">
        <f>(I127*H127/100)/Y127*100</f>
        <v>0.30619926658663477</v>
      </c>
      <c r="Y127" s="31">
        <f t="shared" si="13"/>
        <v>4616.692657976913</v>
      </c>
      <c r="Z127" s="28">
        <f>(K127*J127/100)/AA127*100</f>
        <v>0.3653791501198915</v>
      </c>
      <c r="AA127" s="31">
        <f t="shared" si="14"/>
        <v>4294.474773523963</v>
      </c>
      <c r="AB127" s="69">
        <f t="shared" si="15"/>
        <v>0.34042974940881177</v>
      </c>
      <c r="AC127" s="35">
        <f t="shared" si="17"/>
        <v>4412.880646298655</v>
      </c>
    </row>
    <row r="128" spans="14:17" ht="12.75">
      <c r="N128" s="62"/>
      <c r="O128" s="62"/>
      <c r="P128" s="62"/>
      <c r="Q128" s="33"/>
    </row>
    <row r="129" spans="14:17" ht="12.75">
      <c r="N129" s="62"/>
      <c r="O129" s="62"/>
      <c r="P129" s="62"/>
      <c r="Q129" s="33"/>
    </row>
    <row r="130" spans="14:17" ht="12.75">
      <c r="N130" s="62"/>
      <c r="O130" s="62"/>
      <c r="P130" s="62"/>
      <c r="Q130" s="33"/>
    </row>
    <row r="131" spans="14:17" ht="12.75">
      <c r="N131" s="62"/>
      <c r="O131" s="62"/>
      <c r="P131" s="62"/>
      <c r="Q131" s="33"/>
    </row>
    <row r="132" spans="14:17" ht="12.75">
      <c r="N132" s="62"/>
      <c r="O132" s="62"/>
      <c r="P132" s="62"/>
      <c r="Q132" s="33"/>
    </row>
    <row r="133" spans="14:17" ht="12.75">
      <c r="N133" s="62"/>
      <c r="O133" s="62"/>
      <c r="P133" s="62"/>
      <c r="Q133" s="33"/>
    </row>
    <row r="134" spans="14:17" ht="12.75">
      <c r="N134" s="62"/>
      <c r="O134" s="62"/>
      <c r="P134" s="62"/>
      <c r="Q134" s="33"/>
    </row>
    <row r="135" spans="14:17" ht="12.75">
      <c r="N135" s="62"/>
      <c r="O135" s="62"/>
      <c r="P135" s="62"/>
      <c r="Q135" s="33"/>
    </row>
    <row r="136" spans="14:17" ht="12.75">
      <c r="N136" s="62"/>
      <c r="O136" s="62"/>
      <c r="P136" s="62"/>
      <c r="Q136" s="33"/>
    </row>
    <row r="137" spans="14:18" ht="12.75">
      <c r="N137" s="62"/>
      <c r="O137" s="62"/>
      <c r="P137" s="62"/>
      <c r="Q137" s="33"/>
      <c r="R137" s="31"/>
    </row>
    <row r="138" spans="14:18" ht="12.75">
      <c r="N138" s="62"/>
      <c r="O138" s="62"/>
      <c r="P138" s="62"/>
      <c r="Q138" s="33"/>
      <c r="R138" s="11"/>
    </row>
    <row r="139" spans="14:18" ht="12.75">
      <c r="N139" s="62"/>
      <c r="O139" s="62"/>
      <c r="P139" s="62"/>
      <c r="Q139" s="33"/>
      <c r="R139" s="11"/>
    </row>
    <row r="140" spans="14:18" ht="12.75">
      <c r="N140" s="62"/>
      <c r="O140" s="62"/>
      <c r="P140" s="62"/>
      <c r="Q140" s="33"/>
      <c r="R140" s="11"/>
    </row>
    <row r="141" spans="14:17" ht="12.75">
      <c r="N141" s="62"/>
      <c r="O141" s="62"/>
      <c r="P141" s="62"/>
      <c r="Q141" s="33"/>
    </row>
    <row r="142" spans="14:17" ht="12.75">
      <c r="N142" s="62"/>
      <c r="O142" s="62"/>
      <c r="P142" s="62"/>
      <c r="Q142" s="33"/>
    </row>
    <row r="143" spans="14:17" ht="12.75">
      <c r="N143" s="62"/>
      <c r="O143" s="62"/>
      <c r="P143" s="62"/>
      <c r="Q143" s="33"/>
    </row>
    <row r="148" ht="12.75">
      <c r="P148" s="41"/>
    </row>
    <row r="149" spans="17:18" ht="12.75">
      <c r="Q149" s="31"/>
      <c r="R149" s="31"/>
    </row>
    <row r="150" spans="17:18" ht="12.75">
      <c r="Q150" s="31"/>
      <c r="R150" s="31"/>
    </row>
    <row r="151" spans="17:18" ht="12.75">
      <c r="Q151" s="31"/>
      <c r="R151" s="31"/>
    </row>
    <row r="152" spans="17:18" ht="12.75">
      <c r="Q152" s="31"/>
      <c r="R152" s="31"/>
    </row>
    <row r="153" spans="17:18" ht="12.75">
      <c r="Q153" s="31"/>
      <c r="R153" s="31"/>
    </row>
    <row r="154" spans="17:18" ht="12.75">
      <c r="Q154" s="31"/>
      <c r="R154" s="31"/>
    </row>
    <row r="155" spans="17:18" ht="12.75">
      <c r="Q155" s="31"/>
      <c r="R155" s="31"/>
    </row>
    <row r="156" spans="17:18" ht="12.75">
      <c r="Q156" s="31"/>
      <c r="R156" s="31"/>
    </row>
    <row r="157" spans="17:18" ht="12.75">
      <c r="Q157" s="31"/>
      <c r="R157" s="31"/>
    </row>
    <row r="158" spans="17:18" ht="12.75">
      <c r="Q158" s="31"/>
      <c r="R158" s="31"/>
    </row>
    <row r="159" spans="17:18" ht="12.75">
      <c r="Q159" s="31"/>
      <c r="R159" s="31"/>
    </row>
    <row r="160" spans="17:18" ht="12.75">
      <c r="Q160" s="31"/>
      <c r="R160" s="31"/>
    </row>
    <row r="161" spans="17:18" ht="12.75">
      <c r="Q161" s="31"/>
      <c r="R161" s="31"/>
    </row>
    <row r="162" spans="17:18" ht="12.75">
      <c r="Q162" s="31"/>
      <c r="R162" s="31"/>
    </row>
    <row r="163" spans="17:18" ht="12.75">
      <c r="Q163" s="31"/>
      <c r="R163" s="31"/>
    </row>
    <row r="164" spans="17:18" ht="12.75">
      <c r="Q164" s="31"/>
      <c r="R164" s="31"/>
    </row>
    <row r="165" spans="17:18" ht="12.75">
      <c r="Q165" s="31"/>
      <c r="R165" s="31"/>
    </row>
    <row r="166" spans="17:18" ht="12.75">
      <c r="Q166" s="31"/>
      <c r="R166" s="31"/>
    </row>
    <row r="167" spans="17:18" ht="12.75">
      <c r="Q167" s="31"/>
      <c r="R167" s="31"/>
    </row>
    <row r="168" spans="17:18" ht="12.75">
      <c r="Q168" s="31"/>
      <c r="R168" s="31"/>
    </row>
    <row r="169" spans="17:18" ht="12.75">
      <c r="Q169" s="31"/>
      <c r="R169" s="31"/>
    </row>
    <row r="171" ht="12.75">
      <c r="R171" s="31"/>
    </row>
    <row r="172" ht="12.75">
      <c r="R172" s="3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B10">
      <selection activeCell="C1" sqref="C1"/>
    </sheetView>
  </sheetViews>
  <sheetFormatPr defaultColWidth="9.140625" defaultRowHeight="12.75"/>
  <cols>
    <col min="1" max="1" width="3.8515625" style="0" hidden="1" customWidth="1"/>
    <col min="2" max="2" width="30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7" t="s">
        <v>66</v>
      </c>
      <c r="C1" s="13"/>
      <c r="D1" s="13"/>
      <c r="E1" s="13"/>
      <c r="F1" s="13"/>
    </row>
    <row r="2" spans="2:6" ht="12.75">
      <c r="B2" s="13"/>
      <c r="C2" s="13"/>
      <c r="D2" s="13"/>
      <c r="E2" s="13"/>
      <c r="F2" s="13"/>
    </row>
    <row r="3" spans="1:6" ht="12.75">
      <c r="A3" t="s">
        <v>87</v>
      </c>
      <c r="B3" s="7" t="s">
        <v>148</v>
      </c>
      <c r="C3" s="13" t="str">
        <f>cond!C10</f>
        <v>GB agent trial burn</v>
      </c>
      <c r="D3" s="13"/>
      <c r="E3" s="13"/>
      <c r="F3" s="13"/>
    </row>
    <row r="4" spans="2:6" ht="12.75">
      <c r="B4" s="13"/>
      <c r="C4" s="13"/>
      <c r="D4" s="13"/>
      <c r="E4" s="51" t="s">
        <v>47</v>
      </c>
      <c r="F4" s="13"/>
    </row>
    <row r="5" spans="2:6" ht="14.25">
      <c r="B5" s="13" t="s">
        <v>129</v>
      </c>
      <c r="C5" s="8" t="s">
        <v>54</v>
      </c>
      <c r="D5" s="8"/>
      <c r="E5">
        <v>2619</v>
      </c>
      <c r="F5" s="13"/>
    </row>
    <row r="6" spans="2:6" ht="14.25">
      <c r="B6" s="13" t="s">
        <v>130</v>
      </c>
      <c r="C6" s="8" t="s">
        <v>54</v>
      </c>
      <c r="D6" s="8"/>
      <c r="E6">
        <v>1930</v>
      </c>
      <c r="F6" s="13"/>
    </row>
    <row r="7" spans="2:5" s="13" customFormat="1" ht="12.75">
      <c r="B7" s="13" t="s">
        <v>131</v>
      </c>
      <c r="C7" s="13" t="s">
        <v>132</v>
      </c>
      <c r="E7">
        <v>-5.8</v>
      </c>
    </row>
    <row r="8" spans="2:5" s="13" customFormat="1" ht="12.75">
      <c r="B8" s="13" t="s">
        <v>133</v>
      </c>
      <c r="C8" s="13" t="s">
        <v>132</v>
      </c>
      <c r="E8">
        <v>30</v>
      </c>
    </row>
    <row r="9" spans="2:5" s="13" customFormat="1" ht="12.75">
      <c r="B9" s="13" t="s">
        <v>135</v>
      </c>
      <c r="C9" s="13" t="s">
        <v>134</v>
      </c>
      <c r="E9">
        <v>110</v>
      </c>
    </row>
    <row r="10" spans="2:5" ht="12.75">
      <c r="B10" t="s">
        <v>167</v>
      </c>
      <c r="C10" t="s">
        <v>168</v>
      </c>
      <c r="E10">
        <v>47</v>
      </c>
    </row>
    <row r="11" spans="2:5" ht="12.75">
      <c r="B11" t="s">
        <v>136</v>
      </c>
      <c r="C11" t="s">
        <v>134</v>
      </c>
      <c r="E11">
        <v>500</v>
      </c>
    </row>
    <row r="12" spans="2:5" ht="12.75">
      <c r="B12" t="s">
        <v>137</v>
      </c>
      <c r="E12">
        <v>8.1</v>
      </c>
    </row>
    <row r="13" spans="2:5" ht="12.75">
      <c r="B13" t="s">
        <v>138</v>
      </c>
      <c r="E13">
        <v>8</v>
      </c>
    </row>
    <row r="15" spans="2:5" ht="12.75">
      <c r="B15" s="7" t="s">
        <v>149</v>
      </c>
      <c r="C15" s="13" t="s">
        <v>174</v>
      </c>
      <c r="D15" s="13"/>
      <c r="E15" s="13"/>
    </row>
    <row r="16" spans="2:5" ht="12.75">
      <c r="B16" s="13"/>
      <c r="C16" s="13"/>
      <c r="D16" s="13"/>
      <c r="E16" s="51" t="s">
        <v>47</v>
      </c>
    </row>
    <row r="17" spans="2:5" ht="14.25">
      <c r="B17" s="13" t="s">
        <v>129</v>
      </c>
      <c r="C17" s="8" t="s">
        <v>54</v>
      </c>
      <c r="D17" s="8"/>
      <c r="E17">
        <v>2616</v>
      </c>
    </row>
    <row r="18" spans="2:5" ht="14.25">
      <c r="B18" s="13" t="s">
        <v>130</v>
      </c>
      <c r="C18" s="8" t="s">
        <v>54</v>
      </c>
      <c r="D18" s="8"/>
      <c r="E18">
        <v>1915</v>
      </c>
    </row>
    <row r="19" spans="2:5" ht="12.75">
      <c r="B19" s="13" t="s">
        <v>131</v>
      </c>
      <c r="C19" s="13" t="s">
        <v>132</v>
      </c>
      <c r="D19" s="13"/>
      <c r="E19">
        <v>-4.6</v>
      </c>
    </row>
    <row r="20" spans="2:5" ht="12.75">
      <c r="B20" s="13" t="s">
        <v>133</v>
      </c>
      <c r="C20" s="13" t="s">
        <v>132</v>
      </c>
      <c r="D20" s="13"/>
      <c r="E20">
        <v>30</v>
      </c>
    </row>
    <row r="21" spans="2:5" ht="12.75">
      <c r="B21" s="13" t="s">
        <v>135</v>
      </c>
      <c r="C21" s="13" t="s">
        <v>134</v>
      </c>
      <c r="D21" s="13"/>
      <c r="E21">
        <v>110</v>
      </c>
    </row>
    <row r="22" spans="2:5" ht="12.75">
      <c r="B22" t="s">
        <v>167</v>
      </c>
      <c r="C22" t="s">
        <v>168</v>
      </c>
      <c r="E22">
        <v>95</v>
      </c>
    </row>
    <row r="23" spans="2:5" ht="12.75">
      <c r="B23" t="s">
        <v>136</v>
      </c>
      <c r="C23" t="s">
        <v>134</v>
      </c>
      <c r="E23">
        <v>500</v>
      </c>
    </row>
    <row r="24" spans="2:5" ht="12.75">
      <c r="B24" t="s">
        <v>137</v>
      </c>
      <c r="E24">
        <v>8.1</v>
      </c>
    </row>
    <row r="25" spans="2:5" ht="12.75">
      <c r="B25" t="s">
        <v>138</v>
      </c>
      <c r="E25">
        <v>8</v>
      </c>
    </row>
    <row r="28" spans="2:5" ht="12.75">
      <c r="B28" s="7" t="s">
        <v>173</v>
      </c>
      <c r="C28" s="13" t="str">
        <f>cond!C30</f>
        <v>GB agent trial burn w/metals spike</v>
      </c>
      <c r="D28" s="13"/>
      <c r="E28" s="13"/>
    </row>
    <row r="29" spans="2:5" ht="12.75">
      <c r="B29" s="13"/>
      <c r="C29" s="13"/>
      <c r="D29" s="13"/>
      <c r="E29" s="51" t="s">
        <v>47</v>
      </c>
    </row>
    <row r="30" spans="2:5" ht="14.25">
      <c r="B30" s="13" t="s">
        <v>129</v>
      </c>
      <c r="C30" s="8" t="s">
        <v>54</v>
      </c>
      <c r="D30" s="8"/>
      <c r="E30" t="s">
        <v>182</v>
      </c>
    </row>
    <row r="31" spans="2:4" ht="14.25">
      <c r="B31" s="13" t="s">
        <v>130</v>
      </c>
      <c r="C31" s="8" t="s">
        <v>54</v>
      </c>
      <c r="D31" s="8"/>
    </row>
    <row r="32" spans="2:4" ht="12.75">
      <c r="B32" s="13" t="s">
        <v>131</v>
      </c>
      <c r="C32" s="13" t="s">
        <v>132</v>
      </c>
      <c r="D32" s="13"/>
    </row>
    <row r="33" spans="2:4" ht="12.75">
      <c r="B33" s="13" t="s">
        <v>133</v>
      </c>
      <c r="C33" s="13" t="s">
        <v>132</v>
      </c>
      <c r="D33" s="13"/>
    </row>
    <row r="34" spans="2:4" ht="12.75">
      <c r="B34" s="13" t="s">
        <v>135</v>
      </c>
      <c r="C34" s="13" t="s">
        <v>134</v>
      </c>
      <c r="D34" s="13"/>
    </row>
    <row r="35" spans="2:3" ht="12.75">
      <c r="B35" t="s">
        <v>167</v>
      </c>
      <c r="C35" t="s">
        <v>168</v>
      </c>
    </row>
    <row r="36" spans="2:3" ht="12.75">
      <c r="B36" t="s">
        <v>136</v>
      </c>
      <c r="C36" t="s">
        <v>134</v>
      </c>
    </row>
    <row r="37" spans="2:6" ht="12.75">
      <c r="B37" t="s">
        <v>137</v>
      </c>
      <c r="E37">
        <v>7.7</v>
      </c>
      <c r="F37" t="s">
        <v>183</v>
      </c>
    </row>
    <row r="38" spans="2:6" ht="12.75">
      <c r="B38" t="s">
        <v>138</v>
      </c>
      <c r="E38">
        <v>8</v>
      </c>
      <c r="F38" t="s">
        <v>183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6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00390625" style="0" customWidth="1"/>
    <col min="4" max="4" width="5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5.140625" style="51" customWidth="1"/>
    <col min="11" max="11" width="9.28125" style="0" customWidth="1"/>
    <col min="13" max="13" width="9.28125" style="0" customWidth="1"/>
    <col min="14" max="14" width="6.42187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42" t="s">
        <v>68</v>
      </c>
      <c r="B1" s="28"/>
      <c r="C1" s="28"/>
      <c r="D1" s="28"/>
      <c r="E1" s="35"/>
      <c r="F1" s="36"/>
      <c r="G1" s="35"/>
      <c r="H1" s="36"/>
      <c r="I1" s="39"/>
      <c r="J1" s="35"/>
      <c r="K1" s="35"/>
      <c r="L1" s="35"/>
      <c r="M1" s="35"/>
      <c r="N1" s="35"/>
      <c r="O1" s="35"/>
      <c r="P1" s="35"/>
      <c r="Q1" s="35"/>
      <c r="R1" s="35"/>
    </row>
    <row r="2" spans="1:18" ht="12.75">
      <c r="A2" s="28" t="s">
        <v>236</v>
      </c>
      <c r="B2" s="28"/>
      <c r="C2" s="28"/>
      <c r="D2" s="28"/>
      <c r="E2" s="35"/>
      <c r="F2" s="36"/>
      <c r="G2" s="35"/>
      <c r="H2" s="36"/>
      <c r="I2" s="39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28" t="s">
        <v>20</v>
      </c>
      <c r="B3" s="28"/>
      <c r="C3" s="10" t="s">
        <v>150</v>
      </c>
      <c r="D3" s="27"/>
      <c r="E3" s="70"/>
      <c r="F3" s="36"/>
      <c r="G3" s="35"/>
      <c r="H3" s="36"/>
      <c r="I3" s="39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8" t="s">
        <v>21</v>
      </c>
      <c r="B4" s="28"/>
      <c r="C4" s="10" t="s">
        <v>148</v>
      </c>
      <c r="D4" s="27"/>
      <c r="E4" s="71"/>
      <c r="F4" s="38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</row>
    <row r="5" spans="1:18" ht="12.75">
      <c r="A5" s="28" t="s">
        <v>22</v>
      </c>
      <c r="B5" s="28"/>
      <c r="C5" s="13" t="s">
        <v>176</v>
      </c>
      <c r="D5" s="7"/>
      <c r="E5" s="7"/>
      <c r="F5" s="13"/>
      <c r="G5" s="13"/>
      <c r="H5" s="13"/>
      <c r="I5" s="46"/>
      <c r="J5" s="13"/>
      <c r="K5" s="35"/>
      <c r="L5" s="13"/>
      <c r="M5" s="35"/>
      <c r="N5" s="35"/>
      <c r="O5" s="35"/>
      <c r="P5" s="35"/>
      <c r="Q5" s="35"/>
      <c r="R5" s="35"/>
    </row>
    <row r="6" spans="1:18" ht="12.75">
      <c r="A6" s="28"/>
      <c r="B6" s="28"/>
      <c r="C6" s="30"/>
      <c r="D6" s="30"/>
      <c r="E6" s="39"/>
      <c r="F6" s="36"/>
      <c r="G6" s="39"/>
      <c r="H6" s="36"/>
      <c r="I6" s="39"/>
      <c r="J6" s="39"/>
      <c r="K6" s="35"/>
      <c r="L6" s="39"/>
      <c r="M6" s="35"/>
      <c r="N6" s="35"/>
      <c r="O6" s="39"/>
      <c r="P6" s="35"/>
      <c r="Q6" s="39"/>
      <c r="R6" s="35"/>
    </row>
    <row r="7" spans="1:18" ht="12.75">
      <c r="A7" s="28"/>
      <c r="B7" s="28"/>
      <c r="C7" s="30" t="s">
        <v>23</v>
      </c>
      <c r="D7" s="30"/>
      <c r="E7" s="40" t="s">
        <v>52</v>
      </c>
      <c r="F7" s="40"/>
      <c r="G7" s="40"/>
      <c r="H7" s="40"/>
      <c r="I7" s="12"/>
      <c r="J7" s="40" t="s">
        <v>153</v>
      </c>
      <c r="K7" s="40"/>
      <c r="L7" s="40"/>
      <c r="M7" s="40"/>
      <c r="N7" s="12"/>
      <c r="O7" s="40" t="s">
        <v>53</v>
      </c>
      <c r="P7" s="40"/>
      <c r="Q7" s="40"/>
      <c r="R7" s="40"/>
    </row>
    <row r="8" spans="1:18" ht="12.75">
      <c r="A8" s="28"/>
      <c r="B8" s="28"/>
      <c r="C8" s="30" t="s">
        <v>24</v>
      </c>
      <c r="D8" s="28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</row>
    <row r="9" spans="1:18" ht="12.75">
      <c r="A9" s="28"/>
      <c r="B9" s="28"/>
      <c r="C9" s="30"/>
      <c r="D9" s="28"/>
      <c r="E9" s="39" t="s">
        <v>208</v>
      </c>
      <c r="F9" s="39" t="s">
        <v>208</v>
      </c>
      <c r="G9" s="39" t="s">
        <v>67</v>
      </c>
      <c r="H9" s="38" t="s">
        <v>67</v>
      </c>
      <c r="I9" s="39"/>
      <c r="J9" s="39" t="s">
        <v>208</v>
      </c>
      <c r="K9" s="39" t="s">
        <v>208</v>
      </c>
      <c r="L9" s="39" t="s">
        <v>67</v>
      </c>
      <c r="M9" s="38" t="s">
        <v>67</v>
      </c>
      <c r="N9" s="35"/>
      <c r="O9" s="39" t="s">
        <v>208</v>
      </c>
      <c r="P9" s="39" t="s">
        <v>208</v>
      </c>
      <c r="Q9" s="39" t="s">
        <v>67</v>
      </c>
      <c r="R9" s="38" t="s">
        <v>67</v>
      </c>
    </row>
    <row r="10" spans="1:18" ht="12.75">
      <c r="A10" s="28" t="s">
        <v>101</v>
      </c>
      <c r="B10" s="28"/>
      <c r="C10" s="28"/>
      <c r="D10" s="28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1"/>
      <c r="P10" s="35"/>
      <c r="Q10" s="35"/>
      <c r="R10" s="35"/>
    </row>
    <row r="11" spans="1:18" ht="12.75">
      <c r="A11" s="28"/>
      <c r="B11" s="28" t="s">
        <v>28</v>
      </c>
      <c r="C11" s="30">
        <v>1</v>
      </c>
      <c r="D11" t="s">
        <v>100</v>
      </c>
      <c r="E11" s="63">
        <v>19</v>
      </c>
      <c r="F11" s="33">
        <f aca="true" t="shared" si="0" ref="F11:H35">IF(E11="","",E11*$C11)</f>
        <v>19</v>
      </c>
      <c r="G11" s="33">
        <f aca="true" t="shared" si="1" ref="G11:G35">IF(E11=0,"",IF(D11="nd",E11/2,E11))</f>
        <v>9.5</v>
      </c>
      <c r="H11" s="33">
        <f t="shared" si="0"/>
        <v>9.5</v>
      </c>
      <c r="I11" s="63" t="s">
        <v>100</v>
      </c>
      <c r="J11" s="63">
        <v>15</v>
      </c>
      <c r="K11" s="33">
        <f aca="true" t="shared" si="2" ref="K11:M35">IF(J11="","",J11*$C11)</f>
        <v>15</v>
      </c>
      <c r="L11" s="33">
        <f aca="true" t="shared" si="3" ref="L11:L35">IF(J11=0,"",IF(I11="nd",J11/2,J11))</f>
        <v>7.5</v>
      </c>
      <c r="M11" s="33">
        <f t="shared" si="2"/>
        <v>7.5</v>
      </c>
      <c r="N11" s="63" t="s">
        <v>100</v>
      </c>
      <c r="O11" s="63">
        <v>14</v>
      </c>
      <c r="P11" s="33">
        <f aca="true" t="shared" si="4" ref="P11:R35">IF(O11="","",O11*$C11)</f>
        <v>14</v>
      </c>
      <c r="Q11" s="33">
        <f aca="true" t="shared" si="5" ref="Q11:Q35">IF(O11=0,"",IF(N11="nd",O11/2,O11))</f>
        <v>7</v>
      </c>
      <c r="R11" s="33">
        <f t="shared" si="4"/>
        <v>7</v>
      </c>
    </row>
    <row r="12" spans="1:18" ht="12.75">
      <c r="A12" s="28"/>
      <c r="B12" s="28" t="s">
        <v>90</v>
      </c>
      <c r="C12" s="30">
        <v>0</v>
      </c>
      <c r="D12" t="s">
        <v>100</v>
      </c>
      <c r="E12" s="63">
        <v>26</v>
      </c>
      <c r="F12" s="33">
        <f t="shared" si="0"/>
        <v>0</v>
      </c>
      <c r="G12" s="33">
        <f t="shared" si="1"/>
        <v>13</v>
      </c>
      <c r="H12" s="33">
        <f t="shared" si="0"/>
        <v>0</v>
      </c>
      <c r="I12" s="63" t="s">
        <v>100</v>
      </c>
      <c r="J12" s="63">
        <v>53</v>
      </c>
      <c r="K12" s="33">
        <f t="shared" si="2"/>
        <v>0</v>
      </c>
      <c r="L12" s="33">
        <f t="shared" si="3"/>
        <v>26.5</v>
      </c>
      <c r="M12" s="33">
        <f t="shared" si="2"/>
        <v>0</v>
      </c>
      <c r="N12" s="63"/>
      <c r="O12" s="63">
        <v>34</v>
      </c>
      <c r="P12" s="33">
        <f t="shared" si="4"/>
        <v>0</v>
      </c>
      <c r="Q12" s="33">
        <f t="shared" si="5"/>
        <v>34</v>
      </c>
      <c r="R12" s="33">
        <f t="shared" si="4"/>
        <v>0</v>
      </c>
    </row>
    <row r="13" spans="1:18" ht="12.75">
      <c r="A13" s="28"/>
      <c r="B13" s="28" t="s">
        <v>29</v>
      </c>
      <c r="C13" s="30">
        <v>0.5</v>
      </c>
      <c r="D13" t="s">
        <v>100</v>
      </c>
      <c r="E13" s="63">
        <v>23</v>
      </c>
      <c r="F13" s="33">
        <f t="shared" si="0"/>
        <v>11.5</v>
      </c>
      <c r="G13" s="33">
        <f t="shared" si="1"/>
        <v>11.5</v>
      </c>
      <c r="H13" s="33">
        <f t="shared" si="0"/>
        <v>5.75</v>
      </c>
      <c r="I13" s="63" t="s">
        <v>100</v>
      </c>
      <c r="J13" s="63">
        <v>26</v>
      </c>
      <c r="K13" s="33">
        <f t="shared" si="2"/>
        <v>13</v>
      </c>
      <c r="L13" s="33">
        <f t="shared" si="3"/>
        <v>13</v>
      </c>
      <c r="M13" s="33">
        <f t="shared" si="2"/>
        <v>6.5</v>
      </c>
      <c r="N13" s="63" t="s">
        <v>100</v>
      </c>
      <c r="O13" s="63">
        <v>21</v>
      </c>
      <c r="P13" s="33">
        <f t="shared" si="4"/>
        <v>10.5</v>
      </c>
      <c r="Q13" s="33">
        <f t="shared" si="5"/>
        <v>10.5</v>
      </c>
      <c r="R13" s="33">
        <f t="shared" si="4"/>
        <v>5.25</v>
      </c>
    </row>
    <row r="14" spans="1:18" ht="12.75">
      <c r="A14" s="28"/>
      <c r="B14" s="28" t="s">
        <v>91</v>
      </c>
      <c r="C14" s="30">
        <v>0</v>
      </c>
      <c r="D14" t="s">
        <v>100</v>
      </c>
      <c r="E14" s="63">
        <v>39</v>
      </c>
      <c r="F14" s="33">
        <f t="shared" si="0"/>
        <v>0</v>
      </c>
      <c r="G14" s="33">
        <f t="shared" si="1"/>
        <v>19.5</v>
      </c>
      <c r="H14" s="33">
        <f t="shared" si="0"/>
        <v>0</v>
      </c>
      <c r="I14" s="63" t="s">
        <v>100</v>
      </c>
      <c r="J14" s="63">
        <v>66</v>
      </c>
      <c r="K14" s="33">
        <f t="shared" si="2"/>
        <v>0</v>
      </c>
      <c r="L14" s="33">
        <f t="shared" si="3"/>
        <v>33</v>
      </c>
      <c r="M14" s="33">
        <f t="shared" si="2"/>
        <v>0</v>
      </c>
      <c r="N14" s="63" t="s">
        <v>100</v>
      </c>
      <c r="O14" s="63">
        <v>77</v>
      </c>
      <c r="P14" s="33">
        <f t="shared" si="4"/>
        <v>0</v>
      </c>
      <c r="Q14" s="33">
        <f t="shared" si="5"/>
        <v>38.5</v>
      </c>
      <c r="R14" s="33">
        <f t="shared" si="4"/>
        <v>0</v>
      </c>
    </row>
    <row r="15" spans="1:18" ht="12.75">
      <c r="A15" s="28"/>
      <c r="B15" s="28" t="s">
        <v>30</v>
      </c>
      <c r="C15" s="30">
        <v>0.1</v>
      </c>
      <c r="D15" t="s">
        <v>100</v>
      </c>
      <c r="E15" s="63">
        <v>21</v>
      </c>
      <c r="F15" s="33">
        <f t="shared" si="0"/>
        <v>2.1</v>
      </c>
      <c r="G15" s="33">
        <f t="shared" si="1"/>
        <v>10.5</v>
      </c>
      <c r="H15" s="33">
        <f t="shared" si="0"/>
        <v>1.05</v>
      </c>
      <c r="I15" s="63" t="s">
        <v>100</v>
      </c>
      <c r="J15" s="63">
        <v>22</v>
      </c>
      <c r="K15" s="33">
        <f t="shared" si="2"/>
        <v>2.2</v>
      </c>
      <c r="L15" s="33">
        <f t="shared" si="3"/>
        <v>11</v>
      </c>
      <c r="M15" s="33">
        <f t="shared" si="2"/>
        <v>1.1</v>
      </c>
      <c r="N15" s="63" t="s">
        <v>100</v>
      </c>
      <c r="O15" s="63">
        <v>23</v>
      </c>
      <c r="P15" s="33">
        <f t="shared" si="4"/>
        <v>2.3000000000000003</v>
      </c>
      <c r="Q15" s="33">
        <f t="shared" si="5"/>
        <v>11.5</v>
      </c>
      <c r="R15" s="33">
        <f t="shared" si="4"/>
        <v>1.1500000000000001</v>
      </c>
    </row>
    <row r="16" spans="1:18" ht="12.75">
      <c r="A16" s="28"/>
      <c r="B16" s="28" t="s">
        <v>31</v>
      </c>
      <c r="C16" s="30">
        <v>0.1</v>
      </c>
      <c r="D16" t="s">
        <v>100</v>
      </c>
      <c r="E16" s="63">
        <v>18</v>
      </c>
      <c r="F16" s="33">
        <f t="shared" si="0"/>
        <v>1.8</v>
      </c>
      <c r="G16" s="33">
        <f t="shared" si="1"/>
        <v>9</v>
      </c>
      <c r="H16" s="33">
        <f t="shared" si="0"/>
        <v>0.9</v>
      </c>
      <c r="I16" s="63" t="s">
        <v>100</v>
      </c>
      <c r="J16" s="63">
        <v>26</v>
      </c>
      <c r="K16" s="33">
        <f t="shared" si="2"/>
        <v>2.6</v>
      </c>
      <c r="L16" s="33">
        <f t="shared" si="3"/>
        <v>13</v>
      </c>
      <c r="M16" s="33">
        <f t="shared" si="2"/>
        <v>1.3</v>
      </c>
      <c r="N16" s="63" t="s">
        <v>100</v>
      </c>
      <c r="O16" s="63">
        <v>26</v>
      </c>
      <c r="P16" s="33">
        <f t="shared" si="4"/>
        <v>2.6</v>
      </c>
      <c r="Q16" s="33">
        <f t="shared" si="5"/>
        <v>13</v>
      </c>
      <c r="R16" s="33">
        <f t="shared" si="4"/>
        <v>1.3</v>
      </c>
    </row>
    <row r="17" spans="1:18" ht="12.75">
      <c r="A17" s="28"/>
      <c r="B17" s="28" t="s">
        <v>32</v>
      </c>
      <c r="C17" s="30">
        <v>0.1</v>
      </c>
      <c r="D17" t="s">
        <v>100</v>
      </c>
      <c r="E17" s="63">
        <v>19</v>
      </c>
      <c r="F17" s="33">
        <f t="shared" si="0"/>
        <v>1.9000000000000001</v>
      </c>
      <c r="G17" s="33">
        <f t="shared" si="1"/>
        <v>9.5</v>
      </c>
      <c r="H17" s="33">
        <f t="shared" si="0"/>
        <v>0.9500000000000001</v>
      </c>
      <c r="I17" s="63" t="s">
        <v>100</v>
      </c>
      <c r="J17" s="63">
        <v>31</v>
      </c>
      <c r="K17" s="33">
        <f t="shared" si="2"/>
        <v>3.1</v>
      </c>
      <c r="L17" s="33">
        <f t="shared" si="3"/>
        <v>15.5</v>
      </c>
      <c r="M17" s="33">
        <f t="shared" si="2"/>
        <v>1.55</v>
      </c>
      <c r="N17" s="63" t="s">
        <v>100</v>
      </c>
      <c r="O17" s="63">
        <v>29</v>
      </c>
      <c r="P17" s="33">
        <f t="shared" si="4"/>
        <v>2.9000000000000004</v>
      </c>
      <c r="Q17" s="33">
        <f t="shared" si="5"/>
        <v>14.5</v>
      </c>
      <c r="R17" s="33">
        <f t="shared" si="4"/>
        <v>1.4500000000000002</v>
      </c>
    </row>
    <row r="18" spans="1:18" ht="12.75">
      <c r="A18" s="28"/>
      <c r="B18" s="28" t="s">
        <v>92</v>
      </c>
      <c r="C18" s="30">
        <v>0</v>
      </c>
      <c r="D18" t="s">
        <v>100</v>
      </c>
      <c r="E18" s="63">
        <v>46</v>
      </c>
      <c r="F18" s="33">
        <f t="shared" si="0"/>
        <v>0</v>
      </c>
      <c r="G18" s="33">
        <f t="shared" si="1"/>
        <v>23</v>
      </c>
      <c r="H18" s="33">
        <f t="shared" si="0"/>
        <v>0</v>
      </c>
      <c r="I18" s="63" t="s">
        <v>100</v>
      </c>
      <c r="J18" s="63">
        <v>105</v>
      </c>
      <c r="K18" s="33">
        <f t="shared" si="2"/>
        <v>0</v>
      </c>
      <c r="L18" s="33">
        <f t="shared" si="3"/>
        <v>52.5</v>
      </c>
      <c r="M18" s="33">
        <f t="shared" si="2"/>
        <v>0</v>
      </c>
      <c r="N18" s="63" t="s">
        <v>100</v>
      </c>
      <c r="O18" s="63">
        <v>120</v>
      </c>
      <c r="P18" s="33">
        <f t="shared" si="4"/>
        <v>0</v>
      </c>
      <c r="Q18" s="33">
        <f t="shared" si="5"/>
        <v>60</v>
      </c>
      <c r="R18" s="33">
        <f t="shared" si="4"/>
        <v>0</v>
      </c>
    </row>
    <row r="19" spans="1:18" ht="12.75">
      <c r="A19" s="28"/>
      <c r="B19" s="28" t="s">
        <v>33</v>
      </c>
      <c r="C19" s="30">
        <v>0.01</v>
      </c>
      <c r="D19" t="s">
        <v>100</v>
      </c>
      <c r="E19" s="63">
        <v>34</v>
      </c>
      <c r="F19" s="33">
        <f t="shared" si="0"/>
        <v>0.34</v>
      </c>
      <c r="G19" s="33">
        <f t="shared" si="1"/>
        <v>17</v>
      </c>
      <c r="H19" s="33">
        <f t="shared" si="0"/>
        <v>0.17</v>
      </c>
      <c r="I19" s="63" t="s">
        <v>100</v>
      </c>
      <c r="J19" s="63">
        <v>59</v>
      </c>
      <c r="K19" s="33">
        <f t="shared" si="2"/>
        <v>0.59</v>
      </c>
      <c r="L19" s="33">
        <f t="shared" si="3"/>
        <v>29.5</v>
      </c>
      <c r="M19" s="33">
        <f t="shared" si="2"/>
        <v>0.295</v>
      </c>
      <c r="N19" s="63" t="s">
        <v>100</v>
      </c>
      <c r="O19" s="63">
        <v>69</v>
      </c>
      <c r="P19" s="33">
        <f t="shared" si="4"/>
        <v>0.6900000000000001</v>
      </c>
      <c r="Q19" s="33">
        <f t="shared" si="5"/>
        <v>34.5</v>
      </c>
      <c r="R19" s="33">
        <f t="shared" si="4"/>
        <v>0.34500000000000003</v>
      </c>
    </row>
    <row r="20" spans="1:18" ht="12.75">
      <c r="A20" s="28"/>
      <c r="B20" s="28" t="s">
        <v>93</v>
      </c>
      <c r="C20" s="30">
        <v>0</v>
      </c>
      <c r="D20" t="s">
        <v>100</v>
      </c>
      <c r="E20" s="63">
        <v>34</v>
      </c>
      <c r="F20" s="33">
        <f t="shared" si="0"/>
        <v>0</v>
      </c>
      <c r="G20" s="33">
        <f t="shared" si="1"/>
        <v>17</v>
      </c>
      <c r="H20" s="33">
        <f t="shared" si="0"/>
        <v>0</v>
      </c>
      <c r="I20" s="63" t="s">
        <v>100</v>
      </c>
      <c r="J20" s="63">
        <v>59</v>
      </c>
      <c r="K20" s="33">
        <f t="shared" si="2"/>
        <v>0</v>
      </c>
      <c r="L20" s="33">
        <f t="shared" si="3"/>
        <v>29.5</v>
      </c>
      <c r="M20" s="33">
        <f t="shared" si="2"/>
        <v>0</v>
      </c>
      <c r="N20" s="63" t="s">
        <v>100</v>
      </c>
      <c r="O20" s="63">
        <v>69</v>
      </c>
      <c r="P20" s="33">
        <f t="shared" si="4"/>
        <v>0</v>
      </c>
      <c r="Q20" s="33">
        <f t="shared" si="5"/>
        <v>34.5</v>
      </c>
      <c r="R20" s="33">
        <f t="shared" si="4"/>
        <v>0</v>
      </c>
    </row>
    <row r="21" spans="1:18" ht="12.75">
      <c r="A21" s="28"/>
      <c r="B21" s="28" t="s">
        <v>34</v>
      </c>
      <c r="C21" s="30">
        <v>0.001</v>
      </c>
      <c r="D21" t="s">
        <v>100</v>
      </c>
      <c r="E21" s="63">
        <v>98</v>
      </c>
      <c r="F21" s="33">
        <f t="shared" si="0"/>
        <v>0.098</v>
      </c>
      <c r="G21" s="33">
        <f t="shared" si="1"/>
        <v>49</v>
      </c>
      <c r="H21" s="33">
        <f t="shared" si="0"/>
        <v>0.049</v>
      </c>
      <c r="I21" s="63" t="s">
        <v>100</v>
      </c>
      <c r="J21" s="63">
        <v>126</v>
      </c>
      <c r="K21" s="33">
        <f t="shared" si="2"/>
        <v>0.126</v>
      </c>
      <c r="L21" s="33">
        <f t="shared" si="3"/>
        <v>63</v>
      </c>
      <c r="M21" s="33">
        <f t="shared" si="2"/>
        <v>0.063</v>
      </c>
      <c r="N21" s="63" t="s">
        <v>100</v>
      </c>
      <c r="O21" s="63">
        <v>153</v>
      </c>
      <c r="P21" s="33">
        <f t="shared" si="4"/>
        <v>0.153</v>
      </c>
      <c r="Q21" s="33">
        <f t="shared" si="5"/>
        <v>76.5</v>
      </c>
      <c r="R21" s="33">
        <f t="shared" si="4"/>
        <v>0.0765</v>
      </c>
    </row>
    <row r="22" spans="1:18" ht="12.75">
      <c r="A22" s="28"/>
      <c r="B22" s="28" t="s">
        <v>35</v>
      </c>
      <c r="C22" s="30">
        <v>0.1</v>
      </c>
      <c r="D22" t="s">
        <v>100</v>
      </c>
      <c r="E22" s="63">
        <v>56</v>
      </c>
      <c r="F22" s="33">
        <f t="shared" si="0"/>
        <v>5.6000000000000005</v>
      </c>
      <c r="G22" s="33">
        <f t="shared" si="1"/>
        <v>28</v>
      </c>
      <c r="H22" s="33">
        <f t="shared" si="0"/>
        <v>2.8000000000000003</v>
      </c>
      <c r="I22" s="63" t="s">
        <v>100</v>
      </c>
      <c r="J22" s="63">
        <v>36</v>
      </c>
      <c r="K22" s="33">
        <f t="shared" si="2"/>
        <v>3.6</v>
      </c>
      <c r="L22" s="33">
        <f t="shared" si="3"/>
        <v>18</v>
      </c>
      <c r="M22" s="33">
        <f t="shared" si="2"/>
        <v>1.8</v>
      </c>
      <c r="N22" s="63" t="s">
        <v>100</v>
      </c>
      <c r="O22" s="63">
        <v>21</v>
      </c>
      <c r="P22" s="33">
        <f t="shared" si="4"/>
        <v>2.1</v>
      </c>
      <c r="Q22" s="33">
        <f t="shared" si="5"/>
        <v>10.5</v>
      </c>
      <c r="R22" s="33">
        <f t="shared" si="4"/>
        <v>1.05</v>
      </c>
    </row>
    <row r="23" spans="1:18" ht="12.75">
      <c r="A23" s="28"/>
      <c r="B23" s="28" t="s">
        <v>94</v>
      </c>
      <c r="C23" s="30">
        <v>0</v>
      </c>
      <c r="D23" t="s">
        <v>100</v>
      </c>
      <c r="E23" s="63">
        <v>414</v>
      </c>
      <c r="F23" s="33">
        <f t="shared" si="0"/>
        <v>0</v>
      </c>
      <c r="G23" s="33">
        <f t="shared" si="1"/>
        <v>207</v>
      </c>
      <c r="H23" s="33">
        <f t="shared" si="0"/>
        <v>0</v>
      </c>
      <c r="I23" s="63" t="s">
        <v>100</v>
      </c>
      <c r="J23" s="63">
        <v>485</v>
      </c>
      <c r="K23" s="33">
        <f t="shared" si="2"/>
        <v>0</v>
      </c>
      <c r="L23" s="33">
        <f t="shared" si="3"/>
        <v>242.5</v>
      </c>
      <c r="M23" s="33">
        <f t="shared" si="2"/>
        <v>0</v>
      </c>
      <c r="N23" s="63" t="s">
        <v>100</v>
      </c>
      <c r="O23" s="63">
        <v>152</v>
      </c>
      <c r="P23" s="33">
        <f t="shared" si="4"/>
        <v>0</v>
      </c>
      <c r="Q23" s="33">
        <f t="shared" si="5"/>
        <v>76</v>
      </c>
      <c r="R23" s="33">
        <f t="shared" si="4"/>
        <v>0</v>
      </c>
    </row>
    <row r="24" spans="1:18" ht="12.75">
      <c r="A24" s="28"/>
      <c r="B24" s="28" t="s">
        <v>36</v>
      </c>
      <c r="C24" s="30">
        <v>0.05</v>
      </c>
      <c r="D24" t="s">
        <v>100</v>
      </c>
      <c r="E24" s="63">
        <v>41</v>
      </c>
      <c r="F24" s="33">
        <f t="shared" si="0"/>
        <v>2.0500000000000003</v>
      </c>
      <c r="G24" s="33">
        <f t="shared" si="1"/>
        <v>20.5</v>
      </c>
      <c r="H24" s="33">
        <f t="shared" si="0"/>
        <v>1.0250000000000001</v>
      </c>
      <c r="I24" s="63" t="s">
        <v>100</v>
      </c>
      <c r="J24" s="63">
        <v>51</v>
      </c>
      <c r="K24" s="33">
        <f t="shared" si="2"/>
        <v>2.5500000000000003</v>
      </c>
      <c r="L24" s="33">
        <f t="shared" si="3"/>
        <v>25.5</v>
      </c>
      <c r="M24" s="33">
        <f t="shared" si="2"/>
        <v>1.2750000000000001</v>
      </c>
      <c r="N24" s="63" t="s">
        <v>100</v>
      </c>
      <c r="O24" s="63">
        <v>11</v>
      </c>
      <c r="P24" s="33">
        <f t="shared" si="4"/>
        <v>0.55</v>
      </c>
      <c r="Q24" s="33">
        <f t="shared" si="5"/>
        <v>5.5</v>
      </c>
      <c r="R24" s="33">
        <f t="shared" si="4"/>
        <v>0.275</v>
      </c>
    </row>
    <row r="25" spans="1:18" ht="12.75">
      <c r="A25" s="28"/>
      <c r="B25" s="28" t="s">
        <v>37</v>
      </c>
      <c r="C25" s="30">
        <v>0.5</v>
      </c>
      <c r="D25" t="s">
        <v>100</v>
      </c>
      <c r="E25" s="63">
        <v>32</v>
      </c>
      <c r="F25" s="33">
        <f t="shared" si="0"/>
        <v>16</v>
      </c>
      <c r="G25" s="33">
        <f t="shared" si="1"/>
        <v>16</v>
      </c>
      <c r="H25" s="33">
        <f t="shared" si="0"/>
        <v>8</v>
      </c>
      <c r="I25" s="63" t="s">
        <v>100</v>
      </c>
      <c r="J25" s="63">
        <v>37</v>
      </c>
      <c r="K25" s="33">
        <f t="shared" si="2"/>
        <v>18.5</v>
      </c>
      <c r="L25" s="33">
        <f t="shared" si="3"/>
        <v>18.5</v>
      </c>
      <c r="M25" s="33">
        <f t="shared" si="2"/>
        <v>9.25</v>
      </c>
      <c r="N25" s="63" t="s">
        <v>100</v>
      </c>
      <c r="O25" s="63">
        <v>20</v>
      </c>
      <c r="P25" s="33">
        <f t="shared" si="4"/>
        <v>10</v>
      </c>
      <c r="Q25" s="33">
        <f t="shared" si="5"/>
        <v>10</v>
      </c>
      <c r="R25" s="33">
        <f t="shared" si="4"/>
        <v>5</v>
      </c>
    </row>
    <row r="26" spans="1:18" ht="12.75">
      <c r="A26" s="28"/>
      <c r="B26" s="28" t="s">
        <v>95</v>
      </c>
      <c r="C26" s="30">
        <v>0</v>
      </c>
      <c r="D26" t="s">
        <v>100</v>
      </c>
      <c r="E26" s="63">
        <v>119</v>
      </c>
      <c r="F26" s="33">
        <f t="shared" si="0"/>
        <v>0</v>
      </c>
      <c r="G26" s="33">
        <f t="shared" si="1"/>
        <v>59.5</v>
      </c>
      <c r="H26" s="33">
        <f t="shared" si="0"/>
        <v>0</v>
      </c>
      <c r="I26" s="63" t="s">
        <v>100</v>
      </c>
      <c r="J26" s="63">
        <v>123</v>
      </c>
      <c r="K26" s="33">
        <f t="shared" si="2"/>
        <v>0</v>
      </c>
      <c r="L26" s="33">
        <f t="shared" si="3"/>
        <v>61.5</v>
      </c>
      <c r="M26" s="33">
        <f t="shared" si="2"/>
        <v>0</v>
      </c>
      <c r="N26" s="63" t="s">
        <v>100</v>
      </c>
      <c r="O26" s="63">
        <v>32</v>
      </c>
      <c r="P26" s="33">
        <f t="shared" si="4"/>
        <v>0</v>
      </c>
      <c r="Q26" s="33">
        <f t="shared" si="5"/>
        <v>16</v>
      </c>
      <c r="R26" s="33">
        <f t="shared" si="4"/>
        <v>0</v>
      </c>
    </row>
    <row r="27" spans="1:18" ht="12.75">
      <c r="A27" s="28"/>
      <c r="B27" s="28" t="s">
        <v>38</v>
      </c>
      <c r="C27" s="30">
        <v>0.1</v>
      </c>
      <c r="D27" t="s">
        <v>100</v>
      </c>
      <c r="E27" s="63">
        <v>15</v>
      </c>
      <c r="F27" s="33">
        <f t="shared" si="0"/>
        <v>1.5</v>
      </c>
      <c r="G27" s="33">
        <f t="shared" si="1"/>
        <v>7.5</v>
      </c>
      <c r="H27" s="33">
        <f t="shared" si="0"/>
        <v>0.75</v>
      </c>
      <c r="I27" s="63" t="s">
        <v>100</v>
      </c>
      <c r="J27" s="63">
        <v>22</v>
      </c>
      <c r="K27" s="33">
        <f t="shared" si="2"/>
        <v>2.2</v>
      </c>
      <c r="L27" s="33">
        <f t="shared" si="3"/>
        <v>11</v>
      </c>
      <c r="M27" s="33">
        <f t="shared" si="2"/>
        <v>1.1</v>
      </c>
      <c r="N27" s="63" t="s">
        <v>100</v>
      </c>
      <c r="O27" s="63">
        <v>15</v>
      </c>
      <c r="P27" s="33">
        <f t="shared" si="4"/>
        <v>1.5</v>
      </c>
      <c r="Q27" s="33">
        <f t="shared" si="5"/>
        <v>7.5</v>
      </c>
      <c r="R27" s="33">
        <f t="shared" si="4"/>
        <v>0.75</v>
      </c>
    </row>
    <row r="28" spans="1:18" ht="12.75">
      <c r="A28" s="28"/>
      <c r="B28" s="28" t="s">
        <v>39</v>
      </c>
      <c r="C28" s="30">
        <v>0.1</v>
      </c>
      <c r="D28" t="s">
        <v>100</v>
      </c>
      <c r="E28" s="63">
        <v>12</v>
      </c>
      <c r="F28" s="33">
        <f t="shared" si="0"/>
        <v>1.2000000000000002</v>
      </c>
      <c r="G28" s="33">
        <f t="shared" si="1"/>
        <v>6</v>
      </c>
      <c r="H28" s="33">
        <f t="shared" si="0"/>
        <v>0.6000000000000001</v>
      </c>
      <c r="I28" s="63" t="s">
        <v>100</v>
      </c>
      <c r="J28" s="63">
        <v>14</v>
      </c>
      <c r="K28" s="33">
        <f t="shared" si="2"/>
        <v>1.4000000000000001</v>
      </c>
      <c r="L28" s="33">
        <f t="shared" si="3"/>
        <v>7</v>
      </c>
      <c r="M28" s="33">
        <f t="shared" si="2"/>
        <v>0.7000000000000001</v>
      </c>
      <c r="N28" s="63" t="s">
        <v>100</v>
      </c>
      <c r="O28" s="63">
        <v>15</v>
      </c>
      <c r="P28" s="33">
        <f t="shared" si="4"/>
        <v>1.5</v>
      </c>
      <c r="Q28" s="33">
        <f t="shared" si="5"/>
        <v>7.5</v>
      </c>
      <c r="R28" s="33">
        <f t="shared" si="4"/>
        <v>0.75</v>
      </c>
    </row>
    <row r="29" spans="1:18" ht="12.75">
      <c r="A29" s="28"/>
      <c r="B29" s="28" t="s">
        <v>40</v>
      </c>
      <c r="C29" s="30">
        <v>0.1</v>
      </c>
      <c r="D29" t="s">
        <v>100</v>
      </c>
      <c r="E29" s="63">
        <v>9</v>
      </c>
      <c r="F29" s="33">
        <f t="shared" si="0"/>
        <v>0.9</v>
      </c>
      <c r="G29" s="33">
        <f t="shared" si="1"/>
        <v>4.5</v>
      </c>
      <c r="H29" s="33">
        <f t="shared" si="0"/>
        <v>0.45</v>
      </c>
      <c r="I29" s="63" t="s">
        <v>100</v>
      </c>
      <c r="J29" s="63">
        <v>16</v>
      </c>
      <c r="K29" s="33">
        <f t="shared" si="2"/>
        <v>1.6</v>
      </c>
      <c r="L29" s="33">
        <f t="shared" si="3"/>
        <v>8</v>
      </c>
      <c r="M29" s="33">
        <f t="shared" si="2"/>
        <v>0.8</v>
      </c>
      <c r="N29" s="63" t="s">
        <v>100</v>
      </c>
      <c r="O29" s="63">
        <v>18</v>
      </c>
      <c r="P29" s="33">
        <f t="shared" si="4"/>
        <v>1.8</v>
      </c>
      <c r="Q29" s="33">
        <f t="shared" si="5"/>
        <v>9</v>
      </c>
      <c r="R29" s="33">
        <f t="shared" si="4"/>
        <v>0.9</v>
      </c>
    </row>
    <row r="30" spans="1:18" ht="12.75">
      <c r="A30" s="28"/>
      <c r="B30" s="28" t="s">
        <v>41</v>
      </c>
      <c r="C30" s="30">
        <v>0.1</v>
      </c>
      <c r="D30" t="s">
        <v>100</v>
      </c>
      <c r="E30" s="63">
        <v>11</v>
      </c>
      <c r="F30" s="33">
        <f t="shared" si="0"/>
        <v>1.1</v>
      </c>
      <c r="G30" s="33">
        <f t="shared" si="1"/>
        <v>5.5</v>
      </c>
      <c r="H30" s="33">
        <f t="shared" si="0"/>
        <v>0.55</v>
      </c>
      <c r="I30" s="63" t="s">
        <v>100</v>
      </c>
      <c r="J30" s="63">
        <v>13</v>
      </c>
      <c r="K30" s="33">
        <f t="shared" si="2"/>
        <v>1.3</v>
      </c>
      <c r="L30" s="33">
        <f t="shared" si="3"/>
        <v>6.5</v>
      </c>
      <c r="M30" s="33">
        <f t="shared" si="2"/>
        <v>0.65</v>
      </c>
      <c r="N30" s="63" t="s">
        <v>100</v>
      </c>
      <c r="O30" s="63">
        <v>9</v>
      </c>
      <c r="P30" s="33">
        <f t="shared" si="4"/>
        <v>0.9</v>
      </c>
      <c r="Q30" s="33">
        <f t="shared" si="5"/>
        <v>4.5</v>
      </c>
      <c r="R30" s="33">
        <f t="shared" si="4"/>
        <v>0.45</v>
      </c>
    </row>
    <row r="31" spans="1:18" ht="12.75">
      <c r="A31" s="28"/>
      <c r="B31" s="28" t="s">
        <v>96</v>
      </c>
      <c r="C31" s="30">
        <v>0</v>
      </c>
      <c r="D31" t="s">
        <v>100</v>
      </c>
      <c r="E31" s="63">
        <v>39</v>
      </c>
      <c r="F31" s="33">
        <f t="shared" si="0"/>
        <v>0</v>
      </c>
      <c r="G31" s="33">
        <f t="shared" si="1"/>
        <v>19.5</v>
      </c>
      <c r="H31" s="33">
        <f t="shared" si="0"/>
        <v>0</v>
      </c>
      <c r="I31" s="63" t="s">
        <v>100</v>
      </c>
      <c r="J31" s="63">
        <v>49</v>
      </c>
      <c r="K31" s="33">
        <f t="shared" si="2"/>
        <v>0</v>
      </c>
      <c r="L31" s="33">
        <f t="shared" si="3"/>
        <v>24.5</v>
      </c>
      <c r="M31" s="33">
        <f t="shared" si="2"/>
        <v>0</v>
      </c>
      <c r="N31" s="63" t="s">
        <v>100</v>
      </c>
      <c r="O31" s="63">
        <v>24</v>
      </c>
      <c r="P31" s="33">
        <f t="shared" si="4"/>
        <v>0</v>
      </c>
      <c r="Q31" s="33">
        <f t="shared" si="5"/>
        <v>12</v>
      </c>
      <c r="R31" s="33">
        <f t="shared" si="4"/>
        <v>0</v>
      </c>
    </row>
    <row r="32" spans="1:18" ht="12.75">
      <c r="A32" s="28"/>
      <c r="B32" s="28" t="s">
        <v>42</v>
      </c>
      <c r="C32" s="30">
        <v>0.01</v>
      </c>
      <c r="D32" t="s">
        <v>100</v>
      </c>
      <c r="E32" s="63">
        <v>27</v>
      </c>
      <c r="F32" s="33">
        <f t="shared" si="0"/>
        <v>0.27</v>
      </c>
      <c r="G32" s="33">
        <f t="shared" si="1"/>
        <v>13.5</v>
      </c>
      <c r="H32" s="33">
        <f t="shared" si="0"/>
        <v>0.135</v>
      </c>
      <c r="I32" s="63" t="s">
        <v>100</v>
      </c>
      <c r="J32" s="63">
        <v>42</v>
      </c>
      <c r="K32" s="33">
        <f t="shared" si="2"/>
        <v>0.42</v>
      </c>
      <c r="L32" s="33">
        <f t="shared" si="3"/>
        <v>21</v>
      </c>
      <c r="M32" s="33">
        <f t="shared" si="2"/>
        <v>0.21</v>
      </c>
      <c r="N32" s="63" t="s">
        <v>100</v>
      </c>
      <c r="O32" s="63">
        <v>48</v>
      </c>
      <c r="P32" s="33">
        <f t="shared" si="4"/>
        <v>0.48</v>
      </c>
      <c r="Q32" s="33">
        <f t="shared" si="5"/>
        <v>24</v>
      </c>
      <c r="R32" s="33">
        <f t="shared" si="4"/>
        <v>0.24</v>
      </c>
    </row>
    <row r="33" spans="1:18" ht="12.75">
      <c r="A33" s="28"/>
      <c r="B33" s="28" t="s">
        <v>43</v>
      </c>
      <c r="C33" s="30">
        <v>0.01</v>
      </c>
      <c r="D33" t="s">
        <v>100</v>
      </c>
      <c r="E33" s="63">
        <v>14</v>
      </c>
      <c r="F33" s="33">
        <f t="shared" si="0"/>
        <v>0.14</v>
      </c>
      <c r="G33" s="33">
        <f t="shared" si="1"/>
        <v>7</v>
      </c>
      <c r="H33" s="33">
        <f t="shared" si="0"/>
        <v>0.07</v>
      </c>
      <c r="I33" s="63" t="s">
        <v>100</v>
      </c>
      <c r="J33" s="63">
        <v>20</v>
      </c>
      <c r="K33" s="33">
        <f t="shared" si="2"/>
        <v>0.2</v>
      </c>
      <c r="L33" s="33">
        <f t="shared" si="3"/>
        <v>10</v>
      </c>
      <c r="M33" s="33">
        <f t="shared" si="2"/>
        <v>0.1</v>
      </c>
      <c r="N33" s="63" t="s">
        <v>100</v>
      </c>
      <c r="O33" s="63">
        <v>12</v>
      </c>
      <c r="P33" s="33">
        <f t="shared" si="4"/>
        <v>0.12</v>
      </c>
      <c r="Q33" s="33">
        <f t="shared" si="5"/>
        <v>6</v>
      </c>
      <c r="R33" s="33">
        <f t="shared" si="4"/>
        <v>0.06</v>
      </c>
    </row>
    <row r="34" spans="1:18" ht="12.75">
      <c r="A34" s="28"/>
      <c r="B34" s="28" t="s">
        <v>97</v>
      </c>
      <c r="C34" s="30">
        <v>0</v>
      </c>
      <c r="D34" t="s">
        <v>100</v>
      </c>
      <c r="E34" s="63">
        <v>27</v>
      </c>
      <c r="F34" s="33">
        <f t="shared" si="0"/>
        <v>0</v>
      </c>
      <c r="G34" s="33">
        <f t="shared" si="1"/>
        <v>13.5</v>
      </c>
      <c r="H34" s="33">
        <f t="shared" si="0"/>
        <v>0</v>
      </c>
      <c r="I34" s="63" t="s">
        <v>100</v>
      </c>
      <c r="J34" s="63">
        <v>42</v>
      </c>
      <c r="K34" s="33">
        <f t="shared" si="2"/>
        <v>0</v>
      </c>
      <c r="L34" s="33">
        <f t="shared" si="3"/>
        <v>21</v>
      </c>
      <c r="M34" s="33">
        <f t="shared" si="2"/>
        <v>0</v>
      </c>
      <c r="N34" s="63" t="s">
        <v>100</v>
      </c>
      <c r="O34" s="63">
        <v>48</v>
      </c>
      <c r="P34" s="33">
        <f t="shared" si="4"/>
        <v>0</v>
      </c>
      <c r="Q34" s="33">
        <f t="shared" si="5"/>
        <v>24</v>
      </c>
      <c r="R34" s="33">
        <f t="shared" si="4"/>
        <v>0</v>
      </c>
    </row>
    <row r="35" spans="1:18" ht="12.75">
      <c r="A35" s="28"/>
      <c r="B35" s="28" t="s">
        <v>44</v>
      </c>
      <c r="C35" s="30">
        <v>0.001</v>
      </c>
      <c r="D35" t="s">
        <v>100</v>
      </c>
      <c r="E35" s="63">
        <v>40</v>
      </c>
      <c r="F35" s="33">
        <f t="shared" si="0"/>
        <v>0.04</v>
      </c>
      <c r="G35" s="33">
        <f t="shared" si="1"/>
        <v>20</v>
      </c>
      <c r="H35" s="33">
        <f t="shared" si="0"/>
        <v>0.02</v>
      </c>
      <c r="I35" s="63" t="s">
        <v>100</v>
      </c>
      <c r="J35" s="63">
        <v>45</v>
      </c>
      <c r="K35" s="33">
        <f t="shared" si="2"/>
        <v>0.045</v>
      </c>
      <c r="L35" s="33">
        <f t="shared" si="3"/>
        <v>22.5</v>
      </c>
      <c r="M35" s="33">
        <f t="shared" si="2"/>
        <v>0.0225</v>
      </c>
      <c r="N35" s="63" t="s">
        <v>100</v>
      </c>
      <c r="O35" s="63">
        <v>51</v>
      </c>
      <c r="P35" s="33">
        <f t="shared" si="4"/>
        <v>0.051000000000000004</v>
      </c>
      <c r="Q35" s="33">
        <f t="shared" si="5"/>
        <v>25.5</v>
      </c>
      <c r="R35" s="33">
        <f t="shared" si="4"/>
        <v>0.025500000000000002</v>
      </c>
    </row>
    <row r="36" spans="1:18" ht="12.75">
      <c r="A36" s="28"/>
      <c r="B36" s="28"/>
      <c r="C36" s="28"/>
      <c r="D36" s="28"/>
      <c r="E36" s="33"/>
      <c r="F36" s="36"/>
      <c r="G36" s="33"/>
      <c r="H36" s="36"/>
      <c r="I36" s="52"/>
      <c r="J36" s="13"/>
      <c r="K36" s="31"/>
      <c r="L36" s="31"/>
      <c r="M36" s="31"/>
      <c r="N36" s="33"/>
      <c r="O36" s="13"/>
      <c r="P36" s="35"/>
      <c r="Q36" s="33"/>
      <c r="R36" s="35"/>
    </row>
    <row r="37" spans="1:18" ht="12.75">
      <c r="A37" s="28"/>
      <c r="B37" s="28" t="s">
        <v>45</v>
      </c>
      <c r="C37" s="28"/>
      <c r="D37" s="28"/>
      <c r="E37" s="33"/>
      <c r="F37">
        <v>228.73</v>
      </c>
      <c r="G37">
        <v>228.73</v>
      </c>
      <c r="H37">
        <v>228.73</v>
      </c>
      <c r="I37"/>
      <c r="K37">
        <v>244.72</v>
      </c>
      <c r="L37">
        <v>244.72</v>
      </c>
      <c r="M37">
        <v>244.72</v>
      </c>
      <c r="P37">
        <v>233.72</v>
      </c>
      <c r="Q37">
        <v>233.72</v>
      </c>
      <c r="R37">
        <v>233.72</v>
      </c>
    </row>
    <row r="38" spans="1:18" ht="12.75">
      <c r="A38" s="28"/>
      <c r="B38" s="28" t="s">
        <v>59</v>
      </c>
      <c r="C38" s="28"/>
      <c r="D38" s="28"/>
      <c r="E38" s="33"/>
      <c r="F38">
        <v>9</v>
      </c>
      <c r="G38">
        <v>9</v>
      </c>
      <c r="H38">
        <v>9</v>
      </c>
      <c r="I38"/>
      <c r="K38">
        <v>8.8</v>
      </c>
      <c r="L38">
        <v>8.8</v>
      </c>
      <c r="M38">
        <v>8.8</v>
      </c>
      <c r="P38">
        <v>8.8</v>
      </c>
      <c r="Q38">
        <v>8.8</v>
      </c>
      <c r="R38">
        <v>8.8</v>
      </c>
    </row>
    <row r="39" spans="1:18" ht="12.75">
      <c r="A39" s="28"/>
      <c r="B39" s="28"/>
      <c r="C39" s="28"/>
      <c r="D39" s="28"/>
      <c r="E39" s="33"/>
      <c r="F39" s="13"/>
      <c r="G39" s="33"/>
      <c r="H39" s="13"/>
      <c r="I39" s="46"/>
      <c r="J39" s="33"/>
      <c r="K39" s="34"/>
      <c r="L39" s="31"/>
      <c r="M39" s="34"/>
      <c r="N39" s="33"/>
      <c r="O39" s="33"/>
      <c r="P39" s="33"/>
      <c r="Q39" s="33"/>
      <c r="R39" s="33"/>
    </row>
    <row r="40" spans="1:18" ht="12.75">
      <c r="A40" s="28"/>
      <c r="B40" s="28" t="s">
        <v>98</v>
      </c>
      <c r="C40" s="36"/>
      <c r="D40" s="36"/>
      <c r="E40" s="31"/>
      <c r="F40" s="32">
        <f>SUM(F11:F35)/1000</f>
        <v>0.065538</v>
      </c>
      <c r="G40" s="31">
        <f>SUM(G35,G34,G31,G26,G23,G21,G20,G18,G14,G12)/1000</f>
        <v>0.441</v>
      </c>
      <c r="H40" s="32">
        <f>SUM(H11:H35)/1000</f>
        <v>0.032769</v>
      </c>
      <c r="I40" s="38"/>
      <c r="J40" s="31"/>
      <c r="K40" s="32">
        <f>SUM(K11:K35)/1000</f>
        <v>0.06843099999999999</v>
      </c>
      <c r="L40" s="31">
        <f>SUM(L35,L34,L31,L26,L23,L21,L20,L18,L14,L12)/1000</f>
        <v>0.5765</v>
      </c>
      <c r="M40" s="32">
        <f>SUM(M11:M35)/1000</f>
        <v>0.034215499999999996</v>
      </c>
      <c r="N40" s="36"/>
      <c r="O40" s="33"/>
      <c r="P40" s="33">
        <f>SUM(P11:P35)/1000</f>
        <v>0.05214399999999999</v>
      </c>
      <c r="Q40" s="31">
        <f>SUM(Q35,Q34,Q31,Q26,Q23,Q21,Q20,Q18,Q14,Q12)/1000</f>
        <v>0.397</v>
      </c>
      <c r="R40" s="33">
        <f>SUM(R11:R35)/1000</f>
        <v>0.026071999999999994</v>
      </c>
    </row>
    <row r="41" spans="1:18" ht="12.75">
      <c r="A41" s="28"/>
      <c r="B41" s="28" t="s">
        <v>46</v>
      </c>
      <c r="C41" s="36"/>
      <c r="D41" s="31">
        <f>(F41-H41)*2/F41*100</f>
        <v>100</v>
      </c>
      <c r="E41" s="33"/>
      <c r="F41" s="32">
        <f>(F40/F37/0.0283*(21-7)/(21-F38))</f>
        <v>0.011812189569104807</v>
      </c>
      <c r="G41" s="32">
        <f>(G40/G37/0.0283*(21-7)/(21-G38))</f>
        <v>0.07948328603215266</v>
      </c>
      <c r="H41" s="32">
        <f>(H40/H37/0.0283*(21-7)/(21-H38))</f>
        <v>0.005906094784552404</v>
      </c>
      <c r="I41" s="31">
        <f>(K41-M41)*2/K41*100</f>
        <v>100</v>
      </c>
      <c r="J41" s="33"/>
      <c r="K41" s="33">
        <f>K40/K37/0.0283*(21-7)/(21-K38)</f>
        <v>0.011338750314656908</v>
      </c>
      <c r="L41" s="33">
        <f>(L40/L37/0.0283*(21-7)/(21-L38))</f>
        <v>0.0955238058248412</v>
      </c>
      <c r="M41" s="33">
        <f>M40/M37/0.0283*(21-7)/(21-M38)</f>
        <v>0.005669375157328454</v>
      </c>
      <c r="N41" s="31">
        <f>(P41-R41)*2/P41*100</f>
        <v>100</v>
      </c>
      <c r="O41" s="33"/>
      <c r="P41" s="33">
        <f>P40/P37/0.0283*(21-7)/(21-P38)</f>
        <v>0.009046700961553512</v>
      </c>
      <c r="Q41" s="33">
        <f>(Q40/Q37/0.0283*(21-7)/(21-Q38))</f>
        <v>0.0688773450777989</v>
      </c>
      <c r="R41" s="33">
        <f>R40/R37/0.0283*(21-7)/(21-R38)</f>
        <v>0.004523350480776756</v>
      </c>
    </row>
    <row r="42" spans="1:18" ht="12.75">
      <c r="A42" s="28"/>
      <c r="B42" s="28"/>
      <c r="C42" s="28"/>
      <c r="D42" s="28"/>
      <c r="E42" s="32"/>
      <c r="F42" s="36"/>
      <c r="G42" s="32"/>
      <c r="H42" s="36"/>
      <c r="I42" s="53"/>
      <c r="J42" s="32"/>
      <c r="K42" s="32"/>
      <c r="L42" s="32"/>
      <c r="M42" s="32"/>
      <c r="N42" s="32"/>
      <c r="O42" s="32"/>
      <c r="P42" s="35"/>
      <c r="Q42" s="32"/>
      <c r="R42" s="35"/>
    </row>
    <row r="43" spans="1:18" ht="12.75">
      <c r="A43" s="33"/>
      <c r="B43" s="28" t="s">
        <v>60</v>
      </c>
      <c r="C43" s="36">
        <f>AVERAGE(H41,M41,R41)</f>
        <v>0.005366273474219204</v>
      </c>
      <c r="D43" s="33"/>
      <c r="E43" s="33"/>
      <c r="F43" s="36"/>
      <c r="G43" s="33"/>
      <c r="H43" s="36"/>
      <c r="I43" s="52"/>
      <c r="J43" s="33"/>
      <c r="K43" s="33"/>
      <c r="L43" s="33"/>
      <c r="M43" s="33"/>
      <c r="N43" s="33"/>
      <c r="O43" s="33"/>
      <c r="P43" s="35"/>
      <c r="Q43" s="33"/>
      <c r="R43" s="35"/>
    </row>
    <row r="44" spans="1:18" ht="12.75">
      <c r="A44" s="28"/>
      <c r="B44" s="28" t="s">
        <v>61</v>
      </c>
      <c r="C44" s="36">
        <f>AVERAGE(G41,L41,Q41)</f>
        <v>0.08129481231159759</v>
      </c>
      <c r="D44" s="28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5">
      <selection activeCell="C1" sqref="C1"/>
    </sheetView>
  </sheetViews>
  <sheetFormatPr defaultColWidth="9.140625" defaultRowHeight="12.75"/>
  <cols>
    <col min="1" max="1" width="3.28125" style="0" customWidth="1"/>
    <col min="2" max="2" width="20.8515625" style="0" customWidth="1"/>
    <col min="4" max="4" width="6.140625" style="0" customWidth="1"/>
  </cols>
  <sheetData>
    <row r="1" ht="12.75">
      <c r="A1" s="7" t="s">
        <v>68</v>
      </c>
    </row>
    <row r="2" ht="12.75">
      <c r="A2" t="s">
        <v>236</v>
      </c>
    </row>
    <row r="3" spans="1:9" ht="12.75">
      <c r="A3" s="28" t="s">
        <v>20</v>
      </c>
      <c r="C3" s="10" t="s">
        <v>150</v>
      </c>
      <c r="D3" s="35"/>
      <c r="E3" s="35"/>
      <c r="F3" s="36"/>
      <c r="G3" s="36"/>
      <c r="H3" s="36"/>
      <c r="I3" s="51"/>
    </row>
    <row r="4" spans="1:9" ht="12.75">
      <c r="A4" s="28" t="s">
        <v>21</v>
      </c>
      <c r="C4" s="10" t="s">
        <v>149</v>
      </c>
      <c r="D4" s="37"/>
      <c r="E4" s="37"/>
      <c r="F4" s="38"/>
      <c r="G4" s="38"/>
      <c r="H4" s="38"/>
      <c r="I4" s="51"/>
    </row>
    <row r="5" spans="1:9" ht="12.75">
      <c r="A5" s="28" t="s">
        <v>22</v>
      </c>
      <c r="C5" s="13" t="s">
        <v>177</v>
      </c>
      <c r="D5" s="13"/>
      <c r="E5" s="13"/>
      <c r="F5" s="13"/>
      <c r="G5" s="13"/>
      <c r="H5" s="13"/>
      <c r="I5" s="51"/>
    </row>
    <row r="6" spans="1:9" ht="12.75">
      <c r="A6" s="28"/>
      <c r="B6" s="30"/>
      <c r="C6" s="30"/>
      <c r="D6" s="39"/>
      <c r="E6" s="39"/>
      <c r="F6" s="36"/>
      <c r="G6" s="36"/>
      <c r="H6" s="36"/>
      <c r="I6" s="51"/>
    </row>
    <row r="7" spans="1:9" ht="12.75">
      <c r="A7" s="28"/>
      <c r="B7" s="28"/>
      <c r="C7" s="30" t="s">
        <v>23</v>
      </c>
      <c r="D7" s="30"/>
      <c r="E7" s="40" t="s">
        <v>52</v>
      </c>
      <c r="F7" s="40"/>
      <c r="G7" s="40"/>
      <c r="H7" s="40"/>
      <c r="I7" s="51"/>
    </row>
    <row r="8" spans="1:9" ht="12.75">
      <c r="A8" s="28"/>
      <c r="B8" s="28"/>
      <c r="C8" s="30" t="s">
        <v>24</v>
      </c>
      <c r="D8" s="28"/>
      <c r="E8" s="39" t="s">
        <v>25</v>
      </c>
      <c r="F8" s="38" t="s">
        <v>26</v>
      </c>
      <c r="G8" s="39" t="s">
        <v>25</v>
      </c>
      <c r="H8" s="38" t="s">
        <v>26</v>
      </c>
      <c r="I8" s="51"/>
    </row>
    <row r="9" spans="1:9" ht="12.75">
      <c r="A9" s="28"/>
      <c r="B9" s="28"/>
      <c r="C9" s="30"/>
      <c r="D9" s="28"/>
      <c r="E9" s="39" t="s">
        <v>208</v>
      </c>
      <c r="F9" s="39" t="s">
        <v>208</v>
      </c>
      <c r="G9" s="39" t="s">
        <v>67</v>
      </c>
      <c r="H9" s="38" t="s">
        <v>67</v>
      </c>
      <c r="I9" s="51"/>
    </row>
    <row r="10" spans="1:9" ht="12.75">
      <c r="A10" s="28" t="s">
        <v>101</v>
      </c>
      <c r="B10" s="28"/>
      <c r="C10" s="28"/>
      <c r="D10" s="28"/>
      <c r="E10" s="35"/>
      <c r="F10" s="36"/>
      <c r="G10" s="35"/>
      <c r="H10" s="36"/>
      <c r="I10" s="51"/>
    </row>
    <row r="11" spans="1:9" ht="12.75">
      <c r="A11" s="28"/>
      <c r="B11" s="28" t="s">
        <v>28</v>
      </c>
      <c r="C11" s="30">
        <v>1</v>
      </c>
      <c r="D11" t="s">
        <v>100</v>
      </c>
      <c r="E11">
        <v>18</v>
      </c>
      <c r="F11" s="33">
        <f aca="true" t="shared" si="0" ref="F11:H35">IF(E11="","",E11*$C11)</f>
        <v>18</v>
      </c>
      <c r="G11" s="33">
        <f aca="true" t="shared" si="1" ref="G11:G35">IF(E11=0,"",IF(D11="nd",E11/2,E11))</f>
        <v>9</v>
      </c>
      <c r="H11" s="33">
        <f t="shared" si="0"/>
        <v>9</v>
      </c>
      <c r="I11" s="51"/>
    </row>
    <row r="12" spans="1:9" ht="12.75">
      <c r="A12" s="28"/>
      <c r="B12" s="28" t="s">
        <v>90</v>
      </c>
      <c r="C12" s="30">
        <v>0</v>
      </c>
      <c r="D12" t="s">
        <v>100</v>
      </c>
      <c r="E12">
        <v>36</v>
      </c>
      <c r="F12" s="41">
        <f t="shared" si="0"/>
        <v>0</v>
      </c>
      <c r="G12" s="41">
        <f t="shared" si="1"/>
        <v>18</v>
      </c>
      <c r="H12" s="41">
        <f t="shared" si="0"/>
        <v>0</v>
      </c>
      <c r="I12" s="51"/>
    </row>
    <row r="13" spans="1:9" ht="12.75">
      <c r="A13" s="28"/>
      <c r="B13" s="28" t="s">
        <v>29</v>
      </c>
      <c r="C13" s="30">
        <v>0.5</v>
      </c>
      <c r="D13" t="s">
        <v>100</v>
      </c>
      <c r="E13">
        <v>26</v>
      </c>
      <c r="F13" s="33">
        <f t="shared" si="0"/>
        <v>13</v>
      </c>
      <c r="G13" s="33">
        <f t="shared" si="1"/>
        <v>13</v>
      </c>
      <c r="H13" s="33">
        <f t="shared" si="0"/>
        <v>6.5</v>
      </c>
      <c r="I13" s="51"/>
    </row>
    <row r="14" spans="1:9" ht="12.75">
      <c r="A14" s="28"/>
      <c r="B14" s="28" t="s">
        <v>91</v>
      </c>
      <c r="C14" s="30">
        <v>0</v>
      </c>
      <c r="D14" t="s">
        <v>100</v>
      </c>
      <c r="E14">
        <v>53</v>
      </c>
      <c r="F14" s="41">
        <f t="shared" si="0"/>
        <v>0</v>
      </c>
      <c r="G14" s="41">
        <f t="shared" si="1"/>
        <v>26.5</v>
      </c>
      <c r="H14" s="41">
        <f t="shared" si="0"/>
        <v>0</v>
      </c>
      <c r="I14" s="51"/>
    </row>
    <row r="15" spans="1:9" ht="12.75">
      <c r="A15" s="28"/>
      <c r="B15" s="28" t="s">
        <v>30</v>
      </c>
      <c r="C15" s="30">
        <v>0.1</v>
      </c>
      <c r="D15" t="s">
        <v>100</v>
      </c>
      <c r="E15">
        <v>15</v>
      </c>
      <c r="F15" s="33">
        <f t="shared" si="0"/>
        <v>1.5</v>
      </c>
      <c r="G15" s="33">
        <f t="shared" si="1"/>
        <v>7.5</v>
      </c>
      <c r="H15" s="33">
        <f t="shared" si="0"/>
        <v>0.75</v>
      </c>
      <c r="I15" s="51"/>
    </row>
    <row r="16" spans="1:9" ht="12.75">
      <c r="A16" s="28"/>
      <c r="B16" s="28" t="s">
        <v>31</v>
      </c>
      <c r="C16" s="30">
        <v>0.1</v>
      </c>
      <c r="D16" t="s">
        <v>100</v>
      </c>
      <c r="E16">
        <v>18</v>
      </c>
      <c r="F16" s="33">
        <f t="shared" si="0"/>
        <v>1.8</v>
      </c>
      <c r="G16" s="33">
        <f t="shared" si="1"/>
        <v>9</v>
      </c>
      <c r="H16" s="33">
        <f t="shared" si="0"/>
        <v>0.9</v>
      </c>
      <c r="I16" s="51"/>
    </row>
    <row r="17" spans="1:9" ht="12.75">
      <c r="A17" s="28"/>
      <c r="B17" s="28" t="s">
        <v>32</v>
      </c>
      <c r="C17" s="30">
        <v>0.1</v>
      </c>
      <c r="D17" t="s">
        <v>100</v>
      </c>
      <c r="E17">
        <v>24</v>
      </c>
      <c r="F17" s="33">
        <f t="shared" si="0"/>
        <v>2.4000000000000004</v>
      </c>
      <c r="G17" s="33">
        <f t="shared" si="1"/>
        <v>12</v>
      </c>
      <c r="H17" s="33">
        <f t="shared" si="0"/>
        <v>1.2000000000000002</v>
      </c>
      <c r="I17" s="51"/>
    </row>
    <row r="18" spans="1:9" ht="12.75">
      <c r="A18" s="28"/>
      <c r="B18" s="28" t="s">
        <v>92</v>
      </c>
      <c r="C18" s="30">
        <v>0</v>
      </c>
      <c r="D18" t="s">
        <v>100</v>
      </c>
      <c r="E18">
        <v>95</v>
      </c>
      <c r="F18" s="41">
        <f t="shared" si="0"/>
        <v>0</v>
      </c>
      <c r="G18" s="41">
        <f t="shared" si="1"/>
        <v>47.5</v>
      </c>
      <c r="H18" s="41">
        <f t="shared" si="0"/>
        <v>0</v>
      </c>
      <c r="I18" s="51"/>
    </row>
    <row r="19" spans="1:9" ht="12.75">
      <c r="A19" s="28"/>
      <c r="B19" s="28" t="s">
        <v>33</v>
      </c>
      <c r="C19" s="30">
        <v>0.01</v>
      </c>
      <c r="D19" t="s">
        <v>100</v>
      </c>
      <c r="E19">
        <v>35</v>
      </c>
      <c r="F19" s="33">
        <f t="shared" si="0"/>
        <v>0.35000000000000003</v>
      </c>
      <c r="G19" s="33">
        <f t="shared" si="1"/>
        <v>17.5</v>
      </c>
      <c r="H19" s="33">
        <f t="shared" si="0"/>
        <v>0.17500000000000002</v>
      </c>
      <c r="I19" s="51"/>
    </row>
    <row r="20" spans="1:9" ht="12.75">
      <c r="A20" s="28"/>
      <c r="B20" s="28" t="s">
        <v>93</v>
      </c>
      <c r="C20" s="30">
        <v>0</v>
      </c>
      <c r="D20" t="s">
        <v>100</v>
      </c>
      <c r="E20">
        <v>35</v>
      </c>
      <c r="F20" s="41">
        <f t="shared" si="0"/>
        <v>0</v>
      </c>
      <c r="G20" s="41">
        <f t="shared" si="1"/>
        <v>17.5</v>
      </c>
      <c r="H20" s="41">
        <f t="shared" si="0"/>
        <v>0</v>
      </c>
      <c r="I20" s="51"/>
    </row>
    <row r="21" spans="1:9" ht="12.75">
      <c r="A21" s="28"/>
      <c r="B21" s="28" t="s">
        <v>34</v>
      </c>
      <c r="C21" s="30">
        <v>0.001</v>
      </c>
      <c r="D21" t="s">
        <v>100</v>
      </c>
      <c r="E21">
        <v>110</v>
      </c>
      <c r="F21" s="33">
        <f t="shared" si="0"/>
        <v>0.11</v>
      </c>
      <c r="G21" s="33">
        <f t="shared" si="1"/>
        <v>55</v>
      </c>
      <c r="H21" s="33">
        <f t="shared" si="0"/>
        <v>0.055</v>
      </c>
      <c r="I21" s="51"/>
    </row>
    <row r="22" spans="1:9" ht="12.75">
      <c r="A22" s="28"/>
      <c r="B22" s="28" t="s">
        <v>35</v>
      </c>
      <c r="C22" s="30">
        <v>0.1</v>
      </c>
      <c r="D22" t="s">
        <v>100</v>
      </c>
      <c r="E22">
        <v>46</v>
      </c>
      <c r="F22" s="33">
        <f t="shared" si="0"/>
        <v>4.6000000000000005</v>
      </c>
      <c r="G22" s="33">
        <f t="shared" si="1"/>
        <v>23</v>
      </c>
      <c r="H22" s="33">
        <f t="shared" si="0"/>
        <v>2.3000000000000003</v>
      </c>
      <c r="I22" s="51"/>
    </row>
    <row r="23" spans="1:9" ht="12.75">
      <c r="A23" s="28"/>
      <c r="B23" s="28" t="s">
        <v>94</v>
      </c>
      <c r="C23" s="30">
        <v>0</v>
      </c>
      <c r="D23" t="s">
        <v>100</v>
      </c>
      <c r="E23">
        <v>311</v>
      </c>
      <c r="F23" s="41">
        <f t="shared" si="0"/>
        <v>0</v>
      </c>
      <c r="G23" s="41">
        <f t="shared" si="1"/>
        <v>155.5</v>
      </c>
      <c r="H23" s="41">
        <f t="shared" si="0"/>
        <v>0</v>
      </c>
      <c r="I23" s="51"/>
    </row>
    <row r="24" spans="1:9" ht="12.75">
      <c r="A24" s="28"/>
      <c r="B24" s="28" t="s">
        <v>36</v>
      </c>
      <c r="C24" s="30">
        <v>0.05</v>
      </c>
      <c r="D24" t="s">
        <v>100</v>
      </c>
      <c r="E24">
        <v>45</v>
      </c>
      <c r="F24" s="41">
        <f t="shared" si="0"/>
        <v>2.25</v>
      </c>
      <c r="G24" s="41">
        <f t="shared" si="1"/>
        <v>22.5</v>
      </c>
      <c r="H24" s="41">
        <f t="shared" si="0"/>
        <v>1.125</v>
      </c>
      <c r="I24" s="51"/>
    </row>
    <row r="25" spans="1:9" ht="12.75">
      <c r="A25" s="28"/>
      <c r="B25" s="28" t="s">
        <v>37</v>
      </c>
      <c r="C25" s="30">
        <v>0.5</v>
      </c>
      <c r="D25" t="s">
        <v>100</v>
      </c>
      <c r="E25">
        <v>33</v>
      </c>
      <c r="F25" s="41">
        <f t="shared" si="0"/>
        <v>16.5</v>
      </c>
      <c r="G25" s="41">
        <f t="shared" si="1"/>
        <v>16.5</v>
      </c>
      <c r="H25" s="41">
        <f t="shared" si="0"/>
        <v>8.25</v>
      </c>
      <c r="I25" s="51"/>
    </row>
    <row r="26" spans="1:9" ht="12.75">
      <c r="A26" s="28"/>
      <c r="B26" s="28" t="s">
        <v>95</v>
      </c>
      <c r="C26" s="30">
        <v>0</v>
      </c>
      <c r="D26" t="s">
        <v>100</v>
      </c>
      <c r="E26">
        <v>108</v>
      </c>
      <c r="F26" s="41">
        <f t="shared" si="0"/>
        <v>0</v>
      </c>
      <c r="G26" s="41">
        <f t="shared" si="1"/>
        <v>54</v>
      </c>
      <c r="H26" s="41">
        <f t="shared" si="0"/>
        <v>0</v>
      </c>
      <c r="I26" s="51"/>
    </row>
    <row r="27" spans="1:9" ht="12.75">
      <c r="A27" s="28"/>
      <c r="B27" s="28" t="s">
        <v>38</v>
      </c>
      <c r="C27" s="30">
        <v>0.1</v>
      </c>
      <c r="D27" t="s">
        <v>100</v>
      </c>
      <c r="E27">
        <v>25</v>
      </c>
      <c r="F27" s="41">
        <f t="shared" si="0"/>
        <v>2.5</v>
      </c>
      <c r="G27" s="41">
        <f t="shared" si="1"/>
        <v>12.5</v>
      </c>
      <c r="H27" s="41">
        <f t="shared" si="0"/>
        <v>1.25</v>
      </c>
      <c r="I27" s="51"/>
    </row>
    <row r="28" spans="1:9" ht="12.75">
      <c r="A28" s="28"/>
      <c r="B28" s="28" t="s">
        <v>39</v>
      </c>
      <c r="C28" s="30">
        <v>0.1</v>
      </c>
      <c r="D28" t="s">
        <v>100</v>
      </c>
      <c r="E28">
        <v>14</v>
      </c>
      <c r="F28" s="41">
        <f t="shared" si="0"/>
        <v>1.4000000000000001</v>
      </c>
      <c r="G28" s="41">
        <f t="shared" si="1"/>
        <v>7</v>
      </c>
      <c r="H28" s="41">
        <f t="shared" si="0"/>
        <v>0.7000000000000001</v>
      </c>
      <c r="I28" s="51"/>
    </row>
    <row r="29" spans="1:9" ht="12.75">
      <c r="A29" s="28"/>
      <c r="B29" s="28" t="s">
        <v>40</v>
      </c>
      <c r="C29" s="30">
        <v>0.1</v>
      </c>
      <c r="D29" t="s">
        <v>100</v>
      </c>
      <c r="E29">
        <v>17</v>
      </c>
      <c r="F29" s="41">
        <f t="shared" si="0"/>
        <v>1.7000000000000002</v>
      </c>
      <c r="G29" s="41">
        <f t="shared" si="1"/>
        <v>8.5</v>
      </c>
      <c r="H29" s="41">
        <f t="shared" si="0"/>
        <v>0.8500000000000001</v>
      </c>
      <c r="I29" s="51"/>
    </row>
    <row r="30" spans="1:9" ht="12.75">
      <c r="A30" s="28"/>
      <c r="B30" s="28" t="s">
        <v>41</v>
      </c>
      <c r="C30" s="30">
        <v>0.1</v>
      </c>
      <c r="D30" t="s">
        <v>100</v>
      </c>
      <c r="E30">
        <v>14</v>
      </c>
      <c r="F30" s="41">
        <f t="shared" si="0"/>
        <v>1.4000000000000001</v>
      </c>
      <c r="G30" s="41">
        <f t="shared" si="1"/>
        <v>7</v>
      </c>
      <c r="H30" s="41">
        <f t="shared" si="0"/>
        <v>0.7000000000000001</v>
      </c>
      <c r="I30" s="51"/>
    </row>
    <row r="31" spans="1:9" ht="12.75">
      <c r="A31" s="28"/>
      <c r="B31" s="28" t="s">
        <v>96</v>
      </c>
      <c r="C31" s="30">
        <v>0</v>
      </c>
      <c r="D31" t="s">
        <v>100</v>
      </c>
      <c r="E31">
        <v>45</v>
      </c>
      <c r="F31" s="41">
        <f t="shared" si="0"/>
        <v>0</v>
      </c>
      <c r="G31" s="41">
        <f t="shared" si="1"/>
        <v>22.5</v>
      </c>
      <c r="H31" s="41">
        <f t="shared" si="0"/>
        <v>0</v>
      </c>
      <c r="I31" s="51"/>
    </row>
    <row r="32" spans="1:9" ht="12.75">
      <c r="A32" s="28"/>
      <c r="B32" s="28" t="s">
        <v>42</v>
      </c>
      <c r="C32" s="30">
        <v>0.01</v>
      </c>
      <c r="D32" t="s">
        <v>100</v>
      </c>
      <c r="E32">
        <v>32</v>
      </c>
      <c r="F32" s="41">
        <f t="shared" si="0"/>
        <v>0.32</v>
      </c>
      <c r="G32" s="41">
        <f t="shared" si="1"/>
        <v>16</v>
      </c>
      <c r="H32" s="41">
        <f t="shared" si="0"/>
        <v>0.16</v>
      </c>
      <c r="I32" s="51"/>
    </row>
    <row r="33" spans="1:9" ht="12.75">
      <c r="A33" s="28"/>
      <c r="B33" s="28" t="s">
        <v>43</v>
      </c>
      <c r="C33" s="30">
        <v>0.01</v>
      </c>
      <c r="D33" t="s">
        <v>100</v>
      </c>
      <c r="E33">
        <v>14</v>
      </c>
      <c r="F33" s="41">
        <f t="shared" si="0"/>
        <v>0.14</v>
      </c>
      <c r="G33" s="41">
        <f t="shared" si="1"/>
        <v>7</v>
      </c>
      <c r="H33" s="41">
        <f t="shared" si="0"/>
        <v>0.07</v>
      </c>
      <c r="I33" s="51"/>
    </row>
    <row r="34" spans="1:9" ht="12.75">
      <c r="A34" s="28"/>
      <c r="B34" s="28" t="s">
        <v>97</v>
      </c>
      <c r="C34" s="30">
        <v>0</v>
      </c>
      <c r="D34" t="s">
        <v>100</v>
      </c>
      <c r="E34">
        <v>32</v>
      </c>
      <c r="F34" s="41">
        <f t="shared" si="0"/>
        <v>0</v>
      </c>
      <c r="G34" s="41">
        <f t="shared" si="1"/>
        <v>16</v>
      </c>
      <c r="H34" s="41">
        <f t="shared" si="0"/>
        <v>0</v>
      </c>
      <c r="I34" s="51"/>
    </row>
    <row r="35" spans="1:9" ht="12.75">
      <c r="A35" s="28"/>
      <c r="B35" s="28" t="s">
        <v>44</v>
      </c>
      <c r="C35" s="30">
        <v>0.001</v>
      </c>
      <c r="D35" t="s">
        <v>100</v>
      </c>
      <c r="E35">
        <v>39</v>
      </c>
      <c r="F35" s="41">
        <f t="shared" si="0"/>
        <v>0.039</v>
      </c>
      <c r="G35" s="41">
        <f t="shared" si="1"/>
        <v>19.5</v>
      </c>
      <c r="H35" s="41">
        <f t="shared" si="0"/>
        <v>0.0195</v>
      </c>
      <c r="I35" s="51"/>
    </row>
    <row r="36" spans="1:9" ht="12.75">
      <c r="A36" s="28"/>
      <c r="B36" s="28"/>
      <c r="C36" s="28"/>
      <c r="D36" s="28"/>
      <c r="E36" s="33"/>
      <c r="F36" s="36"/>
      <c r="G36" s="33"/>
      <c r="H36" s="36"/>
      <c r="I36" s="51"/>
    </row>
    <row r="37" spans="1:9" ht="12.75">
      <c r="A37" s="28"/>
      <c r="B37" s="28" t="s">
        <v>45</v>
      </c>
      <c r="C37" s="28"/>
      <c r="D37" s="28"/>
      <c r="E37" s="33"/>
      <c r="F37">
        <v>246.3</v>
      </c>
      <c r="G37">
        <v>246.3</v>
      </c>
      <c r="H37">
        <v>246.3</v>
      </c>
      <c r="I37" s="51"/>
    </row>
    <row r="38" spans="1:9" ht="12.75">
      <c r="A38" s="28"/>
      <c r="B38" s="28" t="s">
        <v>59</v>
      </c>
      <c r="C38" s="28"/>
      <c r="D38" s="28"/>
      <c r="E38" s="33"/>
      <c r="F38">
        <v>7</v>
      </c>
      <c r="G38">
        <v>7</v>
      </c>
      <c r="H38">
        <v>7</v>
      </c>
      <c r="I38" s="51"/>
    </row>
    <row r="39" spans="1:9" ht="12.75">
      <c r="A39" s="28"/>
      <c r="B39" s="28"/>
      <c r="C39" s="28"/>
      <c r="D39" s="28"/>
      <c r="E39" s="33"/>
      <c r="F39" s="13"/>
      <c r="G39" s="33"/>
      <c r="H39" s="13"/>
      <c r="I39" s="51"/>
    </row>
    <row r="40" spans="1:9" ht="12.75">
      <c r="A40" s="28"/>
      <c r="B40" s="28" t="s">
        <v>98</v>
      </c>
      <c r="C40" s="36"/>
      <c r="D40" s="36"/>
      <c r="E40" s="31"/>
      <c r="F40" s="32">
        <f>SUM(F11:F35)/1000</f>
        <v>0.068009</v>
      </c>
      <c r="G40" s="31">
        <f>SUM(G35,G34,G31,G26,G23,G21,G20,G18,G14,G12)/1000</f>
        <v>0.432</v>
      </c>
      <c r="H40" s="32">
        <f>SUM(H11:H35)/1000</f>
        <v>0.0340045</v>
      </c>
      <c r="I40" s="51"/>
    </row>
    <row r="41" spans="1:20" ht="12.75">
      <c r="A41" s="28"/>
      <c r="B41" s="28" t="s">
        <v>46</v>
      </c>
      <c r="C41" s="36"/>
      <c r="D41" s="31">
        <f>(F41-H41)*2/F41*100</f>
        <v>100</v>
      </c>
      <c r="E41" s="33"/>
      <c r="F41" s="32">
        <f>(F40/F37/0.0283*(21-7)/(21-F38))</f>
        <v>0.009756982851502592</v>
      </c>
      <c r="G41" s="32">
        <f>(G40/G37/0.0283*(21-7)/(21-G38))</f>
        <v>0.06197733523282388</v>
      </c>
      <c r="H41" s="32">
        <f>(H40/H37/0.0283*(21-7)/(21-H38))</f>
        <v>0.004878491425751296</v>
      </c>
      <c r="I41" s="51"/>
      <c r="J41" s="6"/>
      <c r="K41" s="3"/>
      <c r="L41" s="5"/>
      <c r="M41" s="6"/>
      <c r="N41" s="6"/>
      <c r="O41" s="6"/>
      <c r="P41" s="6"/>
      <c r="Q41" s="6"/>
      <c r="R41" s="6"/>
      <c r="S41" s="6"/>
      <c r="T41" s="6"/>
    </row>
    <row r="42" spans="1:20" ht="12.75">
      <c r="A42" s="28"/>
      <c r="B42" s="28"/>
      <c r="C42" s="28"/>
      <c r="D42" s="28"/>
      <c r="E42" s="32"/>
      <c r="F42" s="36"/>
      <c r="G42" s="32"/>
      <c r="H42" s="36"/>
      <c r="I42" s="54"/>
      <c r="J42" s="3"/>
      <c r="K42" s="3"/>
      <c r="L42" s="3"/>
      <c r="M42" s="2"/>
      <c r="N42" s="6"/>
      <c r="O42" s="2"/>
      <c r="P42" s="2"/>
      <c r="Q42" s="2"/>
      <c r="R42" s="6"/>
      <c r="S42" s="2"/>
      <c r="T42" s="2"/>
    </row>
    <row r="43" spans="1:20" ht="12.75">
      <c r="A43" s="33"/>
      <c r="B43" s="28" t="s">
        <v>60</v>
      </c>
      <c r="C43" s="36">
        <f>AVERAGE(H41,L41,P41)</f>
        <v>0.004878491425751296</v>
      </c>
      <c r="D43" s="33"/>
      <c r="E43" s="33"/>
      <c r="F43" s="36"/>
      <c r="G43" s="33"/>
      <c r="H43" s="36"/>
      <c r="I43" s="54"/>
      <c r="J43" s="6"/>
      <c r="K43" s="3"/>
      <c r="L43" s="2"/>
      <c r="M43" s="2"/>
      <c r="N43" s="6"/>
      <c r="O43" s="4"/>
      <c r="P43" s="4"/>
      <c r="Q43" s="2"/>
      <c r="R43" s="6"/>
      <c r="S43" s="4"/>
      <c r="T43" s="4"/>
    </row>
    <row r="44" spans="1:9" ht="12.75">
      <c r="A44" s="28"/>
      <c r="B44" s="28" t="s">
        <v>61</v>
      </c>
      <c r="C44" s="36">
        <f>AVERAGE(G41,K41,O41)</f>
        <v>0.06197733523282388</v>
      </c>
      <c r="D44" s="28"/>
      <c r="E44" s="35"/>
      <c r="F44" s="36"/>
      <c r="G44" s="35"/>
      <c r="H44" s="36"/>
      <c r="I44" s="5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workbookViewId="0" topLeftCell="A8">
      <selection activeCell="C1" sqref="C1"/>
    </sheetView>
  </sheetViews>
  <sheetFormatPr defaultColWidth="9.140625" defaultRowHeight="12.75"/>
  <cols>
    <col min="1" max="1" width="1.7109375" style="0" customWidth="1"/>
    <col min="2" max="2" width="22.8515625" style="0" customWidth="1"/>
    <col min="4" max="4" width="8.140625" style="0" customWidth="1"/>
    <col min="9" max="9" width="5.57421875" style="0" customWidth="1"/>
    <col min="14" max="14" width="5.28125" style="0" customWidth="1"/>
  </cols>
  <sheetData>
    <row r="1" ht="12.75">
      <c r="A1" s="7" t="s">
        <v>68</v>
      </c>
    </row>
    <row r="2" ht="12.75">
      <c r="A2" t="s">
        <v>236</v>
      </c>
    </row>
    <row r="3" spans="1:18" ht="12.75">
      <c r="A3" s="28" t="s">
        <v>20</v>
      </c>
      <c r="C3" s="10" t="s">
        <v>150</v>
      </c>
      <c r="D3" s="35"/>
      <c r="E3" s="35"/>
      <c r="F3" s="39"/>
      <c r="G3" s="36"/>
      <c r="H3" s="39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8" t="s">
        <v>21</v>
      </c>
      <c r="C4" s="10" t="s">
        <v>173</v>
      </c>
      <c r="D4" s="37"/>
      <c r="E4" s="37"/>
      <c r="F4" s="39"/>
      <c r="G4" s="38"/>
      <c r="H4" s="39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2.75">
      <c r="A5" s="28" t="s">
        <v>22</v>
      </c>
      <c r="C5" s="13" t="s">
        <v>180</v>
      </c>
      <c r="D5" s="13"/>
      <c r="E5" s="13"/>
      <c r="F5" s="46"/>
      <c r="G5" s="13"/>
      <c r="H5" s="46"/>
      <c r="I5" s="13"/>
      <c r="J5" s="13"/>
      <c r="K5" s="35"/>
      <c r="L5" s="35"/>
      <c r="M5" s="35"/>
      <c r="N5" s="35"/>
      <c r="O5" s="35"/>
      <c r="P5" s="35"/>
      <c r="Q5" s="35"/>
      <c r="R5" s="35"/>
    </row>
    <row r="6" spans="1:18" ht="12.75">
      <c r="A6" s="28"/>
      <c r="B6" s="30"/>
      <c r="C6" s="30"/>
      <c r="D6" s="39"/>
      <c r="E6" s="39"/>
      <c r="F6" s="39"/>
      <c r="G6" s="36"/>
      <c r="H6" s="39"/>
      <c r="I6" s="39"/>
      <c r="J6" s="39"/>
      <c r="K6" s="35"/>
      <c r="L6" s="35"/>
      <c r="M6" s="35"/>
      <c r="N6" s="39"/>
      <c r="O6" s="39"/>
      <c r="P6" s="35"/>
      <c r="Q6" s="35"/>
      <c r="R6" s="35"/>
    </row>
    <row r="7" spans="1:18" ht="12.75">
      <c r="A7" s="28"/>
      <c r="B7" s="28"/>
      <c r="C7" s="30" t="s">
        <v>23</v>
      </c>
      <c r="D7" s="30"/>
      <c r="E7" s="40" t="s">
        <v>52</v>
      </c>
      <c r="F7" s="40"/>
      <c r="G7" s="40"/>
      <c r="H7" s="40"/>
      <c r="I7" s="12"/>
      <c r="J7" s="40" t="s">
        <v>153</v>
      </c>
      <c r="K7" s="40"/>
      <c r="L7" s="40"/>
      <c r="M7" s="40"/>
      <c r="N7" s="12"/>
      <c r="O7" s="40" t="s">
        <v>53</v>
      </c>
      <c r="P7" s="40"/>
      <c r="Q7" s="40"/>
      <c r="R7" s="40"/>
    </row>
    <row r="8" spans="1:18" ht="12.75">
      <c r="A8" s="28"/>
      <c r="B8" s="28"/>
      <c r="C8" s="30" t="s">
        <v>24</v>
      </c>
      <c r="D8" s="28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</row>
    <row r="9" spans="1:18" ht="12.75">
      <c r="A9" s="28"/>
      <c r="B9" s="28"/>
      <c r="C9" s="30"/>
      <c r="D9" s="28"/>
      <c r="E9" s="39" t="s">
        <v>208</v>
      </c>
      <c r="F9" s="39" t="s">
        <v>208</v>
      </c>
      <c r="G9" s="39" t="s">
        <v>67</v>
      </c>
      <c r="H9" s="38" t="s">
        <v>67</v>
      </c>
      <c r="I9" s="39"/>
      <c r="J9" s="39" t="s">
        <v>208</v>
      </c>
      <c r="K9" s="39" t="s">
        <v>208</v>
      </c>
      <c r="L9" s="39" t="s">
        <v>67</v>
      </c>
      <c r="M9" s="38" t="s">
        <v>67</v>
      </c>
      <c r="N9" s="35"/>
      <c r="O9" s="39" t="s">
        <v>208</v>
      </c>
      <c r="P9" s="39" t="s">
        <v>208</v>
      </c>
      <c r="Q9" s="39" t="s">
        <v>67</v>
      </c>
      <c r="R9" s="38" t="s">
        <v>67</v>
      </c>
    </row>
    <row r="10" spans="1:18" ht="12.75">
      <c r="A10" s="28" t="s">
        <v>101</v>
      </c>
      <c r="B10" s="28"/>
      <c r="C10" s="28"/>
      <c r="D10" s="28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1"/>
      <c r="P10" s="35"/>
      <c r="Q10" s="35"/>
      <c r="R10" s="35"/>
    </row>
    <row r="11" spans="1:18" ht="12.75">
      <c r="A11" s="28"/>
      <c r="B11" s="28" t="s">
        <v>28</v>
      </c>
      <c r="C11" s="30">
        <v>1</v>
      </c>
      <c r="D11" t="s">
        <v>100</v>
      </c>
      <c r="E11" s="63">
        <v>3.3</v>
      </c>
      <c r="F11" s="33">
        <f aca="true" t="shared" si="0" ref="F11:H35">IF(E11="","",E11*$C11)</f>
        <v>3.3</v>
      </c>
      <c r="G11" s="33">
        <f aca="true" t="shared" si="1" ref="G11:G35">IF(E11=0,"",IF(D11="nd",E11/2,E11))</f>
        <v>1.65</v>
      </c>
      <c r="H11" s="33">
        <f t="shared" si="0"/>
        <v>1.65</v>
      </c>
      <c r="I11" s="63" t="s">
        <v>100</v>
      </c>
      <c r="J11" s="63">
        <v>3</v>
      </c>
      <c r="K11" s="33">
        <f aca="true" t="shared" si="2" ref="K11:M35">IF(J11="","",J11*$C11)</f>
        <v>3</v>
      </c>
      <c r="L11" s="33">
        <f aca="true" t="shared" si="3" ref="L11:L35">IF(J11=0,"",IF(I11="nd",J11/2,J11))</f>
        <v>1.5</v>
      </c>
      <c r="M11" s="33">
        <f t="shared" si="2"/>
        <v>1.5</v>
      </c>
      <c r="N11" s="63" t="s">
        <v>100</v>
      </c>
      <c r="O11" s="63">
        <v>1.8</v>
      </c>
      <c r="P11" s="33">
        <f aca="true" t="shared" si="4" ref="P11:R35">IF(O11="","",O11*$C11)</f>
        <v>1.8</v>
      </c>
      <c r="Q11" s="33">
        <f aca="true" t="shared" si="5" ref="Q11:Q35">IF(O11=0,"",IF(N11="nd",O11/2,O11))</f>
        <v>0.9</v>
      </c>
      <c r="R11" s="33">
        <f t="shared" si="4"/>
        <v>0.9</v>
      </c>
    </row>
    <row r="12" spans="1:18" ht="12.75">
      <c r="A12" s="28"/>
      <c r="B12" s="28" t="s">
        <v>90</v>
      </c>
      <c r="C12" s="30">
        <v>0</v>
      </c>
      <c r="D12" t="s">
        <v>100</v>
      </c>
      <c r="E12" s="63">
        <v>28.5</v>
      </c>
      <c r="F12" s="33">
        <f t="shared" si="0"/>
        <v>0</v>
      </c>
      <c r="G12" s="33">
        <f t="shared" si="1"/>
        <v>14.25</v>
      </c>
      <c r="H12" s="33">
        <f t="shared" si="0"/>
        <v>0</v>
      </c>
      <c r="I12" s="63" t="s">
        <v>100</v>
      </c>
      <c r="J12" s="63">
        <v>4.4</v>
      </c>
      <c r="K12" s="33">
        <f t="shared" si="2"/>
        <v>0</v>
      </c>
      <c r="L12" s="33">
        <f t="shared" si="3"/>
        <v>2.2</v>
      </c>
      <c r="M12" s="33">
        <f t="shared" si="2"/>
        <v>0</v>
      </c>
      <c r="N12" s="63"/>
      <c r="O12" s="63">
        <v>1.8</v>
      </c>
      <c r="P12" s="33">
        <f t="shared" si="4"/>
        <v>0</v>
      </c>
      <c r="Q12" s="33">
        <f t="shared" si="5"/>
        <v>1.8</v>
      </c>
      <c r="R12" s="33">
        <f t="shared" si="4"/>
        <v>0</v>
      </c>
    </row>
    <row r="13" spans="1:18" ht="12.75">
      <c r="A13" s="28"/>
      <c r="B13" s="28" t="s">
        <v>29</v>
      </c>
      <c r="C13" s="30">
        <v>0.5</v>
      </c>
      <c r="D13" t="s">
        <v>100</v>
      </c>
      <c r="E13" s="63">
        <v>3.5</v>
      </c>
      <c r="F13" s="33">
        <f t="shared" si="0"/>
        <v>1.75</v>
      </c>
      <c r="G13" s="33">
        <f t="shared" si="1"/>
        <v>1.75</v>
      </c>
      <c r="H13" s="33">
        <f t="shared" si="0"/>
        <v>0.875</v>
      </c>
      <c r="I13" s="63" t="s">
        <v>100</v>
      </c>
      <c r="J13" s="63">
        <v>2.8</v>
      </c>
      <c r="K13" s="33">
        <f t="shared" si="2"/>
        <v>1.4</v>
      </c>
      <c r="L13" s="33">
        <f t="shared" si="3"/>
        <v>1.4</v>
      </c>
      <c r="M13" s="33">
        <f t="shared" si="2"/>
        <v>0.7</v>
      </c>
      <c r="N13" s="63" t="s">
        <v>100</v>
      </c>
      <c r="O13" s="63">
        <v>2.8</v>
      </c>
      <c r="P13" s="33">
        <f t="shared" si="4"/>
        <v>1.4</v>
      </c>
      <c r="Q13" s="33">
        <f t="shared" si="5"/>
        <v>1.4</v>
      </c>
      <c r="R13" s="33">
        <f t="shared" si="4"/>
        <v>0.7</v>
      </c>
    </row>
    <row r="14" spans="1:18" ht="12.75">
      <c r="A14" s="28"/>
      <c r="B14" s="28" t="s">
        <v>91</v>
      </c>
      <c r="C14" s="30">
        <v>0</v>
      </c>
      <c r="D14" t="s">
        <v>100</v>
      </c>
      <c r="E14" s="63">
        <v>9</v>
      </c>
      <c r="F14" s="33">
        <f t="shared" si="0"/>
        <v>0</v>
      </c>
      <c r="G14" s="33">
        <f t="shared" si="1"/>
        <v>4.5</v>
      </c>
      <c r="H14" s="33">
        <f t="shared" si="0"/>
        <v>0</v>
      </c>
      <c r="I14" s="63" t="s">
        <v>100</v>
      </c>
      <c r="J14" s="63">
        <v>4.7</v>
      </c>
      <c r="K14" s="33">
        <f t="shared" si="2"/>
        <v>0</v>
      </c>
      <c r="L14" s="33">
        <f t="shared" si="3"/>
        <v>2.35</v>
      </c>
      <c r="M14" s="33">
        <f t="shared" si="2"/>
        <v>0</v>
      </c>
      <c r="N14" s="63" t="s">
        <v>100</v>
      </c>
      <c r="O14" s="63">
        <v>4.8</v>
      </c>
      <c r="P14" s="33">
        <f t="shared" si="4"/>
        <v>0</v>
      </c>
      <c r="Q14" s="33">
        <f t="shared" si="5"/>
        <v>2.4</v>
      </c>
      <c r="R14" s="33">
        <f t="shared" si="4"/>
        <v>0</v>
      </c>
    </row>
    <row r="15" spans="1:18" ht="12.75">
      <c r="A15" s="28"/>
      <c r="B15" s="28" t="s">
        <v>30</v>
      </c>
      <c r="C15" s="30">
        <v>0.1</v>
      </c>
      <c r="D15" t="s">
        <v>100</v>
      </c>
      <c r="E15" s="63">
        <v>8.2</v>
      </c>
      <c r="F15" s="33">
        <f t="shared" si="0"/>
        <v>0.82</v>
      </c>
      <c r="G15" s="33">
        <f t="shared" si="1"/>
        <v>4.1</v>
      </c>
      <c r="H15" s="33">
        <f t="shared" si="0"/>
        <v>0.41</v>
      </c>
      <c r="I15" s="63" t="s">
        <v>100</v>
      </c>
      <c r="J15" s="63">
        <v>4.5</v>
      </c>
      <c r="K15" s="33">
        <f t="shared" si="2"/>
        <v>0.45</v>
      </c>
      <c r="L15" s="33">
        <f t="shared" si="3"/>
        <v>2.25</v>
      </c>
      <c r="M15" s="33">
        <f t="shared" si="2"/>
        <v>0.225</v>
      </c>
      <c r="N15" s="63" t="s">
        <v>100</v>
      </c>
      <c r="O15" s="63">
        <v>3.6</v>
      </c>
      <c r="P15" s="33">
        <f t="shared" si="4"/>
        <v>0.36000000000000004</v>
      </c>
      <c r="Q15" s="33">
        <f t="shared" si="5"/>
        <v>1.8</v>
      </c>
      <c r="R15" s="33">
        <f t="shared" si="4"/>
        <v>0.18000000000000002</v>
      </c>
    </row>
    <row r="16" spans="1:18" ht="12.75">
      <c r="A16" s="28"/>
      <c r="B16" s="28" t="s">
        <v>31</v>
      </c>
      <c r="C16" s="30">
        <v>0.1</v>
      </c>
      <c r="D16" t="s">
        <v>100</v>
      </c>
      <c r="E16" s="63">
        <v>8.8</v>
      </c>
      <c r="F16" s="33">
        <f t="shared" si="0"/>
        <v>0.8800000000000001</v>
      </c>
      <c r="G16" s="33">
        <f t="shared" si="1"/>
        <v>4.4</v>
      </c>
      <c r="H16" s="33">
        <f t="shared" si="0"/>
        <v>0.44000000000000006</v>
      </c>
      <c r="I16" s="63" t="s">
        <v>100</v>
      </c>
      <c r="J16" s="63">
        <v>4.7</v>
      </c>
      <c r="K16" s="33">
        <f t="shared" si="2"/>
        <v>0.47000000000000003</v>
      </c>
      <c r="L16" s="33">
        <f t="shared" si="3"/>
        <v>2.35</v>
      </c>
      <c r="M16" s="33">
        <f t="shared" si="2"/>
        <v>0.23500000000000001</v>
      </c>
      <c r="N16" s="63" t="s">
        <v>100</v>
      </c>
      <c r="O16" s="63">
        <v>4</v>
      </c>
      <c r="P16" s="33">
        <f t="shared" si="4"/>
        <v>0.4</v>
      </c>
      <c r="Q16" s="33">
        <f t="shared" si="5"/>
        <v>2</v>
      </c>
      <c r="R16" s="33">
        <f t="shared" si="4"/>
        <v>0.2</v>
      </c>
    </row>
    <row r="17" spans="1:18" ht="12.75">
      <c r="A17" s="28"/>
      <c r="B17" s="28" t="s">
        <v>32</v>
      </c>
      <c r="C17" s="30">
        <v>0.1</v>
      </c>
      <c r="D17" t="s">
        <v>100</v>
      </c>
      <c r="E17" s="63">
        <v>7.8</v>
      </c>
      <c r="F17" s="33">
        <f t="shared" si="0"/>
        <v>0.78</v>
      </c>
      <c r="G17" s="33">
        <f t="shared" si="1"/>
        <v>3.9</v>
      </c>
      <c r="H17" s="33">
        <f t="shared" si="0"/>
        <v>0.39</v>
      </c>
      <c r="I17" s="63" t="s">
        <v>100</v>
      </c>
      <c r="J17" s="63">
        <v>4.2</v>
      </c>
      <c r="K17" s="33">
        <f t="shared" si="2"/>
        <v>0.42000000000000004</v>
      </c>
      <c r="L17" s="33">
        <f t="shared" si="3"/>
        <v>2.1</v>
      </c>
      <c r="M17" s="33">
        <f t="shared" si="2"/>
        <v>0.21000000000000002</v>
      </c>
      <c r="N17" s="63" t="s">
        <v>100</v>
      </c>
      <c r="O17" s="63">
        <v>3.5</v>
      </c>
      <c r="P17" s="33">
        <f t="shared" si="4"/>
        <v>0.35000000000000003</v>
      </c>
      <c r="Q17" s="33">
        <f t="shared" si="5"/>
        <v>1.75</v>
      </c>
      <c r="R17" s="33">
        <f t="shared" si="4"/>
        <v>0.17500000000000002</v>
      </c>
    </row>
    <row r="18" spans="1:18" ht="12.75">
      <c r="A18" s="28"/>
      <c r="B18" s="28" t="s">
        <v>92</v>
      </c>
      <c r="C18" s="30">
        <v>0</v>
      </c>
      <c r="D18" t="s">
        <v>100</v>
      </c>
      <c r="E18" s="63">
        <v>13</v>
      </c>
      <c r="F18" s="33">
        <f t="shared" si="0"/>
        <v>0</v>
      </c>
      <c r="G18" s="33">
        <f t="shared" si="1"/>
        <v>6.5</v>
      </c>
      <c r="H18" s="33">
        <f t="shared" si="0"/>
        <v>0</v>
      </c>
      <c r="I18" s="63" t="s">
        <v>100</v>
      </c>
      <c r="J18" s="63">
        <v>4.7</v>
      </c>
      <c r="K18" s="33">
        <f t="shared" si="2"/>
        <v>0</v>
      </c>
      <c r="L18" s="33">
        <f t="shared" si="3"/>
        <v>2.35</v>
      </c>
      <c r="M18" s="33">
        <f t="shared" si="2"/>
        <v>0</v>
      </c>
      <c r="N18" s="63" t="s">
        <v>100</v>
      </c>
      <c r="O18" s="63">
        <v>7.6</v>
      </c>
      <c r="P18" s="33">
        <f t="shared" si="4"/>
        <v>0</v>
      </c>
      <c r="Q18" s="33">
        <f t="shared" si="5"/>
        <v>3.8</v>
      </c>
      <c r="R18" s="33">
        <f t="shared" si="4"/>
        <v>0</v>
      </c>
    </row>
    <row r="19" spans="1:18" ht="12.75">
      <c r="A19" s="28"/>
      <c r="B19" s="28" t="s">
        <v>33</v>
      </c>
      <c r="C19" s="30">
        <v>0.01</v>
      </c>
      <c r="D19" t="s">
        <v>100</v>
      </c>
      <c r="E19" s="63">
        <v>11</v>
      </c>
      <c r="F19" s="33">
        <f t="shared" si="0"/>
        <v>0.11</v>
      </c>
      <c r="G19" s="33">
        <f t="shared" si="1"/>
        <v>5.5</v>
      </c>
      <c r="H19" s="33">
        <f t="shared" si="0"/>
        <v>0.055</v>
      </c>
      <c r="I19" s="63" t="s">
        <v>100</v>
      </c>
      <c r="J19" s="63">
        <v>8.4</v>
      </c>
      <c r="K19" s="33">
        <f t="shared" si="2"/>
        <v>0.084</v>
      </c>
      <c r="L19" s="33">
        <f t="shared" si="3"/>
        <v>4.2</v>
      </c>
      <c r="M19" s="33">
        <f t="shared" si="2"/>
        <v>0.042</v>
      </c>
      <c r="N19" s="63" t="s">
        <v>100</v>
      </c>
      <c r="O19" s="63">
        <v>14</v>
      </c>
      <c r="P19" s="33">
        <f t="shared" si="4"/>
        <v>0.14</v>
      </c>
      <c r="Q19" s="33">
        <f t="shared" si="5"/>
        <v>7</v>
      </c>
      <c r="R19" s="33">
        <f t="shared" si="4"/>
        <v>0.07</v>
      </c>
    </row>
    <row r="20" spans="1:18" ht="12.75">
      <c r="A20" s="28"/>
      <c r="B20" s="28" t="s">
        <v>93</v>
      </c>
      <c r="C20" s="30">
        <v>0</v>
      </c>
      <c r="D20" t="s">
        <v>100</v>
      </c>
      <c r="E20" s="63">
        <v>11</v>
      </c>
      <c r="F20" s="33">
        <f t="shared" si="0"/>
        <v>0</v>
      </c>
      <c r="G20" s="33">
        <f t="shared" si="1"/>
        <v>5.5</v>
      </c>
      <c r="H20" s="33">
        <f t="shared" si="0"/>
        <v>0</v>
      </c>
      <c r="I20" s="63" t="s">
        <v>100</v>
      </c>
      <c r="J20" s="63">
        <v>8.4</v>
      </c>
      <c r="K20" s="33">
        <f t="shared" si="2"/>
        <v>0</v>
      </c>
      <c r="L20" s="33">
        <f t="shared" si="3"/>
        <v>4.2</v>
      </c>
      <c r="M20" s="33">
        <f t="shared" si="2"/>
        <v>0</v>
      </c>
      <c r="N20" s="63" t="s">
        <v>100</v>
      </c>
      <c r="O20" s="63">
        <v>14</v>
      </c>
      <c r="P20" s="33">
        <f t="shared" si="4"/>
        <v>0</v>
      </c>
      <c r="Q20" s="33">
        <f t="shared" si="5"/>
        <v>7</v>
      </c>
      <c r="R20" s="33">
        <f t="shared" si="4"/>
        <v>0</v>
      </c>
    </row>
    <row r="21" spans="1:18" ht="12.75">
      <c r="A21" s="28"/>
      <c r="B21" s="28" t="s">
        <v>34</v>
      </c>
      <c r="C21" s="30">
        <v>0.001</v>
      </c>
      <c r="D21" t="s">
        <v>100</v>
      </c>
      <c r="E21" s="63">
        <v>55</v>
      </c>
      <c r="F21" s="33">
        <f t="shared" si="0"/>
        <v>0.055</v>
      </c>
      <c r="G21" s="33">
        <f t="shared" si="1"/>
        <v>27.5</v>
      </c>
      <c r="H21" s="33">
        <f t="shared" si="0"/>
        <v>0.0275</v>
      </c>
      <c r="I21" s="63" t="s">
        <v>100</v>
      </c>
      <c r="J21" s="63">
        <v>46</v>
      </c>
      <c r="K21" s="33">
        <f t="shared" si="2"/>
        <v>0.046</v>
      </c>
      <c r="L21" s="33">
        <f t="shared" si="3"/>
        <v>23</v>
      </c>
      <c r="M21" s="33">
        <f t="shared" si="2"/>
        <v>0.023</v>
      </c>
      <c r="N21" s="63" t="s">
        <v>100</v>
      </c>
      <c r="O21" s="63">
        <v>60</v>
      </c>
      <c r="P21" s="33">
        <f t="shared" si="4"/>
        <v>0.06</v>
      </c>
      <c r="Q21" s="33">
        <f t="shared" si="5"/>
        <v>30</v>
      </c>
      <c r="R21" s="33">
        <f t="shared" si="4"/>
        <v>0.03</v>
      </c>
    </row>
    <row r="22" spans="1:18" ht="12.75">
      <c r="A22" s="28"/>
      <c r="B22" s="28" t="s">
        <v>35</v>
      </c>
      <c r="C22" s="30">
        <v>0.1</v>
      </c>
      <c r="D22" t="s">
        <v>100</v>
      </c>
      <c r="E22" s="63">
        <v>6.6</v>
      </c>
      <c r="F22" s="33">
        <f t="shared" si="0"/>
        <v>0.66</v>
      </c>
      <c r="G22" s="33">
        <f t="shared" si="1"/>
        <v>3.3</v>
      </c>
      <c r="H22" s="33">
        <f t="shared" si="0"/>
        <v>0.33</v>
      </c>
      <c r="I22" s="63" t="s">
        <v>100</v>
      </c>
      <c r="J22" s="63">
        <v>7.1</v>
      </c>
      <c r="K22" s="33">
        <f t="shared" si="2"/>
        <v>0.71</v>
      </c>
      <c r="L22" s="33">
        <f t="shared" si="3"/>
        <v>3.55</v>
      </c>
      <c r="M22" s="33">
        <f t="shared" si="2"/>
        <v>0.355</v>
      </c>
      <c r="N22" s="63" t="s">
        <v>100</v>
      </c>
      <c r="O22" s="63">
        <v>2.8</v>
      </c>
      <c r="P22" s="33">
        <f t="shared" si="4"/>
        <v>0.27999999999999997</v>
      </c>
      <c r="Q22" s="33">
        <f t="shared" si="5"/>
        <v>1.4</v>
      </c>
      <c r="R22" s="33">
        <f t="shared" si="4"/>
        <v>0.13999999999999999</v>
      </c>
    </row>
    <row r="23" spans="1:18" ht="12.75">
      <c r="A23" s="28"/>
      <c r="B23" s="28" t="s">
        <v>94</v>
      </c>
      <c r="C23" s="30">
        <v>0</v>
      </c>
      <c r="D23" t="s">
        <v>100</v>
      </c>
      <c r="E23" s="63">
        <v>17</v>
      </c>
      <c r="F23" s="33">
        <f t="shared" si="0"/>
        <v>0</v>
      </c>
      <c r="G23" s="33">
        <f t="shared" si="1"/>
        <v>8.5</v>
      </c>
      <c r="H23" s="33">
        <f t="shared" si="0"/>
        <v>0</v>
      </c>
      <c r="I23" s="63" t="s">
        <v>100</v>
      </c>
      <c r="J23" s="63">
        <v>7.1</v>
      </c>
      <c r="K23" s="33">
        <f t="shared" si="2"/>
        <v>0</v>
      </c>
      <c r="L23" s="33">
        <f t="shared" si="3"/>
        <v>3.55</v>
      </c>
      <c r="M23" s="33">
        <f t="shared" si="2"/>
        <v>0</v>
      </c>
      <c r="N23" s="63" t="s">
        <v>100</v>
      </c>
      <c r="O23" s="63">
        <v>2.8</v>
      </c>
      <c r="P23" s="33">
        <f t="shared" si="4"/>
        <v>0</v>
      </c>
      <c r="Q23" s="33">
        <f t="shared" si="5"/>
        <v>1.4</v>
      </c>
      <c r="R23" s="33">
        <f t="shared" si="4"/>
        <v>0</v>
      </c>
    </row>
    <row r="24" spans="1:18" ht="12.75">
      <c r="A24" s="28"/>
      <c r="B24" s="28" t="s">
        <v>36</v>
      </c>
      <c r="C24" s="30">
        <v>0.05</v>
      </c>
      <c r="D24" t="s">
        <v>100</v>
      </c>
      <c r="E24" s="63">
        <v>4.2</v>
      </c>
      <c r="F24" s="33">
        <f t="shared" si="0"/>
        <v>0.21000000000000002</v>
      </c>
      <c r="G24" s="33">
        <f t="shared" si="1"/>
        <v>2.1</v>
      </c>
      <c r="H24" s="33">
        <f t="shared" si="0"/>
        <v>0.10500000000000001</v>
      </c>
      <c r="I24" s="63" t="s">
        <v>100</v>
      </c>
      <c r="J24" s="63">
        <v>2.1</v>
      </c>
      <c r="K24" s="33">
        <f t="shared" si="2"/>
        <v>0.10500000000000001</v>
      </c>
      <c r="L24" s="33">
        <f t="shared" si="3"/>
        <v>1.05</v>
      </c>
      <c r="M24" s="33">
        <f t="shared" si="2"/>
        <v>0.052500000000000005</v>
      </c>
      <c r="N24" s="63" t="s">
        <v>100</v>
      </c>
      <c r="O24" s="63">
        <v>2.4</v>
      </c>
      <c r="P24" s="33">
        <f t="shared" si="4"/>
        <v>0.12</v>
      </c>
      <c r="Q24" s="33">
        <f t="shared" si="5"/>
        <v>1.2</v>
      </c>
      <c r="R24" s="33">
        <f t="shared" si="4"/>
        <v>0.06</v>
      </c>
    </row>
    <row r="25" spans="1:18" ht="12.75">
      <c r="A25" s="28"/>
      <c r="B25" s="28" t="s">
        <v>37</v>
      </c>
      <c r="C25" s="30">
        <v>0.5</v>
      </c>
      <c r="D25" t="s">
        <v>100</v>
      </c>
      <c r="E25" s="63">
        <v>4</v>
      </c>
      <c r="F25" s="33">
        <f t="shared" si="0"/>
        <v>2</v>
      </c>
      <c r="G25" s="33">
        <f t="shared" si="1"/>
        <v>2</v>
      </c>
      <c r="H25" s="33">
        <f t="shared" si="0"/>
        <v>1</v>
      </c>
      <c r="I25" s="63" t="s">
        <v>100</v>
      </c>
      <c r="J25" s="63">
        <v>1.7</v>
      </c>
      <c r="K25" s="33">
        <f t="shared" si="2"/>
        <v>0.85</v>
      </c>
      <c r="L25" s="33">
        <f t="shared" si="3"/>
        <v>0.85</v>
      </c>
      <c r="M25" s="33">
        <f t="shared" si="2"/>
        <v>0.425</v>
      </c>
      <c r="N25" s="63" t="s">
        <v>100</v>
      </c>
      <c r="O25" s="63">
        <v>2.9</v>
      </c>
      <c r="P25" s="33">
        <f t="shared" si="4"/>
        <v>1.45</v>
      </c>
      <c r="Q25" s="33">
        <f t="shared" si="5"/>
        <v>1.45</v>
      </c>
      <c r="R25" s="33">
        <f t="shared" si="4"/>
        <v>0.725</v>
      </c>
    </row>
    <row r="26" spans="1:18" ht="12.75">
      <c r="A26" s="28"/>
      <c r="B26" s="28" t="s">
        <v>95</v>
      </c>
      <c r="C26" s="30">
        <v>0</v>
      </c>
      <c r="D26" t="s">
        <v>100</v>
      </c>
      <c r="E26" s="63">
        <v>8.5</v>
      </c>
      <c r="F26" s="33">
        <f t="shared" si="0"/>
        <v>0</v>
      </c>
      <c r="G26" s="33">
        <f t="shared" si="1"/>
        <v>4.25</v>
      </c>
      <c r="H26" s="33">
        <f t="shared" si="0"/>
        <v>0</v>
      </c>
      <c r="I26" s="63" t="s">
        <v>100</v>
      </c>
      <c r="J26" s="63">
        <v>4.8</v>
      </c>
      <c r="K26" s="33">
        <f t="shared" si="2"/>
        <v>0</v>
      </c>
      <c r="L26" s="33">
        <f t="shared" si="3"/>
        <v>2.4</v>
      </c>
      <c r="M26" s="33">
        <f t="shared" si="2"/>
        <v>0</v>
      </c>
      <c r="N26" s="63" t="s">
        <v>100</v>
      </c>
      <c r="O26" s="63">
        <v>2.9</v>
      </c>
      <c r="P26" s="33">
        <f t="shared" si="4"/>
        <v>0</v>
      </c>
      <c r="Q26" s="33">
        <f t="shared" si="5"/>
        <v>1.45</v>
      </c>
      <c r="R26" s="33">
        <f t="shared" si="4"/>
        <v>0</v>
      </c>
    </row>
    <row r="27" spans="1:18" ht="12.75">
      <c r="A27" s="28"/>
      <c r="B27" s="28" t="s">
        <v>38</v>
      </c>
      <c r="C27" s="30">
        <v>0.1</v>
      </c>
      <c r="D27" t="s">
        <v>100</v>
      </c>
      <c r="E27" s="63">
        <v>4.9</v>
      </c>
      <c r="F27" s="33">
        <f t="shared" si="0"/>
        <v>0.49000000000000005</v>
      </c>
      <c r="G27" s="33">
        <f t="shared" si="1"/>
        <v>2.45</v>
      </c>
      <c r="H27" s="33">
        <f t="shared" si="0"/>
        <v>0.24500000000000002</v>
      </c>
      <c r="I27" s="63" t="s">
        <v>100</v>
      </c>
      <c r="J27" s="63">
        <v>4.5</v>
      </c>
      <c r="K27" s="33">
        <f t="shared" si="2"/>
        <v>0.45</v>
      </c>
      <c r="L27" s="33">
        <f t="shared" si="3"/>
        <v>2.25</v>
      </c>
      <c r="M27" s="33">
        <f t="shared" si="2"/>
        <v>0.225</v>
      </c>
      <c r="N27" s="63" t="s">
        <v>100</v>
      </c>
      <c r="O27" s="63">
        <v>5.2</v>
      </c>
      <c r="P27" s="33">
        <f t="shared" si="4"/>
        <v>0.52</v>
      </c>
      <c r="Q27" s="33">
        <f t="shared" si="5"/>
        <v>2.6</v>
      </c>
      <c r="R27" s="33">
        <f t="shared" si="4"/>
        <v>0.26</v>
      </c>
    </row>
    <row r="28" spans="1:18" ht="12.75">
      <c r="A28" s="28"/>
      <c r="B28" s="28" t="s">
        <v>39</v>
      </c>
      <c r="C28" s="30">
        <v>0.1</v>
      </c>
      <c r="D28" t="s">
        <v>100</v>
      </c>
      <c r="E28" s="63">
        <v>2.8</v>
      </c>
      <c r="F28" s="33">
        <f t="shared" si="0"/>
        <v>0.27999999999999997</v>
      </c>
      <c r="G28" s="33">
        <f t="shared" si="1"/>
        <v>1.4</v>
      </c>
      <c r="H28" s="33">
        <f t="shared" si="0"/>
        <v>0.13999999999999999</v>
      </c>
      <c r="I28" s="63" t="s">
        <v>100</v>
      </c>
      <c r="J28" s="63">
        <v>2.7</v>
      </c>
      <c r="K28" s="33">
        <f t="shared" si="2"/>
        <v>0.27</v>
      </c>
      <c r="L28" s="33">
        <f t="shared" si="3"/>
        <v>1.35</v>
      </c>
      <c r="M28" s="33">
        <f t="shared" si="2"/>
        <v>0.135</v>
      </c>
      <c r="N28" s="63" t="s">
        <v>100</v>
      </c>
      <c r="O28" s="63">
        <v>4.8</v>
      </c>
      <c r="P28" s="33">
        <f t="shared" si="4"/>
        <v>0.48</v>
      </c>
      <c r="Q28" s="33">
        <f t="shared" si="5"/>
        <v>2.4</v>
      </c>
      <c r="R28" s="33">
        <f t="shared" si="4"/>
        <v>0.24</v>
      </c>
    </row>
    <row r="29" spans="1:18" ht="12.75">
      <c r="A29" s="28"/>
      <c r="B29" s="28" t="s">
        <v>40</v>
      </c>
      <c r="C29" s="30">
        <v>0.1</v>
      </c>
      <c r="D29" t="s">
        <v>100</v>
      </c>
      <c r="E29" s="63">
        <v>2.6</v>
      </c>
      <c r="F29" s="33">
        <f t="shared" si="0"/>
        <v>0.26</v>
      </c>
      <c r="G29" s="33">
        <f t="shared" si="1"/>
        <v>1.3</v>
      </c>
      <c r="H29" s="33">
        <f t="shared" si="0"/>
        <v>0.13</v>
      </c>
      <c r="I29" s="63" t="s">
        <v>100</v>
      </c>
      <c r="J29" s="63">
        <v>2.4</v>
      </c>
      <c r="K29" s="33">
        <f t="shared" si="2"/>
        <v>0.24</v>
      </c>
      <c r="L29" s="33">
        <f t="shared" si="3"/>
        <v>1.2</v>
      </c>
      <c r="M29" s="33">
        <f t="shared" si="2"/>
        <v>0.12</v>
      </c>
      <c r="N29" s="63" t="s">
        <v>100</v>
      </c>
      <c r="O29" s="63">
        <v>6.5</v>
      </c>
      <c r="P29" s="33">
        <f t="shared" si="4"/>
        <v>0.65</v>
      </c>
      <c r="Q29" s="33">
        <f t="shared" si="5"/>
        <v>3.25</v>
      </c>
      <c r="R29" s="33">
        <f t="shared" si="4"/>
        <v>0.325</v>
      </c>
    </row>
    <row r="30" spans="1:18" ht="12.75">
      <c r="A30" s="28"/>
      <c r="B30" s="28" t="s">
        <v>41</v>
      </c>
      <c r="C30" s="30">
        <v>0.1</v>
      </c>
      <c r="D30" t="s">
        <v>100</v>
      </c>
      <c r="E30" s="63">
        <v>2.7</v>
      </c>
      <c r="F30" s="33">
        <f t="shared" si="0"/>
        <v>0.27</v>
      </c>
      <c r="G30" s="33">
        <f t="shared" si="1"/>
        <v>1.35</v>
      </c>
      <c r="H30" s="33">
        <f t="shared" si="0"/>
        <v>0.135</v>
      </c>
      <c r="I30" s="63" t="s">
        <v>100</v>
      </c>
      <c r="J30" s="63">
        <v>2.5</v>
      </c>
      <c r="K30" s="33">
        <f t="shared" si="2"/>
        <v>0.25</v>
      </c>
      <c r="L30" s="33">
        <f t="shared" si="3"/>
        <v>1.25</v>
      </c>
      <c r="M30" s="33">
        <f t="shared" si="2"/>
        <v>0.125</v>
      </c>
      <c r="N30" s="63" t="s">
        <v>100</v>
      </c>
      <c r="O30" s="63">
        <v>2.9</v>
      </c>
      <c r="P30" s="33">
        <f t="shared" si="4"/>
        <v>0.29</v>
      </c>
      <c r="Q30" s="33">
        <f t="shared" si="5"/>
        <v>1.45</v>
      </c>
      <c r="R30" s="33">
        <f t="shared" si="4"/>
        <v>0.145</v>
      </c>
    </row>
    <row r="31" spans="1:18" ht="12.75">
      <c r="A31" s="28"/>
      <c r="B31" s="28" t="s">
        <v>96</v>
      </c>
      <c r="C31" s="30">
        <v>0</v>
      </c>
      <c r="D31" t="s">
        <v>100</v>
      </c>
      <c r="E31" s="63">
        <v>4.9</v>
      </c>
      <c r="F31" s="33">
        <f t="shared" si="0"/>
        <v>0</v>
      </c>
      <c r="G31" s="33">
        <f t="shared" si="1"/>
        <v>2.45</v>
      </c>
      <c r="H31" s="33">
        <f t="shared" si="0"/>
        <v>0</v>
      </c>
      <c r="I31" s="63" t="s">
        <v>100</v>
      </c>
      <c r="J31" s="63">
        <v>4.5</v>
      </c>
      <c r="K31" s="33">
        <f t="shared" si="2"/>
        <v>0</v>
      </c>
      <c r="L31" s="33">
        <f t="shared" si="3"/>
        <v>2.25</v>
      </c>
      <c r="M31" s="33">
        <f t="shared" si="2"/>
        <v>0</v>
      </c>
      <c r="N31" s="63" t="s">
        <v>100</v>
      </c>
      <c r="O31" s="63">
        <v>6.8</v>
      </c>
      <c r="P31" s="33">
        <f t="shared" si="4"/>
        <v>0</v>
      </c>
      <c r="Q31" s="33">
        <f t="shared" si="5"/>
        <v>3.4</v>
      </c>
      <c r="R31" s="33">
        <f t="shared" si="4"/>
        <v>0</v>
      </c>
    </row>
    <row r="32" spans="1:18" ht="12.75">
      <c r="A32" s="28"/>
      <c r="B32" s="28" t="s">
        <v>42</v>
      </c>
      <c r="C32" s="30">
        <v>0.01</v>
      </c>
      <c r="D32" t="s">
        <v>100</v>
      </c>
      <c r="E32" s="63">
        <v>9.4</v>
      </c>
      <c r="F32" s="33">
        <f t="shared" si="0"/>
        <v>0.094</v>
      </c>
      <c r="G32" s="33">
        <f t="shared" si="1"/>
        <v>4.7</v>
      </c>
      <c r="H32" s="33">
        <f t="shared" si="0"/>
        <v>0.047</v>
      </c>
      <c r="I32" s="63" t="s">
        <v>100</v>
      </c>
      <c r="J32" s="63">
        <v>5.6</v>
      </c>
      <c r="K32" s="33">
        <f t="shared" si="2"/>
        <v>0.055999999999999994</v>
      </c>
      <c r="L32" s="33">
        <f t="shared" si="3"/>
        <v>2.8</v>
      </c>
      <c r="M32" s="33">
        <f t="shared" si="2"/>
        <v>0.027999999999999997</v>
      </c>
      <c r="N32" s="63" t="s">
        <v>100</v>
      </c>
      <c r="O32" s="63">
        <v>17</v>
      </c>
      <c r="P32" s="33">
        <f t="shared" si="4"/>
        <v>0.17</v>
      </c>
      <c r="Q32" s="33">
        <f t="shared" si="5"/>
        <v>8.5</v>
      </c>
      <c r="R32" s="33">
        <f t="shared" si="4"/>
        <v>0.085</v>
      </c>
    </row>
    <row r="33" spans="1:18" ht="12.75">
      <c r="A33" s="28"/>
      <c r="B33" s="28" t="s">
        <v>43</v>
      </c>
      <c r="C33" s="30">
        <v>0.01</v>
      </c>
      <c r="D33" t="s">
        <v>100</v>
      </c>
      <c r="E33" s="63">
        <v>6.2</v>
      </c>
      <c r="F33" s="33">
        <f t="shared" si="0"/>
        <v>0.062000000000000006</v>
      </c>
      <c r="G33" s="33">
        <f t="shared" si="1"/>
        <v>3.1</v>
      </c>
      <c r="H33" s="33">
        <f t="shared" si="0"/>
        <v>0.031000000000000003</v>
      </c>
      <c r="I33" s="63" t="s">
        <v>100</v>
      </c>
      <c r="J33" s="63">
        <v>4.5</v>
      </c>
      <c r="K33" s="33">
        <f t="shared" si="2"/>
        <v>0.045</v>
      </c>
      <c r="L33" s="33">
        <f t="shared" si="3"/>
        <v>2.25</v>
      </c>
      <c r="M33" s="33">
        <f t="shared" si="2"/>
        <v>0.0225</v>
      </c>
      <c r="N33" s="63" t="s">
        <v>100</v>
      </c>
      <c r="O33" s="63">
        <v>13</v>
      </c>
      <c r="P33" s="33">
        <f t="shared" si="4"/>
        <v>0.13</v>
      </c>
      <c r="Q33" s="33">
        <f t="shared" si="5"/>
        <v>6.5</v>
      </c>
      <c r="R33" s="33">
        <f t="shared" si="4"/>
        <v>0.065</v>
      </c>
    </row>
    <row r="34" spans="1:18" ht="12.75">
      <c r="A34" s="28"/>
      <c r="B34" s="28" t="s">
        <v>97</v>
      </c>
      <c r="C34" s="30">
        <v>0</v>
      </c>
      <c r="D34" t="s">
        <v>100</v>
      </c>
      <c r="E34" s="63">
        <v>9.4</v>
      </c>
      <c r="F34" s="33">
        <f t="shared" si="0"/>
        <v>0</v>
      </c>
      <c r="G34" s="33">
        <f t="shared" si="1"/>
        <v>4.7</v>
      </c>
      <c r="H34" s="33">
        <f t="shared" si="0"/>
        <v>0</v>
      </c>
      <c r="I34" s="63" t="s">
        <v>100</v>
      </c>
      <c r="J34" s="63">
        <v>5.8</v>
      </c>
      <c r="K34" s="33">
        <f t="shared" si="2"/>
        <v>0</v>
      </c>
      <c r="L34" s="33">
        <f t="shared" si="3"/>
        <v>2.9</v>
      </c>
      <c r="M34" s="33">
        <f t="shared" si="2"/>
        <v>0</v>
      </c>
      <c r="N34" s="63" t="s">
        <v>100</v>
      </c>
      <c r="O34" s="63">
        <v>17</v>
      </c>
      <c r="P34" s="33">
        <f t="shared" si="4"/>
        <v>0</v>
      </c>
      <c r="Q34" s="33">
        <f t="shared" si="5"/>
        <v>8.5</v>
      </c>
      <c r="R34" s="33">
        <f t="shared" si="4"/>
        <v>0</v>
      </c>
    </row>
    <row r="35" spans="1:18" ht="12.75">
      <c r="A35" s="28"/>
      <c r="B35" s="28" t="s">
        <v>44</v>
      </c>
      <c r="C35" s="30">
        <v>0.001</v>
      </c>
      <c r="D35" t="s">
        <v>100</v>
      </c>
      <c r="E35" s="63">
        <v>28</v>
      </c>
      <c r="F35" s="33">
        <f t="shared" si="0"/>
        <v>0.028</v>
      </c>
      <c r="G35" s="33">
        <f t="shared" si="1"/>
        <v>14</v>
      </c>
      <c r="H35" s="33">
        <f t="shared" si="0"/>
        <v>0.014</v>
      </c>
      <c r="I35" s="63" t="s">
        <v>100</v>
      </c>
      <c r="J35" s="63">
        <v>16</v>
      </c>
      <c r="K35" s="33">
        <f t="shared" si="2"/>
        <v>0.016</v>
      </c>
      <c r="L35" s="33">
        <f t="shared" si="3"/>
        <v>8</v>
      </c>
      <c r="M35" s="33">
        <f t="shared" si="2"/>
        <v>0.008</v>
      </c>
      <c r="N35" s="63" t="s">
        <v>100</v>
      </c>
      <c r="O35" s="63">
        <v>38</v>
      </c>
      <c r="P35" s="33">
        <f t="shared" si="4"/>
        <v>0.038</v>
      </c>
      <c r="Q35" s="33">
        <f t="shared" si="5"/>
        <v>19</v>
      </c>
      <c r="R35" s="33">
        <f t="shared" si="4"/>
        <v>0.019</v>
      </c>
    </row>
    <row r="36" spans="1:18" ht="12.75">
      <c r="A36" s="28"/>
      <c r="B36" s="28"/>
      <c r="C36" s="28"/>
      <c r="D36" s="28"/>
      <c r="E36" s="33"/>
      <c r="F36" s="36"/>
      <c r="G36" s="33"/>
      <c r="H36" s="36"/>
      <c r="I36" s="52"/>
      <c r="J36" s="13"/>
      <c r="K36" s="31"/>
      <c r="L36" s="31"/>
      <c r="M36" s="31"/>
      <c r="N36" s="33"/>
      <c r="O36" s="13"/>
      <c r="P36" s="35"/>
      <c r="Q36" s="33"/>
      <c r="R36" s="35"/>
    </row>
    <row r="37" spans="1:18" ht="12.75">
      <c r="A37" s="28"/>
      <c r="B37" s="28" t="s">
        <v>45</v>
      </c>
      <c r="C37" s="28"/>
      <c r="D37" s="28"/>
      <c r="E37" s="33"/>
      <c r="F37">
        <v>189.95</v>
      </c>
      <c r="G37">
        <v>189.95</v>
      </c>
      <c r="H37">
        <v>189.95</v>
      </c>
      <c r="K37">
        <v>154</v>
      </c>
      <c r="L37">
        <v>154</v>
      </c>
      <c r="M37">
        <v>154</v>
      </c>
      <c r="P37">
        <v>151.39</v>
      </c>
      <c r="Q37">
        <v>151.39</v>
      </c>
      <c r="R37">
        <v>151.39</v>
      </c>
    </row>
    <row r="38" spans="1:18" ht="12.75">
      <c r="A38" s="28"/>
      <c r="B38" s="28" t="s">
        <v>59</v>
      </c>
      <c r="C38" s="28"/>
      <c r="D38" s="28"/>
      <c r="E38" s="33"/>
      <c r="F38">
        <v>8.9</v>
      </c>
      <c r="G38">
        <f>emiss!G200</f>
        <v>8.9</v>
      </c>
      <c r="H38">
        <v>8.9</v>
      </c>
      <c r="K38">
        <v>9</v>
      </c>
      <c r="L38">
        <f>emiss!I200</f>
        <v>9</v>
      </c>
      <c r="M38">
        <v>9</v>
      </c>
      <c r="P38">
        <v>9</v>
      </c>
      <c r="Q38">
        <f>emiss!K200</f>
        <v>9</v>
      </c>
      <c r="R38">
        <v>9</v>
      </c>
    </row>
    <row r="39" spans="1:18" ht="12.75">
      <c r="A39" s="28"/>
      <c r="B39" s="28"/>
      <c r="C39" s="28"/>
      <c r="D39" s="28"/>
      <c r="E39" s="33"/>
      <c r="F39" s="13"/>
      <c r="G39" s="33"/>
      <c r="H39" s="13"/>
      <c r="I39" s="46"/>
      <c r="J39" s="33"/>
      <c r="K39" s="34"/>
      <c r="L39" s="31"/>
      <c r="M39" s="34"/>
      <c r="N39" s="33"/>
      <c r="O39" s="33"/>
      <c r="P39" s="33"/>
      <c r="Q39" s="33"/>
      <c r="R39" s="33"/>
    </row>
    <row r="40" spans="1:18" ht="12.75">
      <c r="A40" s="28"/>
      <c r="B40" s="28" t="s">
        <v>98</v>
      </c>
      <c r="C40" s="36"/>
      <c r="D40" s="36"/>
      <c r="E40" s="31"/>
      <c r="F40" s="32">
        <f>SUM(F11:F35)/1000</f>
        <v>0.012048999999999999</v>
      </c>
      <c r="G40" s="31">
        <f>SUM(G35,G34,G31,G26,G23,G21,G20,G18,G14,G12)/1000</f>
        <v>0.09215000000000001</v>
      </c>
      <c r="H40" s="32">
        <f>SUM(H11:H35)/1000</f>
        <v>0.0060244999999999995</v>
      </c>
      <c r="I40" s="38"/>
      <c r="J40" s="31"/>
      <c r="K40" s="32">
        <f>SUM(K11:K35)/1000</f>
        <v>0.008862</v>
      </c>
      <c r="L40" s="31">
        <f>SUM(L35,L34,L31,L26,L23,L21,L20,L18,L14,L12)/1000</f>
        <v>0.05320000000000001</v>
      </c>
      <c r="M40" s="32">
        <f>SUM(M11:M35)/1000</f>
        <v>0.004431</v>
      </c>
      <c r="N40" s="36"/>
      <c r="O40" s="33"/>
      <c r="P40" s="36">
        <f>SUM(P11:P35)/1000</f>
        <v>0.008638</v>
      </c>
      <c r="Q40" s="31">
        <f>SUM(Q35,Q34,Q31,Q26,Q23,Q21,Q20,Q18,Q14,Q12)/1000</f>
        <v>0.07875</v>
      </c>
      <c r="R40" s="36">
        <f>SUM(R11:R35)/1000</f>
        <v>0.004319</v>
      </c>
    </row>
    <row r="41" spans="1:18" ht="12.75">
      <c r="A41" s="28"/>
      <c r="B41" s="28" t="s">
        <v>46</v>
      </c>
      <c r="C41" s="36"/>
      <c r="D41" s="31">
        <f>(F41-H41)*2/F41*100</f>
        <v>100</v>
      </c>
      <c r="E41" s="33"/>
      <c r="F41" s="32">
        <f>(F40/F37/0.0283*(21-7)/(21-F38))</f>
        <v>0.002593390623632068</v>
      </c>
      <c r="G41" s="32">
        <f>(G40/G37/0.0283*(21-7)/(21-G38))</f>
        <v>0.019834089631313397</v>
      </c>
      <c r="H41" s="32">
        <f>(H40/H37/0.0283*(21-7)/(21-H38))</f>
        <v>0.001296695311816034</v>
      </c>
      <c r="I41" s="31">
        <f>(K41-M41)*2/K41*100</f>
        <v>100</v>
      </c>
      <c r="J41" s="33"/>
      <c r="K41" s="36">
        <f>K40/K37/0.0283*(21-7)/(21-K38)</f>
        <v>0.002372309669129457</v>
      </c>
      <c r="L41" s="33">
        <f>(L40/L37/0.0283*(21-7)/(21-L38))</f>
        <v>0.014241353463968308</v>
      </c>
      <c r="M41" s="36">
        <f>M40/M37/0.0283*(21-7)/(21-M38)</f>
        <v>0.0011861548345647286</v>
      </c>
      <c r="N41" s="31">
        <f>(P41-R41)*2/P41*100</f>
        <v>100</v>
      </c>
      <c r="O41" s="33"/>
      <c r="P41" s="36">
        <f>P40/P37/0.0283*(21-7)/(21-P38)</f>
        <v>0.0023522114779175093</v>
      </c>
      <c r="Q41" s="33">
        <f>(Q40/Q37/0.0283*(21-7)/(21-Q38))</f>
        <v>0.02144439151261911</v>
      </c>
      <c r="R41" s="36">
        <f>R40/R37/0.0283*(21-7)/(21-R38)</f>
        <v>0.0011761057389587546</v>
      </c>
    </row>
    <row r="42" spans="1:18" ht="12.75">
      <c r="A42" s="28"/>
      <c r="B42" s="28"/>
      <c r="C42" s="28"/>
      <c r="D42" s="28"/>
      <c r="E42" s="32"/>
      <c r="F42" s="36"/>
      <c r="G42" s="32"/>
      <c r="H42" s="36"/>
      <c r="I42" s="53"/>
      <c r="J42" s="32"/>
      <c r="K42" s="32"/>
      <c r="L42" s="32"/>
      <c r="M42" s="32"/>
      <c r="N42" s="32"/>
      <c r="O42" s="32"/>
      <c r="P42" s="35"/>
      <c r="Q42" s="32"/>
      <c r="R42" s="35"/>
    </row>
    <row r="43" spans="1:18" ht="12.75">
      <c r="A43" s="33"/>
      <c r="B43" s="28" t="s">
        <v>60</v>
      </c>
      <c r="C43" s="36">
        <f>AVERAGE(H41,M41,R41)</f>
        <v>0.0012196519617798391</v>
      </c>
      <c r="D43" s="33"/>
      <c r="E43" s="33"/>
      <c r="F43" s="36"/>
      <c r="G43" s="33"/>
      <c r="H43" s="36"/>
      <c r="I43" s="52"/>
      <c r="J43" s="33"/>
      <c r="K43" s="33"/>
      <c r="L43" s="33"/>
      <c r="M43" s="33"/>
      <c r="N43" s="33"/>
      <c r="O43" s="33"/>
      <c r="P43" s="35"/>
      <c r="Q43" s="33"/>
      <c r="R43" s="35"/>
    </row>
    <row r="44" spans="1:18" ht="12.75">
      <c r="A44" s="28"/>
      <c r="B44" s="28" t="s">
        <v>61</v>
      </c>
      <c r="C44" s="36">
        <f>AVERAGE(G41,L41,Q41)</f>
        <v>0.01850661153596694</v>
      </c>
      <c r="D44" s="28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</row>
    <row r="45" ht="12.75">
      <c r="I45" s="51"/>
    </row>
    <row r="46" ht="12.75">
      <c r="I46" s="5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2004-02-24T21:54:45Z</cp:lastPrinted>
  <dcterms:created xsi:type="dcterms:W3CDTF">2000-01-10T00:44:42Z</dcterms:created>
  <dcterms:modified xsi:type="dcterms:W3CDTF">2005-03-10T22:49:32Z</dcterms:modified>
  <cp:category/>
  <cp:version/>
  <cp:contentType/>
  <cp:contentStatus/>
</cp:coreProperties>
</file>