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  <sheet name="df c2" sheetId="8" r:id="rId8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<sst xmlns="http://schemas.openxmlformats.org/spreadsheetml/2006/main" count="1193" uniqueCount="226">
  <si>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</si>
  <si>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</si>
  <si>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</si>
  <si>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</si>
  <si>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</si>
  <si>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</si>
  <si>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</si>
  <si>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</si>
  <si>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</si>
  <si>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</si>
  <si>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</si>
  <si>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</si>
  <si>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</si>
  <si>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</si>
  <si>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</si>
  <si>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</si>
  <si>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</si>
  <si>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</si>
  <si>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</si>
  <si>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</si>
  <si>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</si>
  <si>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</si>
  <si>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</si>
  <si>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</si>
  <si>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</si>
  <si>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</si>
  <si>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</si>
  <si>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</si>
  <si>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</si>
  <si>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</si>
  <si>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</si>
  <si>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</si>
  <si>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</si>
  <si>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</si>
  <si>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</si>
  <si>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</si>
  <si>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</si>
  <si>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</si>
  <si>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</si>
  <si>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</si>
  <si>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</si>
  <si>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</si>
  <si>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</si>
  <si>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</si>
  <si>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</si>
  <si>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</si>
  <si>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</si>
  <si>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</si>
  <si>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</si>
  <si>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HCl</t>
  </si>
  <si>
    <t>Cl2</t>
  </si>
  <si>
    <t>DRE</t>
  </si>
  <si>
    <t>lb/hr</t>
  </si>
  <si>
    <r>
      <t>o</t>
    </r>
    <r>
      <rPr>
        <sz val="10"/>
        <rFont val="Arial"/>
        <family val="2"/>
      </rPr>
      <t>F</t>
    </r>
  </si>
  <si>
    <t>ug/dscm</t>
  </si>
  <si>
    <t>SVM</t>
  </si>
  <si>
    <t>LVM</t>
  </si>
  <si>
    <t>O2 (%)</t>
  </si>
  <si>
    <t>TEQ Cond Avg</t>
  </si>
  <si>
    <t>Total Cond Avg</t>
  </si>
  <si>
    <t>mg/dscm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</si>
  <si>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</si>
  <si>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</si>
  <si>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</si>
  <si>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</si>
  <si>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</si>
  <si>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</si>
  <si>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</si>
  <si>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</si>
  <si>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</si>
  <si>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</si>
  <si>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</si>
  <si>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</si>
  <si>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</si>
  <si>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</si>
  <si>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</si>
  <si>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</si>
  <si>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Beryllium</t>
  </si>
  <si>
    <t>Mercury</t>
  </si>
  <si>
    <t>Comments</t>
  </si>
  <si>
    <t>Trial Burn</t>
  </si>
  <si>
    <t xml:space="preserve">   O2</t>
  </si>
  <si>
    <t xml:space="preserve">   Moisture</t>
  </si>
  <si>
    <t>Chromium</t>
  </si>
  <si>
    <t>Sampling Train</t>
  </si>
  <si>
    <t>*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</si>
  <si>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</si>
  <si>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</si>
  <si>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</si>
  <si>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</si>
  <si>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</si>
  <si>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</si>
  <si>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</si>
  <si>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</si>
  <si>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</si>
  <si>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</si>
  <si>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</si>
  <si>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Metals</t>
  </si>
  <si>
    <t>nd</t>
  </si>
  <si>
    <t>Detected in sample volume (pg)</t>
  </si>
  <si>
    <t>WQ/VS/PBS/DM</t>
  </si>
  <si>
    <t>n</t>
  </si>
  <si>
    <t>mg/dscf</t>
  </si>
  <si>
    <t>PM, HCl/Cl2, HF</t>
  </si>
  <si>
    <t>Phase I ID No.</t>
  </si>
  <si>
    <t>Silver</t>
  </si>
  <si>
    <t>Aluminum</t>
  </si>
  <si>
    <t>Arsenic</t>
  </si>
  <si>
    <t>Barium</t>
  </si>
  <si>
    <t>Boron</t>
  </si>
  <si>
    <t>Cadmium</t>
  </si>
  <si>
    <t>Cobolt</t>
  </si>
  <si>
    <t>Copper</t>
  </si>
  <si>
    <t>Manganese</t>
  </si>
  <si>
    <t>Nickel</t>
  </si>
  <si>
    <t>Phosphorus</t>
  </si>
  <si>
    <t>Antimony</t>
  </si>
  <si>
    <t>Selenium</t>
  </si>
  <si>
    <t>Tin</t>
  </si>
  <si>
    <t>Thallium</t>
  </si>
  <si>
    <t>Vanadium</t>
  </si>
  <si>
    <t>Zinc</t>
  </si>
  <si>
    <t>ug/dscf</t>
  </si>
  <si>
    <t>CO (RA)</t>
  </si>
  <si>
    <t>Comb Cham Pressure</t>
  </si>
  <si>
    <t>in H2O</t>
  </si>
  <si>
    <t>VS Pressure Drop</t>
  </si>
  <si>
    <t>gpm</t>
  </si>
  <si>
    <t>VS Brine Flow</t>
  </si>
  <si>
    <t>Tooele</t>
  </si>
  <si>
    <t>UT</t>
  </si>
  <si>
    <t>Natural gas</t>
  </si>
  <si>
    <t>TRC Environmental</t>
  </si>
  <si>
    <t>Run 2</t>
  </si>
  <si>
    <t>CO (MHRA)</t>
  </si>
  <si>
    <t>Agent GB</t>
  </si>
  <si>
    <t xml:space="preserve">POHC </t>
  </si>
  <si>
    <t>POHC Feedrate</t>
  </si>
  <si>
    <t>Emission Rate</t>
  </si>
  <si>
    <t>&gt;</t>
  </si>
  <si>
    <t>UT5210090002</t>
  </si>
  <si>
    <t>7%O2</t>
  </si>
  <si>
    <t>RCRA Compliance Test Results for the Ton Container Heel Tests on the Metals Parts Furnace with Agent VX, Chemical Agent Munitions Disposal System (CAMDS), Tooele, Utah, Final Report, December 1994.</t>
  </si>
  <si>
    <t>Science Applications International Corporation and TRC</t>
  </si>
  <si>
    <t>Metals Parts Furnace</t>
  </si>
  <si>
    <t>Chemical agent VX</t>
  </si>
  <si>
    <t>Quench tower, venturi scrubber, packed bed scrubber, demister</t>
  </si>
  <si>
    <t>3004C1</t>
  </si>
  <si>
    <t>2 combustion chamber, roller hearth</t>
  </si>
  <si>
    <t>Air lock, primary combustion chamber (with zones 1 &amp; 2), secondary combustion chamber</t>
  </si>
  <si>
    <t>Sec Comb Chamb Temp</t>
  </si>
  <si>
    <t>Primary Comb Chamb Temp</t>
  </si>
  <si>
    <t>Clean Liquor Flow</t>
  </si>
  <si>
    <t>Demistor pressure drop</t>
  </si>
  <si>
    <t>PM, HCl/Cl2, metals, DRE, PCDD/F,VOC/SVOC</t>
  </si>
  <si>
    <t>Run 4</t>
  </si>
  <si>
    <t>Run 5</t>
  </si>
  <si>
    <t>VX trial burn, Sept 13, 14, 16, 19, 20, 1994</t>
  </si>
  <si>
    <t>Scrubber liquid</t>
  </si>
  <si>
    <t>pH</t>
  </si>
  <si>
    <t>Total chlorine</t>
  </si>
  <si>
    <t>Agent VX</t>
  </si>
  <si>
    <t>Visible emissions</t>
  </si>
  <si>
    <t>opacity %</t>
  </si>
  <si>
    <t>6-min avgs</t>
  </si>
  <si>
    <t>Agent heels</t>
  </si>
  <si>
    <t>Note:  Assumed EMPCs as detection limit in cases where no dl was defined for a given isomer/congener; assumed that EMPC was at or &gt; dl;</t>
  </si>
  <si>
    <r>
      <t xml:space="preserve">    </t>
    </r>
    <r>
      <rPr>
        <b/>
        <sz val="10"/>
        <rFont val="Arial"/>
        <family val="2"/>
      </rPr>
      <t xml:space="preserve"> also assumed a dl of 10 and nd where no dl or no EMPC (estimated max possible concentration) was given.</t>
    </r>
  </si>
  <si>
    <t>Test Burn Report - Metals Parts Furnace Performance Standard Demonstration Burn Using Ton Containers with GB Heels</t>
  </si>
  <si>
    <t>IT Corp.</t>
  </si>
  <si>
    <t>3004C2</t>
  </si>
  <si>
    <t>3004C3</t>
  </si>
  <si>
    <t>May 1, July 10-13, 1995</t>
  </si>
  <si>
    <t>Performance Standard Test (trial burn)</t>
  </si>
  <si>
    <t>Primary Comb Cham Pressure</t>
  </si>
  <si>
    <t>g/dscm</t>
  </si>
  <si>
    <t>TOCDF, MPF</t>
  </si>
  <si>
    <t>GB trial burn, July 11, 12, 13, 1995</t>
  </si>
  <si>
    <t xml:space="preserve">Baseline - one run w/nat gas only without agent GB </t>
  </si>
  <si>
    <t>PM, HCl/Cl2, metals, DRE, PCDD/F,VOC/SVOC (Runs 2, 4, 5)</t>
  </si>
  <si>
    <t>PM, HCl/Cl2, metals, DRE, PCDD/F,VOC/SVOC (Runs 4-6)</t>
  </si>
  <si>
    <t>Ton container</t>
  </si>
  <si>
    <t>VX agent trial burn</t>
  </si>
  <si>
    <t>GB agent trial burn</t>
  </si>
  <si>
    <t>Note: Reported values are front-half in Tables 4-34 thru 4-39; no reason found for no back half analysis; may need to check in TB Plan.</t>
  </si>
  <si>
    <t>TOCDF Desert Army Depot (Tooele Army Depot South)</t>
  </si>
  <si>
    <t>Combustor Class</t>
  </si>
  <si>
    <t>Combustor Type</t>
  </si>
  <si>
    <t>Roller hearth</t>
  </si>
  <si>
    <t>Condition Description</t>
  </si>
  <si>
    <t>Report Name/Date</t>
  </si>
  <si>
    <t>Report Prepare</t>
  </si>
  <si>
    <t>Testing Firm</t>
  </si>
  <si>
    <t>Testing Dates</t>
  </si>
  <si>
    <t>Condition Descr</t>
  </si>
  <si>
    <t>Content</t>
  </si>
  <si>
    <t>Stack Gas Emissions 1</t>
  </si>
  <si>
    <t>Feedstreams</t>
  </si>
  <si>
    <t>Full ND</t>
  </si>
  <si>
    <t>R1</t>
  </si>
  <si>
    <t>R2</t>
  </si>
  <si>
    <t>R3</t>
  </si>
  <si>
    <t>E1</t>
  </si>
  <si>
    <t>Chromium (Hex)</t>
  </si>
  <si>
    <t>E2</t>
  </si>
  <si>
    <t>Cond Dates</t>
  </si>
  <si>
    <t>September 13, 14, 16, 19, 20, 1994</t>
  </si>
  <si>
    <t>Number of Sister Facilities</t>
  </si>
  <si>
    <t>APCS Detailed Acronym</t>
  </si>
  <si>
    <t>APCS General Class</t>
  </si>
  <si>
    <t>WQ, HEWS, LEWS</t>
  </si>
  <si>
    <t>source</t>
  </si>
  <si>
    <t>cond</t>
  </si>
  <si>
    <t>emiss</t>
  </si>
  <si>
    <t>feed</t>
  </si>
  <si>
    <t>process</t>
  </si>
  <si>
    <t>df c1</t>
  </si>
  <si>
    <t>df c2</t>
  </si>
  <si>
    <t>Onsite incinerator, DoD government, chem demil</t>
  </si>
  <si>
    <t>Feedstream Number</t>
  </si>
  <si>
    <t>Feed Class</t>
  </si>
  <si>
    <t>Solid HW</t>
  </si>
  <si>
    <t>F1</t>
  </si>
  <si>
    <t>Total Chlorine</t>
  </si>
  <si>
    <t>N</t>
  </si>
  <si>
    <t>Liq, solid (Solid wastes with residual liquid chemical agent (container heel))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</si>
</sst>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00000"/>
    <numFmt numFmtId="178" formatCode="mm/dd/yy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175" fontId="0" fillId="0" borderId="0" xfId="0" applyNumberFormat="1" applyAlignment="1">
      <alignment/>
    </xf>
    <xf numFmtId="1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left"/>
    </xf>
    <xf numFmtId="11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64" fontId="0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  <xf numFmtId="17" fontId="0" fillId="0" borderId="0" xfId="0" applyNumberFormat="1" applyFont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211</v>
      </c>
    </row>
    <row r="2" ht="12.75">
      <c r="A2" t="s">
        <v>212</v>
      </c>
    </row>
    <row r="3" ht="12.75">
      <c r="A3" t="s">
        <v>213</v>
      </c>
    </row>
    <row r="4" ht="12.75">
      <c r="A4" t="s">
        <v>214</v>
      </c>
    </row>
    <row r="5" ht="12.75">
      <c r="A5" t="s">
        <v>215</v>
      </c>
    </row>
    <row r="6" ht="12.75">
      <c r="A6" t="s">
        <v>216</v>
      </c>
    </row>
    <row r="7" ht="12.75">
      <c r="A7" t="s">
        <v>217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9"/>
  <sheetViews>
    <sheetView workbookViewId="0" topLeftCell="B1">
      <selection activeCell="C24" sqref="C24"/>
    </sheetView>
  </sheetViews>
  <sheetFormatPr defaultColWidth="9.140625" defaultRowHeight="12.75"/>
  <cols>
    <col min="1" max="1" width="3.8515625" style="12" hidden="1" customWidth="1"/>
    <col min="2" max="2" width="25.140625" style="12" customWidth="1"/>
    <col min="3" max="3" width="59.57421875" style="12" customWidth="1"/>
    <col min="4" max="16384" width="8.8515625" style="12" customWidth="1"/>
  </cols>
  <sheetData>
    <row r="1" ht="12.75">
      <c r="B1" s="6" t="s">
        <v>71</v>
      </c>
    </row>
    <row r="3" spans="2:3" ht="12.75">
      <c r="B3" s="12" t="s">
        <v>104</v>
      </c>
      <c r="C3" s="13">
        <v>3004</v>
      </c>
    </row>
    <row r="4" spans="2:3" ht="12.75">
      <c r="B4" s="12" t="s">
        <v>0</v>
      </c>
      <c r="C4" s="12" t="s">
        <v>140</v>
      </c>
    </row>
    <row r="5" spans="2:3" ht="12.75">
      <c r="B5" s="12" t="s">
        <v>1</v>
      </c>
      <c r="C5" s="12" t="s">
        <v>185</v>
      </c>
    </row>
    <row r="6" ht="12.75">
      <c r="B6" s="12" t="s">
        <v>2</v>
      </c>
    </row>
    <row r="7" spans="2:3" ht="12.75">
      <c r="B7" s="12" t="s">
        <v>3</v>
      </c>
      <c r="C7" s="12" t="s">
        <v>129</v>
      </c>
    </row>
    <row r="8" spans="2:3" ht="12.75">
      <c r="B8" s="12" t="s">
        <v>4</v>
      </c>
      <c r="C8" s="12" t="s">
        <v>130</v>
      </c>
    </row>
    <row r="9" spans="2:3" ht="12.75">
      <c r="B9" s="12" t="s">
        <v>5</v>
      </c>
      <c r="C9" s="12" t="s">
        <v>144</v>
      </c>
    </row>
    <row r="10" ht="12.75">
      <c r="B10" s="12" t="s">
        <v>6</v>
      </c>
    </row>
    <row r="11" spans="2:3" ht="12.75">
      <c r="B11" s="12" t="s">
        <v>207</v>
      </c>
      <c r="C11" s="13">
        <v>0</v>
      </c>
    </row>
    <row r="12" spans="2:3" ht="12.75">
      <c r="B12" s="12" t="s">
        <v>186</v>
      </c>
      <c r="C12" s="12" t="s">
        <v>218</v>
      </c>
    </row>
    <row r="13" spans="2:3" ht="12.75">
      <c r="B13" s="12" t="s">
        <v>187</v>
      </c>
      <c r="C13" s="12" t="s">
        <v>188</v>
      </c>
    </row>
    <row r="14" spans="2:3" s="43" customFormat="1" ht="12.75">
      <c r="B14" s="43" t="s">
        <v>61</v>
      </c>
      <c r="C14" s="43" t="s">
        <v>148</v>
      </c>
    </row>
    <row r="15" s="43" customFormat="1" ht="25.5">
      <c r="C15" s="43" t="s">
        <v>149</v>
      </c>
    </row>
    <row r="16" spans="2:3" s="43" customFormat="1" ht="12.75">
      <c r="B16" s="43" t="s">
        <v>68</v>
      </c>
      <c r="C16" s="45"/>
    </row>
    <row r="17" s="43" customFormat="1" ht="12.75">
      <c r="B17" s="12" t="s">
        <v>72</v>
      </c>
    </row>
    <row r="18" spans="2:3" s="43" customFormat="1" ht="12.75">
      <c r="B18" s="12" t="s">
        <v>208</v>
      </c>
      <c r="C18" s="43" t="s">
        <v>100</v>
      </c>
    </row>
    <row r="19" spans="2:3" s="43" customFormat="1" ht="12.75">
      <c r="B19" s="12" t="s">
        <v>209</v>
      </c>
      <c r="C19" s="43" t="s">
        <v>210</v>
      </c>
    </row>
    <row r="20" spans="2:3" ht="12.75">
      <c r="B20" s="43" t="s">
        <v>7</v>
      </c>
      <c r="C20" s="43" t="s">
        <v>146</v>
      </c>
    </row>
    <row r="21" spans="2:3" ht="25.5">
      <c r="B21" s="43" t="s">
        <v>66</v>
      </c>
      <c r="C21" s="43" t="s">
        <v>225</v>
      </c>
    </row>
    <row r="22" spans="2:3" ht="12.75">
      <c r="B22" s="12" t="s">
        <v>73</v>
      </c>
      <c r="C22" s="49" t="s">
        <v>145</v>
      </c>
    </row>
    <row r="23" spans="2:3" ht="12.75">
      <c r="B23" s="12" t="s">
        <v>67</v>
      </c>
      <c r="C23" s="12" t="s">
        <v>131</v>
      </c>
    </row>
    <row r="24" ht="12.75" customHeight="1"/>
    <row r="25" spans="2:3" ht="12.75">
      <c r="B25" s="12" t="s">
        <v>8</v>
      </c>
      <c r="C25" s="13"/>
    </row>
    <row r="26" spans="2:3" ht="12.75">
      <c r="B26" s="12" t="s">
        <v>9</v>
      </c>
      <c r="C26" s="48">
        <v>2</v>
      </c>
    </row>
    <row r="27" spans="2:3" ht="12.75">
      <c r="B27" s="12" t="s">
        <v>10</v>
      </c>
      <c r="C27" s="13">
        <v>70</v>
      </c>
    </row>
    <row r="28" spans="2:3" ht="12.75">
      <c r="B28" s="12" t="s">
        <v>69</v>
      </c>
      <c r="C28" s="72">
        <f>(emiss!M129/60)/(3.14/4)</f>
        <v>53.665958952583146</v>
      </c>
    </row>
    <row r="29" spans="2:3" ht="14.25" customHeight="1">
      <c r="B29" s="12" t="s">
        <v>70</v>
      </c>
      <c r="C29" s="72">
        <f>emiss!M52</f>
        <v>218.33333333333334</v>
      </c>
    </row>
    <row r="30" ht="12" customHeight="1"/>
    <row r="31" ht="12.75">
      <c r="B31" s="12" t="s">
        <v>11</v>
      </c>
    </row>
    <row r="32" ht="12.75">
      <c r="B32" s="12" t="s">
        <v>87</v>
      </c>
    </row>
    <row r="59" spans="2:3" ht="12.75">
      <c r="B59" s="56"/>
      <c r="C59" s="50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workbookViewId="0" topLeftCell="B1">
      <selection activeCell="C29" sqref="C29"/>
    </sheetView>
  </sheetViews>
  <sheetFormatPr defaultColWidth="9.140625" defaultRowHeight="12.75"/>
  <cols>
    <col min="1" max="1" width="3.00390625" style="0" hidden="1" customWidth="1"/>
    <col min="2" max="2" width="25.8515625" style="0" customWidth="1"/>
    <col min="3" max="3" width="58.8515625" style="0" customWidth="1"/>
    <col min="4" max="4" width="44.28125" style="0" customWidth="1"/>
  </cols>
  <sheetData>
    <row r="1" ht="12.75">
      <c r="B1" s="6" t="s">
        <v>189</v>
      </c>
    </row>
    <row r="3" spans="2:12" s="1" customFormat="1" ht="12.75">
      <c r="B3" s="6" t="s">
        <v>147</v>
      </c>
      <c r="C3" s="12" t="s">
        <v>147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s="1" customFormat="1" ht="12.75">
      <c r="B4" s="6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s="1" customFormat="1" ht="51">
      <c r="B5" s="56" t="s">
        <v>190</v>
      </c>
      <c r="C5" s="49" t="s">
        <v>142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s="1" customFormat="1" ht="12.75">
      <c r="B6" s="12" t="s">
        <v>191</v>
      </c>
      <c r="C6" s="12" t="s">
        <v>143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s="1" customFormat="1" ht="12.75">
      <c r="B7" s="12" t="s">
        <v>192</v>
      </c>
      <c r="C7" s="12" t="s">
        <v>132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s="1" customFormat="1" ht="12.75">
      <c r="B8" s="12" t="s">
        <v>193</v>
      </c>
      <c r="C8" s="14" t="s">
        <v>206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s="1" customFormat="1" ht="12.75">
      <c r="B9" s="12" t="s">
        <v>205</v>
      </c>
      <c r="C9" s="81">
        <v>34578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s="1" customFormat="1" ht="12.75">
      <c r="B10" s="12" t="s">
        <v>194</v>
      </c>
      <c r="C10" s="12" t="s">
        <v>182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s="1" customFormat="1" ht="12.75">
      <c r="B11" s="56" t="s">
        <v>195</v>
      </c>
      <c r="C11" s="50" t="s">
        <v>179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4:12" s="1" customFormat="1" ht="12.75">
      <c r="D12" s="12"/>
      <c r="E12" s="12"/>
      <c r="F12" s="12"/>
      <c r="G12" s="12"/>
      <c r="H12" s="12"/>
      <c r="I12" s="12"/>
      <c r="J12" s="12"/>
      <c r="K12" s="12"/>
      <c r="L12" s="12"/>
    </row>
    <row r="13" spans="2:12" s="1" customFormat="1" ht="12.75">
      <c r="B13" s="6" t="s">
        <v>170</v>
      </c>
      <c r="C13" s="12" t="s">
        <v>170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2:12" s="1" customFormat="1" ht="12.75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s="44" customFormat="1" ht="25.5">
      <c r="B15" s="56" t="s">
        <v>190</v>
      </c>
      <c r="C15" s="77" t="s">
        <v>168</v>
      </c>
      <c r="D15" s="43"/>
      <c r="E15" s="43"/>
      <c r="F15" s="43"/>
      <c r="G15" s="43"/>
      <c r="H15" s="43"/>
      <c r="I15" s="43"/>
      <c r="J15" s="43"/>
      <c r="K15" s="43"/>
      <c r="L15" s="43"/>
    </row>
    <row r="16" spans="2:12" s="44" customFormat="1" ht="12.75">
      <c r="B16" s="12" t="s">
        <v>191</v>
      </c>
      <c r="C16" s="43" t="s">
        <v>169</v>
      </c>
      <c r="D16" s="43"/>
      <c r="E16" s="43"/>
      <c r="F16" s="43"/>
      <c r="G16" s="43"/>
      <c r="H16" s="43"/>
      <c r="I16" s="43"/>
      <c r="J16" s="43"/>
      <c r="K16" s="43"/>
      <c r="L16" s="43"/>
    </row>
    <row r="17" spans="2:12" s="44" customFormat="1" ht="12.75">
      <c r="B17" s="12" t="s">
        <v>192</v>
      </c>
      <c r="C17" s="43" t="s">
        <v>169</v>
      </c>
      <c r="D17" s="43"/>
      <c r="E17" s="43"/>
      <c r="F17" s="43"/>
      <c r="G17" s="43"/>
      <c r="H17" s="43"/>
      <c r="I17" s="43"/>
      <c r="J17" s="43"/>
      <c r="K17" s="43"/>
      <c r="L17" s="43"/>
    </row>
    <row r="18" spans="2:12" s="44" customFormat="1" ht="12.75">
      <c r="B18" s="12" t="s">
        <v>193</v>
      </c>
      <c r="C18" s="43" t="s">
        <v>172</v>
      </c>
      <c r="D18" s="43"/>
      <c r="E18" s="43"/>
      <c r="F18" s="43"/>
      <c r="G18" s="43"/>
      <c r="H18" s="43"/>
      <c r="I18" s="43"/>
      <c r="J18" s="43"/>
      <c r="K18" s="43"/>
      <c r="L18" s="43"/>
    </row>
    <row r="19" spans="2:12" s="44" customFormat="1" ht="12.75">
      <c r="B19" s="12" t="s">
        <v>205</v>
      </c>
      <c r="C19" s="82">
        <v>34700</v>
      </c>
      <c r="D19" s="43"/>
      <c r="E19" s="43"/>
      <c r="F19" s="43"/>
      <c r="G19" s="43"/>
      <c r="H19" s="43"/>
      <c r="I19" s="43"/>
      <c r="J19" s="43"/>
      <c r="K19" s="43"/>
      <c r="L19" s="43"/>
    </row>
    <row r="20" spans="2:12" s="44" customFormat="1" ht="12.75">
      <c r="B20" s="12" t="s">
        <v>194</v>
      </c>
      <c r="C20" s="43" t="s">
        <v>183</v>
      </c>
      <c r="D20" s="43"/>
      <c r="E20" s="43"/>
      <c r="F20" s="43"/>
      <c r="G20" s="43"/>
      <c r="H20" s="43"/>
      <c r="I20" s="43"/>
      <c r="J20" s="43"/>
      <c r="K20" s="43"/>
      <c r="L20" s="43"/>
    </row>
    <row r="21" spans="2:12" s="44" customFormat="1" ht="12.75">
      <c r="B21" s="56" t="s">
        <v>195</v>
      </c>
      <c r="C21" s="77" t="s">
        <v>180</v>
      </c>
      <c r="D21" s="43"/>
      <c r="E21" s="43"/>
      <c r="F21" s="43"/>
      <c r="G21" s="43"/>
      <c r="H21" s="43"/>
      <c r="I21" s="43"/>
      <c r="J21" s="43"/>
      <c r="K21" s="43"/>
      <c r="L21" s="43"/>
    </row>
    <row r="22" spans="2:12" s="44" customFormat="1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2:12" s="44" customFormat="1" ht="12.75">
      <c r="B23" s="78" t="s">
        <v>171</v>
      </c>
      <c r="C23" s="43" t="s">
        <v>171</v>
      </c>
      <c r="D23" s="43"/>
      <c r="E23" s="43"/>
      <c r="F23" s="43"/>
      <c r="G23" s="43"/>
      <c r="H23" s="43"/>
      <c r="I23" s="43"/>
      <c r="J23" s="43"/>
      <c r="K23" s="43"/>
      <c r="L23" s="43"/>
    </row>
    <row r="24" spans="2:12" s="44" customFormat="1" ht="12.75">
      <c r="B24" s="78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2:12" s="44" customFormat="1" ht="25.5">
      <c r="B25" s="56" t="s">
        <v>190</v>
      </c>
      <c r="C25" s="77" t="s">
        <v>168</v>
      </c>
      <c r="D25" s="43"/>
      <c r="E25" s="43"/>
      <c r="F25" s="43"/>
      <c r="G25" s="43"/>
      <c r="H25" s="43"/>
      <c r="I25" s="43"/>
      <c r="J25" s="43"/>
      <c r="K25" s="43"/>
      <c r="L25" s="43"/>
    </row>
    <row r="26" spans="2:12" s="1" customFormat="1" ht="12.75">
      <c r="B26" s="12" t="s">
        <v>191</v>
      </c>
      <c r="C26" s="12" t="s">
        <v>169</v>
      </c>
      <c r="D26" s="12"/>
      <c r="E26" s="12"/>
      <c r="F26" s="12"/>
      <c r="G26" s="12"/>
      <c r="H26" s="12"/>
      <c r="I26" s="12"/>
      <c r="J26" s="12"/>
      <c r="K26" s="12"/>
      <c r="L26" s="12"/>
    </row>
    <row r="27" spans="2:12" s="1" customFormat="1" ht="12.75">
      <c r="B27" s="12" t="s">
        <v>192</v>
      </c>
      <c r="C27" s="12" t="s">
        <v>169</v>
      </c>
      <c r="D27" s="12"/>
      <c r="E27" s="12"/>
      <c r="F27" s="12"/>
      <c r="G27" s="12"/>
      <c r="H27" s="12"/>
      <c r="I27" s="12"/>
      <c r="J27" s="12"/>
      <c r="K27" s="12"/>
      <c r="L27" s="12"/>
    </row>
    <row r="28" spans="2:12" s="1" customFormat="1" ht="12.75">
      <c r="B28" s="12" t="s">
        <v>193</v>
      </c>
      <c r="C28" s="14">
        <v>34816</v>
      </c>
      <c r="D28" s="12"/>
      <c r="E28" s="12"/>
      <c r="F28" s="12"/>
      <c r="G28" s="12"/>
      <c r="H28" s="12"/>
      <c r="I28" s="12"/>
      <c r="J28" s="12"/>
      <c r="K28" s="12"/>
      <c r="L28" s="12"/>
    </row>
    <row r="29" spans="2:12" s="1" customFormat="1" ht="12.75">
      <c r="B29" s="12" t="s">
        <v>205</v>
      </c>
      <c r="C29" s="81">
        <v>34790</v>
      </c>
      <c r="D29" s="12"/>
      <c r="E29" s="12"/>
      <c r="F29" s="12"/>
      <c r="G29" s="12"/>
      <c r="H29" s="12"/>
      <c r="I29" s="12"/>
      <c r="J29" s="12"/>
      <c r="K29" s="12"/>
      <c r="L29" s="12"/>
    </row>
    <row r="30" spans="2:12" s="1" customFormat="1" ht="12.75">
      <c r="B30" s="12" t="s">
        <v>194</v>
      </c>
      <c r="C30" s="12" t="s">
        <v>178</v>
      </c>
      <c r="D30" s="12"/>
      <c r="E30" s="12"/>
      <c r="F30" s="12"/>
      <c r="G30" s="12"/>
      <c r="H30" s="12"/>
      <c r="I30" s="12"/>
      <c r="J30" s="12"/>
      <c r="K30" s="12"/>
      <c r="L30" s="12"/>
    </row>
    <row r="31" spans="2:12" s="1" customFormat="1" ht="12.75">
      <c r="B31" s="56" t="s">
        <v>195</v>
      </c>
      <c r="C31" s="50" t="s">
        <v>154</v>
      </c>
      <c r="D31" s="12"/>
      <c r="E31" s="12"/>
      <c r="F31" s="12"/>
      <c r="G31" s="12"/>
      <c r="H31" s="12"/>
      <c r="I31" s="12"/>
      <c r="J31" s="12"/>
      <c r="K31" s="12"/>
      <c r="L31" s="1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51"/>
  <sheetViews>
    <sheetView tabSelected="1" workbookViewId="0" topLeftCell="B142">
      <selection activeCell="O167" sqref="O167"/>
    </sheetView>
  </sheetViews>
  <sheetFormatPr defaultColWidth="9.140625" defaultRowHeight="12.75"/>
  <cols>
    <col min="1" max="1" width="3.00390625" style="16" hidden="1" customWidth="1"/>
    <col min="2" max="2" width="17.7109375" style="16" customWidth="1"/>
    <col min="3" max="3" width="7.140625" style="16" customWidth="1"/>
    <col min="4" max="4" width="8.8515625" style="8" customWidth="1"/>
    <col min="5" max="5" width="6.140625" style="8" customWidth="1"/>
    <col min="6" max="6" width="3.8515625" style="8" customWidth="1"/>
    <col min="7" max="7" width="9.57421875" style="16" bestFit="1" customWidth="1"/>
    <col min="8" max="8" width="4.7109375" style="16" customWidth="1"/>
    <col min="9" max="9" width="11.7109375" style="17" customWidth="1"/>
    <col min="10" max="10" width="4.140625" style="16" customWidth="1"/>
    <col min="11" max="11" width="9.57421875" style="16" bestFit="1" customWidth="1"/>
    <col min="12" max="12" width="4.140625" style="16" customWidth="1"/>
    <col min="13" max="13" width="10.57421875" style="16" bestFit="1" customWidth="1"/>
    <col min="14" max="14" width="2.140625" style="16" customWidth="1"/>
    <col min="15" max="16384" width="8.8515625" style="16" customWidth="1"/>
  </cols>
  <sheetData>
    <row r="1" spans="2:3" ht="12.75">
      <c r="B1" s="15" t="s">
        <v>196</v>
      </c>
      <c r="C1" s="15"/>
    </row>
    <row r="2" spans="2:12" ht="12.75">
      <c r="B2" s="18"/>
      <c r="C2" s="18"/>
      <c r="G2" s="18"/>
      <c r="H2" s="18"/>
      <c r="I2" s="19"/>
      <c r="J2" s="18"/>
      <c r="K2" s="18"/>
      <c r="L2" s="18"/>
    </row>
    <row r="3" spans="2:5" ht="12.75">
      <c r="B3" s="12"/>
      <c r="C3" s="12" t="s">
        <v>79</v>
      </c>
      <c r="D3" s="8" t="s">
        <v>12</v>
      </c>
      <c r="E3" s="8" t="s">
        <v>62</v>
      </c>
    </row>
    <row r="4" spans="2:12" ht="12.75">
      <c r="B4" s="12"/>
      <c r="C4" s="12"/>
      <c r="G4" s="18"/>
      <c r="H4" s="18"/>
      <c r="I4" s="19"/>
      <c r="J4" s="18"/>
      <c r="K4" s="18"/>
      <c r="L4" s="18"/>
    </row>
    <row r="5" spans="2:12" ht="12.75">
      <c r="B5" s="12"/>
      <c r="C5" s="12"/>
      <c r="G5" s="18"/>
      <c r="H5" s="18"/>
      <c r="I5" s="19"/>
      <c r="J5" s="18"/>
      <c r="K5" s="18"/>
      <c r="L5" s="18"/>
    </row>
    <row r="6" spans="1:13" ht="12.75">
      <c r="A6" s="16">
        <v>1</v>
      </c>
      <c r="B6" s="20" t="str">
        <f>cond!C3</f>
        <v>3004C1</v>
      </c>
      <c r="C6" s="8" t="s">
        <v>80</v>
      </c>
      <c r="G6" s="18" t="s">
        <v>199</v>
      </c>
      <c r="H6" s="18"/>
      <c r="I6" s="19" t="s">
        <v>200</v>
      </c>
      <c r="J6" s="18"/>
      <c r="K6" s="18" t="s">
        <v>201</v>
      </c>
      <c r="L6" s="18"/>
      <c r="M6" s="18" t="s">
        <v>47</v>
      </c>
    </row>
    <row r="7" spans="2:12" ht="12.75">
      <c r="B7" s="8"/>
      <c r="C7" s="8"/>
      <c r="D7" s="12"/>
      <c r="E7" s="12"/>
      <c r="F7" s="12"/>
      <c r="G7" s="12"/>
      <c r="H7" s="12"/>
      <c r="I7" s="21"/>
      <c r="J7" s="12"/>
      <c r="K7" s="12"/>
      <c r="L7" s="12"/>
    </row>
    <row r="8" spans="2:13" ht="12.75">
      <c r="B8" s="8" t="s">
        <v>123</v>
      </c>
      <c r="C8" s="8" t="s">
        <v>202</v>
      </c>
      <c r="D8" s="12" t="s">
        <v>16</v>
      </c>
      <c r="E8" s="12" t="s">
        <v>15</v>
      </c>
      <c r="F8"/>
      <c r="G8">
        <v>12.46</v>
      </c>
      <c r="H8"/>
      <c r="I8">
        <v>4.94</v>
      </c>
      <c r="J8"/>
      <c r="K8">
        <v>9.51</v>
      </c>
      <c r="L8"/>
      <c r="M8" s="59">
        <f>AVERAGE(K8,I8,G8)</f>
        <v>8.97</v>
      </c>
    </row>
    <row r="9" spans="2:13" ht="12.75">
      <c r="B9" s="8" t="s">
        <v>134</v>
      </c>
      <c r="C9" s="8"/>
      <c r="D9" s="12" t="s">
        <v>16</v>
      </c>
      <c r="E9" s="12" t="s">
        <v>15</v>
      </c>
      <c r="F9"/>
      <c r="G9"/>
      <c r="H9"/>
      <c r="I9"/>
      <c r="J9"/>
      <c r="K9"/>
      <c r="L9"/>
      <c r="M9" s="59"/>
    </row>
    <row r="10" spans="2:12" ht="12.75">
      <c r="B10" s="8"/>
      <c r="C10" s="8"/>
      <c r="D10" s="12"/>
      <c r="E10" s="12"/>
      <c r="F10"/>
      <c r="G10"/>
      <c r="H10"/>
      <c r="I10"/>
      <c r="J10"/>
      <c r="K10"/>
      <c r="L10"/>
    </row>
    <row r="11" spans="2:13" ht="12.75">
      <c r="B11" s="8" t="s">
        <v>13</v>
      </c>
      <c r="C11" s="8" t="s">
        <v>202</v>
      </c>
      <c r="D11" s="8" t="s">
        <v>14</v>
      </c>
      <c r="E11" s="8" t="s">
        <v>15</v>
      </c>
      <c r="F11"/>
      <c r="G11">
        <v>0.003</v>
      </c>
      <c r="H11"/>
      <c r="I11">
        <v>0.0053</v>
      </c>
      <c r="J11"/>
      <c r="K11">
        <v>0.0031</v>
      </c>
      <c r="L11"/>
      <c r="M11" s="57">
        <f>AVERAGE(K11,I11,G11)</f>
        <v>0.0038</v>
      </c>
    </row>
    <row r="12" spans="2:13" ht="12.75">
      <c r="B12" s="8"/>
      <c r="C12" s="8"/>
      <c r="F12"/>
      <c r="G12"/>
      <c r="H12"/>
      <c r="I12"/>
      <c r="J12"/>
      <c r="K12"/>
      <c r="L12"/>
      <c r="M12" s="57"/>
    </row>
    <row r="13" spans="2:13" ht="12.75">
      <c r="B13" s="8" t="s">
        <v>49</v>
      </c>
      <c r="C13" s="8"/>
      <c r="D13" s="8" t="s">
        <v>102</v>
      </c>
      <c r="E13" s="8" t="s">
        <v>101</v>
      </c>
      <c r="F13" t="s">
        <v>98</v>
      </c>
      <c r="G13" s="57">
        <f>0.1/58.47</f>
        <v>0.001710278775440397</v>
      </c>
      <c r="H13" t="s">
        <v>98</v>
      </c>
      <c r="I13" s="57">
        <f>0.1/52.491</f>
        <v>0.0019050884913604238</v>
      </c>
      <c r="J13" t="s">
        <v>98</v>
      </c>
      <c r="K13" s="57">
        <f>0.1/53.745</f>
        <v>0.0018606381989022236</v>
      </c>
      <c r="L13"/>
      <c r="M13" s="4"/>
    </row>
    <row r="14" spans="2:13" ht="12.75">
      <c r="B14" s="8" t="s">
        <v>50</v>
      </c>
      <c r="C14" s="8"/>
      <c r="D14" s="8" t="s">
        <v>102</v>
      </c>
      <c r="E14" s="8" t="s">
        <v>101</v>
      </c>
      <c r="F14"/>
      <c r="G14" s="57">
        <f>0.74/58.47</f>
        <v>0.012656062938258937</v>
      </c>
      <c r="H14"/>
      <c r="I14" s="57">
        <f>0.31/52.491</f>
        <v>0.005905774323217313</v>
      </c>
      <c r="J14"/>
      <c r="K14" s="57">
        <f>1.28/53.745</f>
        <v>0.02381616894594846</v>
      </c>
      <c r="L14"/>
      <c r="M14" s="4"/>
    </row>
    <row r="15" spans="2:13" ht="12.75">
      <c r="B15" s="8"/>
      <c r="C15" s="8"/>
      <c r="F15"/>
      <c r="G15"/>
      <c r="H15"/>
      <c r="I15"/>
      <c r="J15"/>
      <c r="K15"/>
      <c r="L15"/>
      <c r="M15" s="4"/>
    </row>
    <row r="16" spans="2:13" ht="12.75">
      <c r="B16" s="8" t="s">
        <v>49</v>
      </c>
      <c r="C16" s="8" t="s">
        <v>202</v>
      </c>
      <c r="D16" s="8" t="s">
        <v>16</v>
      </c>
      <c r="E16" s="8" t="s">
        <v>15</v>
      </c>
      <c r="F16" s="8" t="s">
        <v>98</v>
      </c>
      <c r="G16" s="63">
        <f>G13/0.0283/1.518/2*14/(21-G50)</f>
        <v>0.03765954073067222</v>
      </c>
      <c r="H16" s="63" t="s">
        <v>98</v>
      </c>
      <c r="I16" s="63">
        <f>I13/0.0283/1.518/2*14/(21-I50)</f>
        <v>0.04311441422832749</v>
      </c>
      <c r="J16" s="63" t="s">
        <v>98</v>
      </c>
      <c r="K16" s="63">
        <f>K13/0.0283/1.518/2*14/(21-K50)</f>
        <v>0.04210845133982954</v>
      </c>
      <c r="L16"/>
      <c r="M16" s="63">
        <f>AVERAGE(K16,I16,G16)</f>
        <v>0.04096080209960975</v>
      </c>
    </row>
    <row r="17" spans="2:13" ht="12.75">
      <c r="B17" s="8" t="s">
        <v>50</v>
      </c>
      <c r="C17" s="8" t="s">
        <v>202</v>
      </c>
      <c r="D17" s="8" t="s">
        <v>16</v>
      </c>
      <c r="E17" s="8" t="s">
        <v>15</v>
      </c>
      <c r="G17" s="63">
        <f>G14/0.0283/2.953*14/(21-G50)</f>
        <v>0.2865134798075091</v>
      </c>
      <c r="H17" s="63"/>
      <c r="I17" s="63">
        <f>I14/0.0283/2.953*14/(21-I50)</f>
        <v>0.13741131762659228</v>
      </c>
      <c r="J17" s="63"/>
      <c r="K17" s="63">
        <f>K14/0.0283/2.953*14/(21-K50)</f>
        <v>0.554137523138113</v>
      </c>
      <c r="L17"/>
      <c r="M17" s="63">
        <f>AVERAGE(K17,I17,G17)</f>
        <v>0.3260207735240715</v>
      </c>
    </row>
    <row r="18" spans="2:13" ht="12.75">
      <c r="B18" s="8" t="s">
        <v>223</v>
      </c>
      <c r="C18" s="8" t="s">
        <v>202</v>
      </c>
      <c r="D18" s="8" t="s">
        <v>16</v>
      </c>
      <c r="E18" s="8" t="s">
        <v>15</v>
      </c>
      <c r="F18">
        <v>6.1</v>
      </c>
      <c r="G18" s="63">
        <f>G16+2*G17</f>
        <v>0.6106865003456904</v>
      </c>
      <c r="H18" s="4">
        <v>13.6</v>
      </c>
      <c r="I18" s="63">
        <f>I16+2*I17</f>
        <v>0.3179370494815121</v>
      </c>
      <c r="J18" s="4">
        <v>3.7</v>
      </c>
      <c r="K18" s="63">
        <f>K16+2*K17</f>
        <v>1.1503834976160556</v>
      </c>
      <c r="L18">
        <v>5.9</v>
      </c>
      <c r="M18" s="63">
        <f>AVERAGE(K18,I18,G18)</f>
        <v>0.6930023491477527</v>
      </c>
    </row>
    <row r="19" spans="2:13" ht="12.75">
      <c r="B19" s="8"/>
      <c r="C19" s="8"/>
      <c r="F19"/>
      <c r="G19"/>
      <c r="H19"/>
      <c r="I19"/>
      <c r="J19"/>
      <c r="K19"/>
      <c r="L19"/>
      <c r="M19" s="4"/>
    </row>
    <row r="20" spans="2:13" ht="12.75">
      <c r="B20" s="8" t="s">
        <v>136</v>
      </c>
      <c r="C20" s="8" t="s">
        <v>135</v>
      </c>
      <c r="G20" s="22"/>
      <c r="H20" s="22"/>
      <c r="I20" s="23"/>
      <c r="J20" s="22"/>
      <c r="K20" s="22"/>
      <c r="M20" s="58"/>
    </row>
    <row r="21" spans="2:13" ht="12.75">
      <c r="B21" s="8" t="s">
        <v>137</v>
      </c>
      <c r="C21" s="8"/>
      <c r="D21" s="8" t="s">
        <v>52</v>
      </c>
      <c r="G21" s="22">
        <v>143.49</v>
      </c>
      <c r="H21" s="22"/>
      <c r="I21" s="23">
        <v>175.63</v>
      </c>
      <c r="J21" s="22"/>
      <c r="K21" s="16">
        <v>143.06</v>
      </c>
      <c r="M21" s="65">
        <f>feed!M9</f>
        <v>33.53</v>
      </c>
    </row>
    <row r="22" spans="2:13" ht="12.75">
      <c r="B22" s="8" t="s">
        <v>138</v>
      </c>
      <c r="C22" s="8" t="s">
        <v>202</v>
      </c>
      <c r="D22" s="8" t="s">
        <v>52</v>
      </c>
      <c r="F22" s="8" t="s">
        <v>98</v>
      </c>
      <c r="G22" s="60">
        <v>4.47E-06</v>
      </c>
      <c r="H22" s="8" t="s">
        <v>98</v>
      </c>
      <c r="I22" s="60">
        <v>5.13E-06</v>
      </c>
      <c r="J22" s="8" t="s">
        <v>98</v>
      </c>
      <c r="K22" s="60">
        <v>4.21E-06</v>
      </c>
      <c r="L22" s="8"/>
      <c r="M22" s="24"/>
    </row>
    <row r="23" spans="2:13" ht="12.75">
      <c r="B23" s="8" t="s">
        <v>51</v>
      </c>
      <c r="C23" s="8" t="s">
        <v>202</v>
      </c>
      <c r="D23" s="8" t="s">
        <v>18</v>
      </c>
      <c r="F23" s="8" t="s">
        <v>139</v>
      </c>
      <c r="G23" s="71">
        <f>(G21-G22)/G21*100</f>
        <v>99.99999688480034</v>
      </c>
      <c r="H23" s="71" t="s">
        <v>139</v>
      </c>
      <c r="I23" s="71">
        <f>(I21-I22)/I21*100</f>
        <v>99.99999707908671</v>
      </c>
      <c r="J23" s="71" t="s">
        <v>139</v>
      </c>
      <c r="K23" s="71">
        <f>(K21-K22)/K21*100</f>
        <v>99.99999705717882</v>
      </c>
      <c r="L23" s="8" t="s">
        <v>139</v>
      </c>
      <c r="M23" s="76">
        <f>AVERAGE(K23,I23,G23)</f>
        <v>99.99999700702195</v>
      </c>
    </row>
    <row r="24" spans="2:13" ht="12.75">
      <c r="B24" s="8"/>
      <c r="C24" s="8"/>
      <c r="F24"/>
      <c r="G24"/>
      <c r="H24"/>
      <c r="I24"/>
      <c r="J24"/>
      <c r="K24"/>
      <c r="L24"/>
      <c r="M24" s="4"/>
    </row>
    <row r="25" spans="2:13" ht="12.75">
      <c r="B25" s="8" t="s">
        <v>106</v>
      </c>
      <c r="C25" s="8"/>
      <c r="D25" s="8" t="s">
        <v>122</v>
      </c>
      <c r="E25" s="8" t="s">
        <v>101</v>
      </c>
      <c r="G25"/>
      <c r="H25" s="8"/>
      <c r="I25"/>
      <c r="J25" s="8"/>
      <c r="K25"/>
      <c r="L25"/>
      <c r="M25" s="4"/>
    </row>
    <row r="26" spans="2:13" ht="12.75">
      <c r="B26" s="8" t="s">
        <v>116</v>
      </c>
      <c r="C26" s="8"/>
      <c r="D26" s="8" t="s">
        <v>122</v>
      </c>
      <c r="E26" s="8" t="s">
        <v>101</v>
      </c>
      <c r="F26" s="8" t="s">
        <v>98</v>
      </c>
      <c r="G26">
        <v>0.013</v>
      </c>
      <c r="H26" s="8" t="s">
        <v>98</v>
      </c>
      <c r="I26" s="67">
        <v>0.013</v>
      </c>
      <c r="J26" s="8" t="s">
        <v>98</v>
      </c>
      <c r="K26">
        <v>0.013</v>
      </c>
      <c r="L26"/>
      <c r="M26" s="4"/>
    </row>
    <row r="27" spans="2:13" ht="12.75">
      <c r="B27" s="8" t="s">
        <v>107</v>
      </c>
      <c r="C27" s="8"/>
      <c r="D27" s="8" t="s">
        <v>122</v>
      </c>
      <c r="E27" s="8" t="s">
        <v>101</v>
      </c>
      <c r="F27" s="8" t="s">
        <v>98</v>
      </c>
      <c r="G27">
        <v>0.013</v>
      </c>
      <c r="H27" s="8" t="s">
        <v>98</v>
      </c>
      <c r="I27">
        <v>0.013</v>
      </c>
      <c r="J27" s="8" t="s">
        <v>98</v>
      </c>
      <c r="K27">
        <v>0.013</v>
      </c>
      <c r="L27"/>
      <c r="M27" s="4"/>
    </row>
    <row r="28" spans="2:13" ht="12.75">
      <c r="B28" s="8" t="s">
        <v>108</v>
      </c>
      <c r="C28" s="8"/>
      <c r="D28" s="8" t="s">
        <v>122</v>
      </c>
      <c r="E28" s="8" t="s">
        <v>101</v>
      </c>
      <c r="F28"/>
      <c r="G28">
        <v>0.041</v>
      </c>
      <c r="H28"/>
      <c r="I28">
        <v>0.049</v>
      </c>
      <c r="J28"/>
      <c r="K28">
        <v>0.046</v>
      </c>
      <c r="L28"/>
      <c r="M28" s="4"/>
    </row>
    <row r="29" spans="2:13" ht="12.75">
      <c r="B29" s="8" t="s">
        <v>77</v>
      </c>
      <c r="C29" s="8"/>
      <c r="D29" s="8" t="s">
        <v>122</v>
      </c>
      <c r="E29" s="8" t="s">
        <v>101</v>
      </c>
      <c r="F29" s="8" t="s">
        <v>98</v>
      </c>
      <c r="G29">
        <v>0.005</v>
      </c>
      <c r="H29" s="8" t="s">
        <v>98</v>
      </c>
      <c r="I29">
        <v>0.005</v>
      </c>
      <c r="J29" s="8" t="s">
        <v>98</v>
      </c>
      <c r="K29">
        <v>0.005</v>
      </c>
      <c r="L29"/>
      <c r="M29" s="4"/>
    </row>
    <row r="30" spans="2:13" ht="12.75">
      <c r="B30" s="8" t="s">
        <v>109</v>
      </c>
      <c r="C30" s="8"/>
      <c r="D30" s="8" t="s">
        <v>122</v>
      </c>
      <c r="E30" s="8" t="s">
        <v>101</v>
      </c>
      <c r="F30"/>
      <c r="G30"/>
      <c r="H30"/>
      <c r="I30"/>
      <c r="J30"/>
      <c r="K30"/>
      <c r="L30"/>
      <c r="M30" s="4"/>
    </row>
    <row r="31" spans="2:13" ht="12.75">
      <c r="B31" s="8" t="s">
        <v>110</v>
      </c>
      <c r="C31" s="8"/>
      <c r="D31" s="8" t="s">
        <v>122</v>
      </c>
      <c r="E31" s="8" t="s">
        <v>101</v>
      </c>
      <c r="G31">
        <v>0.025</v>
      </c>
      <c r="H31" s="8"/>
      <c r="I31">
        <v>0.053</v>
      </c>
      <c r="J31" s="8"/>
      <c r="K31">
        <v>0.027</v>
      </c>
      <c r="L31"/>
      <c r="M31" s="4"/>
    </row>
    <row r="32" spans="2:13" ht="12.75">
      <c r="B32" s="8" t="s">
        <v>83</v>
      </c>
      <c r="C32" s="8"/>
      <c r="D32" s="8" t="s">
        <v>122</v>
      </c>
      <c r="E32" s="8" t="s">
        <v>101</v>
      </c>
      <c r="F32" s="8" t="s">
        <v>98</v>
      </c>
      <c r="G32">
        <v>0.051</v>
      </c>
      <c r="H32" s="8" t="s">
        <v>98</v>
      </c>
      <c r="I32">
        <v>0.08</v>
      </c>
      <c r="J32" s="8" t="s">
        <v>98</v>
      </c>
      <c r="K32">
        <v>0.081</v>
      </c>
      <c r="L32"/>
      <c r="M32" s="4"/>
    </row>
    <row r="33" spans="2:13" ht="12.75">
      <c r="B33" s="80" t="s">
        <v>203</v>
      </c>
      <c r="C33" s="8"/>
      <c r="D33" s="8" t="s">
        <v>122</v>
      </c>
      <c r="E33" s="8" t="s">
        <v>101</v>
      </c>
      <c r="F33"/>
      <c r="G33"/>
      <c r="H33"/>
      <c r="I33"/>
      <c r="J33"/>
      <c r="K33"/>
      <c r="L33"/>
      <c r="M33" s="4"/>
    </row>
    <row r="34" spans="2:13" ht="12.75">
      <c r="B34" s="8" t="s">
        <v>111</v>
      </c>
      <c r="C34" s="8"/>
      <c r="D34" s="8" t="s">
        <v>122</v>
      </c>
      <c r="E34" s="8" t="s">
        <v>101</v>
      </c>
      <c r="G34"/>
      <c r="H34" s="8"/>
      <c r="I34"/>
      <c r="J34" s="8"/>
      <c r="K34"/>
      <c r="L34"/>
      <c r="M34" s="4"/>
    </row>
    <row r="35" spans="2:13" ht="12.75">
      <c r="B35" s="8" t="s">
        <v>112</v>
      </c>
      <c r="C35" s="8"/>
      <c r="D35" s="8" t="s">
        <v>122</v>
      </c>
      <c r="E35" s="8" t="s">
        <v>101</v>
      </c>
      <c r="F35" s="8" t="s">
        <v>98</v>
      </c>
      <c r="G35">
        <v>0.089</v>
      </c>
      <c r="H35" s="8" t="s">
        <v>98</v>
      </c>
      <c r="I35">
        <v>0.027</v>
      </c>
      <c r="J35" s="8" t="s">
        <v>98</v>
      </c>
      <c r="K35">
        <v>0.054</v>
      </c>
      <c r="L35"/>
      <c r="M35" s="4"/>
    </row>
    <row r="36" spans="2:13" ht="12.75">
      <c r="B36" s="8" t="s">
        <v>76</v>
      </c>
      <c r="C36" s="8"/>
      <c r="D36" s="8" t="s">
        <v>122</v>
      </c>
      <c r="E36" s="8" t="s">
        <v>101</v>
      </c>
      <c r="G36">
        <v>0.331</v>
      </c>
      <c r="H36"/>
      <c r="I36">
        <v>0.292</v>
      </c>
      <c r="J36"/>
      <c r="K36">
        <v>0.323</v>
      </c>
      <c r="L36"/>
      <c r="M36" s="4"/>
    </row>
    <row r="37" spans="2:13" ht="12.75">
      <c r="B37" s="8" t="s">
        <v>113</v>
      </c>
      <c r="C37" s="8"/>
      <c r="D37" s="8" t="s">
        <v>122</v>
      </c>
      <c r="E37" s="8" t="s">
        <v>101</v>
      </c>
      <c r="F37"/>
      <c r="G37"/>
      <c r="H37"/>
      <c r="I37"/>
      <c r="J37"/>
      <c r="K37"/>
      <c r="L37"/>
      <c r="M37" s="4"/>
    </row>
    <row r="38" spans="2:13" ht="12.75">
      <c r="B38" s="8" t="s">
        <v>78</v>
      </c>
      <c r="C38" s="8"/>
      <c r="D38" s="8" t="s">
        <v>122</v>
      </c>
      <c r="E38" s="8" t="s">
        <v>101</v>
      </c>
      <c r="G38">
        <v>0.024</v>
      </c>
      <c r="H38" s="8" t="s">
        <v>98</v>
      </c>
      <c r="I38">
        <v>0.008</v>
      </c>
      <c r="J38" s="8" t="s">
        <v>98</v>
      </c>
      <c r="K38">
        <v>0.008</v>
      </c>
      <c r="L38"/>
      <c r="M38" s="4"/>
    </row>
    <row r="39" spans="2:13" ht="12.75">
      <c r="B39" s="8" t="s">
        <v>114</v>
      </c>
      <c r="C39" s="8"/>
      <c r="D39" s="8" t="s">
        <v>122</v>
      </c>
      <c r="E39" s="8" t="s">
        <v>101</v>
      </c>
      <c r="F39" s="8" t="s">
        <v>98</v>
      </c>
      <c r="G39">
        <v>0.127</v>
      </c>
      <c r="H39" s="8" t="s">
        <v>98</v>
      </c>
      <c r="I39" s="67">
        <v>0.133</v>
      </c>
      <c r="J39" s="8" t="s">
        <v>98</v>
      </c>
      <c r="K39">
        <v>0.134</v>
      </c>
      <c r="L39"/>
      <c r="M39" s="4"/>
    </row>
    <row r="40" spans="2:13" ht="12.75">
      <c r="B40" s="8" t="s">
        <v>115</v>
      </c>
      <c r="C40" s="8"/>
      <c r="D40" s="8" t="s">
        <v>122</v>
      </c>
      <c r="E40" s="8" t="s">
        <v>101</v>
      </c>
      <c r="F40"/>
      <c r="G40"/>
      <c r="H40"/>
      <c r="I40"/>
      <c r="J40"/>
      <c r="K40"/>
      <c r="L40"/>
      <c r="M40" s="4"/>
    </row>
    <row r="41" spans="2:13" ht="12.75">
      <c r="B41" s="8" t="s">
        <v>117</v>
      </c>
      <c r="C41" s="8"/>
      <c r="D41" s="8" t="s">
        <v>122</v>
      </c>
      <c r="E41" s="8" t="s">
        <v>101</v>
      </c>
      <c r="F41" s="8" t="s">
        <v>98</v>
      </c>
      <c r="G41">
        <v>0.127</v>
      </c>
      <c r="H41" s="8" t="s">
        <v>98</v>
      </c>
      <c r="I41">
        <v>0.133</v>
      </c>
      <c r="J41" s="8" t="s">
        <v>98</v>
      </c>
      <c r="K41">
        <v>0.134</v>
      </c>
      <c r="L41"/>
      <c r="M41" s="4"/>
    </row>
    <row r="42" spans="2:13" ht="12.75">
      <c r="B42" s="8" t="s">
        <v>105</v>
      </c>
      <c r="C42" s="8"/>
      <c r="D42" s="8" t="s">
        <v>122</v>
      </c>
      <c r="E42" s="8" t="s">
        <v>101</v>
      </c>
      <c r="F42" s="8" t="s">
        <v>98</v>
      </c>
      <c r="G42">
        <v>0.025</v>
      </c>
      <c r="H42" s="8" t="s">
        <v>98</v>
      </c>
      <c r="I42">
        <v>0.027</v>
      </c>
      <c r="J42" s="8" t="s">
        <v>98</v>
      </c>
      <c r="K42">
        <v>0.027</v>
      </c>
      <c r="L42"/>
      <c r="M42" s="4"/>
    </row>
    <row r="43" spans="2:13" ht="12.75">
      <c r="B43" s="8" t="s">
        <v>119</v>
      </c>
      <c r="C43" s="8"/>
      <c r="D43" s="8" t="s">
        <v>122</v>
      </c>
      <c r="E43" s="8" t="s">
        <v>101</v>
      </c>
      <c r="F43" s="8" t="s">
        <v>98</v>
      </c>
      <c r="G43">
        <v>0.127</v>
      </c>
      <c r="H43"/>
      <c r="I43">
        <v>0.04</v>
      </c>
      <c r="J43" s="8" t="s">
        <v>98</v>
      </c>
      <c r="K43">
        <v>0.094</v>
      </c>
      <c r="L43"/>
      <c r="M43" s="4"/>
    </row>
    <row r="44" spans="2:13" ht="12.75">
      <c r="B44" s="8" t="s">
        <v>118</v>
      </c>
      <c r="C44" s="8"/>
      <c r="D44" s="8" t="s">
        <v>122</v>
      </c>
      <c r="E44" s="8" t="s">
        <v>101</v>
      </c>
      <c r="F44"/>
      <c r="G44"/>
      <c r="H44"/>
      <c r="I44"/>
      <c r="J44"/>
      <c r="K44"/>
      <c r="L44"/>
      <c r="M44" s="4"/>
    </row>
    <row r="45" spans="2:13" ht="12.75">
      <c r="B45" s="8" t="s">
        <v>120</v>
      </c>
      <c r="C45" s="8"/>
      <c r="D45" s="8" t="s">
        <v>122</v>
      </c>
      <c r="E45" s="8" t="s">
        <v>101</v>
      </c>
      <c r="F45"/>
      <c r="G45"/>
      <c r="H45"/>
      <c r="I45"/>
      <c r="J45"/>
      <c r="K45"/>
      <c r="L45"/>
      <c r="M45" s="4"/>
    </row>
    <row r="46" spans="2:13" ht="12.75">
      <c r="B46" s="8" t="s">
        <v>121</v>
      </c>
      <c r="C46" s="8"/>
      <c r="D46" s="8" t="s">
        <v>122</v>
      </c>
      <c r="E46" s="8" t="s">
        <v>101</v>
      </c>
      <c r="F46"/>
      <c r="G46"/>
      <c r="H46"/>
      <c r="I46"/>
      <c r="J46"/>
      <c r="K46"/>
      <c r="L46"/>
      <c r="M46" s="4"/>
    </row>
    <row r="47" spans="2:13" ht="12.75">
      <c r="B47" s="8"/>
      <c r="C47" s="8"/>
      <c r="F47"/>
      <c r="G47"/>
      <c r="H47"/>
      <c r="I47"/>
      <c r="J47"/>
      <c r="K47"/>
      <c r="L47"/>
      <c r="M47"/>
    </row>
    <row r="48" spans="2:13" ht="12.75">
      <c r="B48" s="8" t="s">
        <v>84</v>
      </c>
      <c r="C48" s="8" t="s">
        <v>103</v>
      </c>
      <c r="D48" s="8" t="s">
        <v>202</v>
      </c>
      <c r="F48"/>
      <c r="G48"/>
      <c r="H48"/>
      <c r="I48"/>
      <c r="J48"/>
      <c r="K48"/>
      <c r="L48"/>
      <c r="M48"/>
    </row>
    <row r="49" spans="2:13" ht="12.75">
      <c r="B49" s="8" t="s">
        <v>75</v>
      </c>
      <c r="C49" s="8"/>
      <c r="D49" s="8" t="s">
        <v>17</v>
      </c>
      <c r="F49"/>
      <c r="G49">
        <f>179040/60</f>
        <v>2984</v>
      </c>
      <c r="H49"/>
      <c r="I49">
        <f>162600/60</f>
        <v>2710</v>
      </c>
      <c r="J49"/>
      <c r="K49">
        <f>162540/60</f>
        <v>2709</v>
      </c>
      <c r="L49"/>
      <c r="M49" s="4">
        <f>AVERAGE(K49,I49,G49)</f>
        <v>2801</v>
      </c>
    </row>
    <row r="50" spans="2:13" ht="12.75">
      <c r="B50" s="8" t="s">
        <v>81</v>
      </c>
      <c r="C50" s="8"/>
      <c r="D50" s="8" t="s">
        <v>18</v>
      </c>
      <c r="F50"/>
      <c r="G50">
        <v>13.6</v>
      </c>
      <c r="H50"/>
      <c r="I50">
        <v>13.8</v>
      </c>
      <c r="J50"/>
      <c r="K50">
        <v>13.8</v>
      </c>
      <c r="L50"/>
      <c r="M50" s="4">
        <f>AVERAGE(K50,I50,G50)</f>
        <v>13.733333333333334</v>
      </c>
    </row>
    <row r="51" spans="2:13" ht="12.75">
      <c r="B51" s="8" t="s">
        <v>82</v>
      </c>
      <c r="C51" s="8"/>
      <c r="D51" s="8" t="s">
        <v>18</v>
      </c>
      <c r="F51"/>
      <c r="G51">
        <v>38.6</v>
      </c>
      <c r="H51"/>
      <c r="I51">
        <v>38</v>
      </c>
      <c r="J51"/>
      <c r="K51">
        <v>38</v>
      </c>
      <c r="L51"/>
      <c r="M51" s="4">
        <f>AVERAGE(K51,I51,G51)</f>
        <v>38.199999999999996</v>
      </c>
    </row>
    <row r="52" spans="2:13" ht="12.75">
      <c r="B52" s="8" t="s">
        <v>74</v>
      </c>
      <c r="C52" s="8"/>
      <c r="D52" s="8" t="s">
        <v>19</v>
      </c>
      <c r="F52"/>
      <c r="G52">
        <v>220</v>
      </c>
      <c r="H52"/>
      <c r="I52">
        <v>220</v>
      </c>
      <c r="J52"/>
      <c r="K52">
        <v>215</v>
      </c>
      <c r="L52"/>
      <c r="M52" s="4">
        <f>AVERAGE(K52,I52,G52)</f>
        <v>218.33333333333334</v>
      </c>
    </row>
    <row r="53" spans="2:13" ht="12.75">
      <c r="B53" s="8"/>
      <c r="C53" s="8"/>
      <c r="F53"/>
      <c r="G53"/>
      <c r="H53"/>
      <c r="I53"/>
      <c r="J53"/>
      <c r="K53"/>
      <c r="L53"/>
      <c r="M53"/>
    </row>
    <row r="54" spans="2:13" ht="12.75">
      <c r="B54" s="8" t="s">
        <v>84</v>
      </c>
      <c r="C54" s="8" t="s">
        <v>97</v>
      </c>
      <c r="D54" s="8" t="s">
        <v>204</v>
      </c>
      <c r="F54"/>
      <c r="G54"/>
      <c r="H54"/>
      <c r="I54"/>
      <c r="J54"/>
      <c r="K54"/>
      <c r="L54"/>
      <c r="M54"/>
    </row>
    <row r="55" spans="2:13" ht="12.75">
      <c r="B55" s="8" t="s">
        <v>75</v>
      </c>
      <c r="C55" s="8"/>
      <c r="D55" s="8" t="s">
        <v>17</v>
      </c>
      <c r="F55"/>
      <c r="G55">
        <f>167940/60</f>
        <v>2799</v>
      </c>
      <c r="H55"/>
      <c r="I55">
        <f>160080/60</f>
        <v>2668</v>
      </c>
      <c r="J55"/>
      <c r="K55">
        <f>159480/60</f>
        <v>2658</v>
      </c>
      <c r="L55"/>
      <c r="M55" s="4">
        <f>AVERAGE(K55,I55,G55)</f>
        <v>2708.3333333333335</v>
      </c>
    </row>
    <row r="56" spans="2:13" ht="12.75">
      <c r="B56" s="8" t="s">
        <v>81</v>
      </c>
      <c r="C56" s="8"/>
      <c r="D56" s="8" t="s">
        <v>18</v>
      </c>
      <c r="F56"/>
      <c r="G56">
        <v>13.5</v>
      </c>
      <c r="H56"/>
      <c r="I56">
        <v>13.4</v>
      </c>
      <c r="J56"/>
      <c r="K56">
        <v>13.5</v>
      </c>
      <c r="L56"/>
      <c r="M56" s="4">
        <f>AVERAGE(K56,I56,G56)</f>
        <v>13.466666666666667</v>
      </c>
    </row>
    <row r="57" spans="2:13" ht="12.75">
      <c r="B57" s="8" t="s">
        <v>82</v>
      </c>
      <c r="C57" s="8"/>
      <c r="D57" s="8" t="s">
        <v>18</v>
      </c>
      <c r="F57"/>
      <c r="G57">
        <v>38.4</v>
      </c>
      <c r="H57"/>
      <c r="I57">
        <v>38.5</v>
      </c>
      <c r="J57"/>
      <c r="K57">
        <v>38.2</v>
      </c>
      <c r="L57"/>
      <c r="M57" s="4">
        <f>AVERAGE(K57,I57,G57)</f>
        <v>38.36666666666667</v>
      </c>
    </row>
    <row r="58" spans="2:13" ht="12.75">
      <c r="B58" s="8" t="s">
        <v>74</v>
      </c>
      <c r="C58" s="8"/>
      <c r="D58" s="8" t="s">
        <v>19</v>
      </c>
      <c r="F58"/>
      <c r="G58">
        <v>217</v>
      </c>
      <c r="H58"/>
      <c r="I58">
        <v>223</v>
      </c>
      <c r="J58"/>
      <c r="K58">
        <v>216</v>
      </c>
      <c r="L58"/>
      <c r="M58" s="4">
        <f>AVERAGE(K58,I58,G58)</f>
        <v>218.66666666666666</v>
      </c>
    </row>
    <row r="59" spans="2:13" ht="12.75">
      <c r="B59" s="8"/>
      <c r="C59" s="8"/>
      <c r="F59"/>
      <c r="G59"/>
      <c r="H59"/>
      <c r="I59"/>
      <c r="J59"/>
      <c r="K59"/>
      <c r="L59"/>
      <c r="M59"/>
    </row>
    <row r="60" spans="2:13" ht="12.75">
      <c r="B60" s="8" t="s">
        <v>106</v>
      </c>
      <c r="C60" s="8" t="s">
        <v>204</v>
      </c>
      <c r="D60" s="8" t="s">
        <v>54</v>
      </c>
      <c r="E60" s="8" t="s">
        <v>15</v>
      </c>
      <c r="G60" s="4">
        <f>G25/0.0283*(21-7)/(21-G$56)</f>
        <v>0</v>
      </c>
      <c r="H60" s="8"/>
      <c r="I60" s="4">
        <f>I25/0.0283*(21-7)/(21-I$56)</f>
        <v>0</v>
      </c>
      <c r="J60" s="8"/>
      <c r="K60" s="4">
        <f aca="true" t="shared" si="0" ref="K60:K81">K25/0.0283*(21-7)/(21-K$56)</f>
        <v>0</v>
      </c>
      <c r="L60"/>
      <c r="M60" s="4">
        <f aca="true" t="shared" si="1" ref="M60:M72">AVERAGE(G60,I60,K60)</f>
        <v>0</v>
      </c>
    </row>
    <row r="61" spans="2:13" ht="12.75">
      <c r="B61" s="8" t="s">
        <v>116</v>
      </c>
      <c r="C61" s="8" t="s">
        <v>204</v>
      </c>
      <c r="D61" s="8" t="s">
        <v>54</v>
      </c>
      <c r="E61" s="8" t="s">
        <v>15</v>
      </c>
      <c r="F61" s="8" t="s">
        <v>98</v>
      </c>
      <c r="G61" s="4">
        <f aca="true" t="shared" si="2" ref="G61:I81">G26/0.0283*(21-7)/(21-G$56)</f>
        <v>0.8574793875147232</v>
      </c>
      <c r="H61" s="8" t="s">
        <v>98</v>
      </c>
      <c r="I61" s="4">
        <f t="shared" si="2"/>
        <v>0.8461967639947926</v>
      </c>
      <c r="J61" s="8" t="s">
        <v>98</v>
      </c>
      <c r="K61" s="4">
        <f t="shared" si="0"/>
        <v>0.8574793875147232</v>
      </c>
      <c r="L61">
        <v>100</v>
      </c>
      <c r="M61" s="4">
        <f t="shared" si="1"/>
        <v>0.8537185130080797</v>
      </c>
    </row>
    <row r="62" spans="2:13" ht="12.75">
      <c r="B62" s="8" t="s">
        <v>107</v>
      </c>
      <c r="C62" s="8" t="s">
        <v>204</v>
      </c>
      <c r="D62" s="8" t="s">
        <v>54</v>
      </c>
      <c r="E62" s="8" t="s">
        <v>15</v>
      </c>
      <c r="F62" s="8" t="s">
        <v>98</v>
      </c>
      <c r="G62" s="4">
        <f t="shared" si="2"/>
        <v>0.8574793875147232</v>
      </c>
      <c r="H62" s="8" t="s">
        <v>98</v>
      </c>
      <c r="I62" s="4">
        <f t="shared" si="2"/>
        <v>0.8461967639947926</v>
      </c>
      <c r="J62" s="8" t="s">
        <v>98</v>
      </c>
      <c r="K62" s="4">
        <f t="shared" si="0"/>
        <v>0.8574793875147232</v>
      </c>
      <c r="L62">
        <v>100</v>
      </c>
      <c r="M62" s="4">
        <f t="shared" si="1"/>
        <v>0.8537185130080797</v>
      </c>
    </row>
    <row r="63" spans="2:13" ht="12.75">
      <c r="B63" s="8" t="s">
        <v>108</v>
      </c>
      <c r="C63" s="8" t="s">
        <v>204</v>
      </c>
      <c r="D63" s="8" t="s">
        <v>54</v>
      </c>
      <c r="E63" s="8" t="s">
        <v>15</v>
      </c>
      <c r="F63"/>
      <c r="G63" s="4">
        <f t="shared" si="2"/>
        <v>2.7043580683156656</v>
      </c>
      <c r="H63"/>
      <c r="I63" s="4">
        <f t="shared" si="2"/>
        <v>3.1895108796726803</v>
      </c>
      <c r="J63"/>
      <c r="K63" s="4">
        <f t="shared" si="0"/>
        <v>3.034157832744405</v>
      </c>
      <c r="L63"/>
      <c r="M63" s="4">
        <f t="shared" si="1"/>
        <v>2.9760089269109167</v>
      </c>
    </row>
    <row r="64" spans="2:13" ht="12.75">
      <c r="B64" s="8" t="s">
        <v>77</v>
      </c>
      <c r="C64" s="8" t="s">
        <v>204</v>
      </c>
      <c r="D64" s="8" t="s">
        <v>54</v>
      </c>
      <c r="E64" s="8" t="s">
        <v>15</v>
      </c>
      <c r="F64" s="8" t="s">
        <v>98</v>
      </c>
      <c r="G64" s="4">
        <f t="shared" si="2"/>
        <v>0.3297997644287397</v>
      </c>
      <c r="H64" s="8" t="s">
        <v>98</v>
      </c>
      <c r="I64" s="4">
        <f t="shared" si="2"/>
        <v>0.32546029384415104</v>
      </c>
      <c r="J64" s="8" t="s">
        <v>98</v>
      </c>
      <c r="K64" s="4">
        <f t="shared" si="0"/>
        <v>0.3297997644287397</v>
      </c>
      <c r="L64">
        <v>100</v>
      </c>
      <c r="M64" s="4">
        <f t="shared" si="1"/>
        <v>0.3283532742338768</v>
      </c>
    </row>
    <row r="65" spans="2:13" ht="12.75">
      <c r="B65" s="8" t="s">
        <v>109</v>
      </c>
      <c r="C65" s="8" t="s">
        <v>204</v>
      </c>
      <c r="D65" s="8" t="s">
        <v>54</v>
      </c>
      <c r="E65" s="8" t="s">
        <v>15</v>
      </c>
      <c r="F65"/>
      <c r="G65" s="4">
        <f t="shared" si="2"/>
        <v>0</v>
      </c>
      <c r="H65"/>
      <c r="I65" s="4">
        <f t="shared" si="2"/>
        <v>0</v>
      </c>
      <c r="J65"/>
      <c r="K65" s="4">
        <f t="shared" si="0"/>
        <v>0</v>
      </c>
      <c r="L65"/>
      <c r="M65" s="4">
        <f t="shared" si="1"/>
        <v>0</v>
      </c>
    </row>
    <row r="66" spans="2:13" ht="12.75">
      <c r="B66" s="8" t="s">
        <v>110</v>
      </c>
      <c r="C66" s="8" t="s">
        <v>204</v>
      </c>
      <c r="D66" s="8" t="s">
        <v>54</v>
      </c>
      <c r="E66" s="8" t="s">
        <v>15</v>
      </c>
      <c r="G66" s="63">
        <f t="shared" si="2"/>
        <v>1.6489988221436986</v>
      </c>
      <c r="H66" s="8"/>
      <c r="I66" s="4">
        <f t="shared" si="2"/>
        <v>3.449879114748001</v>
      </c>
      <c r="J66" s="8"/>
      <c r="K66" s="4">
        <f t="shared" si="0"/>
        <v>1.7809187279151943</v>
      </c>
      <c r="L66"/>
      <c r="M66" s="4">
        <f t="shared" si="1"/>
        <v>2.2932655549356316</v>
      </c>
    </row>
    <row r="67" spans="2:13" ht="12.75">
      <c r="B67" s="8" t="s">
        <v>83</v>
      </c>
      <c r="C67" s="8" t="s">
        <v>204</v>
      </c>
      <c r="D67" s="8" t="s">
        <v>54</v>
      </c>
      <c r="E67" s="8" t="s">
        <v>15</v>
      </c>
      <c r="F67" s="8" t="s">
        <v>98</v>
      </c>
      <c r="G67" s="4">
        <f t="shared" si="2"/>
        <v>3.363957597173145</v>
      </c>
      <c r="H67" s="8" t="s">
        <v>98</v>
      </c>
      <c r="I67" s="4">
        <f t="shared" si="2"/>
        <v>5.207364701506417</v>
      </c>
      <c r="J67" s="8" t="s">
        <v>98</v>
      </c>
      <c r="K67" s="4">
        <f t="shared" si="0"/>
        <v>5.342756183745584</v>
      </c>
      <c r="L67"/>
      <c r="M67" s="4">
        <f t="shared" si="1"/>
        <v>4.638026160808382</v>
      </c>
    </row>
    <row r="68" spans="2:13" ht="12.75">
      <c r="B68" s="80" t="s">
        <v>203</v>
      </c>
      <c r="C68" s="8" t="s">
        <v>204</v>
      </c>
      <c r="D68" s="8" t="s">
        <v>54</v>
      </c>
      <c r="E68" s="8" t="s">
        <v>15</v>
      </c>
      <c r="F68"/>
      <c r="G68" s="4">
        <f t="shared" si="2"/>
        <v>0</v>
      </c>
      <c r="H68"/>
      <c r="I68" s="4">
        <f t="shared" si="2"/>
        <v>0</v>
      </c>
      <c r="J68"/>
      <c r="K68" s="4">
        <f t="shared" si="0"/>
        <v>0</v>
      </c>
      <c r="L68"/>
      <c r="M68" s="4">
        <f t="shared" si="1"/>
        <v>0</v>
      </c>
    </row>
    <row r="69" spans="2:13" ht="12.75">
      <c r="B69" s="8" t="s">
        <v>111</v>
      </c>
      <c r="C69" s="8" t="s">
        <v>204</v>
      </c>
      <c r="D69" s="8" t="s">
        <v>54</v>
      </c>
      <c r="E69" s="8" t="s">
        <v>15</v>
      </c>
      <c r="G69" s="4">
        <f t="shared" si="2"/>
        <v>0</v>
      </c>
      <c r="H69" s="8"/>
      <c r="I69" s="4">
        <f t="shared" si="2"/>
        <v>0</v>
      </c>
      <c r="J69" s="8"/>
      <c r="K69" s="4">
        <f t="shared" si="0"/>
        <v>0</v>
      </c>
      <c r="L69"/>
      <c r="M69" s="4">
        <f t="shared" si="1"/>
        <v>0</v>
      </c>
    </row>
    <row r="70" spans="2:13" ht="12.75">
      <c r="B70" s="8" t="s">
        <v>112</v>
      </c>
      <c r="C70" s="8" t="s">
        <v>204</v>
      </c>
      <c r="D70" s="8" t="s">
        <v>54</v>
      </c>
      <c r="E70" s="8" t="s">
        <v>15</v>
      </c>
      <c r="F70" s="8" t="s">
        <v>98</v>
      </c>
      <c r="G70" s="4">
        <f t="shared" si="2"/>
        <v>5.8704358068315665</v>
      </c>
      <c r="H70" s="8" t="s">
        <v>98</v>
      </c>
      <c r="I70" s="4">
        <f t="shared" si="2"/>
        <v>1.7574855867584156</v>
      </c>
      <c r="J70" s="8" t="s">
        <v>98</v>
      </c>
      <c r="K70" s="4">
        <f t="shared" si="0"/>
        <v>3.5618374558303887</v>
      </c>
      <c r="L70">
        <v>100</v>
      </c>
      <c r="M70" s="4">
        <f t="shared" si="1"/>
        <v>3.7299196164734574</v>
      </c>
    </row>
    <row r="71" spans="2:13" ht="12.75">
      <c r="B71" s="8" t="s">
        <v>76</v>
      </c>
      <c r="C71" s="8" t="s">
        <v>204</v>
      </c>
      <c r="D71" s="8" t="s">
        <v>54</v>
      </c>
      <c r="E71" s="8" t="s">
        <v>15</v>
      </c>
      <c r="G71" s="63">
        <f t="shared" si="2"/>
        <v>21.83274440518257</v>
      </c>
      <c r="H71"/>
      <c r="I71" s="4">
        <f t="shared" si="2"/>
        <v>19.00688116049842</v>
      </c>
      <c r="J71"/>
      <c r="K71" s="4">
        <f t="shared" si="0"/>
        <v>21.305064782096586</v>
      </c>
      <c r="L71"/>
      <c r="M71" s="4">
        <f t="shared" si="1"/>
        <v>20.714896782592525</v>
      </c>
    </row>
    <row r="72" spans="2:13" ht="12.75">
      <c r="B72" s="8" t="s">
        <v>113</v>
      </c>
      <c r="C72" s="8" t="s">
        <v>204</v>
      </c>
      <c r="D72" s="8" t="s">
        <v>54</v>
      </c>
      <c r="E72" s="8" t="s">
        <v>15</v>
      </c>
      <c r="F72"/>
      <c r="G72" s="4">
        <f t="shared" si="2"/>
        <v>0</v>
      </c>
      <c r="H72"/>
      <c r="I72" s="4">
        <f t="shared" si="2"/>
        <v>0</v>
      </c>
      <c r="J72"/>
      <c r="K72" s="4">
        <f t="shared" si="0"/>
        <v>0</v>
      </c>
      <c r="L72"/>
      <c r="M72" s="4">
        <f t="shared" si="1"/>
        <v>0</v>
      </c>
    </row>
    <row r="73" spans="2:13" ht="12.75">
      <c r="B73" s="8" t="s">
        <v>78</v>
      </c>
      <c r="C73" s="8" t="s">
        <v>204</v>
      </c>
      <c r="D73" s="8" t="s">
        <v>54</v>
      </c>
      <c r="E73" s="8" t="s">
        <v>15</v>
      </c>
      <c r="G73" s="4">
        <f t="shared" si="2"/>
        <v>1.5830388692579507</v>
      </c>
      <c r="H73" s="8" t="s">
        <v>98</v>
      </c>
      <c r="I73" s="4">
        <f t="shared" si="2"/>
        <v>0.5207364701506416</v>
      </c>
      <c r="J73" s="8" t="s">
        <v>98</v>
      </c>
      <c r="K73" s="4">
        <f t="shared" si="0"/>
        <v>0.5276796230859835</v>
      </c>
      <c r="L73">
        <f>(I73+K73)/3/M73*100</f>
        <v>39.841688654353554</v>
      </c>
      <c r="M73" s="4">
        <f>AVERAGE(G73,I73,K73)</f>
        <v>0.8771516541648587</v>
      </c>
    </row>
    <row r="74" spans="2:13" ht="12.75">
      <c r="B74" s="8" t="s">
        <v>114</v>
      </c>
      <c r="C74" s="8" t="s">
        <v>204</v>
      </c>
      <c r="D74" s="8" t="s">
        <v>54</v>
      </c>
      <c r="E74" s="8" t="s">
        <v>15</v>
      </c>
      <c r="F74" s="8" t="s">
        <v>98</v>
      </c>
      <c r="G74" s="4">
        <f t="shared" si="2"/>
        <v>8.376914016489987</v>
      </c>
      <c r="H74" s="8" t="s">
        <v>98</v>
      </c>
      <c r="I74" s="4">
        <f t="shared" si="2"/>
        <v>8.65724381625442</v>
      </c>
      <c r="J74" s="8" t="s">
        <v>98</v>
      </c>
      <c r="K74" s="4">
        <f t="shared" si="0"/>
        <v>8.838633686690226</v>
      </c>
      <c r="L74">
        <v>100</v>
      </c>
      <c r="M74" s="4">
        <f aca="true" t="shared" si="3" ref="M74:M81">AVERAGE(G74,I74,K74)</f>
        <v>8.624263839811544</v>
      </c>
    </row>
    <row r="75" spans="2:13" ht="12.75">
      <c r="B75" s="8" t="s">
        <v>115</v>
      </c>
      <c r="C75" s="8" t="s">
        <v>204</v>
      </c>
      <c r="D75" s="8" t="s">
        <v>54</v>
      </c>
      <c r="E75" s="8" t="s">
        <v>15</v>
      </c>
      <c r="F75"/>
      <c r="G75" s="4">
        <f t="shared" si="2"/>
        <v>0</v>
      </c>
      <c r="H75"/>
      <c r="I75" s="4">
        <f t="shared" si="2"/>
        <v>0</v>
      </c>
      <c r="J75"/>
      <c r="K75" s="4">
        <f t="shared" si="0"/>
        <v>0</v>
      </c>
      <c r="L75"/>
      <c r="M75" s="4">
        <f t="shared" si="3"/>
        <v>0</v>
      </c>
    </row>
    <row r="76" spans="2:13" ht="12.75">
      <c r="B76" s="8" t="s">
        <v>117</v>
      </c>
      <c r="C76" s="8" t="s">
        <v>204</v>
      </c>
      <c r="D76" s="8" t="s">
        <v>54</v>
      </c>
      <c r="E76" s="8" t="s">
        <v>15</v>
      </c>
      <c r="F76" s="8" t="s">
        <v>98</v>
      </c>
      <c r="G76" s="4">
        <f t="shared" si="2"/>
        <v>8.376914016489987</v>
      </c>
      <c r="H76" s="8" t="s">
        <v>98</v>
      </c>
      <c r="I76" s="4">
        <f t="shared" si="2"/>
        <v>8.65724381625442</v>
      </c>
      <c r="J76" s="8" t="s">
        <v>98</v>
      </c>
      <c r="K76" s="4">
        <f t="shared" si="0"/>
        <v>8.838633686690226</v>
      </c>
      <c r="L76">
        <v>100</v>
      </c>
      <c r="M76" s="4">
        <f t="shared" si="3"/>
        <v>8.624263839811544</v>
      </c>
    </row>
    <row r="77" spans="2:13" ht="12.75">
      <c r="B77" s="8" t="s">
        <v>105</v>
      </c>
      <c r="C77" s="8" t="s">
        <v>204</v>
      </c>
      <c r="D77" s="8" t="s">
        <v>54</v>
      </c>
      <c r="E77" s="8" t="s">
        <v>15</v>
      </c>
      <c r="F77" s="8" t="s">
        <v>98</v>
      </c>
      <c r="G77" s="4">
        <f t="shared" si="2"/>
        <v>1.6489988221436986</v>
      </c>
      <c r="H77" s="8" t="s">
        <v>98</v>
      </c>
      <c r="I77" s="4">
        <f t="shared" si="2"/>
        <v>1.7574855867584156</v>
      </c>
      <c r="J77" s="8" t="s">
        <v>98</v>
      </c>
      <c r="K77" s="4">
        <f t="shared" si="0"/>
        <v>1.7809187279151943</v>
      </c>
      <c r="L77">
        <v>100</v>
      </c>
      <c r="M77" s="4">
        <f t="shared" si="3"/>
        <v>1.7291343789391027</v>
      </c>
    </row>
    <row r="78" spans="2:13" ht="12.75">
      <c r="B78" s="8" t="s">
        <v>119</v>
      </c>
      <c r="C78" s="8" t="s">
        <v>204</v>
      </c>
      <c r="D78" s="8" t="s">
        <v>54</v>
      </c>
      <c r="E78" s="8" t="s">
        <v>15</v>
      </c>
      <c r="F78" s="8" t="s">
        <v>98</v>
      </c>
      <c r="G78" s="4">
        <f t="shared" si="2"/>
        <v>8.376914016489987</v>
      </c>
      <c r="H78"/>
      <c r="I78" s="4">
        <f t="shared" si="2"/>
        <v>2.6036823507532083</v>
      </c>
      <c r="J78" s="8" t="s">
        <v>98</v>
      </c>
      <c r="K78" s="4">
        <f t="shared" si="0"/>
        <v>6.200235571260307</v>
      </c>
      <c r="L78">
        <v>100</v>
      </c>
      <c r="M78" s="4">
        <f t="shared" si="3"/>
        <v>5.726943979501168</v>
      </c>
    </row>
    <row r="79" spans="2:13" ht="12.75">
      <c r="B79" s="8" t="s">
        <v>118</v>
      </c>
      <c r="C79" s="8" t="s">
        <v>204</v>
      </c>
      <c r="D79" s="8" t="s">
        <v>54</v>
      </c>
      <c r="E79" s="8" t="s">
        <v>15</v>
      </c>
      <c r="F79"/>
      <c r="G79" s="4">
        <f t="shared" si="2"/>
        <v>0</v>
      </c>
      <c r="H79"/>
      <c r="I79" s="4">
        <f t="shared" si="2"/>
        <v>0</v>
      </c>
      <c r="J79"/>
      <c r="K79" s="4">
        <f t="shared" si="0"/>
        <v>0</v>
      </c>
      <c r="L79"/>
      <c r="M79" s="4">
        <f t="shared" si="3"/>
        <v>0</v>
      </c>
    </row>
    <row r="80" spans="2:13" ht="12.75">
      <c r="B80" s="8" t="s">
        <v>120</v>
      </c>
      <c r="C80" s="8" t="s">
        <v>204</v>
      </c>
      <c r="D80" s="8" t="s">
        <v>54</v>
      </c>
      <c r="E80" s="8" t="s">
        <v>15</v>
      </c>
      <c r="F80"/>
      <c r="G80" s="4">
        <f t="shared" si="2"/>
        <v>0</v>
      </c>
      <c r="H80"/>
      <c r="I80" s="4">
        <f t="shared" si="2"/>
        <v>0</v>
      </c>
      <c r="J80"/>
      <c r="K80" s="4">
        <f t="shared" si="0"/>
        <v>0</v>
      </c>
      <c r="L80"/>
      <c r="M80" s="4">
        <f t="shared" si="3"/>
        <v>0</v>
      </c>
    </row>
    <row r="81" spans="2:13" ht="12.75">
      <c r="B81" s="8" t="s">
        <v>121</v>
      </c>
      <c r="C81" s="8" t="s">
        <v>204</v>
      </c>
      <c r="D81" s="8" t="s">
        <v>54</v>
      </c>
      <c r="E81" s="8" t="s">
        <v>15</v>
      </c>
      <c r="F81"/>
      <c r="G81" s="4">
        <f t="shared" si="2"/>
        <v>0</v>
      </c>
      <c r="H81"/>
      <c r="I81" s="4">
        <f t="shared" si="2"/>
        <v>0</v>
      </c>
      <c r="J81"/>
      <c r="K81" s="4">
        <f t="shared" si="0"/>
        <v>0</v>
      </c>
      <c r="L81"/>
      <c r="M81" s="4">
        <f t="shared" si="3"/>
        <v>0</v>
      </c>
    </row>
    <row r="82" spans="2:13" ht="13.5" customHeight="1">
      <c r="B82" s="8"/>
      <c r="C82" s="8"/>
      <c r="F82"/>
      <c r="G82"/>
      <c r="H82"/>
      <c r="I82"/>
      <c r="J82"/>
      <c r="K82"/>
      <c r="L82"/>
      <c r="M82"/>
    </row>
    <row r="83" spans="2:13" ht="12.75">
      <c r="B83" t="s">
        <v>55</v>
      </c>
      <c r="C83" s="8" t="s">
        <v>204</v>
      </c>
      <c r="D83" s="8" t="s">
        <v>54</v>
      </c>
      <c r="E83" s="8" t="s">
        <v>15</v>
      </c>
      <c r="G83" s="4">
        <f>G71+G66</f>
        <v>23.48174322732627</v>
      </c>
      <c r="H83" s="4"/>
      <c r="I83" s="4">
        <f>I71+I66</f>
        <v>22.45676027524642</v>
      </c>
      <c r="J83" s="4"/>
      <c r="K83" s="4">
        <f>K71+K66</f>
        <v>23.08598351001178</v>
      </c>
      <c r="L83" s="4"/>
      <c r="M83" s="4">
        <f>AVERAGE(G83,I83,K83)</f>
        <v>23.00816233752816</v>
      </c>
    </row>
    <row r="84" spans="2:13" ht="12.75">
      <c r="B84" t="s">
        <v>56</v>
      </c>
      <c r="C84" s="8" t="s">
        <v>204</v>
      </c>
      <c r="D84" s="8" t="s">
        <v>54</v>
      </c>
      <c r="E84" s="8" t="s">
        <v>15</v>
      </c>
      <c r="F84">
        <v>100</v>
      </c>
      <c r="G84" s="4">
        <f>G67+G62+G64</f>
        <v>4.551236749116607</v>
      </c>
      <c r="H84" s="64">
        <v>100</v>
      </c>
      <c r="I84" s="4">
        <f>I67+I62+I64</f>
        <v>6.379021759345361</v>
      </c>
      <c r="J84" s="64">
        <v>100</v>
      </c>
      <c r="K84" s="4">
        <f>K67+K62+K64</f>
        <v>6.530035335689046</v>
      </c>
      <c r="L84" s="64">
        <v>100</v>
      </c>
      <c r="M84" s="4">
        <f>AVERAGE(G84,I84,K84)</f>
        <v>5.820097948050338</v>
      </c>
    </row>
    <row r="85" ht="12.75">
      <c r="M85" s="4"/>
    </row>
    <row r="86" spans="2:13" ht="12.75">
      <c r="B86" t="s">
        <v>162</v>
      </c>
      <c r="C86" s="16"/>
      <c r="D86" s="8" t="s">
        <v>163</v>
      </c>
      <c r="E86" t="s">
        <v>164</v>
      </c>
      <c r="G86">
        <v>0</v>
      </c>
      <c r="I86">
        <v>0</v>
      </c>
      <c r="K86">
        <v>0</v>
      </c>
      <c r="M86" s="64">
        <f>AVERAGE(G86,I86,K86)</f>
        <v>0</v>
      </c>
    </row>
    <row r="87" spans="2:3" ht="12.75">
      <c r="B87" s="20"/>
      <c r="C87" s="20"/>
    </row>
    <row r="88" spans="1:13" ht="12.75">
      <c r="A88" s="16"/>
      <c r="B88" s="20" t="str">
        <f>cond!C13</f>
        <v>3004C2</v>
      </c>
      <c r="C88" s="20"/>
      <c r="D88" s="8" t="s">
        <v>173</v>
      </c>
      <c r="G88" s="18" t="s">
        <v>199</v>
      </c>
      <c r="H88" s="18"/>
      <c r="I88" s="19" t="s">
        <v>200</v>
      </c>
      <c r="J88" s="18"/>
      <c r="K88" s="18" t="s">
        <v>201</v>
      </c>
      <c r="L88" s="18"/>
      <c r="M88" s="18" t="s">
        <v>47</v>
      </c>
    </row>
    <row r="89" spans="2:13" ht="12.75">
      <c r="B89" s="8"/>
      <c r="C89" s="8"/>
      <c r="D89" s="12"/>
      <c r="E89" s="12"/>
      <c r="G89" s="52"/>
      <c r="H89" s="52"/>
      <c r="I89" s="52"/>
      <c r="J89" s="52"/>
      <c r="K89" s="52"/>
      <c r="L89" s="52"/>
      <c r="M89" s="52"/>
    </row>
    <row r="90" spans="1:13" ht="12.75">
      <c r="A90" s="16"/>
      <c r="B90" s="8" t="s">
        <v>123</v>
      </c>
      <c r="C90" s="8" t="s">
        <v>202</v>
      </c>
      <c r="D90" s="12" t="s">
        <v>16</v>
      </c>
      <c r="E90" s="12" t="s">
        <v>15</v>
      </c>
      <c r="G90">
        <v>18</v>
      </c>
      <c r="I90">
        <v>13</v>
      </c>
      <c r="K90">
        <v>12</v>
      </c>
      <c r="M90" s="59">
        <f>AVERAGE(K90,I90,G90)</f>
        <v>14.333333333333334</v>
      </c>
    </row>
    <row r="91" spans="2:13" ht="12.75">
      <c r="B91" s="8" t="s">
        <v>134</v>
      </c>
      <c r="C91" s="8" t="s">
        <v>202</v>
      </c>
      <c r="D91" s="12" t="s">
        <v>16</v>
      </c>
      <c r="E91" s="12" t="s">
        <v>15</v>
      </c>
      <c r="G91">
        <v>20</v>
      </c>
      <c r="I91">
        <v>14</v>
      </c>
      <c r="K91">
        <v>13</v>
      </c>
      <c r="M91" s="59">
        <f>AVERAGE(K91,I91,G91)</f>
        <v>15.666666666666666</v>
      </c>
    </row>
    <row r="92" spans="2:12" ht="12.75">
      <c r="B92" s="8"/>
      <c r="C92" s="8"/>
      <c r="D92" s="12"/>
      <c r="E92" s="12"/>
      <c r="F92"/>
      <c r="G92"/>
      <c r="H92"/>
      <c r="I92"/>
      <c r="J92"/>
      <c r="K92"/>
      <c r="L92"/>
    </row>
    <row r="93" spans="2:13" ht="12.75">
      <c r="B93" s="8" t="s">
        <v>13</v>
      </c>
      <c r="C93" s="8" t="s">
        <v>202</v>
      </c>
      <c r="D93" s="8" t="s">
        <v>14</v>
      </c>
      <c r="E93" s="8" t="s">
        <v>15</v>
      </c>
      <c r="G93">
        <v>0.0081</v>
      </c>
      <c r="I93">
        <v>0.015</v>
      </c>
      <c r="K93">
        <v>0.011</v>
      </c>
      <c r="M93" s="57">
        <f>AVERAGE(K93,I93,G93)</f>
        <v>0.011366666666666666</v>
      </c>
    </row>
    <row r="94" spans="2:13" ht="12.75">
      <c r="B94" s="8"/>
      <c r="C94" s="8"/>
      <c r="F94"/>
      <c r="G94"/>
      <c r="H94"/>
      <c r="I94"/>
      <c r="J94"/>
      <c r="K94"/>
      <c r="L94"/>
      <c r="M94" s="57"/>
    </row>
    <row r="95" spans="2:13" ht="12.75">
      <c r="B95" s="8" t="s">
        <v>49</v>
      </c>
      <c r="C95" s="8"/>
      <c r="D95" s="8" t="s">
        <v>102</v>
      </c>
      <c r="E95" s="8" t="s">
        <v>101</v>
      </c>
      <c r="F95" t="s">
        <v>98</v>
      </c>
      <c r="G95" s="57">
        <f>0.5/74.7</f>
        <v>0.006693440428380187</v>
      </c>
      <c r="H95" t="s">
        <v>98</v>
      </c>
      <c r="I95" s="57">
        <f>0.5/81.4</f>
        <v>0.006142506142506142</v>
      </c>
      <c r="J95" t="s">
        <v>98</v>
      </c>
      <c r="K95" s="57">
        <f>0.5/79.4</f>
        <v>0.006297229219143576</v>
      </c>
      <c r="L95"/>
      <c r="M95" s="4"/>
    </row>
    <row r="96" spans="2:13" ht="12.75">
      <c r="B96" s="8" t="s">
        <v>50</v>
      </c>
      <c r="C96" s="8"/>
      <c r="D96" s="8" t="s">
        <v>102</v>
      </c>
      <c r="E96" s="8" t="s">
        <v>101</v>
      </c>
      <c r="F96"/>
      <c r="G96" s="57">
        <f>0.6/74.7</f>
        <v>0.008032128514056224</v>
      </c>
      <c r="H96"/>
      <c r="I96" s="57">
        <f>1.3/81.4</f>
        <v>0.01597051597051597</v>
      </c>
      <c r="J96"/>
      <c r="K96" s="57">
        <f>1.2/79.4</f>
        <v>0.015113350125944582</v>
      </c>
      <c r="L96"/>
      <c r="M96" s="4"/>
    </row>
    <row r="97" spans="2:13" ht="12.75">
      <c r="B97" s="8"/>
      <c r="C97" s="8"/>
      <c r="F97"/>
      <c r="G97"/>
      <c r="H97"/>
      <c r="I97"/>
      <c r="J97"/>
      <c r="K97"/>
      <c r="L97"/>
      <c r="M97" s="4"/>
    </row>
    <row r="98" spans="2:13" ht="12.75">
      <c r="B98" s="8" t="s">
        <v>49</v>
      </c>
      <c r="C98" s="8" t="s">
        <v>202</v>
      </c>
      <c r="D98" s="8" t="s">
        <v>16</v>
      </c>
      <c r="E98" s="8" t="s">
        <v>15</v>
      </c>
      <c r="F98" s="8" t="s">
        <v>98</v>
      </c>
      <c r="G98" s="63">
        <f>G95/0.0283/1.518/2*14/(21-G124)</f>
        <v>0.1330072710701815</v>
      </c>
      <c r="H98" s="63" t="s">
        <v>98</v>
      </c>
      <c r="I98" s="63">
        <f>I95/0.0283/1.518/2*14/(21-I124)</f>
        <v>0.13345171797105485</v>
      </c>
      <c r="J98" s="63" t="s">
        <v>98</v>
      </c>
      <c r="K98" s="63">
        <f>K95/0.0283/1.518/2*14/(21-K124)</f>
        <v>0.13681322220206377</v>
      </c>
      <c r="L98">
        <v>100</v>
      </c>
      <c r="M98" s="63">
        <f>AVERAGE(K98,I98,G98)</f>
        <v>0.13442407041443338</v>
      </c>
    </row>
    <row r="99" spans="2:13" ht="12.75">
      <c r="B99" s="8" t="s">
        <v>50</v>
      </c>
      <c r="C99" s="8" t="s">
        <v>202</v>
      </c>
      <c r="D99" s="8" t="s">
        <v>16</v>
      </c>
      <c r="E99" s="8" t="s">
        <v>15</v>
      </c>
      <c r="G99" s="63">
        <f>G96/0.0283/2.953*14/(21-G124)</f>
        <v>0.16409484929322227</v>
      </c>
      <c r="H99" s="63"/>
      <c r="I99" s="63">
        <f>I96/0.0283/2.953*14/(21-I124)</f>
        <v>0.3567268814684451</v>
      </c>
      <c r="J99" s="63"/>
      <c r="K99" s="63">
        <f>K96/0.0283/2.953*14/(21-K124)</f>
        <v>0.3375807186769785</v>
      </c>
      <c r="L99"/>
      <c r="M99" s="63">
        <f>AVERAGE(K99,I99,G99)</f>
        <v>0.28613414981288193</v>
      </c>
    </row>
    <row r="100" spans="2:13" ht="12.75">
      <c r="B100" s="8" t="s">
        <v>160</v>
      </c>
      <c r="C100" s="8" t="s">
        <v>202</v>
      </c>
      <c r="D100" s="8" t="s">
        <v>16</v>
      </c>
      <c r="E100" s="8" t="s">
        <v>15</v>
      </c>
      <c r="F100">
        <f>G98/G100*100</f>
        <v>28.839580444166646</v>
      </c>
      <c r="G100" s="63">
        <f>G98+2*G99</f>
        <v>0.46119696965662604</v>
      </c>
      <c r="H100">
        <f>I98/I100*100</f>
        <v>15.757569289548673</v>
      </c>
      <c r="I100" s="63">
        <f>I98+2*I99</f>
        <v>0.846905480907945</v>
      </c>
      <c r="J100" s="64">
        <f>K98/K100*100</f>
        <v>16.849444818496163</v>
      </c>
      <c r="K100" s="63">
        <f>K98+2*K99</f>
        <v>0.8119746595560207</v>
      </c>
      <c r="L100" s="64">
        <f>M98/M100*100</f>
        <v>19.021582248975918</v>
      </c>
      <c r="M100" s="63">
        <f>AVERAGE(K100,I100,G100)</f>
        <v>0.7066923700401974</v>
      </c>
    </row>
    <row r="101" spans="2:13" ht="12.75">
      <c r="B101" s="8"/>
      <c r="C101" s="8"/>
      <c r="F101"/>
      <c r="G101"/>
      <c r="H101"/>
      <c r="I101"/>
      <c r="J101"/>
      <c r="K101"/>
      <c r="L101"/>
      <c r="M101" s="4"/>
    </row>
    <row r="102" spans="2:13" ht="12.75">
      <c r="B102" s="8" t="s">
        <v>136</v>
      </c>
      <c r="C102" s="8" t="s">
        <v>135</v>
      </c>
      <c r="G102" s="22"/>
      <c r="H102" s="22"/>
      <c r="I102" s="23"/>
      <c r="J102" s="22"/>
      <c r="K102" s="22"/>
      <c r="M102" s="58"/>
    </row>
    <row r="103" spans="2:13" ht="12.75">
      <c r="B103" s="8" t="s">
        <v>137</v>
      </c>
      <c r="C103" s="8"/>
      <c r="D103" s="8" t="s">
        <v>52</v>
      </c>
      <c r="G103" s="22">
        <v>54.67</v>
      </c>
      <c r="H103" s="22"/>
      <c r="I103" s="23">
        <v>55.44</v>
      </c>
      <c r="J103" s="22"/>
      <c r="K103" s="16">
        <v>56.67</v>
      </c>
      <c r="M103" s="65">
        <f>feed!M93</f>
        <v>0</v>
      </c>
    </row>
    <row r="104" spans="2:13" ht="12.75">
      <c r="B104" s="8" t="s">
        <v>138</v>
      </c>
      <c r="C104" s="8" t="s">
        <v>202</v>
      </c>
      <c r="D104" s="8" t="s">
        <v>52</v>
      </c>
      <c r="F104" s="8" t="s">
        <v>98</v>
      </c>
      <c r="G104" s="60">
        <v>1.41E-06</v>
      </c>
      <c r="H104" s="8" t="s">
        <v>98</v>
      </c>
      <c r="I104" s="60">
        <v>1.46E-06</v>
      </c>
      <c r="J104" s="8" t="s">
        <v>98</v>
      </c>
      <c r="K104" s="60">
        <v>1.45E-06</v>
      </c>
      <c r="L104" s="8"/>
      <c r="M104" s="24"/>
    </row>
    <row r="105" spans="2:13" ht="12.75">
      <c r="B105" s="8" t="s">
        <v>51</v>
      </c>
      <c r="C105" s="8" t="s">
        <v>202</v>
      </c>
      <c r="D105" s="8" t="s">
        <v>18</v>
      </c>
      <c r="F105" s="8" t="s">
        <v>139</v>
      </c>
      <c r="G105" s="71">
        <f>(G103-G104)/G103*100</f>
        <v>99.99999742088896</v>
      </c>
      <c r="H105" s="71" t="s">
        <v>139</v>
      </c>
      <c r="I105" s="71">
        <f>(I103-I104)/I103*100</f>
        <v>99.99999736652236</v>
      </c>
      <c r="J105" s="71" t="s">
        <v>139</v>
      </c>
      <c r="K105" s="71">
        <f>(K103-K104)/K103*100</f>
        <v>99.99999744132698</v>
      </c>
      <c r="L105" s="8" t="s">
        <v>139</v>
      </c>
      <c r="M105" s="76">
        <f>AVERAGE(K105,I105,G105)</f>
        <v>99.99999740957945</v>
      </c>
    </row>
    <row r="106" spans="2:13" ht="12.75">
      <c r="B106" s="8"/>
      <c r="C106" s="8"/>
      <c r="F106"/>
      <c r="G106"/>
      <c r="H106"/>
      <c r="I106"/>
      <c r="J106"/>
      <c r="K106"/>
      <c r="L106"/>
      <c r="M106" s="4"/>
    </row>
    <row r="107" spans="2:13" ht="12.75">
      <c r="B107" s="8"/>
      <c r="C107" s="8"/>
      <c r="G107"/>
      <c r="H107" s="8"/>
      <c r="I107"/>
      <c r="J107" s="8"/>
      <c r="K107"/>
      <c r="L107"/>
      <c r="M107" s="4"/>
    </row>
    <row r="108" spans="2:13" ht="12.75">
      <c r="B108" s="8" t="s">
        <v>116</v>
      </c>
      <c r="C108" s="8"/>
      <c r="D108" s="8" t="s">
        <v>175</v>
      </c>
      <c r="E108" s="8" t="s">
        <v>101</v>
      </c>
      <c r="F108" s="8" t="s">
        <v>98</v>
      </c>
      <c r="G108" s="73">
        <v>2.17E-06</v>
      </c>
      <c r="H108" s="8" t="s">
        <v>98</v>
      </c>
      <c r="I108" s="73">
        <v>2.23E-06</v>
      </c>
      <c r="J108" s="8" t="s">
        <v>98</v>
      </c>
      <c r="K108" s="73">
        <v>2.2E-06</v>
      </c>
      <c r="M108" s="4"/>
    </row>
    <row r="109" spans="2:13" ht="12.75">
      <c r="B109" s="8" t="s">
        <v>107</v>
      </c>
      <c r="C109" s="8"/>
      <c r="D109" s="8" t="s">
        <v>175</v>
      </c>
      <c r="E109" s="8" t="s">
        <v>101</v>
      </c>
      <c r="F109" s="8" t="s">
        <v>98</v>
      </c>
      <c r="G109" s="73">
        <v>2.17E-06</v>
      </c>
      <c r="H109" s="8" t="s">
        <v>98</v>
      </c>
      <c r="I109" s="73">
        <v>2.23E-06</v>
      </c>
      <c r="J109" s="8" t="s">
        <v>98</v>
      </c>
      <c r="K109" s="73">
        <v>2.2E-06</v>
      </c>
      <c r="M109" s="4"/>
    </row>
    <row r="110" spans="2:13" ht="12.75">
      <c r="B110" s="8" t="s">
        <v>108</v>
      </c>
      <c r="C110" s="8"/>
      <c r="D110" s="8" t="s">
        <v>175</v>
      </c>
      <c r="E110" s="8" t="s">
        <v>101</v>
      </c>
      <c r="F110" s="8" t="s">
        <v>98</v>
      </c>
      <c r="G110" s="73">
        <v>1.09E-06</v>
      </c>
      <c r="H110" s="8" t="s">
        <v>98</v>
      </c>
      <c r="I110" s="73">
        <v>1.12E-05</v>
      </c>
      <c r="J110" s="8" t="s">
        <v>98</v>
      </c>
      <c r="K110" s="73">
        <v>1.15E-05</v>
      </c>
      <c r="M110" s="4"/>
    </row>
    <row r="111" spans="2:13" ht="12.75">
      <c r="B111" s="8" t="s">
        <v>77</v>
      </c>
      <c r="C111" s="8"/>
      <c r="D111" s="8" t="s">
        <v>175</v>
      </c>
      <c r="E111" s="8" t="s">
        <v>101</v>
      </c>
      <c r="F111" s="8" t="s">
        <v>98</v>
      </c>
      <c r="G111" s="73">
        <v>1.09E-06</v>
      </c>
      <c r="H111" s="8" t="s">
        <v>98</v>
      </c>
      <c r="I111" s="73">
        <v>1.12E-05</v>
      </c>
      <c r="J111" s="8" t="s">
        <v>98</v>
      </c>
      <c r="K111" s="73">
        <v>1.1E-06</v>
      </c>
      <c r="M111" s="4"/>
    </row>
    <row r="112" spans="2:13" ht="12.75">
      <c r="B112" s="8" t="s">
        <v>110</v>
      </c>
      <c r="C112" s="8"/>
      <c r="D112" s="8" t="s">
        <v>175</v>
      </c>
      <c r="E112" s="8" t="s">
        <v>101</v>
      </c>
      <c r="F112" s="8" t="s">
        <v>98</v>
      </c>
      <c r="G112" s="73">
        <v>1.09E-06</v>
      </c>
      <c r="H112" s="8" t="s">
        <v>98</v>
      </c>
      <c r="I112" s="73">
        <v>1.12E-05</v>
      </c>
      <c r="J112" s="8" t="s">
        <v>98</v>
      </c>
      <c r="K112" s="73">
        <v>1.21E-06</v>
      </c>
      <c r="M112" s="4"/>
    </row>
    <row r="113" spans="2:13" ht="12.75">
      <c r="B113" s="8" t="s">
        <v>83</v>
      </c>
      <c r="C113" s="8"/>
      <c r="D113" s="8" t="s">
        <v>175</v>
      </c>
      <c r="E113" s="8" t="s">
        <v>101</v>
      </c>
      <c r="F113" s="8" t="s">
        <v>98</v>
      </c>
      <c r="G113" s="73">
        <v>3.93E-06</v>
      </c>
      <c r="H113" s="8"/>
      <c r="I113" s="73">
        <v>6.08E-06</v>
      </c>
      <c r="J113" s="8" t="s">
        <v>98</v>
      </c>
      <c r="K113" s="73">
        <v>5.77E-06</v>
      </c>
      <c r="M113" s="4"/>
    </row>
    <row r="114" spans="2:13" ht="12.75">
      <c r="B114" s="80" t="s">
        <v>203</v>
      </c>
      <c r="C114" s="8"/>
      <c r="D114" s="8" t="s">
        <v>60</v>
      </c>
      <c r="E114" s="8" t="s">
        <v>101</v>
      </c>
      <c r="G114" s="73">
        <v>0.00123</v>
      </c>
      <c r="H114" s="73"/>
      <c r="I114" s="73">
        <v>0.00122</v>
      </c>
      <c r="J114" s="73"/>
      <c r="K114" s="73">
        <v>0.000288</v>
      </c>
      <c r="M114" s="4"/>
    </row>
    <row r="115" spans="2:11" ht="12.75">
      <c r="B115" s="8" t="s">
        <v>112</v>
      </c>
      <c r="C115" s="8"/>
      <c r="D115" s="8" t="s">
        <v>175</v>
      </c>
      <c r="E115" s="8" t="s">
        <v>101</v>
      </c>
      <c r="F115" s="8" t="s">
        <v>98</v>
      </c>
      <c r="G115" s="73">
        <v>5.43E-06</v>
      </c>
      <c r="H115" s="8" t="s">
        <v>98</v>
      </c>
      <c r="I115" s="73">
        <v>5.58E-06</v>
      </c>
      <c r="J115" s="8" t="s">
        <v>98</v>
      </c>
      <c r="K115" s="73">
        <v>5.51E-06</v>
      </c>
    </row>
    <row r="116" spans="2:13" ht="12.75">
      <c r="B116" s="8" t="s">
        <v>76</v>
      </c>
      <c r="C116" s="8"/>
      <c r="D116" s="8" t="s">
        <v>175</v>
      </c>
      <c r="E116" s="8" t="s">
        <v>101</v>
      </c>
      <c r="F116" s="8" t="s">
        <v>98</v>
      </c>
      <c r="G116" s="73">
        <v>6.52E-07</v>
      </c>
      <c r="H116" s="8" t="s">
        <v>98</v>
      </c>
      <c r="I116" s="73">
        <v>7.46E-07</v>
      </c>
      <c r="J116" s="8"/>
      <c r="K116" s="73">
        <v>1.43E-06</v>
      </c>
      <c r="M116" s="4"/>
    </row>
    <row r="117" spans="2:13" ht="12.75">
      <c r="B117" s="8" t="s">
        <v>78</v>
      </c>
      <c r="C117" s="8"/>
      <c r="D117" s="8" t="s">
        <v>175</v>
      </c>
      <c r="E117" s="8" t="s">
        <v>101</v>
      </c>
      <c r="F117" s="8" t="s">
        <v>98</v>
      </c>
      <c r="G117" s="73">
        <v>2.85E-07</v>
      </c>
      <c r="H117" s="8" t="s">
        <v>98</v>
      </c>
      <c r="I117" s="73">
        <v>3.53E-07</v>
      </c>
      <c r="J117" s="8" t="s">
        <v>98</v>
      </c>
      <c r="K117" s="73">
        <v>2.73E-07</v>
      </c>
      <c r="M117" s="4"/>
    </row>
    <row r="118" spans="2:13" ht="12.75">
      <c r="B118" s="8" t="s">
        <v>117</v>
      </c>
      <c r="C118" s="8"/>
      <c r="D118" s="8" t="s">
        <v>175</v>
      </c>
      <c r="E118" s="8" t="s">
        <v>101</v>
      </c>
      <c r="F118" s="8"/>
      <c r="G118" s="73">
        <v>1.57E-06</v>
      </c>
      <c r="H118" s="8" t="s">
        <v>98</v>
      </c>
      <c r="I118" s="73">
        <v>1.59E-06</v>
      </c>
      <c r="J118" s="8" t="s">
        <v>98</v>
      </c>
      <c r="K118" s="73">
        <v>1.63E-06</v>
      </c>
      <c r="M118" s="4"/>
    </row>
    <row r="119" spans="2:13" ht="12.75">
      <c r="B119" s="8" t="s">
        <v>105</v>
      </c>
      <c r="C119" s="8"/>
      <c r="D119" s="8" t="s">
        <v>175</v>
      </c>
      <c r="E119" s="8" t="s">
        <v>101</v>
      </c>
      <c r="F119" s="8" t="s">
        <v>98</v>
      </c>
      <c r="G119" s="73">
        <v>1.44E-06</v>
      </c>
      <c r="H119" s="8" t="s">
        <v>98</v>
      </c>
      <c r="I119" s="73">
        <v>1.14E-06</v>
      </c>
      <c r="J119" s="8" t="s">
        <v>98</v>
      </c>
      <c r="K119" s="73">
        <v>1.16E-06</v>
      </c>
      <c r="M119" s="4"/>
    </row>
    <row r="120" spans="2:13" ht="12.75">
      <c r="B120" s="8" t="s">
        <v>119</v>
      </c>
      <c r="C120" s="8"/>
      <c r="D120" s="8" t="s">
        <v>175</v>
      </c>
      <c r="E120" s="8" t="s">
        <v>101</v>
      </c>
      <c r="F120" s="8" t="s">
        <v>98</v>
      </c>
      <c r="G120" s="73">
        <v>2.17E-06</v>
      </c>
      <c r="H120" s="8" t="s">
        <v>98</v>
      </c>
      <c r="I120" s="73">
        <v>2.23E-06</v>
      </c>
      <c r="J120" s="8" t="s">
        <v>98</v>
      </c>
      <c r="K120" s="73">
        <v>2.2E-06</v>
      </c>
      <c r="M120" s="4"/>
    </row>
    <row r="121" spans="2:13" ht="12.75">
      <c r="B121" s="8"/>
      <c r="C121" s="8"/>
      <c r="H121" s="8"/>
      <c r="I121" s="67"/>
      <c r="J121" s="8"/>
      <c r="M121" s="4"/>
    </row>
    <row r="122" spans="2:5" ht="12.75">
      <c r="B122" s="8" t="s">
        <v>84</v>
      </c>
      <c r="C122" s="8" t="s">
        <v>103</v>
      </c>
      <c r="D122" s="8" t="s">
        <v>202</v>
      </c>
      <c r="E122" s="8"/>
    </row>
    <row r="123" spans="2:13" ht="12.75">
      <c r="B123" s="8" t="s">
        <v>75</v>
      </c>
      <c r="C123" s="8"/>
      <c r="D123" s="8" t="s">
        <v>17</v>
      </c>
      <c r="E123" s="8"/>
      <c r="G123">
        <v>2405</v>
      </c>
      <c r="I123">
        <v>2592</v>
      </c>
      <c r="K123">
        <v>2554</v>
      </c>
      <c r="M123" s="64">
        <f>AVERAGE(K123,I123,G123)</f>
        <v>2517</v>
      </c>
    </row>
    <row r="124" spans="2:13" ht="12.75">
      <c r="B124" s="8" t="s">
        <v>81</v>
      </c>
      <c r="C124" s="8"/>
      <c r="D124" s="8" t="s">
        <v>18</v>
      </c>
      <c r="E124" s="8"/>
      <c r="G124">
        <v>12.8</v>
      </c>
      <c r="I124">
        <v>13.5</v>
      </c>
      <c r="K124">
        <v>13.5</v>
      </c>
      <c r="M124" s="64">
        <f>AVERAGE(K124,I124,G124)</f>
        <v>13.266666666666666</v>
      </c>
    </row>
    <row r="125" spans="2:13" ht="12.75">
      <c r="B125" s="8" t="s">
        <v>82</v>
      </c>
      <c r="C125" s="8"/>
      <c r="D125" s="8" t="s">
        <v>18</v>
      </c>
      <c r="E125" s="8"/>
      <c r="G125">
        <v>38</v>
      </c>
      <c r="I125">
        <v>38.7</v>
      </c>
      <c r="K125">
        <v>37.8</v>
      </c>
      <c r="M125" s="64">
        <f>AVERAGE(K125,I125,G125)</f>
        <v>38.166666666666664</v>
      </c>
    </row>
    <row r="126" spans="2:13" ht="12.75">
      <c r="B126" s="8" t="s">
        <v>74</v>
      </c>
      <c r="C126" s="8"/>
      <c r="D126" s="8" t="s">
        <v>19</v>
      </c>
      <c r="E126" s="8"/>
      <c r="G126">
        <v>225</v>
      </c>
      <c r="I126">
        <v>222</v>
      </c>
      <c r="K126">
        <v>229</v>
      </c>
      <c r="M126" s="64">
        <f>AVERAGE(K126,I126,G126)</f>
        <v>225.33333333333334</v>
      </c>
    </row>
    <row r="127" spans="2:13" ht="12.75">
      <c r="B127" s="8"/>
      <c r="C127" s="8"/>
      <c r="M127" s="64"/>
    </row>
    <row r="128" spans="2:13" ht="12.75">
      <c r="B128" s="8" t="s">
        <v>84</v>
      </c>
      <c r="C128" s="8" t="s">
        <v>97</v>
      </c>
      <c r="D128" s="8" t="s">
        <v>204</v>
      </c>
      <c r="E128" s="8"/>
      <c r="M128" s="64"/>
    </row>
    <row r="129" spans="2:13" ht="12.75">
      <c r="B129" s="8" t="s">
        <v>75</v>
      </c>
      <c r="C129" s="8"/>
      <c r="D129" s="8" t="s">
        <v>17</v>
      </c>
      <c r="E129" s="8"/>
      <c r="G129">
        <v>2471</v>
      </c>
      <c r="I129">
        <v>2523</v>
      </c>
      <c r="K129">
        <v>2589</v>
      </c>
      <c r="M129" s="64">
        <f>AVERAGE(K129,I129,G129)</f>
        <v>2527.6666666666665</v>
      </c>
    </row>
    <row r="130" spans="2:13" ht="12.75">
      <c r="B130" s="8" t="s">
        <v>81</v>
      </c>
      <c r="C130" s="8"/>
      <c r="D130" s="8" t="s">
        <v>18</v>
      </c>
      <c r="E130" s="8"/>
      <c r="G130">
        <v>12.8</v>
      </c>
      <c r="I130">
        <v>13.5</v>
      </c>
      <c r="K130">
        <v>13.5</v>
      </c>
      <c r="M130" s="64">
        <f>AVERAGE(K130,I130,G130)</f>
        <v>13.266666666666666</v>
      </c>
    </row>
    <row r="131" spans="2:13" ht="12.75">
      <c r="B131" s="8" t="s">
        <v>82</v>
      </c>
      <c r="C131" s="8"/>
      <c r="D131" s="8" t="s">
        <v>18</v>
      </c>
      <c r="E131" s="8"/>
      <c r="G131">
        <v>37.2</v>
      </c>
      <c r="I131">
        <v>38.4</v>
      </c>
      <c r="K131">
        <v>37.1</v>
      </c>
      <c r="M131" s="64">
        <f>AVERAGE(K131,I131,G131)</f>
        <v>37.56666666666667</v>
      </c>
    </row>
    <row r="132" spans="2:13" ht="12.75">
      <c r="B132" s="8" t="s">
        <v>74</v>
      </c>
      <c r="C132" s="8"/>
      <c r="D132" s="8" t="s">
        <v>19</v>
      </c>
      <c r="E132" s="8"/>
      <c r="G132">
        <v>228</v>
      </c>
      <c r="I132">
        <v>229</v>
      </c>
      <c r="K132">
        <v>234</v>
      </c>
      <c r="M132" s="64">
        <f>AVERAGE(K132,I132,G132)</f>
        <v>230.33333333333334</v>
      </c>
    </row>
    <row r="133" spans="2:13" ht="12.75">
      <c r="B133" s="8"/>
      <c r="C133" s="8"/>
      <c r="M133" s="4"/>
    </row>
    <row r="134" spans="2:13" ht="12.75">
      <c r="B134" s="8"/>
      <c r="C134" s="8"/>
      <c r="G134" s="4"/>
      <c r="H134" s="8"/>
      <c r="I134" s="4"/>
      <c r="J134" s="8"/>
      <c r="K134" s="4"/>
      <c r="M134" s="4"/>
    </row>
    <row r="135" spans="2:13" ht="12.75">
      <c r="B135" s="8" t="s">
        <v>116</v>
      </c>
      <c r="C135" s="8" t="s">
        <v>202</v>
      </c>
      <c r="D135" s="8" t="s">
        <v>54</v>
      </c>
      <c r="E135" s="8" t="s">
        <v>15</v>
      </c>
      <c r="F135" s="8" t="s">
        <v>98</v>
      </c>
      <c r="G135" s="4">
        <f aca="true" t="shared" si="4" ref="G135:G140">G108*1000000*(21-7)/(21-G$130)</f>
        <v>3.704878048780488</v>
      </c>
      <c r="H135" s="8" t="s">
        <v>98</v>
      </c>
      <c r="I135" s="4">
        <f aca="true" t="shared" si="5" ref="I135:I140">I108*1000000*(21-7)/(21-I$130)</f>
        <v>4.1626666666666665</v>
      </c>
      <c r="J135" s="8" t="s">
        <v>98</v>
      </c>
      <c r="K135" s="4">
        <f aca="true" t="shared" si="6" ref="K135:K140">K108*1000000*(21-7)/(21-K$130)</f>
        <v>4.106666666666667</v>
      </c>
      <c r="L135">
        <v>100</v>
      </c>
      <c r="M135" s="4">
        <f aca="true" t="shared" si="7" ref="M135:M143">AVERAGE(K135,I135,G135)</f>
        <v>3.9914037940379408</v>
      </c>
    </row>
    <row r="136" spans="2:13" ht="12.75">
      <c r="B136" s="8" t="s">
        <v>107</v>
      </c>
      <c r="C136" s="8" t="s">
        <v>202</v>
      </c>
      <c r="D136" s="8" t="s">
        <v>54</v>
      </c>
      <c r="E136" s="8" t="s">
        <v>15</v>
      </c>
      <c r="F136" s="8" t="s">
        <v>98</v>
      </c>
      <c r="G136" s="4">
        <f t="shared" si="4"/>
        <v>3.704878048780488</v>
      </c>
      <c r="H136" s="8" t="s">
        <v>98</v>
      </c>
      <c r="I136" s="4">
        <f t="shared" si="5"/>
        <v>4.1626666666666665</v>
      </c>
      <c r="J136" s="8" t="s">
        <v>98</v>
      </c>
      <c r="K136" s="4">
        <f t="shared" si="6"/>
        <v>4.106666666666667</v>
      </c>
      <c r="L136">
        <v>100</v>
      </c>
      <c r="M136" s="4">
        <f t="shared" si="7"/>
        <v>3.9914037940379408</v>
      </c>
    </row>
    <row r="137" spans="2:13" ht="12.75">
      <c r="B137" s="8" t="s">
        <v>108</v>
      </c>
      <c r="C137" s="8" t="s">
        <v>202</v>
      </c>
      <c r="D137" s="8" t="s">
        <v>54</v>
      </c>
      <c r="E137" s="8" t="s">
        <v>15</v>
      </c>
      <c r="F137" s="8" t="s">
        <v>98</v>
      </c>
      <c r="G137" s="4">
        <f t="shared" si="4"/>
        <v>1.8609756097560974</v>
      </c>
      <c r="H137" s="8" t="s">
        <v>98</v>
      </c>
      <c r="I137" s="4">
        <f t="shared" si="5"/>
        <v>20.906666666666663</v>
      </c>
      <c r="J137" s="8" t="s">
        <v>98</v>
      </c>
      <c r="K137" s="4">
        <f t="shared" si="6"/>
        <v>21.466666666666665</v>
      </c>
      <c r="L137">
        <v>100</v>
      </c>
      <c r="M137" s="4">
        <f t="shared" si="7"/>
        <v>14.744769647696474</v>
      </c>
    </row>
    <row r="138" spans="2:13" ht="12.75">
      <c r="B138" s="8" t="s">
        <v>77</v>
      </c>
      <c r="C138" s="8" t="s">
        <v>202</v>
      </c>
      <c r="D138" s="8" t="s">
        <v>54</v>
      </c>
      <c r="E138" s="8" t="s">
        <v>15</v>
      </c>
      <c r="F138" s="8" t="s">
        <v>98</v>
      </c>
      <c r="G138" s="4">
        <f t="shared" si="4"/>
        <v>1.8609756097560974</v>
      </c>
      <c r="H138" s="8" t="s">
        <v>98</v>
      </c>
      <c r="I138" s="4">
        <f t="shared" si="5"/>
        <v>20.906666666666663</v>
      </c>
      <c r="J138" s="8" t="s">
        <v>98</v>
      </c>
      <c r="K138" s="4">
        <f t="shared" si="6"/>
        <v>2.0533333333333337</v>
      </c>
      <c r="L138">
        <v>100</v>
      </c>
      <c r="M138" s="4">
        <f t="shared" si="7"/>
        <v>8.273658536585364</v>
      </c>
    </row>
    <row r="139" spans="2:13" ht="12.75">
      <c r="B139" s="8" t="s">
        <v>110</v>
      </c>
      <c r="C139" s="8" t="s">
        <v>202</v>
      </c>
      <c r="D139" s="8" t="s">
        <v>54</v>
      </c>
      <c r="E139" s="8" t="s">
        <v>15</v>
      </c>
      <c r="F139" s="8" t="s">
        <v>98</v>
      </c>
      <c r="G139" s="4">
        <f t="shared" si="4"/>
        <v>1.8609756097560974</v>
      </c>
      <c r="H139" s="8" t="s">
        <v>98</v>
      </c>
      <c r="I139" s="4">
        <f t="shared" si="5"/>
        <v>20.906666666666663</v>
      </c>
      <c r="J139" s="8" t="s">
        <v>98</v>
      </c>
      <c r="K139" s="4">
        <f t="shared" si="6"/>
        <v>2.258666666666666</v>
      </c>
      <c r="L139">
        <v>100</v>
      </c>
      <c r="M139" s="4">
        <f t="shared" si="7"/>
        <v>8.342102981029809</v>
      </c>
    </row>
    <row r="140" spans="2:13" ht="12.75">
      <c r="B140" s="8" t="s">
        <v>83</v>
      </c>
      <c r="C140" s="8" t="s">
        <v>202</v>
      </c>
      <c r="D140" s="8" t="s">
        <v>54</v>
      </c>
      <c r="E140" s="8" t="s">
        <v>15</v>
      </c>
      <c r="F140" s="8" t="s">
        <v>98</v>
      </c>
      <c r="G140" s="4">
        <f t="shared" si="4"/>
        <v>6.709756097560976</v>
      </c>
      <c r="H140" s="8"/>
      <c r="I140" s="4">
        <f t="shared" si="5"/>
        <v>11.349333333333334</v>
      </c>
      <c r="J140" s="8" t="s">
        <v>98</v>
      </c>
      <c r="K140" s="4">
        <f t="shared" si="6"/>
        <v>10.770666666666667</v>
      </c>
      <c r="L140">
        <f>(G140+K140)/M140/3*100</f>
        <v>60.633266216589675</v>
      </c>
      <c r="M140" s="4">
        <f t="shared" si="7"/>
        <v>9.609918699186993</v>
      </c>
    </row>
    <row r="141" spans="2:13" ht="12.75">
      <c r="B141" s="80" t="s">
        <v>203</v>
      </c>
      <c r="C141" s="8" t="s">
        <v>202</v>
      </c>
      <c r="D141" s="8" t="s">
        <v>54</v>
      </c>
      <c r="E141" s="8" t="s">
        <v>15</v>
      </c>
      <c r="G141" s="4">
        <f>G114*1000*(21-7)/(21-G$130)</f>
        <v>2.1</v>
      </c>
      <c r="I141" s="4">
        <f>I114*1000*(21-7)/(21-I$130)</f>
        <v>2.277333333333333</v>
      </c>
      <c r="K141" s="4">
        <f>K114*1000*(21-7)/(21-K$130)</f>
        <v>0.5376</v>
      </c>
      <c r="M141" s="4">
        <f t="shared" si="7"/>
        <v>1.638311111111111</v>
      </c>
    </row>
    <row r="142" spans="2:13" ht="12.75">
      <c r="B142" s="8" t="s">
        <v>112</v>
      </c>
      <c r="C142" s="8" t="s">
        <v>202</v>
      </c>
      <c r="D142" s="8" t="s">
        <v>54</v>
      </c>
      <c r="E142" s="8" t="s">
        <v>15</v>
      </c>
      <c r="F142" s="8" t="s">
        <v>98</v>
      </c>
      <c r="G142" s="4">
        <f aca="true" t="shared" si="8" ref="G142:G147">G115*1000000*(21-7)/(21-G$130)</f>
        <v>9.270731707317074</v>
      </c>
      <c r="H142" s="8" t="s">
        <v>98</v>
      </c>
      <c r="I142" s="4">
        <f aca="true" t="shared" si="9" ref="I142:I147">I115*1000000*(21-7)/(21-I$130)</f>
        <v>10.416</v>
      </c>
      <c r="J142" s="8" t="s">
        <v>98</v>
      </c>
      <c r="K142" s="4">
        <f aca="true" t="shared" si="10" ref="K142:K147">K115*1000000*(21-7)/(21-K$130)</f>
        <v>10.285333333333334</v>
      </c>
      <c r="L142">
        <v>100</v>
      </c>
      <c r="M142" s="4">
        <f t="shared" si="7"/>
        <v>9.990688346883468</v>
      </c>
    </row>
    <row r="143" spans="2:13" ht="12.75">
      <c r="B143" s="8" t="s">
        <v>76</v>
      </c>
      <c r="C143" s="8" t="s">
        <v>202</v>
      </c>
      <c r="D143" s="8" t="s">
        <v>54</v>
      </c>
      <c r="E143" s="8" t="s">
        <v>15</v>
      </c>
      <c r="F143" s="8" t="s">
        <v>98</v>
      </c>
      <c r="G143" s="4">
        <f t="shared" si="8"/>
        <v>1.113170731707317</v>
      </c>
      <c r="H143" s="8" t="s">
        <v>98</v>
      </c>
      <c r="I143" s="4">
        <f t="shared" si="9"/>
        <v>1.3925333333333332</v>
      </c>
      <c r="J143" s="8"/>
      <c r="K143" s="4">
        <f t="shared" si="10"/>
        <v>2.669333333333334</v>
      </c>
      <c r="L143">
        <f>(G143+I143)/M143/3*100</f>
        <v>48.41905231115724</v>
      </c>
      <c r="M143" s="4">
        <f t="shared" si="7"/>
        <v>1.7250124661246613</v>
      </c>
    </row>
    <row r="144" spans="2:13" ht="12.75">
      <c r="B144" s="8" t="s">
        <v>78</v>
      </c>
      <c r="C144" s="8" t="s">
        <v>202</v>
      </c>
      <c r="D144" s="8" t="s">
        <v>54</v>
      </c>
      <c r="E144" s="8" t="s">
        <v>15</v>
      </c>
      <c r="F144" s="8" t="s">
        <v>98</v>
      </c>
      <c r="G144" s="4">
        <f t="shared" si="8"/>
        <v>0.4865853658536586</v>
      </c>
      <c r="H144" s="8" t="s">
        <v>98</v>
      </c>
      <c r="I144" s="4">
        <f t="shared" si="9"/>
        <v>0.6589333333333334</v>
      </c>
      <c r="J144" s="8" t="s">
        <v>98</v>
      </c>
      <c r="K144" s="4">
        <f t="shared" si="10"/>
        <v>0.5096</v>
      </c>
      <c r="L144">
        <v>100</v>
      </c>
      <c r="M144" s="4">
        <f>AVERAGE(K144,I144,G144)</f>
        <v>0.5517062330623307</v>
      </c>
    </row>
    <row r="145" spans="2:13" ht="12.75">
      <c r="B145" s="8" t="s">
        <v>117</v>
      </c>
      <c r="C145" s="8" t="s">
        <v>202</v>
      </c>
      <c r="D145" s="8" t="s">
        <v>54</v>
      </c>
      <c r="E145" s="8" t="s">
        <v>15</v>
      </c>
      <c r="F145" s="8"/>
      <c r="G145" s="4">
        <f t="shared" si="8"/>
        <v>2.680487804878049</v>
      </c>
      <c r="H145" s="8" t="s">
        <v>98</v>
      </c>
      <c r="I145" s="4">
        <f t="shared" si="9"/>
        <v>2.9680000000000004</v>
      </c>
      <c r="J145" s="8" t="s">
        <v>98</v>
      </c>
      <c r="K145" s="4">
        <f t="shared" si="10"/>
        <v>3.042666666666667</v>
      </c>
      <c r="L145">
        <v>100</v>
      </c>
      <c r="M145" s="4">
        <f>AVERAGE(K145,I145,G145)</f>
        <v>2.897051490514906</v>
      </c>
    </row>
    <row r="146" spans="2:13" ht="12.75">
      <c r="B146" s="8" t="s">
        <v>105</v>
      </c>
      <c r="C146" s="8" t="s">
        <v>202</v>
      </c>
      <c r="D146" s="8" t="s">
        <v>54</v>
      </c>
      <c r="E146" s="8" t="s">
        <v>15</v>
      </c>
      <c r="F146" s="8" t="s">
        <v>98</v>
      </c>
      <c r="G146" s="4">
        <f t="shared" si="8"/>
        <v>2.458536585365854</v>
      </c>
      <c r="H146" s="8" t="s">
        <v>98</v>
      </c>
      <c r="I146" s="4">
        <f t="shared" si="9"/>
        <v>2.128</v>
      </c>
      <c r="J146" s="8" t="s">
        <v>98</v>
      </c>
      <c r="K146" s="4">
        <f t="shared" si="10"/>
        <v>2.1653333333333333</v>
      </c>
      <c r="L146">
        <v>100</v>
      </c>
      <c r="M146" s="4">
        <f>AVERAGE(K146,I146,G146)</f>
        <v>2.2506233062330625</v>
      </c>
    </row>
    <row r="147" spans="2:13" ht="12.75">
      <c r="B147" s="8" t="s">
        <v>119</v>
      </c>
      <c r="C147" s="8" t="s">
        <v>202</v>
      </c>
      <c r="D147" s="8" t="s">
        <v>54</v>
      </c>
      <c r="E147" s="8" t="s">
        <v>15</v>
      </c>
      <c r="F147" s="8" t="s">
        <v>98</v>
      </c>
      <c r="G147" s="4">
        <f t="shared" si="8"/>
        <v>3.704878048780488</v>
      </c>
      <c r="H147" s="8" t="s">
        <v>98</v>
      </c>
      <c r="I147" s="4">
        <f t="shared" si="9"/>
        <v>4.1626666666666665</v>
      </c>
      <c r="J147" s="8" t="s">
        <v>98</v>
      </c>
      <c r="K147" s="4">
        <f t="shared" si="10"/>
        <v>4.106666666666667</v>
      </c>
      <c r="L147">
        <v>100</v>
      </c>
      <c r="M147" s="4">
        <f>AVERAGE(K147,I147,G147)</f>
        <v>3.9914037940379408</v>
      </c>
    </row>
    <row r="148" ht="12.75"/>
    <row r="149" spans="2:13" ht="12.75">
      <c r="B149" t="s">
        <v>55</v>
      </c>
      <c r="C149" s="8" t="s">
        <v>202</v>
      </c>
      <c r="D149" s="8" t="s">
        <v>54</v>
      </c>
      <c r="E149" s="8" t="s">
        <v>15</v>
      </c>
      <c r="F149">
        <v>100</v>
      </c>
      <c r="G149" s="4">
        <f>G143+G139</f>
        <v>2.974146341463414</v>
      </c>
      <c r="H149" s="64">
        <v>100</v>
      </c>
      <c r="I149" s="4">
        <f>I143+I139</f>
        <v>22.299199999999995</v>
      </c>
      <c r="J149" s="64">
        <f>K139/K149*100</f>
        <v>45.83333333333333</v>
      </c>
      <c r="K149" s="4">
        <f>K143+K139</f>
        <v>4.928</v>
      </c>
      <c r="L149" s="64">
        <f>(L143*M143+L139*M139)/M149</f>
        <v>91.16154192878281</v>
      </c>
      <c r="M149" s="4">
        <f>AVERAGE(G149,I149,K149)</f>
        <v>10.06711544715447</v>
      </c>
    </row>
    <row r="150" spans="2:13" ht="12.75">
      <c r="B150" t="s">
        <v>56</v>
      </c>
      <c r="C150" s="8" t="s">
        <v>202</v>
      </c>
      <c r="D150" s="8" t="s">
        <v>54</v>
      </c>
      <c r="E150" s="8" t="s">
        <v>15</v>
      </c>
      <c r="F150">
        <v>100</v>
      </c>
      <c r="G150" s="4">
        <f>G140+G136+G138</f>
        <v>12.27560975609756</v>
      </c>
      <c r="H150" s="64">
        <f>(I136+I138)/I150*100</f>
        <v>68.83649410558687</v>
      </c>
      <c r="I150" s="4">
        <f>I140+I136+I138</f>
        <v>36.41866666666667</v>
      </c>
      <c r="J150" s="64">
        <v>100</v>
      </c>
      <c r="K150" s="4">
        <f>K140+K136+K138</f>
        <v>16.930666666666667</v>
      </c>
      <c r="L150" s="64">
        <f>(L136*M136+L138*M138+L140*M140)/M150</f>
        <v>82.70576278006527</v>
      </c>
      <c r="M150" s="4">
        <f>AVERAGE(G150,I150,K150)</f>
        <v>21.8749810298103</v>
      </c>
    </row>
    <row r="151" ht="12.75"/>
    <row r="152" ht="12.75"/>
    <row r="153" spans="2:13" ht="12.75">
      <c r="B153" s="20" t="str">
        <f>cond!C23</f>
        <v>3004C3</v>
      </c>
      <c r="C153" s="8"/>
      <c r="D153" s="8" t="str">
        <f>cond!C30</f>
        <v>Baseline - one run w/nat gas only without agent GB </v>
      </c>
      <c r="E153" s="20"/>
      <c r="F153" s="6"/>
      <c r="G153" s="18" t="s">
        <v>199</v>
      </c>
      <c r="H153" s="18"/>
      <c r="I153" s="19" t="s">
        <v>200</v>
      </c>
      <c r="J153" s="18"/>
      <c r="K153" s="18" t="s">
        <v>201</v>
      </c>
      <c r="L153" s="18"/>
      <c r="M153" s="18" t="s">
        <v>47</v>
      </c>
    </row>
    <row r="154" spans="2:13" ht="12.75">
      <c r="B154" s="8"/>
      <c r="C154" s="8"/>
      <c r="D154" s="12"/>
      <c r="E154" s="12"/>
      <c r="G154" s="52"/>
      <c r="H154" s="63"/>
      <c r="I154" s="63"/>
      <c r="K154" s="4"/>
      <c r="M154" s="4"/>
    </row>
    <row r="155" spans="2:9" ht="12.75">
      <c r="B155" s="8" t="s">
        <v>123</v>
      </c>
      <c r="C155" s="8" t="s">
        <v>202</v>
      </c>
      <c r="D155" s="12" t="s">
        <v>16</v>
      </c>
      <c r="E155" s="12" t="s">
        <v>15</v>
      </c>
      <c r="F155"/>
      <c r="G155">
        <v>10</v>
      </c>
      <c r="H155"/>
      <c r="I155"/>
    </row>
    <row r="156" spans="2:9" ht="12.75">
      <c r="B156" s="8" t="s">
        <v>134</v>
      </c>
      <c r="C156" s="8" t="s">
        <v>202</v>
      </c>
      <c r="D156" s="12" t="s">
        <v>16</v>
      </c>
      <c r="E156" s="12" t="s">
        <v>15</v>
      </c>
      <c r="F156"/>
      <c r="G156">
        <v>12</v>
      </c>
      <c r="H156" s="63"/>
      <c r="I156" s="63"/>
    </row>
    <row r="157" spans="2:13" ht="12.75">
      <c r="B157" s="8"/>
      <c r="C157" s="8"/>
      <c r="D157" s="12"/>
      <c r="E157" s="12"/>
      <c r="F157"/>
      <c r="G157"/>
      <c r="H157"/>
      <c r="I157"/>
      <c r="J157"/>
      <c r="K157" s="4"/>
      <c r="L157"/>
      <c r="M157" s="4"/>
    </row>
    <row r="158" spans="2:9" ht="12.75">
      <c r="B158" s="8" t="s">
        <v>13</v>
      </c>
      <c r="C158" s="8" t="s">
        <v>202</v>
      </c>
      <c r="D158" s="8" t="s">
        <v>14</v>
      </c>
      <c r="E158" s="8" t="s">
        <v>15</v>
      </c>
      <c r="F158"/>
      <c r="G158">
        <v>0.00068</v>
      </c>
      <c r="H158" s="22"/>
      <c r="I158" s="23"/>
    </row>
    <row r="159" spans="2:9" ht="12.75">
      <c r="B159" s="8"/>
      <c r="C159" s="8"/>
      <c r="F159"/>
      <c r="G159"/>
      <c r="H159" s="22"/>
      <c r="I159" s="23"/>
    </row>
    <row r="160" spans="2:9" ht="12.75">
      <c r="B160" s="8" t="s">
        <v>49</v>
      </c>
      <c r="C160" s="8"/>
      <c r="D160" s="8" t="s">
        <v>102</v>
      </c>
      <c r="E160" s="8" t="s">
        <v>101</v>
      </c>
      <c r="F160" t="s">
        <v>98</v>
      </c>
      <c r="G160" s="57">
        <f>1/66.7</f>
        <v>0.014992503748125937</v>
      </c>
      <c r="H160" s="8"/>
      <c r="I160" s="60"/>
    </row>
    <row r="161" spans="2:13" ht="12.75">
      <c r="B161" s="8" t="s">
        <v>50</v>
      </c>
      <c r="C161" s="8"/>
      <c r="D161" s="8" t="s">
        <v>102</v>
      </c>
      <c r="E161" s="8" t="s">
        <v>101</v>
      </c>
      <c r="F161" t="s">
        <v>98</v>
      </c>
      <c r="G161" s="57">
        <f>0.22/66.7</f>
        <v>0.003298350824587706</v>
      </c>
      <c r="H161" s="8"/>
      <c r="I161" s="66"/>
      <c r="J161"/>
      <c r="K161" s="4"/>
      <c r="L161"/>
      <c r="M161" s="4"/>
    </row>
    <row r="162" spans="2:13" ht="12.75">
      <c r="B162" s="8"/>
      <c r="C162" s="8"/>
      <c r="F162"/>
      <c r="G162"/>
      <c r="H162"/>
      <c r="I162"/>
      <c r="J162"/>
      <c r="K162" s="4"/>
      <c r="L162"/>
      <c r="M162" s="4"/>
    </row>
    <row r="163" spans="2:13" ht="12.75">
      <c r="B163" s="8" t="s">
        <v>49</v>
      </c>
      <c r="C163" s="8" t="s">
        <v>202</v>
      </c>
      <c r="D163" s="8" t="s">
        <v>16</v>
      </c>
      <c r="E163" s="8" t="s">
        <v>15</v>
      </c>
      <c r="F163" s="8" t="s">
        <v>98</v>
      </c>
      <c r="G163" s="63">
        <f>G160/0.0283/1.518/2*14/(21-G192)</f>
        <v>0.39402366794665084</v>
      </c>
      <c r="H163" s="8"/>
      <c r="I163"/>
      <c r="J163"/>
      <c r="K163" s="4"/>
      <c r="L163"/>
      <c r="M163" s="4"/>
    </row>
    <row r="164" spans="2:13" ht="12.75">
      <c r="B164" s="8" t="s">
        <v>50</v>
      </c>
      <c r="C164" s="8" t="s">
        <v>202</v>
      </c>
      <c r="D164" s="8" t="s">
        <v>16</v>
      </c>
      <c r="E164" s="8" t="s">
        <v>15</v>
      </c>
      <c r="G164" s="63">
        <f>G161/0.0283/2.953*14/(21-G192)</f>
        <v>0.08912166891125195</v>
      </c>
      <c r="H164"/>
      <c r="I164"/>
      <c r="J164"/>
      <c r="K164"/>
      <c r="L164"/>
      <c r="M164"/>
    </row>
    <row r="165" spans="2:9" ht="12.75">
      <c r="B165" s="8" t="s">
        <v>223</v>
      </c>
      <c r="C165" s="8" t="s">
        <v>202</v>
      </c>
      <c r="D165" s="8" t="s">
        <v>16</v>
      </c>
      <c r="E165" s="8" t="s">
        <v>15</v>
      </c>
      <c r="F165">
        <v>68.853</v>
      </c>
      <c r="G165" s="63">
        <f>G163+2*G164</f>
        <v>0.5722670057691548</v>
      </c>
      <c r="H165"/>
      <c r="I165"/>
    </row>
    <row r="166" spans="2:9" ht="12.75">
      <c r="B166" s="8"/>
      <c r="C166" s="8"/>
      <c r="F166"/>
      <c r="G166"/>
      <c r="H166"/>
      <c r="I166"/>
    </row>
    <row r="167" spans="2:13" ht="12.75">
      <c r="B167" s="8" t="s">
        <v>106</v>
      </c>
      <c r="C167" s="8"/>
      <c r="D167" s="8" t="s">
        <v>175</v>
      </c>
      <c r="E167" s="8" t="s">
        <v>101</v>
      </c>
      <c r="G167"/>
      <c r="H167"/>
      <c r="I167"/>
      <c r="J167"/>
      <c r="K167"/>
      <c r="L167"/>
      <c r="M167" s="4"/>
    </row>
    <row r="168" spans="2:13" ht="12.75">
      <c r="B168" s="8" t="s">
        <v>116</v>
      </c>
      <c r="C168" s="8"/>
      <c r="D168" s="8" t="s">
        <v>175</v>
      </c>
      <c r="E168" s="8" t="s">
        <v>101</v>
      </c>
      <c r="F168" s="8" t="s">
        <v>98</v>
      </c>
      <c r="G168" s="73">
        <v>2.22E-06</v>
      </c>
      <c r="H168"/>
      <c r="I168"/>
      <c r="J168"/>
      <c r="K168"/>
      <c r="L168"/>
      <c r="M168" s="57"/>
    </row>
    <row r="169" spans="2:13" ht="12.75">
      <c r="B169" s="8" t="s">
        <v>107</v>
      </c>
      <c r="C169" s="8"/>
      <c r="D169" s="8" t="s">
        <v>175</v>
      </c>
      <c r="E169" s="8" t="s">
        <v>101</v>
      </c>
      <c r="F169" s="8" t="s">
        <v>98</v>
      </c>
      <c r="G169" s="73">
        <v>2.41E-06</v>
      </c>
      <c r="H169" s="8"/>
      <c r="I169"/>
      <c r="J169"/>
      <c r="K169"/>
      <c r="L169"/>
      <c r="M169" s="4"/>
    </row>
    <row r="170" spans="2:13" ht="12.75">
      <c r="B170" s="8" t="s">
        <v>108</v>
      </c>
      <c r="C170" s="8"/>
      <c r="D170" s="8" t="s">
        <v>175</v>
      </c>
      <c r="E170" s="8" t="s">
        <v>101</v>
      </c>
      <c r="F170" s="8" t="s">
        <v>98</v>
      </c>
      <c r="G170" s="73">
        <v>1.63E-05</v>
      </c>
      <c r="H170" s="8"/>
      <c r="I170"/>
      <c r="J170"/>
      <c r="K170"/>
      <c r="L170"/>
      <c r="M170" s="4"/>
    </row>
    <row r="171" spans="2:13" ht="12.75">
      <c r="B171" s="8" t="s">
        <v>77</v>
      </c>
      <c r="C171" s="8"/>
      <c r="D171" s="8" t="s">
        <v>175</v>
      </c>
      <c r="E171" s="8" t="s">
        <v>101</v>
      </c>
      <c r="F171" s="8" t="s">
        <v>98</v>
      </c>
      <c r="G171" s="73">
        <v>1.14E-06</v>
      </c>
      <c r="H171"/>
      <c r="I171"/>
      <c r="J171"/>
      <c r="K171"/>
      <c r="L171"/>
      <c r="M171" s="4"/>
    </row>
    <row r="172" spans="2:13" ht="12.75">
      <c r="B172" s="8" t="s">
        <v>109</v>
      </c>
      <c r="C172" s="8"/>
      <c r="D172" s="8" t="s">
        <v>175</v>
      </c>
      <c r="E172" s="8" t="s">
        <v>101</v>
      </c>
      <c r="F172"/>
      <c r="G172" s="73"/>
      <c r="H172" s="8"/>
      <c r="I172"/>
      <c r="J172" s="63"/>
      <c r="K172" s="63"/>
      <c r="L172"/>
      <c r="M172" s="4"/>
    </row>
    <row r="173" spans="2:13" ht="12.75">
      <c r="B173" s="8" t="s">
        <v>110</v>
      </c>
      <c r="C173" s="8"/>
      <c r="D173" s="8" t="s">
        <v>175</v>
      </c>
      <c r="E173" s="8" t="s">
        <v>101</v>
      </c>
      <c r="F173" s="8" t="s">
        <v>98</v>
      </c>
      <c r="G173" s="73">
        <v>1.66E-06</v>
      </c>
      <c r="H173" s="8"/>
      <c r="I173"/>
      <c r="J173"/>
      <c r="K173"/>
      <c r="L173"/>
      <c r="M173" s="4"/>
    </row>
    <row r="174" spans="2:13" ht="12.75">
      <c r="B174" s="8" t="s">
        <v>83</v>
      </c>
      <c r="C174" s="8"/>
      <c r="D174" s="8" t="s">
        <v>175</v>
      </c>
      <c r="E174" s="8" t="s">
        <v>101</v>
      </c>
      <c r="F174" s="8" t="s">
        <v>98</v>
      </c>
      <c r="G174" s="73">
        <v>4.07166E-06</v>
      </c>
      <c r="H174"/>
      <c r="I174"/>
      <c r="J174" s="63"/>
      <c r="K174" s="63"/>
      <c r="L174"/>
      <c r="M174" s="4"/>
    </row>
    <row r="175" spans="2:13" ht="12.75">
      <c r="B175" s="80" t="s">
        <v>203</v>
      </c>
      <c r="C175" s="8"/>
      <c r="D175" s="8" t="s">
        <v>60</v>
      </c>
      <c r="E175" s="8" t="s">
        <v>101</v>
      </c>
      <c r="F175"/>
      <c r="G175" s="73">
        <v>0.000417</v>
      </c>
      <c r="H175"/>
      <c r="I175"/>
      <c r="J175"/>
      <c r="K175"/>
      <c r="L175"/>
      <c r="M175" s="4"/>
    </row>
    <row r="176" spans="2:13" ht="12.75">
      <c r="B176" s="8" t="s">
        <v>111</v>
      </c>
      <c r="C176" s="8"/>
      <c r="D176" s="8" t="s">
        <v>175</v>
      </c>
      <c r="E176" s="8" t="s">
        <v>101</v>
      </c>
      <c r="G176"/>
      <c r="H176" s="8"/>
      <c r="I176"/>
      <c r="J176" s="22"/>
      <c r="K176" s="22"/>
      <c r="M176" s="58"/>
    </row>
    <row r="177" spans="2:13" ht="12.75">
      <c r="B177" s="8" t="s">
        <v>112</v>
      </c>
      <c r="C177" s="8"/>
      <c r="D177" s="8" t="s">
        <v>175</v>
      </c>
      <c r="E177" s="8" t="s">
        <v>101</v>
      </c>
      <c r="F177" s="8" t="s">
        <v>98</v>
      </c>
      <c r="G177" s="73">
        <v>5.58E-06</v>
      </c>
      <c r="H177"/>
      <c r="I177" s="67"/>
      <c r="J177" s="22"/>
      <c r="K177" s="22"/>
      <c r="M177" s="65"/>
    </row>
    <row r="178" spans="2:13" ht="12.75">
      <c r="B178" s="8" t="s">
        <v>76</v>
      </c>
      <c r="C178" s="8"/>
      <c r="D178" s="8" t="s">
        <v>175</v>
      </c>
      <c r="E178" s="8" t="s">
        <v>101</v>
      </c>
      <c r="F178" s="8" t="s">
        <v>98</v>
      </c>
      <c r="G178" s="73">
        <v>3.42E-06</v>
      </c>
      <c r="H178"/>
      <c r="I178"/>
      <c r="J178" s="8"/>
      <c r="K178" s="60"/>
      <c r="L178" s="8"/>
      <c r="M178" s="24"/>
    </row>
    <row r="179" spans="2:13" ht="12.75">
      <c r="B179" s="8" t="s">
        <v>113</v>
      </c>
      <c r="C179" s="8"/>
      <c r="D179" s="8" t="s">
        <v>175</v>
      </c>
      <c r="E179" s="8" t="s">
        <v>101</v>
      </c>
      <c r="G179" s="73"/>
      <c r="H179" s="8"/>
      <c r="I179"/>
      <c r="J179" s="8"/>
      <c r="K179" s="66"/>
      <c r="L179" s="8"/>
      <c r="M179" s="68"/>
    </row>
    <row r="180" spans="2:13" ht="12.75">
      <c r="B180" s="8" t="s">
        <v>78</v>
      </c>
      <c r="C180" s="8"/>
      <c r="D180" s="8" t="s">
        <v>175</v>
      </c>
      <c r="E180" s="8" t="s">
        <v>101</v>
      </c>
      <c r="F180" s="8" t="s">
        <v>98</v>
      </c>
      <c r="G180" s="73">
        <v>4.31E-07</v>
      </c>
      <c r="H180"/>
      <c r="I180"/>
      <c r="J180"/>
      <c r="K180"/>
      <c r="L180"/>
      <c r="M180" s="4"/>
    </row>
    <row r="181" spans="2:13" ht="12.75">
      <c r="B181" s="8" t="s">
        <v>114</v>
      </c>
      <c r="C181" s="8"/>
      <c r="D181" s="8" t="s">
        <v>175</v>
      </c>
      <c r="E181" s="8" t="s">
        <v>101</v>
      </c>
      <c r="G181"/>
      <c r="H181"/>
      <c r="I181"/>
      <c r="J181" s="8"/>
      <c r="K181"/>
      <c r="L181"/>
      <c r="M181" s="4"/>
    </row>
    <row r="182" spans="2:13" ht="12.75">
      <c r="B182" s="8" t="s">
        <v>115</v>
      </c>
      <c r="C182" s="8"/>
      <c r="D182" s="8" t="s">
        <v>175</v>
      </c>
      <c r="E182" s="8" t="s">
        <v>101</v>
      </c>
      <c r="F182"/>
      <c r="G182"/>
      <c r="H182" s="8"/>
      <c r="I182"/>
      <c r="J182"/>
      <c r="K182"/>
      <c r="L182"/>
      <c r="M182" s="4"/>
    </row>
    <row r="183" spans="2:13" ht="12.75">
      <c r="B183" s="8" t="s">
        <v>117</v>
      </c>
      <c r="C183" s="8"/>
      <c r="D183" s="8" t="s">
        <v>175</v>
      </c>
      <c r="E183" s="8" t="s">
        <v>101</v>
      </c>
      <c r="F183" s="8" t="s">
        <v>98</v>
      </c>
      <c r="G183" s="73">
        <v>1.19E-06</v>
      </c>
      <c r="H183"/>
      <c r="I183"/>
      <c r="J183"/>
      <c r="K183"/>
      <c r="L183"/>
      <c r="M183" s="4"/>
    </row>
    <row r="184" spans="2:13" ht="12.75">
      <c r="B184" s="8" t="s">
        <v>105</v>
      </c>
      <c r="C184" s="8"/>
      <c r="D184" s="8" t="s">
        <v>175</v>
      </c>
      <c r="E184" s="8" t="s">
        <v>101</v>
      </c>
      <c r="F184" s="8" t="s">
        <v>98</v>
      </c>
      <c r="G184" s="73">
        <v>3.6E-06</v>
      </c>
      <c r="H184"/>
      <c r="I184"/>
      <c r="J184"/>
      <c r="K184"/>
      <c r="L184"/>
      <c r="M184" s="4"/>
    </row>
    <row r="185" spans="2:13" ht="12.75">
      <c r="B185" s="8" t="s">
        <v>119</v>
      </c>
      <c r="C185" s="8"/>
      <c r="D185" s="8" t="s">
        <v>175</v>
      </c>
      <c r="E185" s="8" t="s">
        <v>101</v>
      </c>
      <c r="F185" s="8" t="s">
        <v>98</v>
      </c>
      <c r="G185" s="73">
        <v>2.22E-06</v>
      </c>
      <c r="H185"/>
      <c r="I185"/>
      <c r="J185"/>
      <c r="K185"/>
      <c r="L185"/>
      <c r="M185" s="4"/>
    </row>
    <row r="186" spans="2:13" ht="12.75">
      <c r="B186" s="8" t="s">
        <v>118</v>
      </c>
      <c r="C186" s="8"/>
      <c r="D186" s="8" t="s">
        <v>175</v>
      </c>
      <c r="E186" s="8" t="s">
        <v>101</v>
      </c>
      <c r="F186"/>
      <c r="G186"/>
      <c r="H186"/>
      <c r="I186"/>
      <c r="J186"/>
      <c r="K186"/>
      <c r="L186"/>
      <c r="M186" s="4"/>
    </row>
    <row r="187" spans="2:13" ht="12.75">
      <c r="B187" s="8" t="s">
        <v>120</v>
      </c>
      <c r="C187" s="8"/>
      <c r="D187" s="8" t="s">
        <v>175</v>
      </c>
      <c r="E187" s="8" t="s">
        <v>101</v>
      </c>
      <c r="F187"/>
      <c r="G187"/>
      <c r="H187"/>
      <c r="I187"/>
      <c r="J187" s="8"/>
      <c r="K187"/>
      <c r="L187"/>
      <c r="M187" s="4"/>
    </row>
    <row r="188" spans="2:13" ht="12.75">
      <c r="B188" s="8" t="s">
        <v>121</v>
      </c>
      <c r="C188" s="8"/>
      <c r="D188" s="8" t="s">
        <v>175</v>
      </c>
      <c r="E188" s="8" t="s">
        <v>101</v>
      </c>
      <c r="F188"/>
      <c r="G188"/>
      <c r="H188"/>
      <c r="I188"/>
      <c r="J188" s="8"/>
      <c r="K188"/>
      <c r="L188"/>
      <c r="M188" s="4"/>
    </row>
    <row r="189" spans="2:13" ht="12.75">
      <c r="B189" s="8"/>
      <c r="C189" s="8"/>
      <c r="F189"/>
      <c r="G189"/>
      <c r="H189"/>
      <c r="I189"/>
      <c r="J189"/>
      <c r="K189"/>
      <c r="L189"/>
      <c r="M189" s="4"/>
    </row>
    <row r="190" spans="2:13" ht="12.75">
      <c r="B190" s="8" t="s">
        <v>84</v>
      </c>
      <c r="C190" s="8" t="s">
        <v>103</v>
      </c>
      <c r="D190" s="8" t="s">
        <v>202</v>
      </c>
      <c r="F190"/>
      <c r="G190"/>
      <c r="H190"/>
      <c r="I190"/>
      <c r="J190" s="8"/>
      <c r="K190"/>
      <c r="L190"/>
      <c r="M190" s="4"/>
    </row>
    <row r="191" spans="2:13" ht="12.75">
      <c r="B191" s="8" t="s">
        <v>75</v>
      </c>
      <c r="C191" s="8"/>
      <c r="D191" s="8" t="s">
        <v>17</v>
      </c>
      <c r="F191"/>
      <c r="G191">
        <v>2503</v>
      </c>
      <c r="H191"/>
      <c r="I191"/>
      <c r="J191"/>
      <c r="K191"/>
      <c r="L191"/>
      <c r="M191" s="4"/>
    </row>
    <row r="192" spans="2:13" ht="12.75">
      <c r="B192" s="8" t="s">
        <v>81</v>
      </c>
      <c r="C192" s="8"/>
      <c r="D192" s="8" t="s">
        <v>18</v>
      </c>
      <c r="F192"/>
      <c r="G192">
        <v>14.8</v>
      </c>
      <c r="H192"/>
      <c r="I192"/>
      <c r="J192"/>
      <c r="K192"/>
      <c r="L192"/>
      <c r="M192" s="4"/>
    </row>
    <row r="193" spans="2:13" ht="12.75">
      <c r="B193" s="8" t="s">
        <v>82</v>
      </c>
      <c r="C193" s="8"/>
      <c r="D193" s="8" t="s">
        <v>18</v>
      </c>
      <c r="F193"/>
      <c r="G193">
        <v>36.8</v>
      </c>
      <c r="H193"/>
      <c r="I193"/>
      <c r="J193"/>
      <c r="K193"/>
      <c r="L193"/>
      <c r="M193" s="4"/>
    </row>
    <row r="194" spans="2:13" ht="12.75">
      <c r="B194" s="8" t="s">
        <v>74</v>
      </c>
      <c r="C194" s="8"/>
      <c r="D194" s="8" t="s">
        <v>19</v>
      </c>
      <c r="F194"/>
      <c r="G194">
        <v>214</v>
      </c>
      <c r="H194"/>
      <c r="I194"/>
      <c r="J194" s="8"/>
      <c r="K194"/>
      <c r="L194"/>
      <c r="M194" s="4"/>
    </row>
    <row r="195" spans="2:13" ht="12.75">
      <c r="B195" s="8"/>
      <c r="C195" s="8"/>
      <c r="F195"/>
      <c r="G195"/>
      <c r="H195"/>
      <c r="I195"/>
      <c r="J195"/>
      <c r="K195"/>
      <c r="L195"/>
      <c r="M195" s="4"/>
    </row>
    <row r="196" spans="2:13" ht="12.75">
      <c r="B196" s="8" t="s">
        <v>84</v>
      </c>
      <c r="C196" s="8" t="s">
        <v>97</v>
      </c>
      <c r="D196" s="8" t="s">
        <v>204</v>
      </c>
      <c r="F196"/>
      <c r="G196"/>
      <c r="H196"/>
      <c r="I196"/>
      <c r="J196"/>
      <c r="K196"/>
      <c r="L196"/>
      <c r="M196" s="4"/>
    </row>
    <row r="197" spans="2:13" ht="12.75">
      <c r="B197" s="8" t="s">
        <v>75</v>
      </c>
      <c r="C197" s="8"/>
      <c r="D197" s="8" t="s">
        <v>17</v>
      </c>
      <c r="F197"/>
      <c r="G197">
        <v>2665</v>
      </c>
      <c r="H197"/>
      <c r="I197"/>
      <c r="J197" s="8"/>
      <c r="K197"/>
      <c r="L197"/>
      <c r="M197" s="4"/>
    </row>
    <row r="198" spans="2:13" ht="12.75">
      <c r="B198" s="8" t="s">
        <v>81</v>
      </c>
      <c r="C198" s="8"/>
      <c r="D198" s="8" t="s">
        <v>18</v>
      </c>
      <c r="F198"/>
      <c r="G198">
        <v>14.8</v>
      </c>
      <c r="H198" s="8"/>
      <c r="I198" s="4"/>
      <c r="J198"/>
      <c r="K198"/>
      <c r="L198"/>
      <c r="M198" s="4"/>
    </row>
    <row r="199" spans="2:13" ht="12.75">
      <c r="B199" s="8" t="s">
        <v>82</v>
      </c>
      <c r="C199" s="8"/>
      <c r="D199" s="8" t="s">
        <v>18</v>
      </c>
      <c r="F199"/>
      <c r="G199">
        <v>35.4</v>
      </c>
      <c r="H199"/>
      <c r="I199" s="4"/>
      <c r="J199"/>
      <c r="K199"/>
      <c r="L199"/>
      <c r="M199" s="4"/>
    </row>
    <row r="200" spans="2:13" ht="12.75">
      <c r="B200" s="8" t="s">
        <v>74</v>
      </c>
      <c r="C200" s="8"/>
      <c r="D200" s="8" t="s">
        <v>19</v>
      </c>
      <c r="F200"/>
      <c r="G200">
        <v>224</v>
      </c>
      <c r="H200"/>
      <c r="I200" s="4"/>
      <c r="J200" s="8"/>
      <c r="K200"/>
      <c r="L200"/>
      <c r="M200" s="4"/>
    </row>
    <row r="201" spans="2:13" ht="12.75">
      <c r="B201" s="8"/>
      <c r="C201" s="8"/>
      <c r="F201"/>
      <c r="G201"/>
      <c r="H201"/>
      <c r="I201" s="4"/>
      <c r="J201"/>
      <c r="K201"/>
      <c r="L201"/>
      <c r="M201" s="4"/>
    </row>
    <row r="202" spans="2:13" ht="12.75">
      <c r="B202" s="8" t="s">
        <v>106</v>
      </c>
      <c r="C202" s="8" t="s">
        <v>204</v>
      </c>
      <c r="D202" s="8" t="s">
        <v>54</v>
      </c>
      <c r="E202" s="8" t="s">
        <v>15</v>
      </c>
      <c r="G202" s="4">
        <f>G167/1000000*(21-7)/(21-G$198)</f>
        <v>0</v>
      </c>
      <c r="H202"/>
      <c r="I202" s="4"/>
      <c r="J202"/>
      <c r="K202"/>
      <c r="L202"/>
      <c r="M202" s="4"/>
    </row>
    <row r="203" spans="2:13" ht="12.75">
      <c r="B203" s="8" t="s">
        <v>116</v>
      </c>
      <c r="C203" s="8" t="s">
        <v>204</v>
      </c>
      <c r="D203" s="8" t="s">
        <v>54</v>
      </c>
      <c r="E203" s="8" t="s">
        <v>15</v>
      </c>
      <c r="F203" s="8" t="s">
        <v>98</v>
      </c>
      <c r="G203" s="63">
        <f aca="true" t="shared" si="11" ref="G203:G209">G168*1000000*(21-7)/(21-G$198)</f>
        <v>5.012903225806452</v>
      </c>
      <c r="H203"/>
      <c r="I203" s="4"/>
      <c r="J203"/>
      <c r="K203"/>
      <c r="L203"/>
      <c r="M203"/>
    </row>
    <row r="204" spans="2:13" ht="12.75">
      <c r="B204" s="8" t="s">
        <v>107</v>
      </c>
      <c r="C204" s="8" t="s">
        <v>204</v>
      </c>
      <c r="D204" s="8" t="s">
        <v>54</v>
      </c>
      <c r="E204" s="8" t="s">
        <v>15</v>
      </c>
      <c r="F204" s="8" t="s">
        <v>98</v>
      </c>
      <c r="G204" s="63">
        <f t="shared" si="11"/>
        <v>5.441935483870967</v>
      </c>
      <c r="H204" s="8"/>
      <c r="I204" s="4"/>
      <c r="J204"/>
      <c r="K204"/>
      <c r="L204"/>
      <c r="M204"/>
    </row>
    <row r="205" spans="2:13" ht="12.75">
      <c r="B205" s="8" t="s">
        <v>108</v>
      </c>
      <c r="C205" s="8" t="s">
        <v>204</v>
      </c>
      <c r="D205" s="8" t="s">
        <v>54</v>
      </c>
      <c r="E205" s="8" t="s">
        <v>15</v>
      </c>
      <c r="F205" s="8" t="s">
        <v>98</v>
      </c>
      <c r="G205" s="63">
        <f t="shared" si="11"/>
        <v>36.80645161290323</v>
      </c>
      <c r="H205" s="8"/>
      <c r="I205" s="4"/>
      <c r="J205"/>
      <c r="K205"/>
      <c r="L205"/>
      <c r="M205" s="4"/>
    </row>
    <row r="206" spans="2:13" ht="12.75">
      <c r="B206" s="8" t="s">
        <v>77</v>
      </c>
      <c r="C206" s="8" t="s">
        <v>204</v>
      </c>
      <c r="D206" s="8" t="s">
        <v>54</v>
      </c>
      <c r="E206" s="8" t="s">
        <v>15</v>
      </c>
      <c r="F206" s="8" t="s">
        <v>98</v>
      </c>
      <c r="G206" s="63">
        <f t="shared" si="11"/>
        <v>2.5741935483870972</v>
      </c>
      <c r="H206"/>
      <c r="I206" s="4"/>
      <c r="J206"/>
      <c r="K206"/>
      <c r="L206"/>
      <c r="M206" s="4"/>
    </row>
    <row r="207" spans="2:13" ht="12.75">
      <c r="B207" s="8" t="s">
        <v>109</v>
      </c>
      <c r="C207" s="8" t="s">
        <v>204</v>
      </c>
      <c r="D207" s="8" t="s">
        <v>54</v>
      </c>
      <c r="E207" s="8" t="s">
        <v>15</v>
      </c>
      <c r="F207"/>
      <c r="G207" s="63">
        <f t="shared" si="11"/>
        <v>0</v>
      </c>
      <c r="H207" s="8"/>
      <c r="I207" s="4"/>
      <c r="J207"/>
      <c r="K207"/>
      <c r="L207"/>
      <c r="M207" s="4"/>
    </row>
    <row r="208" spans="2:13" ht="12.75">
      <c r="B208" s="8" t="s">
        <v>110</v>
      </c>
      <c r="C208" s="8" t="s">
        <v>204</v>
      </c>
      <c r="D208" s="8" t="s">
        <v>54</v>
      </c>
      <c r="E208" s="8" t="s">
        <v>15</v>
      </c>
      <c r="F208" s="8" t="s">
        <v>98</v>
      </c>
      <c r="G208" s="63">
        <f t="shared" si="11"/>
        <v>3.7483870967741937</v>
      </c>
      <c r="H208" s="8"/>
      <c r="I208" s="4"/>
      <c r="J208"/>
      <c r="K208"/>
      <c r="L208"/>
      <c r="M208" s="4"/>
    </row>
    <row r="209" spans="2:13" ht="12.75">
      <c r="B209" s="8" t="s">
        <v>83</v>
      </c>
      <c r="C209" s="8" t="s">
        <v>204</v>
      </c>
      <c r="D209" s="8" t="s">
        <v>54</v>
      </c>
      <c r="E209" s="8" t="s">
        <v>15</v>
      </c>
      <c r="F209" s="8" t="s">
        <v>98</v>
      </c>
      <c r="G209" s="63">
        <f t="shared" si="11"/>
        <v>9.194070967741938</v>
      </c>
      <c r="H209"/>
      <c r="I209" s="4"/>
      <c r="J209"/>
      <c r="K209"/>
      <c r="L209"/>
      <c r="M209"/>
    </row>
    <row r="210" spans="2:13" ht="12.75">
      <c r="B210" s="80" t="s">
        <v>203</v>
      </c>
      <c r="C210" s="8" t="s">
        <v>204</v>
      </c>
      <c r="D210" s="8" t="s">
        <v>54</v>
      </c>
      <c r="E210" s="8" t="s">
        <v>15</v>
      </c>
      <c r="F210"/>
      <c r="G210" s="63">
        <f>G175*1000*(21-7)/(21-G$198)</f>
        <v>0.9416129032258066</v>
      </c>
      <c r="H210"/>
      <c r="I210" s="4"/>
      <c r="J210"/>
      <c r="K210"/>
      <c r="L210"/>
      <c r="M210"/>
    </row>
    <row r="211" spans="2:13" ht="12.75">
      <c r="B211" s="8" t="s">
        <v>111</v>
      </c>
      <c r="C211" s="8" t="s">
        <v>204</v>
      </c>
      <c r="D211" s="8" t="s">
        <v>54</v>
      </c>
      <c r="E211" s="8" t="s">
        <v>15</v>
      </c>
      <c r="G211" s="63">
        <f aca="true" t="shared" si="12" ref="G211:G223">G176*1000000*(21-7)/(21-G$198)</f>
        <v>0</v>
      </c>
      <c r="H211" s="8"/>
      <c r="I211" s="4"/>
      <c r="J211"/>
      <c r="K211"/>
      <c r="L211"/>
      <c r="M211" s="4"/>
    </row>
    <row r="212" spans="2:13" ht="12.75">
      <c r="B212" s="8" t="s">
        <v>112</v>
      </c>
      <c r="C212" s="8" t="s">
        <v>204</v>
      </c>
      <c r="D212" s="8" t="s">
        <v>54</v>
      </c>
      <c r="E212" s="8" t="s">
        <v>15</v>
      </c>
      <c r="F212" s="8" t="s">
        <v>98</v>
      </c>
      <c r="G212" s="63">
        <f t="shared" si="12"/>
        <v>12.600000000000001</v>
      </c>
      <c r="H212"/>
      <c r="I212" s="4"/>
      <c r="J212"/>
      <c r="K212"/>
      <c r="L212"/>
      <c r="M212" s="4"/>
    </row>
    <row r="213" spans="2:13" ht="12.75">
      <c r="B213" s="8" t="s">
        <v>76</v>
      </c>
      <c r="C213" s="8" t="s">
        <v>204</v>
      </c>
      <c r="D213" s="8" t="s">
        <v>54</v>
      </c>
      <c r="E213" s="8" t="s">
        <v>15</v>
      </c>
      <c r="F213" s="8" t="s">
        <v>98</v>
      </c>
      <c r="G213" s="63">
        <f t="shared" si="12"/>
        <v>7.72258064516129</v>
      </c>
      <c r="H213"/>
      <c r="I213" s="4"/>
      <c r="J213"/>
      <c r="K213"/>
      <c r="L213"/>
      <c r="M213" s="4"/>
    </row>
    <row r="214" spans="2:13" ht="12.75">
      <c r="B214" s="8" t="s">
        <v>113</v>
      </c>
      <c r="C214" s="8" t="s">
        <v>204</v>
      </c>
      <c r="D214" s="8" t="s">
        <v>54</v>
      </c>
      <c r="E214" s="8" t="s">
        <v>15</v>
      </c>
      <c r="G214" s="63">
        <f t="shared" si="12"/>
        <v>0</v>
      </c>
      <c r="H214" s="8"/>
      <c r="I214" s="4"/>
      <c r="J214"/>
      <c r="K214"/>
      <c r="L214"/>
      <c r="M214" s="4"/>
    </row>
    <row r="215" spans="2:13" ht="12.75">
      <c r="B215" s="8" t="s">
        <v>78</v>
      </c>
      <c r="C215" s="8" t="s">
        <v>204</v>
      </c>
      <c r="D215" s="8" t="s">
        <v>54</v>
      </c>
      <c r="E215" s="8" t="s">
        <v>15</v>
      </c>
      <c r="F215" s="8" t="s">
        <v>98</v>
      </c>
      <c r="G215" s="63">
        <f t="shared" si="12"/>
        <v>0.9732258064516129</v>
      </c>
      <c r="H215"/>
      <c r="I215" s="4"/>
      <c r="J215"/>
      <c r="K215"/>
      <c r="L215"/>
      <c r="M215"/>
    </row>
    <row r="216" spans="2:13" ht="12.75">
      <c r="B216" s="8" t="s">
        <v>114</v>
      </c>
      <c r="C216" s="8" t="s">
        <v>204</v>
      </c>
      <c r="D216" s="8" t="s">
        <v>54</v>
      </c>
      <c r="E216" s="8" t="s">
        <v>15</v>
      </c>
      <c r="G216" s="63">
        <f t="shared" si="12"/>
        <v>0</v>
      </c>
      <c r="H216"/>
      <c r="I216" s="4"/>
      <c r="J216" s="8"/>
      <c r="K216" s="4"/>
      <c r="L216"/>
      <c r="M216" s="4"/>
    </row>
    <row r="217" spans="2:13" ht="12.75">
      <c r="B217" s="8" t="s">
        <v>115</v>
      </c>
      <c r="C217" s="8" t="s">
        <v>204</v>
      </c>
      <c r="D217" s="8" t="s">
        <v>54</v>
      </c>
      <c r="E217" s="8" t="s">
        <v>15</v>
      </c>
      <c r="F217"/>
      <c r="G217" s="63">
        <f t="shared" si="12"/>
        <v>0</v>
      </c>
      <c r="H217" s="8"/>
      <c r="I217" s="4"/>
      <c r="J217"/>
      <c r="K217" s="4"/>
      <c r="L217"/>
      <c r="M217" s="4"/>
    </row>
    <row r="218" spans="2:13" ht="12.75">
      <c r="B218" s="8" t="s">
        <v>117</v>
      </c>
      <c r="C218" s="8" t="s">
        <v>204</v>
      </c>
      <c r="D218" s="8" t="s">
        <v>54</v>
      </c>
      <c r="E218" s="8" t="s">
        <v>15</v>
      </c>
      <c r="F218" s="8" t="s">
        <v>98</v>
      </c>
      <c r="G218" s="63">
        <f t="shared" si="12"/>
        <v>2.6870967741935488</v>
      </c>
      <c r="H218"/>
      <c r="I218" s="4"/>
      <c r="J218"/>
      <c r="K218" s="4"/>
      <c r="L218"/>
      <c r="M218" s="4"/>
    </row>
    <row r="219" spans="2:13" ht="12.75">
      <c r="B219" s="8" t="s">
        <v>105</v>
      </c>
      <c r="C219" s="8" t="s">
        <v>204</v>
      </c>
      <c r="D219" s="8" t="s">
        <v>54</v>
      </c>
      <c r="E219" s="8" t="s">
        <v>15</v>
      </c>
      <c r="F219" s="8" t="s">
        <v>98</v>
      </c>
      <c r="G219" s="63">
        <f t="shared" si="12"/>
        <v>8.129032258064516</v>
      </c>
      <c r="H219"/>
      <c r="I219" s="4"/>
      <c r="J219"/>
      <c r="K219" s="4"/>
      <c r="L219"/>
      <c r="M219" s="4"/>
    </row>
    <row r="220" spans="2:13" ht="12.75">
      <c r="B220" s="8" t="s">
        <v>119</v>
      </c>
      <c r="C220" s="8" t="s">
        <v>204</v>
      </c>
      <c r="D220" s="8" t="s">
        <v>54</v>
      </c>
      <c r="E220" s="8" t="s">
        <v>15</v>
      </c>
      <c r="F220" s="8" t="s">
        <v>98</v>
      </c>
      <c r="G220" s="63">
        <f t="shared" si="12"/>
        <v>5.012903225806452</v>
      </c>
      <c r="H220"/>
      <c r="I220"/>
      <c r="J220"/>
      <c r="K220" s="4"/>
      <c r="L220"/>
      <c r="M220" s="4"/>
    </row>
    <row r="221" spans="2:13" ht="12.75">
      <c r="B221" s="8" t="s">
        <v>118</v>
      </c>
      <c r="C221" s="8" t="s">
        <v>204</v>
      </c>
      <c r="D221" s="8" t="s">
        <v>54</v>
      </c>
      <c r="E221" s="8" t="s">
        <v>15</v>
      </c>
      <c r="F221"/>
      <c r="G221" s="63">
        <f t="shared" si="12"/>
        <v>0</v>
      </c>
      <c r="H221" s="63"/>
      <c r="I221" s="63"/>
      <c r="J221"/>
      <c r="K221" s="4"/>
      <c r="L221"/>
      <c r="M221" s="4"/>
    </row>
    <row r="222" spans="2:13" ht="12.75">
      <c r="B222" s="8" t="s">
        <v>120</v>
      </c>
      <c r="C222" s="8" t="s">
        <v>204</v>
      </c>
      <c r="D222" s="8" t="s">
        <v>54</v>
      </c>
      <c r="E222" s="8" t="s">
        <v>15</v>
      </c>
      <c r="F222"/>
      <c r="G222" s="63">
        <f t="shared" si="12"/>
        <v>0</v>
      </c>
      <c r="H222" s="4"/>
      <c r="I222" s="4"/>
      <c r="J222" s="8"/>
      <c r="K222" s="4"/>
      <c r="L222"/>
      <c r="M222" s="4"/>
    </row>
    <row r="223" spans="2:13" ht="12.75">
      <c r="B223" s="8" t="s">
        <v>121</v>
      </c>
      <c r="C223" s="8" t="s">
        <v>204</v>
      </c>
      <c r="D223" s="8" t="s">
        <v>54</v>
      </c>
      <c r="E223" s="8" t="s">
        <v>15</v>
      </c>
      <c r="F223"/>
      <c r="G223" s="63">
        <f t="shared" si="12"/>
        <v>0</v>
      </c>
      <c r="H223"/>
      <c r="I223"/>
      <c r="J223" s="8"/>
      <c r="K223" s="4"/>
      <c r="L223"/>
      <c r="M223" s="4"/>
    </row>
    <row r="224" spans="2:13" ht="12.75">
      <c r="B224" s="8"/>
      <c r="C224" s="8"/>
      <c r="F224"/>
      <c r="G224"/>
      <c r="J224"/>
      <c r="K224" s="4"/>
      <c r="L224"/>
      <c r="M224" s="4"/>
    </row>
    <row r="225" spans="2:13" ht="12.75">
      <c r="B225" t="s">
        <v>55</v>
      </c>
      <c r="C225" s="8" t="s">
        <v>204</v>
      </c>
      <c r="D225" s="8" t="s">
        <v>54</v>
      </c>
      <c r="E225" s="8" t="s">
        <v>15</v>
      </c>
      <c r="F225">
        <v>100</v>
      </c>
      <c r="G225" s="4">
        <f>G213+G208</f>
        <v>11.470967741935484</v>
      </c>
      <c r="J225" s="8"/>
      <c r="K225" s="4"/>
      <c r="L225"/>
      <c r="M225" s="4"/>
    </row>
    <row r="226" spans="2:13" ht="12.75">
      <c r="B226" t="s">
        <v>56</v>
      </c>
      <c r="C226" s="8" t="s">
        <v>204</v>
      </c>
      <c r="D226" s="8" t="s">
        <v>54</v>
      </c>
      <c r="E226" s="8" t="s">
        <v>15</v>
      </c>
      <c r="F226">
        <v>100</v>
      </c>
      <c r="G226" s="4">
        <f>G209+G204+G206</f>
        <v>17.210200000000004</v>
      </c>
      <c r="J226"/>
      <c r="K226" s="4"/>
      <c r="L226"/>
      <c r="M226" s="4"/>
    </row>
    <row r="227" spans="2:13" ht="12.75">
      <c r="B227"/>
      <c r="C227"/>
      <c r="D227"/>
      <c r="E227"/>
      <c r="F227"/>
      <c r="G227"/>
      <c r="J227"/>
      <c r="K227" s="4"/>
      <c r="L227"/>
      <c r="M227" s="4"/>
    </row>
    <row r="228" spans="10:13" ht="12.75">
      <c r="J228"/>
      <c r="K228" s="4"/>
      <c r="L228"/>
      <c r="M228" s="4"/>
    </row>
    <row r="229" spans="10:13" ht="12.75">
      <c r="J229" s="8"/>
      <c r="K229" s="4"/>
      <c r="L229"/>
      <c r="M229" s="4"/>
    </row>
    <row r="230" spans="10:13" ht="12.75">
      <c r="J230"/>
      <c r="K230" s="4"/>
      <c r="L230"/>
      <c r="M230" s="4"/>
    </row>
    <row r="231" spans="10:13" ht="12.75">
      <c r="J231"/>
      <c r="K231" s="4"/>
      <c r="L231"/>
      <c r="M231" s="4"/>
    </row>
    <row r="232" spans="10:13" ht="12.75">
      <c r="J232" s="8"/>
      <c r="K232" s="4"/>
      <c r="L232"/>
      <c r="M232" s="4"/>
    </row>
    <row r="233" spans="10:13" ht="12.75">
      <c r="J233"/>
      <c r="K233" s="4"/>
      <c r="L233"/>
      <c r="M233" s="4"/>
    </row>
    <row r="234" spans="10:13" ht="12.75">
      <c r="J234"/>
      <c r="K234" s="4"/>
      <c r="L234"/>
      <c r="M234" s="4"/>
    </row>
    <row r="235" spans="10:13" ht="12.75">
      <c r="J235" s="8"/>
      <c r="K235" s="4"/>
      <c r="L235"/>
      <c r="M235" s="4"/>
    </row>
    <row r="236" spans="10:13" ht="12.75">
      <c r="J236"/>
      <c r="K236" s="4"/>
      <c r="L236"/>
      <c r="M236" s="4"/>
    </row>
    <row r="237" spans="10:13" ht="12.75">
      <c r="J237"/>
      <c r="K237" s="4"/>
      <c r="L237"/>
      <c r="M237" s="4"/>
    </row>
    <row r="238" spans="10:13" ht="12.75">
      <c r="J238"/>
      <c r="K238"/>
      <c r="L238"/>
      <c r="M238"/>
    </row>
    <row r="239" spans="10:13" ht="12.75">
      <c r="J239" s="63"/>
      <c r="K239" s="63"/>
      <c r="L239" s="4"/>
      <c r="M239" s="4"/>
    </row>
    <row r="240" spans="10:13" ht="12.75">
      <c r="J240" s="4"/>
      <c r="K240" s="4"/>
      <c r="L240" s="4"/>
      <c r="M240" s="4"/>
    </row>
    <row r="241" spans="10:13" ht="12.75">
      <c r="J241"/>
      <c r="K241"/>
      <c r="L241"/>
      <c r="M241"/>
    </row>
    <row r="251" spans="2:7" ht="12.75">
      <c r="B251" s="8"/>
      <c r="C251" s="8"/>
      <c r="F251"/>
      <c r="G25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18"/>
  <sheetViews>
    <sheetView workbookViewId="0" topLeftCell="B1">
      <selection activeCell="B2" sqref="B2"/>
    </sheetView>
  </sheetViews>
  <sheetFormatPr defaultColWidth="9.140625" defaultRowHeight="12.75"/>
  <cols>
    <col min="1" max="1" width="2.28125" style="26" hidden="1" customWidth="1"/>
    <col min="2" max="2" width="22.57421875" style="9" customWidth="1"/>
    <col min="3" max="3" width="9.57421875" style="9" customWidth="1"/>
    <col min="4" max="4" width="9.28125" style="9" customWidth="1"/>
    <col min="5" max="5" width="6.421875" style="9" customWidth="1"/>
    <col min="6" max="6" width="2.8515625" style="26" customWidth="1"/>
    <col min="7" max="7" width="10.28125" style="27" customWidth="1"/>
    <col min="8" max="8" width="3.140625" style="27" customWidth="1"/>
    <col min="9" max="9" width="10.7109375" style="26" customWidth="1"/>
    <col min="10" max="10" width="3.140625" style="26" customWidth="1"/>
    <col min="11" max="11" width="9.421875" style="26" customWidth="1"/>
    <col min="12" max="12" width="1.57421875" style="26" customWidth="1"/>
    <col min="13" max="13" width="9.421875" style="26" customWidth="1"/>
    <col min="14" max="14" width="7.00390625" style="26" customWidth="1"/>
    <col min="15" max="15" width="6.7109375" style="26" customWidth="1"/>
    <col min="16" max="16" width="6.8515625" style="26" customWidth="1"/>
    <col min="17" max="17" width="9.00390625" style="26" customWidth="1"/>
    <col min="18" max="18" width="9.28125" style="26" customWidth="1"/>
    <col min="19" max="19" width="1.57421875" style="26" customWidth="1"/>
    <col min="20" max="20" width="14.28125" style="26" customWidth="1"/>
    <col min="21" max="21" width="16.140625" style="26" customWidth="1"/>
    <col min="22" max="16384" width="8.8515625" style="26" customWidth="1"/>
  </cols>
  <sheetData>
    <row r="1" spans="2:3" ht="12.75">
      <c r="B1" s="25" t="s">
        <v>197</v>
      </c>
      <c r="C1" s="25"/>
    </row>
    <row r="4" spans="1:13" ht="12.75">
      <c r="A4" s="26" t="s">
        <v>85</v>
      </c>
      <c r="B4" s="25" t="str">
        <f>emiss!B6</f>
        <v>3004C1</v>
      </c>
      <c r="C4" s="9" t="str">
        <f>cond!C10</f>
        <v>VX agent trial burn</v>
      </c>
      <c r="E4" s="9" t="s">
        <v>141</v>
      </c>
      <c r="G4" s="28" t="s">
        <v>199</v>
      </c>
      <c r="H4" s="28"/>
      <c r="I4" s="28" t="s">
        <v>200</v>
      </c>
      <c r="J4" s="28"/>
      <c r="K4" s="28" t="s">
        <v>201</v>
      </c>
      <c r="L4" s="28"/>
      <c r="M4" s="28" t="s">
        <v>47</v>
      </c>
    </row>
    <row r="5" spans="2:13" ht="12.75">
      <c r="B5" s="25"/>
      <c r="G5" s="28"/>
      <c r="H5" s="28"/>
      <c r="I5" s="28"/>
      <c r="J5" s="28"/>
      <c r="K5" s="28"/>
      <c r="L5" s="28"/>
      <c r="M5" s="28"/>
    </row>
    <row r="6" spans="2:13" ht="12.75">
      <c r="B6" s="9" t="s">
        <v>219</v>
      </c>
      <c r="G6" s="28" t="s">
        <v>222</v>
      </c>
      <c r="H6" s="28"/>
      <c r="I6" s="28" t="s">
        <v>222</v>
      </c>
      <c r="J6" s="28"/>
      <c r="K6" s="28" t="s">
        <v>222</v>
      </c>
      <c r="L6" s="28"/>
      <c r="M6" s="28" t="s">
        <v>222</v>
      </c>
    </row>
    <row r="7" spans="2:17" ht="12.75">
      <c r="B7" s="9" t="s">
        <v>220</v>
      </c>
      <c r="G7" s="27" t="s">
        <v>221</v>
      </c>
      <c r="I7" s="27" t="s">
        <v>221</v>
      </c>
      <c r="K7" s="27" t="s">
        <v>221</v>
      </c>
      <c r="M7" s="27" t="s">
        <v>221</v>
      </c>
      <c r="Q7" s="51"/>
    </row>
    <row r="8" spans="2:18" s="51" customFormat="1" ht="12.75">
      <c r="B8" s="51" t="s">
        <v>48</v>
      </c>
      <c r="C8" s="79" t="s">
        <v>165</v>
      </c>
      <c r="F8" s="49"/>
      <c r="G8" s="13" t="s">
        <v>161</v>
      </c>
      <c r="H8" s="13"/>
      <c r="I8" s="13" t="s">
        <v>161</v>
      </c>
      <c r="J8" s="13"/>
      <c r="K8" s="13" t="s">
        <v>161</v>
      </c>
      <c r="L8" s="13"/>
      <c r="M8" s="13" t="s">
        <v>161</v>
      </c>
      <c r="R8" s="55"/>
    </row>
    <row r="9" spans="2:17" ht="12.75">
      <c r="B9" s="9" t="s">
        <v>86</v>
      </c>
      <c r="D9" s="9" t="s">
        <v>52</v>
      </c>
      <c r="F9" s="12"/>
      <c r="G9" s="12">
        <v>33.5</v>
      </c>
      <c r="H9" s="12"/>
      <c r="I9" s="12">
        <v>33.56</v>
      </c>
      <c r="J9" s="12"/>
      <c r="K9" s="12">
        <v>33.53</v>
      </c>
      <c r="L9" s="12"/>
      <c r="M9" s="32">
        <f>AVERAGE(G9:K9)</f>
        <v>33.53</v>
      </c>
      <c r="N9" s="40"/>
      <c r="O9" s="40"/>
      <c r="P9" s="40"/>
      <c r="Q9" s="33"/>
    </row>
    <row r="10" spans="6:17" ht="12.75">
      <c r="F10" s="12"/>
      <c r="G10" s="12"/>
      <c r="H10" s="12"/>
      <c r="I10" s="12"/>
      <c r="J10" s="12"/>
      <c r="K10" s="12"/>
      <c r="L10" s="12"/>
      <c r="M10" s="33"/>
      <c r="N10" s="40"/>
      <c r="O10" s="40"/>
      <c r="P10" s="40"/>
      <c r="Q10" s="33"/>
    </row>
    <row r="11" spans="6:17" ht="12.75">
      <c r="F11" s="28"/>
      <c r="G11" s="61"/>
      <c r="H11" s="61"/>
      <c r="I11" s="61"/>
      <c r="J11" s="61"/>
      <c r="K11" s="62"/>
      <c r="L11" s="62"/>
      <c r="M11" s="33"/>
      <c r="N11" s="62"/>
      <c r="O11" s="62"/>
      <c r="P11" s="62"/>
      <c r="Q11" s="33"/>
    </row>
    <row r="12" spans="2:17" ht="12.75">
      <c r="B12" s="25" t="str">
        <f>cond!C13</f>
        <v>3004C2</v>
      </c>
      <c r="C12" s="9" t="str">
        <f>cond!C20</f>
        <v>GB agent trial burn</v>
      </c>
      <c r="G12" s="28" t="s">
        <v>199</v>
      </c>
      <c r="H12" s="28"/>
      <c r="I12" s="28" t="s">
        <v>200</v>
      </c>
      <c r="J12" s="28"/>
      <c r="K12" s="28" t="s">
        <v>201</v>
      </c>
      <c r="L12" s="28"/>
      <c r="M12" s="28" t="s">
        <v>47</v>
      </c>
      <c r="N12" s="62"/>
      <c r="O12" s="62"/>
      <c r="P12" s="62"/>
      <c r="Q12" s="33"/>
    </row>
    <row r="13" spans="2:17" ht="12.75">
      <c r="B13" s="25"/>
      <c r="G13" s="28"/>
      <c r="H13" s="28"/>
      <c r="I13" s="28"/>
      <c r="J13" s="28"/>
      <c r="K13" s="28"/>
      <c r="L13" s="28"/>
      <c r="M13" s="28"/>
      <c r="N13" s="62"/>
      <c r="O13" s="62"/>
      <c r="P13" s="62"/>
      <c r="Q13" s="33"/>
    </row>
    <row r="14" spans="2:17" ht="12.75">
      <c r="B14" s="9" t="s">
        <v>219</v>
      </c>
      <c r="G14" s="28" t="s">
        <v>222</v>
      </c>
      <c r="H14" s="28"/>
      <c r="I14" s="28" t="s">
        <v>222</v>
      </c>
      <c r="J14" s="28"/>
      <c r="K14" s="28" t="s">
        <v>222</v>
      </c>
      <c r="L14" s="28"/>
      <c r="M14" s="28" t="s">
        <v>222</v>
      </c>
      <c r="N14" s="62"/>
      <c r="O14" s="62"/>
      <c r="P14" s="62"/>
      <c r="Q14" s="33"/>
    </row>
    <row r="15" spans="2:17" ht="12.75">
      <c r="B15" s="9" t="s">
        <v>220</v>
      </c>
      <c r="G15" s="27" t="s">
        <v>221</v>
      </c>
      <c r="I15" s="27" t="s">
        <v>221</v>
      </c>
      <c r="K15" s="27" t="s">
        <v>221</v>
      </c>
      <c r="M15" s="27" t="s">
        <v>221</v>
      </c>
      <c r="N15" s="62"/>
      <c r="O15" s="62"/>
      <c r="P15" s="62"/>
      <c r="Q15" s="33"/>
    </row>
    <row r="16" spans="2:17" ht="12.75">
      <c r="B16" s="51" t="s">
        <v>48</v>
      </c>
      <c r="C16" s="79" t="s">
        <v>181</v>
      </c>
      <c r="D16" s="51"/>
      <c r="E16" s="51"/>
      <c r="F16" s="49"/>
      <c r="G16" s="13" t="s">
        <v>135</v>
      </c>
      <c r="H16" s="13"/>
      <c r="I16" s="13" t="s">
        <v>135</v>
      </c>
      <c r="J16" s="13"/>
      <c r="K16" s="13" t="s">
        <v>135</v>
      </c>
      <c r="L16" s="13"/>
      <c r="M16" s="13" t="s">
        <v>135</v>
      </c>
      <c r="N16" s="62"/>
      <c r="O16" s="62"/>
      <c r="P16" s="62"/>
      <c r="Q16" s="33"/>
    </row>
    <row r="17" spans="2:17" ht="12.75">
      <c r="B17" s="9" t="s">
        <v>86</v>
      </c>
      <c r="D17" s="9" t="s">
        <v>52</v>
      </c>
      <c r="F17" s="12"/>
      <c r="G17" s="12">
        <f>emiss!G103</f>
        <v>54.67</v>
      </c>
      <c r="H17" s="12"/>
      <c r="I17" s="12">
        <f>emiss!I103</f>
        <v>55.44</v>
      </c>
      <c r="J17" s="12"/>
      <c r="K17" s="12">
        <f>emiss!K103</f>
        <v>56.67</v>
      </c>
      <c r="L17" s="12"/>
      <c r="M17" s="32">
        <f>AVERAGE(G17:K17)</f>
        <v>55.593333333333334</v>
      </c>
      <c r="N17" s="62"/>
      <c r="O17" s="62"/>
      <c r="P17" s="62"/>
      <c r="Q17" s="33"/>
    </row>
    <row r="18" spans="7:17" ht="12.75">
      <c r="G18" s="61"/>
      <c r="H18" s="61"/>
      <c r="I18" s="62"/>
      <c r="J18" s="62"/>
      <c r="K18" s="62"/>
      <c r="L18" s="62"/>
      <c r="M18" s="33"/>
      <c r="N18" s="62"/>
      <c r="O18" s="62"/>
      <c r="P18" s="62"/>
      <c r="Q18" s="33"/>
    </row>
    <row r="19" spans="7:17" ht="12.75">
      <c r="G19" s="61"/>
      <c r="H19" s="61"/>
      <c r="I19" s="62"/>
      <c r="J19" s="62"/>
      <c r="K19" s="62"/>
      <c r="L19" s="62"/>
      <c r="M19" s="33"/>
      <c r="N19" s="62"/>
      <c r="O19" s="62"/>
      <c r="P19" s="62"/>
      <c r="Q19" s="33"/>
    </row>
    <row r="20" spans="7:17" ht="12.75">
      <c r="G20" s="61"/>
      <c r="H20" s="61"/>
      <c r="I20" s="62"/>
      <c r="J20" s="62"/>
      <c r="K20" s="62"/>
      <c r="L20" s="62"/>
      <c r="M20" s="33"/>
      <c r="N20" s="62"/>
      <c r="O20" s="62"/>
      <c r="P20" s="62"/>
      <c r="Q20" s="33"/>
    </row>
    <row r="21" spans="7:17" ht="12.75">
      <c r="G21" s="61"/>
      <c r="H21" s="61"/>
      <c r="I21" s="61"/>
      <c r="J21" s="61"/>
      <c r="K21" s="62"/>
      <c r="L21" s="62"/>
      <c r="M21" s="33"/>
      <c r="N21" s="62"/>
      <c r="O21" s="62"/>
      <c r="P21" s="62"/>
      <c r="Q21" s="33"/>
    </row>
    <row r="22" spans="7:17" ht="12.75">
      <c r="G22" s="61"/>
      <c r="H22" s="61"/>
      <c r="I22" s="61"/>
      <c r="J22" s="61"/>
      <c r="K22" s="62"/>
      <c r="L22" s="62"/>
      <c r="M22" s="33"/>
      <c r="N22" s="62"/>
      <c r="O22" s="62"/>
      <c r="P22" s="62"/>
      <c r="Q22" s="33"/>
    </row>
    <row r="23" spans="7:17" ht="12.75">
      <c r="G23" s="61"/>
      <c r="H23" s="61"/>
      <c r="I23" s="61"/>
      <c r="J23" s="61"/>
      <c r="K23" s="62"/>
      <c r="L23" s="62"/>
      <c r="M23" s="33"/>
      <c r="N23" s="62"/>
      <c r="O23" s="62"/>
      <c r="P23" s="62"/>
      <c r="Q23" s="33"/>
    </row>
    <row r="24" spans="7:17" ht="12.75">
      <c r="G24" s="61"/>
      <c r="H24" s="61"/>
      <c r="I24" s="61"/>
      <c r="J24" s="61"/>
      <c r="K24" s="62"/>
      <c r="L24" s="62"/>
      <c r="M24" s="33"/>
      <c r="N24" s="62"/>
      <c r="O24" s="62"/>
      <c r="P24" s="62"/>
      <c r="Q24" s="33"/>
    </row>
    <row r="25" spans="7:17" ht="12.75">
      <c r="G25" s="61"/>
      <c r="H25" s="61"/>
      <c r="I25" s="62"/>
      <c r="J25" s="62"/>
      <c r="K25" s="62"/>
      <c r="L25" s="62"/>
      <c r="M25" s="33"/>
      <c r="N25" s="62"/>
      <c r="O25" s="62"/>
      <c r="P25" s="62"/>
      <c r="Q25" s="33"/>
    </row>
    <row r="26" spans="7:19" ht="12.75">
      <c r="G26" s="61"/>
      <c r="H26" s="61"/>
      <c r="I26" s="62"/>
      <c r="J26" s="62"/>
      <c r="K26" s="62"/>
      <c r="L26" s="62"/>
      <c r="M26" s="33"/>
      <c r="N26" s="62"/>
      <c r="O26" s="62"/>
      <c r="P26" s="62"/>
      <c r="Q26" s="33"/>
      <c r="R26" s="29"/>
      <c r="S26" s="29"/>
    </row>
    <row r="27" spans="7:19" ht="12.75">
      <c r="G27" s="61"/>
      <c r="H27" s="61"/>
      <c r="I27" s="62"/>
      <c r="J27" s="62"/>
      <c r="K27" s="62"/>
      <c r="L27" s="62"/>
      <c r="M27" s="33"/>
      <c r="N27" s="62"/>
      <c r="O27" s="62"/>
      <c r="P27" s="62"/>
      <c r="Q27" s="33"/>
      <c r="R27" s="10"/>
      <c r="S27" s="10"/>
    </row>
    <row r="28" spans="7:19" ht="12.75">
      <c r="G28" s="61"/>
      <c r="H28" s="61"/>
      <c r="I28" s="62"/>
      <c r="J28" s="62"/>
      <c r="K28" s="62"/>
      <c r="L28" s="62"/>
      <c r="M28" s="33"/>
      <c r="N28" s="62"/>
      <c r="O28" s="62"/>
      <c r="P28" s="62"/>
      <c r="Q28" s="33"/>
      <c r="R28" s="10"/>
      <c r="S28" s="10"/>
    </row>
    <row r="29" spans="3:19" ht="12.75">
      <c r="C29" s="46"/>
      <c r="G29" s="61"/>
      <c r="H29" s="61"/>
      <c r="I29" s="62"/>
      <c r="J29" s="62"/>
      <c r="K29" s="62"/>
      <c r="L29" s="62"/>
      <c r="M29" s="33"/>
      <c r="N29" s="62"/>
      <c r="O29" s="62"/>
      <c r="P29" s="62"/>
      <c r="Q29" s="33"/>
      <c r="R29" s="10"/>
      <c r="S29" s="10"/>
    </row>
    <row r="30" spans="6:17" ht="12.75">
      <c r="F30" s="16"/>
      <c r="G30" s="61"/>
      <c r="H30" s="61"/>
      <c r="I30" s="62"/>
      <c r="J30" s="62"/>
      <c r="K30" s="62"/>
      <c r="L30" s="62"/>
      <c r="M30" s="33"/>
      <c r="N30" s="62"/>
      <c r="O30" s="62"/>
      <c r="P30" s="62"/>
      <c r="Q30" s="33"/>
    </row>
    <row r="31" spans="6:17" ht="12.75">
      <c r="F31" s="16"/>
      <c r="G31" s="61"/>
      <c r="H31" s="61"/>
      <c r="I31" s="61"/>
      <c r="J31" s="61"/>
      <c r="K31" s="62"/>
      <c r="L31" s="62"/>
      <c r="M31" s="33"/>
      <c r="N31" s="62"/>
      <c r="O31" s="62"/>
      <c r="P31" s="62"/>
      <c r="Q31" s="33"/>
    </row>
    <row r="32" spans="7:17" ht="12.75">
      <c r="G32" s="61"/>
      <c r="H32" s="61"/>
      <c r="I32" s="62"/>
      <c r="J32" s="62"/>
      <c r="K32" s="62"/>
      <c r="L32" s="62"/>
      <c r="M32" s="33"/>
      <c r="N32" s="62"/>
      <c r="O32" s="62"/>
      <c r="P32" s="62"/>
      <c r="Q32" s="33"/>
    </row>
    <row r="33" spans="7:8" ht="12.75">
      <c r="G33" s="10"/>
      <c r="H33" s="10"/>
    </row>
    <row r="34" spans="6:8" ht="12.75">
      <c r="F34" s="28"/>
      <c r="G34" s="10"/>
      <c r="H34" s="10"/>
    </row>
    <row r="35" spans="6:8" ht="12.75">
      <c r="F35" s="28"/>
      <c r="G35" s="10"/>
      <c r="H35" s="10"/>
    </row>
    <row r="36" spans="6:8" ht="12.75">
      <c r="F36" s="28"/>
      <c r="G36" s="10"/>
      <c r="H36" s="10"/>
    </row>
    <row r="37" spans="2:8" ht="12.75">
      <c r="B37" s="46"/>
      <c r="G37" s="10"/>
      <c r="H37" s="10"/>
    </row>
    <row r="38" spans="7:18" ht="12.75">
      <c r="G38" s="10"/>
      <c r="H38" s="10"/>
      <c r="M38" s="29"/>
      <c r="Q38" s="29"/>
      <c r="R38" s="29"/>
    </row>
    <row r="39" spans="7:18" ht="12.75">
      <c r="G39" s="10"/>
      <c r="H39" s="10"/>
      <c r="M39" s="29"/>
      <c r="Q39" s="29"/>
      <c r="R39" s="29"/>
    </row>
    <row r="40" spans="7:18" ht="12.75">
      <c r="G40" s="10"/>
      <c r="H40" s="10"/>
      <c r="M40" s="29"/>
      <c r="Q40" s="29"/>
      <c r="R40" s="29"/>
    </row>
    <row r="41" spans="7:18" ht="12.75">
      <c r="G41" s="10"/>
      <c r="H41" s="10"/>
      <c r="M41" s="29"/>
      <c r="Q41" s="29"/>
      <c r="R41" s="29"/>
    </row>
    <row r="42" spans="7:18" ht="12.75">
      <c r="G42" s="10"/>
      <c r="H42" s="10"/>
      <c r="M42" s="29"/>
      <c r="Q42" s="29"/>
      <c r="R42" s="29"/>
    </row>
    <row r="43" spans="7:18" ht="12.75">
      <c r="G43" s="10"/>
      <c r="H43" s="10"/>
      <c r="M43" s="29"/>
      <c r="Q43" s="29"/>
      <c r="R43" s="29"/>
    </row>
    <row r="44" spans="7:18" ht="12.75">
      <c r="G44" s="10"/>
      <c r="H44" s="10"/>
      <c r="M44" s="29"/>
      <c r="Q44" s="29"/>
      <c r="R44" s="29"/>
    </row>
    <row r="45" spans="7:18" ht="12.75">
      <c r="G45" s="10"/>
      <c r="H45" s="10"/>
      <c r="M45" s="29"/>
      <c r="Q45" s="29"/>
      <c r="R45" s="29"/>
    </row>
    <row r="46" spans="7:18" ht="12.75">
      <c r="G46" s="10"/>
      <c r="H46" s="10"/>
      <c r="M46" s="29"/>
      <c r="Q46" s="29"/>
      <c r="R46" s="29"/>
    </row>
    <row r="47" spans="13:18" ht="12.75">
      <c r="M47" s="29"/>
      <c r="Q47" s="29"/>
      <c r="R47" s="29"/>
    </row>
    <row r="48" spans="3:18" ht="12.75">
      <c r="C48" s="25"/>
      <c r="M48" s="29"/>
      <c r="Q48" s="29"/>
      <c r="R48" s="29"/>
    </row>
    <row r="49" spans="13:18" ht="12.75">
      <c r="M49" s="29"/>
      <c r="Q49" s="29"/>
      <c r="R49" s="29"/>
    </row>
    <row r="50" spans="13:18" ht="12.75">
      <c r="M50" s="29"/>
      <c r="Q50" s="29"/>
      <c r="R50" s="29"/>
    </row>
    <row r="51" spans="13:18" ht="12.75">
      <c r="M51" s="29"/>
      <c r="Q51" s="29"/>
      <c r="R51" s="29"/>
    </row>
    <row r="52" spans="13:18" ht="12.75">
      <c r="M52" s="29"/>
      <c r="Q52" s="29"/>
      <c r="R52" s="29"/>
    </row>
    <row r="53" spans="13:18" ht="12.75">
      <c r="M53" s="29"/>
      <c r="Q53" s="29"/>
      <c r="R53" s="29"/>
    </row>
    <row r="54" spans="13:18" ht="12.75">
      <c r="M54" s="29"/>
      <c r="Q54" s="29"/>
      <c r="R54" s="29"/>
    </row>
    <row r="55" spans="13:18" ht="12.75">
      <c r="M55" s="29"/>
      <c r="Q55" s="29"/>
      <c r="R55" s="29"/>
    </row>
    <row r="56" spans="13:18" ht="12.75">
      <c r="M56" s="29"/>
      <c r="Q56" s="29"/>
      <c r="R56" s="29"/>
    </row>
    <row r="57" spans="13:18" ht="12.75">
      <c r="M57" s="29"/>
      <c r="Q57" s="29"/>
      <c r="R57" s="29"/>
    </row>
    <row r="59" ht="12.75">
      <c r="R59" s="29"/>
    </row>
    <row r="60" ht="12.75">
      <c r="R60" s="29"/>
    </row>
    <row r="64" spans="1:3" ht="12.75">
      <c r="A64" s="26" t="s">
        <v>85</v>
      </c>
      <c r="B64" s="25"/>
      <c r="C64" s="25"/>
    </row>
    <row r="65" spans="7:17" ht="12.75">
      <c r="G65" s="28"/>
      <c r="H65" s="28"/>
      <c r="I65" s="28"/>
      <c r="J65" s="28"/>
      <c r="K65" s="28"/>
      <c r="L65" s="28"/>
      <c r="M65" s="28"/>
      <c r="Q65" s="51"/>
    </row>
    <row r="66" spans="1:18" ht="12.75">
      <c r="A66" s="51"/>
      <c r="B66" s="51"/>
      <c r="C66" s="51"/>
      <c r="D66" s="51"/>
      <c r="E66" s="51"/>
      <c r="F66" s="49"/>
      <c r="G66" s="13"/>
      <c r="H66" s="13"/>
      <c r="I66" s="13"/>
      <c r="J66" s="13"/>
      <c r="K66" s="13"/>
      <c r="L66" s="13"/>
      <c r="M66" s="13"/>
      <c r="N66" s="51"/>
      <c r="O66" s="51"/>
      <c r="P66" s="51"/>
      <c r="Q66" s="51"/>
      <c r="R66" s="55"/>
    </row>
    <row r="67" spans="6:17" ht="12.75">
      <c r="F67" s="12"/>
      <c r="G67" s="12"/>
      <c r="H67" s="12"/>
      <c r="I67" s="12"/>
      <c r="J67" s="12"/>
      <c r="K67" s="12"/>
      <c r="L67" s="12"/>
      <c r="M67" s="41"/>
      <c r="N67" s="40"/>
      <c r="O67" s="40"/>
      <c r="P67" s="40"/>
      <c r="Q67" s="33"/>
    </row>
    <row r="68" spans="6:17" ht="12.75">
      <c r="F68" s="12"/>
      <c r="G68" s="12"/>
      <c r="H68" s="12"/>
      <c r="I68" s="12"/>
      <c r="J68" s="12"/>
      <c r="K68" s="12"/>
      <c r="L68" s="12"/>
      <c r="M68" s="33"/>
      <c r="N68" s="40"/>
      <c r="O68" s="40"/>
      <c r="P68" s="40"/>
      <c r="Q68" s="33"/>
    </row>
    <row r="69" spans="6:17" ht="12.75">
      <c r="F69" s="28"/>
      <c r="G69" s="69"/>
      <c r="H69" s="61"/>
      <c r="I69" s="69"/>
      <c r="J69" s="61"/>
      <c r="K69" s="34"/>
      <c r="L69" s="34"/>
      <c r="M69" s="33"/>
      <c r="N69" s="62"/>
      <c r="O69" s="62"/>
      <c r="P69" s="62"/>
      <c r="Q69" s="33"/>
    </row>
    <row r="70" spans="7:17" ht="12.75">
      <c r="G70" s="69"/>
      <c r="H70" s="61"/>
      <c r="I70" s="34"/>
      <c r="J70" s="62"/>
      <c r="K70" s="34"/>
      <c r="L70" s="34"/>
      <c r="M70" s="33"/>
      <c r="N70" s="62"/>
      <c r="O70" s="62"/>
      <c r="P70" s="62"/>
      <c r="Q70" s="33"/>
    </row>
    <row r="71" spans="7:17" ht="12.75">
      <c r="G71" s="69"/>
      <c r="H71" s="61"/>
      <c r="I71" s="34"/>
      <c r="J71" s="62"/>
      <c r="K71" s="34"/>
      <c r="L71" s="34"/>
      <c r="M71" s="33"/>
      <c r="N71" s="62"/>
      <c r="O71" s="62"/>
      <c r="P71" s="62"/>
      <c r="Q71" s="33"/>
    </row>
    <row r="72" spans="7:17" ht="12.75">
      <c r="G72" s="69"/>
      <c r="H72" s="61"/>
      <c r="I72" s="24"/>
      <c r="J72" s="17"/>
      <c r="K72" s="24"/>
      <c r="L72" s="24"/>
      <c r="M72" s="33"/>
      <c r="N72" s="62"/>
      <c r="O72" s="62"/>
      <c r="P72" s="62"/>
      <c r="Q72" s="33"/>
    </row>
    <row r="73" spans="7:17" ht="12.75">
      <c r="G73" s="69"/>
      <c r="H73" s="61"/>
      <c r="I73" s="24"/>
      <c r="J73" s="17"/>
      <c r="K73" s="24"/>
      <c r="L73" s="24"/>
      <c r="M73" s="33"/>
      <c r="N73" s="62"/>
      <c r="O73" s="62"/>
      <c r="P73" s="62"/>
      <c r="Q73" s="33"/>
    </row>
    <row r="74" spans="6:17" ht="12.75">
      <c r="F74" s="16"/>
      <c r="G74" s="69"/>
      <c r="H74" s="61"/>
      <c r="I74" s="24"/>
      <c r="J74" s="17"/>
      <c r="K74" s="24"/>
      <c r="L74" s="24"/>
      <c r="M74" s="33"/>
      <c r="N74" s="62"/>
      <c r="O74" s="62"/>
      <c r="P74" s="62"/>
      <c r="Q74" s="33"/>
    </row>
    <row r="75" spans="6:17" ht="12.75">
      <c r="F75" s="16"/>
      <c r="G75" s="69"/>
      <c r="H75" s="61"/>
      <c r="I75" s="24"/>
      <c r="J75" s="17"/>
      <c r="K75" s="24"/>
      <c r="L75" s="24"/>
      <c r="M75" s="33"/>
      <c r="N75" s="62"/>
      <c r="O75" s="62"/>
      <c r="P75" s="62"/>
      <c r="Q75" s="33"/>
    </row>
    <row r="76" spans="7:17" ht="12.75">
      <c r="G76" s="69"/>
      <c r="H76" s="61"/>
      <c r="I76" s="34"/>
      <c r="J76" s="62"/>
      <c r="K76" s="24"/>
      <c r="L76" s="24"/>
      <c r="M76" s="33"/>
      <c r="N76" s="62"/>
      <c r="O76" s="62"/>
      <c r="P76" s="62"/>
      <c r="Q76" s="33"/>
    </row>
    <row r="77" spans="6:17" ht="12.75">
      <c r="F77" s="16"/>
      <c r="G77" s="69"/>
      <c r="H77" s="61"/>
      <c r="I77" s="69"/>
      <c r="J77" s="61"/>
      <c r="K77" s="24"/>
      <c r="L77" s="24"/>
      <c r="M77" s="33"/>
      <c r="N77" s="62"/>
      <c r="O77" s="62"/>
      <c r="P77" s="62"/>
      <c r="Q77" s="33"/>
    </row>
    <row r="78" spans="7:17" ht="12.75">
      <c r="G78" s="69"/>
      <c r="H78" s="61"/>
      <c r="I78" s="61"/>
      <c r="J78" s="61"/>
      <c r="K78" s="17"/>
      <c r="L78" s="17"/>
      <c r="M78" s="33"/>
      <c r="N78" s="62"/>
      <c r="O78" s="62"/>
      <c r="P78" s="62"/>
      <c r="Q78" s="33"/>
    </row>
    <row r="79" spans="7:17" ht="12.75">
      <c r="G79" s="69"/>
      <c r="H79" s="61"/>
      <c r="I79" s="61"/>
      <c r="J79" s="61"/>
      <c r="K79" s="17"/>
      <c r="L79" s="17"/>
      <c r="M79" s="33"/>
      <c r="N79" s="62"/>
      <c r="O79" s="62"/>
      <c r="P79" s="62"/>
      <c r="Q79" s="33"/>
    </row>
    <row r="80" spans="7:17" ht="12.75">
      <c r="G80" s="69"/>
      <c r="H80" s="61"/>
      <c r="I80" s="61"/>
      <c r="J80" s="61"/>
      <c r="K80" s="17"/>
      <c r="L80" s="17"/>
      <c r="M80" s="33"/>
      <c r="N80" s="62"/>
      <c r="O80" s="62"/>
      <c r="P80" s="62"/>
      <c r="Q80" s="33"/>
    </row>
    <row r="81" spans="7:17" ht="12.75">
      <c r="G81" s="69"/>
      <c r="H81" s="61"/>
      <c r="I81" s="61"/>
      <c r="J81" s="61"/>
      <c r="K81" s="17"/>
      <c r="L81" s="17"/>
      <c r="M81" s="33"/>
      <c r="N81" s="62"/>
      <c r="O81" s="62"/>
      <c r="P81" s="62"/>
      <c r="Q81" s="33"/>
    </row>
    <row r="82" spans="7:17" ht="12.75">
      <c r="G82" s="69"/>
      <c r="H82" s="61"/>
      <c r="I82" s="60"/>
      <c r="J82" s="23"/>
      <c r="K82" s="24"/>
      <c r="L82" s="24"/>
      <c r="M82" s="33"/>
      <c r="N82" s="62"/>
      <c r="O82" s="62"/>
      <c r="P82" s="62"/>
      <c r="Q82" s="33"/>
    </row>
    <row r="83" spans="7:18" ht="12.75">
      <c r="G83" s="69"/>
      <c r="H83" s="61"/>
      <c r="I83" s="23"/>
      <c r="J83" s="62"/>
      <c r="K83" s="17"/>
      <c r="L83" s="17"/>
      <c r="M83" s="33"/>
      <c r="N83" s="62"/>
      <c r="O83" s="62"/>
      <c r="P83" s="62"/>
      <c r="Q83" s="33"/>
      <c r="R83" s="29"/>
    </row>
    <row r="84" spans="6:18" ht="12.75">
      <c r="F84" s="61"/>
      <c r="G84" s="69"/>
      <c r="H84" s="61"/>
      <c r="I84" s="60"/>
      <c r="J84" s="23"/>
      <c r="K84" s="24"/>
      <c r="L84" s="24"/>
      <c r="M84" s="33"/>
      <c r="N84" s="62"/>
      <c r="O84" s="62"/>
      <c r="P84" s="62"/>
      <c r="Q84" s="33"/>
      <c r="R84" s="10"/>
    </row>
    <row r="85" spans="6:18" ht="12.75">
      <c r="F85" s="61"/>
      <c r="G85" s="69"/>
      <c r="H85" s="61"/>
      <c r="I85" s="60"/>
      <c r="J85" s="23"/>
      <c r="K85" s="24"/>
      <c r="L85" s="24"/>
      <c r="M85" s="33"/>
      <c r="N85" s="62"/>
      <c r="O85" s="62"/>
      <c r="P85" s="62"/>
      <c r="Q85" s="33"/>
      <c r="R85" s="10"/>
    </row>
    <row r="86" spans="3:18" ht="12.75">
      <c r="C86" s="46"/>
      <c r="F86" s="61"/>
      <c r="G86" s="69"/>
      <c r="H86" s="61"/>
      <c r="I86" s="60"/>
      <c r="J86" s="23"/>
      <c r="K86" s="24"/>
      <c r="L86" s="24"/>
      <c r="M86" s="33"/>
      <c r="N86" s="62"/>
      <c r="O86" s="62"/>
      <c r="P86" s="62"/>
      <c r="Q86" s="33"/>
      <c r="R86" s="10"/>
    </row>
    <row r="87" spans="6:17" ht="12.75">
      <c r="F87" s="23"/>
      <c r="G87" s="69"/>
      <c r="H87" s="61"/>
      <c r="I87" s="60"/>
      <c r="J87" s="23"/>
      <c r="K87" s="24"/>
      <c r="L87" s="24"/>
      <c r="M87" s="33"/>
      <c r="N87" s="62"/>
      <c r="O87" s="62"/>
      <c r="P87" s="62"/>
      <c r="Q87" s="33"/>
    </row>
    <row r="88" spans="6:17" ht="12.75">
      <c r="F88" s="23"/>
      <c r="G88" s="69"/>
      <c r="H88" s="61"/>
      <c r="I88" s="60"/>
      <c r="J88" s="61"/>
      <c r="K88" s="24"/>
      <c r="L88" s="24"/>
      <c r="M88" s="33"/>
      <c r="N88" s="62"/>
      <c r="O88" s="62"/>
      <c r="P88" s="62"/>
      <c r="Q88" s="33"/>
    </row>
    <row r="89" spans="7:17" ht="12.75">
      <c r="G89" s="69"/>
      <c r="H89" s="61"/>
      <c r="I89" s="23"/>
      <c r="J89" s="62"/>
      <c r="K89" s="17"/>
      <c r="L89" s="17"/>
      <c r="M89" s="33"/>
      <c r="N89" s="62"/>
      <c r="O89" s="62"/>
      <c r="P89" s="62"/>
      <c r="Q89" s="33"/>
    </row>
    <row r="90" spans="7:8" ht="12.75">
      <c r="G90" s="10"/>
      <c r="H90" s="10"/>
    </row>
    <row r="91" spans="6:13" ht="12.75">
      <c r="F91" s="28"/>
      <c r="G91" s="10"/>
      <c r="H91" s="10"/>
      <c r="M91" s="40"/>
    </row>
    <row r="92" spans="6:13" ht="12.75">
      <c r="F92" s="28"/>
      <c r="G92" s="10"/>
      <c r="H92" s="10"/>
      <c r="M92" s="29"/>
    </row>
    <row r="93" spans="6:13" ht="12.75">
      <c r="F93" s="28"/>
      <c r="G93" s="10"/>
      <c r="H93" s="10"/>
      <c r="M93" s="29"/>
    </row>
    <row r="94" spans="2:16" ht="12.75">
      <c r="B94" s="46"/>
      <c r="G94" s="10"/>
      <c r="H94" s="10"/>
      <c r="M94" s="29"/>
      <c r="P94" s="40"/>
    </row>
    <row r="95" spans="6:18" ht="12.75">
      <c r="F95" s="28"/>
      <c r="G95" s="29"/>
      <c r="H95" s="61"/>
      <c r="I95" s="29"/>
      <c r="J95" s="61"/>
      <c r="K95" s="29"/>
      <c r="L95" s="29"/>
      <c r="M95" s="40"/>
      <c r="Q95" s="29"/>
      <c r="R95" s="29"/>
    </row>
    <row r="96" spans="7:18" ht="12.75">
      <c r="G96" s="29"/>
      <c r="H96" s="61"/>
      <c r="I96" s="29"/>
      <c r="J96" s="62"/>
      <c r="K96" s="29"/>
      <c r="L96" s="29"/>
      <c r="M96" s="29"/>
      <c r="Q96" s="29"/>
      <c r="R96" s="29"/>
    </row>
    <row r="97" spans="7:18" ht="12.75">
      <c r="G97" s="29"/>
      <c r="H97" s="61"/>
      <c r="I97" s="29"/>
      <c r="J97" s="62"/>
      <c r="K97" s="29"/>
      <c r="L97" s="29"/>
      <c r="M97" s="40"/>
      <c r="Q97" s="29"/>
      <c r="R97" s="29"/>
    </row>
    <row r="98" spans="7:18" ht="12.75">
      <c r="G98" s="29"/>
      <c r="H98" s="61"/>
      <c r="I98" s="29"/>
      <c r="J98" s="17"/>
      <c r="K98" s="29"/>
      <c r="L98" s="29"/>
      <c r="M98" s="29"/>
      <c r="Q98" s="29"/>
      <c r="R98" s="29"/>
    </row>
    <row r="99" spans="7:18" ht="12.75">
      <c r="G99" s="29"/>
      <c r="H99" s="61"/>
      <c r="I99" s="29"/>
      <c r="J99" s="17"/>
      <c r="K99" s="29"/>
      <c r="L99" s="29"/>
      <c r="M99" s="29"/>
      <c r="Q99" s="29"/>
      <c r="R99" s="29"/>
    </row>
    <row r="100" spans="6:18" ht="12.75">
      <c r="F100" s="16"/>
      <c r="G100" s="29"/>
      <c r="H100" s="61"/>
      <c r="I100" s="29"/>
      <c r="J100" s="17"/>
      <c r="K100" s="29"/>
      <c r="L100" s="29"/>
      <c r="M100" s="40"/>
      <c r="Q100" s="29"/>
      <c r="R100" s="29"/>
    </row>
    <row r="101" spans="6:18" ht="12.75">
      <c r="F101" s="16"/>
      <c r="G101" s="29"/>
      <c r="H101" s="61"/>
      <c r="I101" s="29"/>
      <c r="J101" s="17"/>
      <c r="K101" s="29"/>
      <c r="L101" s="29"/>
      <c r="M101" s="29"/>
      <c r="Q101" s="29"/>
      <c r="R101" s="29"/>
    </row>
    <row r="102" spans="7:18" ht="12.75">
      <c r="G102" s="29"/>
      <c r="H102" s="61"/>
      <c r="I102" s="29"/>
      <c r="J102" s="62"/>
      <c r="K102" s="29"/>
      <c r="L102" s="29"/>
      <c r="M102" s="40"/>
      <c r="Q102" s="29"/>
      <c r="R102" s="29"/>
    </row>
    <row r="103" spans="6:18" ht="12.75">
      <c r="F103" s="16"/>
      <c r="G103" s="29"/>
      <c r="H103" s="61"/>
      <c r="I103" s="29"/>
      <c r="J103" s="61"/>
      <c r="K103" s="29"/>
      <c r="L103" s="29"/>
      <c r="M103" s="40"/>
      <c r="Q103" s="29"/>
      <c r="R103" s="29"/>
    </row>
    <row r="104" spans="7:18" ht="12.75">
      <c r="G104" s="29"/>
      <c r="H104" s="61"/>
      <c r="I104" s="29"/>
      <c r="J104" s="61"/>
      <c r="K104" s="29"/>
      <c r="L104" s="29"/>
      <c r="M104" s="40"/>
      <c r="Q104" s="29"/>
      <c r="R104" s="29"/>
    </row>
    <row r="105" spans="7:18" ht="12.75">
      <c r="G105" s="29"/>
      <c r="H105" s="61"/>
      <c r="I105" s="29"/>
      <c r="J105" s="61"/>
      <c r="K105" s="29"/>
      <c r="L105" s="29"/>
      <c r="M105" s="40"/>
      <c r="Q105" s="29"/>
      <c r="R105" s="29"/>
    </row>
    <row r="106" spans="3:18" ht="12.75">
      <c r="C106" s="25"/>
      <c r="G106" s="29"/>
      <c r="H106" s="61"/>
      <c r="I106" s="29"/>
      <c r="J106" s="61"/>
      <c r="K106" s="29"/>
      <c r="L106" s="29"/>
      <c r="M106" s="40"/>
      <c r="Q106" s="29"/>
      <c r="R106" s="29"/>
    </row>
    <row r="107" spans="7:18" ht="12.75">
      <c r="G107" s="29"/>
      <c r="H107" s="61"/>
      <c r="I107" s="29"/>
      <c r="J107" s="61"/>
      <c r="K107" s="29"/>
      <c r="L107" s="29"/>
      <c r="M107" s="40"/>
      <c r="Q107" s="29"/>
      <c r="R107" s="29"/>
    </row>
    <row r="108" spans="7:18" ht="12.75">
      <c r="G108" s="29"/>
      <c r="H108" s="61"/>
      <c r="I108" s="29"/>
      <c r="J108" s="23"/>
      <c r="K108" s="29"/>
      <c r="L108" s="29"/>
      <c r="M108" s="29"/>
      <c r="Q108" s="29"/>
      <c r="R108" s="29"/>
    </row>
    <row r="109" spans="7:18" ht="12.75">
      <c r="G109" s="29"/>
      <c r="H109" s="61"/>
      <c r="I109" s="29"/>
      <c r="J109" s="62"/>
      <c r="K109" s="29"/>
      <c r="L109" s="29"/>
      <c r="M109" s="40"/>
      <c r="Q109" s="29"/>
      <c r="R109" s="29"/>
    </row>
    <row r="110" spans="6:18" ht="12.75">
      <c r="F110" s="61"/>
      <c r="G110" s="29"/>
      <c r="H110" s="61"/>
      <c r="I110" s="29"/>
      <c r="J110" s="23"/>
      <c r="K110" s="29"/>
      <c r="L110" s="29"/>
      <c r="M110" s="29"/>
      <c r="Q110" s="29"/>
      <c r="R110" s="29"/>
    </row>
    <row r="111" spans="6:18" ht="12.75">
      <c r="F111" s="61"/>
      <c r="G111" s="29"/>
      <c r="H111" s="61"/>
      <c r="I111" s="29"/>
      <c r="J111" s="23"/>
      <c r="K111" s="29"/>
      <c r="L111" s="29"/>
      <c r="M111" s="29"/>
      <c r="Q111" s="29"/>
      <c r="R111" s="29"/>
    </row>
    <row r="112" spans="6:18" ht="12.75">
      <c r="F112" s="61"/>
      <c r="G112" s="29"/>
      <c r="H112" s="61"/>
      <c r="I112" s="29"/>
      <c r="J112" s="23"/>
      <c r="K112" s="29"/>
      <c r="L112" s="29"/>
      <c r="M112" s="29"/>
      <c r="Q112" s="29"/>
      <c r="R112" s="29"/>
    </row>
    <row r="113" spans="6:18" ht="12.75">
      <c r="F113" s="23"/>
      <c r="G113" s="29"/>
      <c r="H113" s="61"/>
      <c r="I113" s="29"/>
      <c r="J113" s="23"/>
      <c r="K113" s="29"/>
      <c r="L113" s="29"/>
      <c r="M113" s="29"/>
      <c r="Q113" s="29"/>
      <c r="R113" s="29"/>
    </row>
    <row r="114" spans="6:18" ht="12.75">
      <c r="F114" s="23"/>
      <c r="G114" s="29"/>
      <c r="H114" s="61"/>
      <c r="I114" s="29"/>
      <c r="J114" s="61"/>
      <c r="K114" s="29"/>
      <c r="L114" s="29"/>
      <c r="M114" s="29"/>
      <c r="Q114" s="29"/>
      <c r="R114" s="29"/>
    </row>
    <row r="115" spans="7:18" ht="12.75">
      <c r="G115" s="29"/>
      <c r="H115" s="61"/>
      <c r="I115" s="29"/>
      <c r="J115" s="62"/>
      <c r="K115" s="29"/>
      <c r="L115" s="29"/>
      <c r="M115" s="40"/>
      <c r="Q115" s="29"/>
      <c r="R115" s="29"/>
    </row>
    <row r="117" spans="7:18" ht="12.75">
      <c r="G117" s="70"/>
      <c r="H117" s="70"/>
      <c r="I117" s="70"/>
      <c r="J117" s="70"/>
      <c r="K117" s="70"/>
      <c r="L117" s="70"/>
      <c r="M117" s="40"/>
      <c r="R117" s="29"/>
    </row>
    <row r="118" spans="7:18" ht="12.75">
      <c r="G118" s="70"/>
      <c r="H118" s="70"/>
      <c r="I118" s="70"/>
      <c r="J118" s="70"/>
      <c r="K118" s="70"/>
      <c r="L118" s="70"/>
      <c r="M118" s="40"/>
      <c r="R118" s="29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B1">
      <selection activeCell="C27" sqref="C27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6" t="s">
        <v>63</v>
      </c>
      <c r="C1" s="12"/>
      <c r="D1" s="12"/>
      <c r="E1" s="12"/>
      <c r="F1" s="12"/>
    </row>
    <row r="2" spans="2:6" ht="12.75">
      <c r="B2" s="12"/>
      <c r="C2" s="12"/>
      <c r="D2" s="12"/>
      <c r="E2" s="12"/>
      <c r="F2" s="12"/>
    </row>
    <row r="3" spans="1:6" ht="12.75">
      <c r="A3" t="s">
        <v>85</v>
      </c>
      <c r="B3" s="6" t="str">
        <f>cond!C3</f>
        <v>3004C1</v>
      </c>
      <c r="C3" s="12" t="str">
        <f>cond!C10</f>
        <v>VX agent trial burn</v>
      </c>
      <c r="D3" s="12"/>
      <c r="E3" s="12"/>
      <c r="F3" s="12"/>
    </row>
    <row r="4" spans="2:6" ht="12.75">
      <c r="B4" s="12"/>
      <c r="C4" s="12"/>
      <c r="D4" s="12"/>
      <c r="E4" t="s">
        <v>47</v>
      </c>
      <c r="F4" s="12"/>
    </row>
    <row r="5" spans="2:6" ht="14.25">
      <c r="B5" s="12" t="s">
        <v>151</v>
      </c>
      <c r="C5" s="7" t="s">
        <v>53</v>
      </c>
      <c r="D5" s="7"/>
      <c r="E5">
        <v>1295</v>
      </c>
      <c r="F5" s="12"/>
    </row>
    <row r="6" spans="2:6" ht="14.25">
      <c r="B6" s="12" t="s">
        <v>150</v>
      </c>
      <c r="C6" s="7" t="s">
        <v>53</v>
      </c>
      <c r="D6" s="7"/>
      <c r="E6">
        <v>1680</v>
      </c>
      <c r="F6" s="12"/>
    </row>
    <row r="7" spans="2:5" s="12" customFormat="1" ht="12.75">
      <c r="B7" s="12" t="s">
        <v>124</v>
      </c>
      <c r="C7" s="12" t="s">
        <v>125</v>
      </c>
      <c r="E7">
        <v>2</v>
      </c>
    </row>
    <row r="8" spans="2:5" s="12" customFormat="1" ht="12.75">
      <c r="B8" s="12" t="s">
        <v>126</v>
      </c>
      <c r="C8" s="12" t="s">
        <v>125</v>
      </c>
      <c r="E8">
        <v>40</v>
      </c>
    </row>
    <row r="9" spans="2:5" s="12" customFormat="1" ht="12.75">
      <c r="B9" s="12" t="s">
        <v>128</v>
      </c>
      <c r="C9" s="12" t="s">
        <v>127</v>
      </c>
      <c r="E9">
        <v>66</v>
      </c>
    </row>
    <row r="10" spans="2:5" ht="12.75">
      <c r="B10" t="s">
        <v>152</v>
      </c>
      <c r="C10" t="s">
        <v>127</v>
      </c>
      <c r="E10">
        <v>285</v>
      </c>
    </row>
    <row r="11" spans="2:5" ht="12.75">
      <c r="B11" t="s">
        <v>153</v>
      </c>
      <c r="C11" t="s">
        <v>125</v>
      </c>
      <c r="E11">
        <v>8</v>
      </c>
    </row>
    <row r="12" spans="2:5" ht="12.75">
      <c r="B12" t="s">
        <v>158</v>
      </c>
      <c r="C12" t="s">
        <v>159</v>
      </c>
      <c r="E12">
        <v>9.7</v>
      </c>
    </row>
    <row r="15" spans="2:5" ht="12.75">
      <c r="B15" s="6" t="str">
        <f>emiss!B88</f>
        <v>3004C2</v>
      </c>
      <c r="C15" s="12" t="str">
        <f>cond!C20</f>
        <v>GB agent trial burn</v>
      </c>
      <c r="D15" s="12"/>
      <c r="E15" s="12"/>
    </row>
    <row r="16" spans="2:5" ht="12.75">
      <c r="B16" s="12"/>
      <c r="C16" s="12"/>
      <c r="D16" s="12"/>
      <c r="E16" t="s">
        <v>47</v>
      </c>
    </row>
    <row r="17" spans="2:5" ht="14.25">
      <c r="B17" s="12" t="s">
        <v>151</v>
      </c>
      <c r="C17" s="7" t="s">
        <v>53</v>
      </c>
      <c r="D17" s="7"/>
      <c r="E17">
        <v>1330</v>
      </c>
    </row>
    <row r="18" spans="2:5" ht="14.25">
      <c r="B18" s="12" t="s">
        <v>150</v>
      </c>
      <c r="C18" s="7" t="s">
        <v>53</v>
      </c>
      <c r="D18" s="7"/>
      <c r="E18">
        <v>1675</v>
      </c>
    </row>
    <row r="19" spans="2:5" ht="12.75">
      <c r="B19" s="12" t="s">
        <v>174</v>
      </c>
      <c r="C19" s="12" t="s">
        <v>125</v>
      </c>
      <c r="D19" s="12"/>
      <c r="E19">
        <v>2.5</v>
      </c>
    </row>
    <row r="20" spans="2:5" ht="12.75">
      <c r="B20" s="12" t="s">
        <v>126</v>
      </c>
      <c r="C20" s="12" t="s">
        <v>125</v>
      </c>
      <c r="D20" s="12"/>
      <c r="E20">
        <v>40</v>
      </c>
    </row>
    <row r="21" spans="2:5" ht="12.75">
      <c r="B21" s="12" t="s">
        <v>128</v>
      </c>
      <c r="C21" s="12" t="s">
        <v>127</v>
      </c>
      <c r="D21" s="12"/>
      <c r="E21">
        <v>61</v>
      </c>
    </row>
    <row r="22" spans="2:5" ht="12.75">
      <c r="B22" t="s">
        <v>152</v>
      </c>
      <c r="C22" t="s">
        <v>127</v>
      </c>
      <c r="E22">
        <v>249</v>
      </c>
    </row>
    <row r="23" spans="2:5" ht="12.75">
      <c r="B23" t="s">
        <v>153</v>
      </c>
      <c r="C23" t="s">
        <v>125</v>
      </c>
      <c r="E23">
        <v>8</v>
      </c>
    </row>
    <row r="24" spans="2:3" ht="12.75">
      <c r="B24" t="s">
        <v>158</v>
      </c>
      <c r="C24" t="s">
        <v>159</v>
      </c>
    </row>
    <row r="27" spans="2:3" ht="12.75">
      <c r="B27" s="6" t="str">
        <f>cond!C23</f>
        <v>3004C3</v>
      </c>
      <c r="C27" t="str">
        <f>cond!C30</f>
        <v>Baseline - one run w/nat gas only without agent GB </v>
      </c>
    </row>
    <row r="28" spans="2:5" ht="12.75">
      <c r="B28" s="12"/>
      <c r="C28" s="12"/>
      <c r="D28" s="12"/>
      <c r="E28" t="s">
        <v>47</v>
      </c>
    </row>
    <row r="29" spans="2:5" ht="14.25">
      <c r="B29" s="12" t="s">
        <v>151</v>
      </c>
      <c r="C29" s="7" t="s">
        <v>53</v>
      </c>
      <c r="D29" s="7"/>
      <c r="E29">
        <v>1337</v>
      </c>
    </row>
    <row r="30" spans="2:5" ht="14.25">
      <c r="B30" s="12" t="s">
        <v>150</v>
      </c>
      <c r="C30" s="7" t="s">
        <v>53</v>
      </c>
      <c r="D30" s="7"/>
      <c r="E30">
        <v>1649</v>
      </c>
    </row>
    <row r="31" spans="2:5" ht="12.75">
      <c r="B31" s="12" t="s">
        <v>174</v>
      </c>
      <c r="C31" s="12" t="s">
        <v>125</v>
      </c>
      <c r="D31" s="12"/>
      <c r="E31">
        <v>2.5</v>
      </c>
    </row>
    <row r="32" spans="2:5" ht="12.75">
      <c r="B32" s="12" t="s">
        <v>126</v>
      </c>
      <c r="C32" s="12" t="s">
        <v>125</v>
      </c>
      <c r="D32" s="12"/>
      <c r="E32">
        <v>40</v>
      </c>
    </row>
    <row r="33" spans="2:5" ht="12.75">
      <c r="B33" s="12" t="s">
        <v>128</v>
      </c>
      <c r="C33" s="12" t="s">
        <v>127</v>
      </c>
      <c r="D33" s="12"/>
      <c r="E33">
        <v>59</v>
      </c>
    </row>
    <row r="34" spans="2:5" ht="12.75">
      <c r="B34" t="s">
        <v>152</v>
      </c>
      <c r="C34" t="s">
        <v>127</v>
      </c>
      <c r="E34">
        <v>249</v>
      </c>
    </row>
    <row r="35" spans="2:5" ht="12.75">
      <c r="B35" t="s">
        <v>153</v>
      </c>
      <c r="C35" t="s">
        <v>125</v>
      </c>
      <c r="E35">
        <v>7</v>
      </c>
    </row>
    <row r="36" spans="2:3" ht="12.75">
      <c r="B36" t="s">
        <v>158</v>
      </c>
      <c r="C36" t="s">
        <v>159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32"/>
  <sheetViews>
    <sheetView workbookViewId="0" topLeftCell="A1">
      <selection activeCell="P4" sqref="P4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4.8515625" style="0" customWidth="1"/>
    <col min="5" max="5" width="9.421875" style="0" customWidth="1"/>
    <col min="6" max="6" width="9.8515625" style="0" customWidth="1"/>
    <col min="8" max="8" width="9.8515625" style="0" customWidth="1"/>
    <col min="9" max="9" width="6.00390625" style="52" customWidth="1"/>
    <col min="11" max="11" width="9.28125" style="0" customWidth="1"/>
    <col min="13" max="13" width="9.28125" style="0" customWidth="1"/>
    <col min="14" max="14" width="4.57421875" style="0" customWidth="1"/>
    <col min="16" max="16" width="9.00390625" style="0" customWidth="1"/>
    <col min="18" max="18" width="9.00390625" style="0" customWidth="1"/>
  </cols>
  <sheetData>
    <row r="1" spans="1:18" ht="12.75">
      <c r="A1" s="42" t="s">
        <v>65</v>
      </c>
      <c r="B1" s="26"/>
      <c r="C1" s="26"/>
      <c r="D1" s="26"/>
      <c r="E1" s="34"/>
      <c r="F1" s="35"/>
      <c r="G1" s="34"/>
      <c r="H1" s="35"/>
      <c r="I1" s="38"/>
      <c r="J1" s="34"/>
      <c r="K1" s="34"/>
      <c r="L1" s="34"/>
      <c r="M1" s="34"/>
      <c r="N1" s="34"/>
      <c r="O1" s="34"/>
      <c r="P1" s="34"/>
      <c r="Q1" s="34"/>
      <c r="R1" s="34"/>
    </row>
    <row r="2" spans="1:18" ht="12.75">
      <c r="A2" s="26" t="s">
        <v>224</v>
      </c>
      <c r="B2" s="26"/>
      <c r="C2" s="26"/>
      <c r="D2" s="26"/>
      <c r="E2" s="34"/>
      <c r="F2" s="35"/>
      <c r="G2" s="34"/>
      <c r="H2" s="35"/>
      <c r="I2" s="38"/>
      <c r="J2" s="34"/>
      <c r="K2" s="34"/>
      <c r="L2" s="34"/>
      <c r="M2" s="34"/>
      <c r="N2" s="34"/>
      <c r="O2" s="34"/>
      <c r="P2" s="34"/>
      <c r="Q2" s="34"/>
      <c r="R2" s="34"/>
    </row>
    <row r="3" spans="1:18" ht="12.75">
      <c r="A3" s="26" t="s">
        <v>20</v>
      </c>
      <c r="B3" s="26"/>
      <c r="C3" s="9" t="s">
        <v>176</v>
      </c>
      <c r="D3" s="9"/>
      <c r="E3" s="34"/>
      <c r="F3" s="35"/>
      <c r="G3" s="34"/>
      <c r="H3" s="35"/>
      <c r="I3" s="38"/>
      <c r="J3" s="34"/>
      <c r="K3" s="34"/>
      <c r="L3" s="34"/>
      <c r="M3" s="34"/>
      <c r="N3" s="34"/>
      <c r="O3" s="34"/>
      <c r="P3" s="34"/>
      <c r="Q3" s="34"/>
      <c r="R3" s="34"/>
    </row>
    <row r="4" spans="1:18" ht="12.75">
      <c r="A4" s="26" t="s">
        <v>21</v>
      </c>
      <c r="B4" s="26"/>
      <c r="C4" s="9" t="str">
        <f>cond!C3</f>
        <v>3004C1</v>
      </c>
      <c r="D4" s="9"/>
      <c r="E4" s="36"/>
      <c r="F4" s="37"/>
      <c r="G4" s="36"/>
      <c r="H4" s="37"/>
      <c r="I4" s="38"/>
      <c r="J4" s="36"/>
      <c r="K4" s="36"/>
      <c r="L4" s="36"/>
      <c r="M4" s="36"/>
      <c r="N4" s="36"/>
      <c r="O4" s="36"/>
      <c r="P4" s="36"/>
      <c r="Q4" s="36"/>
      <c r="R4" s="36"/>
    </row>
    <row r="5" spans="1:18" ht="12.75">
      <c r="A5" s="26" t="s">
        <v>22</v>
      </c>
      <c r="B5" s="26"/>
      <c r="C5" s="12" t="s">
        <v>157</v>
      </c>
      <c r="D5" s="12"/>
      <c r="E5" s="12"/>
      <c r="F5" s="12"/>
      <c r="G5" s="12"/>
      <c r="H5" s="12"/>
      <c r="I5" s="47"/>
      <c r="J5" s="12"/>
      <c r="K5" s="34"/>
      <c r="L5" s="12"/>
      <c r="M5" s="34"/>
      <c r="N5" s="34"/>
      <c r="O5" s="34"/>
      <c r="P5" s="34"/>
      <c r="Q5" s="34"/>
      <c r="R5" s="34"/>
    </row>
    <row r="6" spans="1:18" ht="12.75">
      <c r="A6" s="26"/>
      <c r="B6" s="26"/>
      <c r="C6" s="28"/>
      <c r="D6" s="28"/>
      <c r="E6" s="38"/>
      <c r="F6" s="35"/>
      <c r="G6" s="38"/>
      <c r="H6" s="35"/>
      <c r="I6" s="38"/>
      <c r="J6" s="38"/>
      <c r="K6" s="34"/>
      <c r="L6" s="38"/>
      <c r="M6" s="34"/>
      <c r="N6" s="34"/>
      <c r="O6" s="38"/>
      <c r="P6" s="34"/>
      <c r="Q6" s="38"/>
      <c r="R6" s="34"/>
    </row>
    <row r="7" spans="1:18" ht="12.75">
      <c r="A7" s="26"/>
      <c r="B7" s="26"/>
      <c r="C7" s="28" t="s">
        <v>23</v>
      </c>
      <c r="D7" s="28"/>
      <c r="E7" s="39" t="s">
        <v>133</v>
      </c>
      <c r="F7" s="39"/>
      <c r="G7" s="39"/>
      <c r="H7" s="39"/>
      <c r="I7" s="11"/>
      <c r="J7" s="39" t="s">
        <v>155</v>
      </c>
      <c r="K7" s="39"/>
      <c r="L7" s="39"/>
      <c r="M7" s="39"/>
      <c r="N7" s="11"/>
      <c r="O7" s="39" t="s">
        <v>156</v>
      </c>
      <c r="P7" s="39"/>
      <c r="Q7" s="39"/>
      <c r="R7" s="39"/>
    </row>
    <row r="8" spans="1:18" ht="12.75">
      <c r="A8" s="26"/>
      <c r="B8" s="26"/>
      <c r="C8" s="28" t="s">
        <v>24</v>
      </c>
      <c r="D8" s="26"/>
      <c r="E8" s="38" t="s">
        <v>25</v>
      </c>
      <c r="F8" s="37" t="s">
        <v>26</v>
      </c>
      <c r="G8" s="38" t="s">
        <v>25</v>
      </c>
      <c r="H8" s="37" t="s">
        <v>26</v>
      </c>
      <c r="I8" s="38"/>
      <c r="J8" s="38" t="s">
        <v>25</v>
      </c>
      <c r="K8" s="38" t="s">
        <v>27</v>
      </c>
      <c r="L8" s="38" t="s">
        <v>25</v>
      </c>
      <c r="M8" s="38" t="s">
        <v>27</v>
      </c>
      <c r="N8" s="34"/>
      <c r="O8" s="38" t="s">
        <v>25</v>
      </c>
      <c r="P8" s="38" t="s">
        <v>27</v>
      </c>
      <c r="Q8" s="38" t="s">
        <v>25</v>
      </c>
      <c r="R8" s="38" t="s">
        <v>27</v>
      </c>
    </row>
    <row r="9" spans="1:18" ht="12.75">
      <c r="A9" s="26"/>
      <c r="B9" s="26"/>
      <c r="C9" s="28"/>
      <c r="D9" s="26"/>
      <c r="E9" s="38" t="s">
        <v>198</v>
      </c>
      <c r="F9" s="38" t="s">
        <v>198</v>
      </c>
      <c r="G9" s="38" t="s">
        <v>64</v>
      </c>
      <c r="H9" s="37" t="s">
        <v>64</v>
      </c>
      <c r="I9" s="38"/>
      <c r="J9" s="38" t="s">
        <v>198</v>
      </c>
      <c r="K9" s="38" t="s">
        <v>198</v>
      </c>
      <c r="L9" s="38" t="s">
        <v>64</v>
      </c>
      <c r="M9" s="37" t="s">
        <v>64</v>
      </c>
      <c r="N9" s="34"/>
      <c r="O9" s="38" t="s">
        <v>198</v>
      </c>
      <c r="P9" s="38" t="s">
        <v>198</v>
      </c>
      <c r="Q9" s="38" t="s">
        <v>64</v>
      </c>
      <c r="R9" s="37" t="s">
        <v>64</v>
      </c>
    </row>
    <row r="10" spans="1:18" ht="12.75">
      <c r="A10" s="26" t="s">
        <v>99</v>
      </c>
      <c r="B10" s="26"/>
      <c r="C10" s="26"/>
      <c r="D10" s="26"/>
      <c r="E10" s="34"/>
      <c r="F10" s="35"/>
      <c r="G10" s="34"/>
      <c r="H10" s="35"/>
      <c r="I10" s="38"/>
      <c r="J10" s="34"/>
      <c r="K10" s="34"/>
      <c r="L10" s="34"/>
      <c r="M10" s="34"/>
      <c r="N10" s="34"/>
      <c r="O10" s="29"/>
      <c r="P10" s="34"/>
      <c r="Q10" s="34"/>
      <c r="R10" s="34"/>
    </row>
    <row r="11" spans="1:18" ht="12.75">
      <c r="A11" s="26"/>
      <c r="B11" s="26" t="s">
        <v>28</v>
      </c>
      <c r="C11" s="28">
        <v>1</v>
      </c>
      <c r="D11" t="s">
        <v>98</v>
      </c>
      <c r="E11">
        <v>10</v>
      </c>
      <c r="F11" s="31">
        <f aca="true" t="shared" si="0" ref="F11:H35">IF(E11="","",E11*$C11)</f>
        <v>10</v>
      </c>
      <c r="G11" s="31">
        <f aca="true" t="shared" si="1" ref="G11:G35">IF(E11=0,"",IF(D11="nd",E11/2,E11))</f>
        <v>5</v>
      </c>
      <c r="H11" s="31">
        <f t="shared" si="0"/>
        <v>5</v>
      </c>
      <c r="I11" t="s">
        <v>98</v>
      </c>
      <c r="J11">
        <v>5</v>
      </c>
      <c r="K11" s="31">
        <f aca="true" t="shared" si="2" ref="K11:M35">IF(J11="","",J11*$C11)</f>
        <v>5</v>
      </c>
      <c r="L11" s="31">
        <f aca="true" t="shared" si="3" ref="L11:L35">IF(J11=0,"",IF(I11="nd",J11/2,J11))</f>
        <v>2.5</v>
      </c>
      <c r="M11" s="31">
        <f t="shared" si="2"/>
        <v>2.5</v>
      </c>
      <c r="N11" t="s">
        <v>98</v>
      </c>
      <c r="O11">
        <v>3</v>
      </c>
      <c r="P11" s="40">
        <f aca="true" t="shared" si="4" ref="P11:R35">IF(O11="","",O11*$C11)</f>
        <v>3</v>
      </c>
      <c r="Q11" s="40">
        <f aca="true" t="shared" si="5" ref="Q11:Q35">IF(O11=0,"",IF(N11="nd",O11/2,O11))</f>
        <v>1.5</v>
      </c>
      <c r="R11" s="40">
        <f t="shared" si="4"/>
        <v>1.5</v>
      </c>
    </row>
    <row r="12" spans="1:18" ht="12.75">
      <c r="A12" s="26"/>
      <c r="B12" s="26" t="s">
        <v>88</v>
      </c>
      <c r="C12" s="28">
        <v>0</v>
      </c>
      <c r="E12">
        <v>10</v>
      </c>
      <c r="F12" s="40">
        <f t="shared" si="0"/>
        <v>0</v>
      </c>
      <c r="G12" s="40">
        <f t="shared" si="1"/>
        <v>10</v>
      </c>
      <c r="H12" s="40">
        <f t="shared" si="0"/>
        <v>0</v>
      </c>
      <c r="I12"/>
      <c r="J12">
        <v>20</v>
      </c>
      <c r="K12" s="31">
        <f t="shared" si="2"/>
        <v>0</v>
      </c>
      <c r="L12" s="40">
        <f t="shared" si="3"/>
        <v>20</v>
      </c>
      <c r="M12" s="31">
        <f t="shared" si="2"/>
        <v>0</v>
      </c>
      <c r="O12">
        <v>20</v>
      </c>
      <c r="P12" s="40">
        <f t="shared" si="4"/>
        <v>0</v>
      </c>
      <c r="Q12" s="40">
        <f t="shared" si="5"/>
        <v>20</v>
      </c>
      <c r="R12" s="40">
        <f t="shared" si="4"/>
        <v>0</v>
      </c>
    </row>
    <row r="13" spans="1:18" ht="12.75">
      <c r="A13" s="26"/>
      <c r="B13" s="26" t="s">
        <v>29</v>
      </c>
      <c r="C13" s="28">
        <v>0.5</v>
      </c>
      <c r="D13" t="s">
        <v>98</v>
      </c>
      <c r="E13">
        <v>10</v>
      </c>
      <c r="F13" s="31">
        <f t="shared" si="0"/>
        <v>5</v>
      </c>
      <c r="G13" s="31">
        <f t="shared" si="1"/>
        <v>5</v>
      </c>
      <c r="H13" s="31">
        <f t="shared" si="0"/>
        <v>2.5</v>
      </c>
      <c r="I13" t="s">
        <v>98</v>
      </c>
      <c r="J13">
        <v>8</v>
      </c>
      <c r="K13" s="31">
        <f t="shared" si="2"/>
        <v>4</v>
      </c>
      <c r="L13" s="31">
        <f t="shared" si="3"/>
        <v>4</v>
      </c>
      <c r="M13" s="31">
        <f t="shared" si="2"/>
        <v>2</v>
      </c>
      <c r="N13" t="s">
        <v>98</v>
      </c>
      <c r="O13">
        <v>5</v>
      </c>
      <c r="P13" s="40">
        <f t="shared" si="4"/>
        <v>2.5</v>
      </c>
      <c r="Q13" s="40">
        <f t="shared" si="5"/>
        <v>2.5</v>
      </c>
      <c r="R13" s="40">
        <f t="shared" si="4"/>
        <v>1.25</v>
      </c>
    </row>
    <row r="14" spans="1:18" ht="12.75">
      <c r="A14" s="26"/>
      <c r="B14" s="26" t="s">
        <v>89</v>
      </c>
      <c r="C14" s="28">
        <v>0</v>
      </c>
      <c r="E14">
        <v>20</v>
      </c>
      <c r="F14" s="40">
        <f t="shared" si="0"/>
        <v>0</v>
      </c>
      <c r="G14" s="40">
        <f t="shared" si="1"/>
        <v>20</v>
      </c>
      <c r="H14" s="40">
        <f t="shared" si="0"/>
        <v>0</v>
      </c>
      <c r="I14"/>
      <c r="J14">
        <v>40</v>
      </c>
      <c r="K14" s="31">
        <f t="shared" si="2"/>
        <v>0</v>
      </c>
      <c r="L14" s="40">
        <f t="shared" si="3"/>
        <v>40</v>
      </c>
      <c r="M14" s="31">
        <f t="shared" si="2"/>
        <v>0</v>
      </c>
      <c r="O14">
        <v>40</v>
      </c>
      <c r="P14" s="40">
        <f t="shared" si="4"/>
        <v>0</v>
      </c>
      <c r="Q14" s="40">
        <f t="shared" si="5"/>
        <v>40</v>
      </c>
      <c r="R14" s="40">
        <f t="shared" si="4"/>
        <v>0</v>
      </c>
    </row>
    <row r="15" spans="1:18" ht="12.75">
      <c r="A15" s="26"/>
      <c r="B15" s="26" t="s">
        <v>30</v>
      </c>
      <c r="C15" s="28">
        <v>0.1</v>
      </c>
      <c r="D15" t="s">
        <v>98</v>
      </c>
      <c r="E15">
        <v>20</v>
      </c>
      <c r="F15" s="31">
        <f t="shared" si="0"/>
        <v>2</v>
      </c>
      <c r="G15" s="31">
        <f t="shared" si="1"/>
        <v>10</v>
      </c>
      <c r="H15" s="31">
        <f t="shared" si="0"/>
        <v>1</v>
      </c>
      <c r="I15"/>
      <c r="J15">
        <v>10</v>
      </c>
      <c r="K15" s="31">
        <f t="shared" si="2"/>
        <v>1</v>
      </c>
      <c r="L15" s="31">
        <f t="shared" si="3"/>
        <v>10</v>
      </c>
      <c r="M15" s="31">
        <f t="shared" si="2"/>
        <v>1</v>
      </c>
      <c r="N15" t="s">
        <v>98</v>
      </c>
      <c r="O15">
        <v>5</v>
      </c>
      <c r="P15" s="40">
        <f t="shared" si="4"/>
        <v>0.5</v>
      </c>
      <c r="Q15" s="40">
        <f t="shared" si="5"/>
        <v>2.5</v>
      </c>
      <c r="R15" s="40">
        <f t="shared" si="4"/>
        <v>0.25</v>
      </c>
    </row>
    <row r="16" spans="1:18" ht="12.75">
      <c r="A16" s="26"/>
      <c r="B16" s="26" t="s">
        <v>31</v>
      </c>
      <c r="C16" s="28">
        <v>0.1</v>
      </c>
      <c r="D16" t="s">
        <v>98</v>
      </c>
      <c r="E16">
        <v>10</v>
      </c>
      <c r="F16" s="31">
        <f t="shared" si="0"/>
        <v>1</v>
      </c>
      <c r="G16" s="31">
        <f t="shared" si="1"/>
        <v>5</v>
      </c>
      <c r="H16" s="31">
        <f t="shared" si="0"/>
        <v>0.5</v>
      </c>
      <c r="I16"/>
      <c r="J16">
        <v>9</v>
      </c>
      <c r="K16" s="31">
        <f t="shared" si="2"/>
        <v>0.9</v>
      </c>
      <c r="L16" s="31">
        <f t="shared" si="3"/>
        <v>9</v>
      </c>
      <c r="M16" s="31">
        <f t="shared" si="2"/>
        <v>0.9</v>
      </c>
      <c r="O16">
        <v>5</v>
      </c>
      <c r="P16" s="40">
        <f t="shared" si="4"/>
        <v>0.5</v>
      </c>
      <c r="Q16" s="40">
        <f t="shared" si="5"/>
        <v>5</v>
      </c>
      <c r="R16" s="40">
        <f t="shared" si="4"/>
        <v>0.5</v>
      </c>
    </row>
    <row r="17" spans="1:18" ht="12.75">
      <c r="A17" s="26"/>
      <c r="B17" s="26" t="s">
        <v>32</v>
      </c>
      <c r="C17" s="28">
        <v>0.1</v>
      </c>
      <c r="D17" t="s">
        <v>98</v>
      </c>
      <c r="E17">
        <v>10</v>
      </c>
      <c r="F17" s="31">
        <f t="shared" si="0"/>
        <v>1</v>
      </c>
      <c r="G17" s="31">
        <f t="shared" si="1"/>
        <v>5</v>
      </c>
      <c r="H17" s="31">
        <f t="shared" si="0"/>
        <v>0.5</v>
      </c>
      <c r="I17"/>
      <c r="J17">
        <v>10</v>
      </c>
      <c r="K17" s="31">
        <f t="shared" si="2"/>
        <v>1</v>
      </c>
      <c r="L17" s="31">
        <f t="shared" si="3"/>
        <v>10</v>
      </c>
      <c r="M17" s="31">
        <f t="shared" si="2"/>
        <v>1</v>
      </c>
      <c r="O17">
        <v>6</v>
      </c>
      <c r="P17" s="40">
        <f t="shared" si="4"/>
        <v>0.6000000000000001</v>
      </c>
      <c r="Q17" s="40">
        <f t="shared" si="5"/>
        <v>6</v>
      </c>
      <c r="R17" s="40">
        <f t="shared" si="4"/>
        <v>0.6000000000000001</v>
      </c>
    </row>
    <row r="18" spans="1:18" ht="12.75">
      <c r="A18" s="26"/>
      <c r="B18" s="26" t="s">
        <v>90</v>
      </c>
      <c r="C18" s="28">
        <v>0</v>
      </c>
      <c r="E18">
        <v>50</v>
      </c>
      <c r="F18" s="40">
        <f t="shared" si="0"/>
        <v>0</v>
      </c>
      <c r="G18" s="40">
        <f t="shared" si="1"/>
        <v>50</v>
      </c>
      <c r="H18" s="40">
        <f t="shared" si="0"/>
        <v>0</v>
      </c>
      <c r="I18"/>
      <c r="J18">
        <v>50</v>
      </c>
      <c r="K18" s="31">
        <f t="shared" si="2"/>
        <v>0</v>
      </c>
      <c r="L18" s="40">
        <f t="shared" si="3"/>
        <v>50</v>
      </c>
      <c r="M18" s="31">
        <f t="shared" si="2"/>
        <v>0</v>
      </c>
      <c r="O18">
        <v>45</v>
      </c>
      <c r="P18" s="40">
        <f t="shared" si="4"/>
        <v>0</v>
      </c>
      <c r="Q18" s="40">
        <f t="shared" si="5"/>
        <v>45</v>
      </c>
      <c r="R18" s="40">
        <f t="shared" si="4"/>
        <v>0</v>
      </c>
    </row>
    <row r="19" spans="1:18" ht="12.75">
      <c r="A19" s="26"/>
      <c r="B19" s="26" t="s">
        <v>33</v>
      </c>
      <c r="C19" s="28">
        <v>0.01</v>
      </c>
      <c r="E19">
        <v>20</v>
      </c>
      <c r="F19" s="31">
        <f t="shared" si="0"/>
        <v>0.2</v>
      </c>
      <c r="G19" s="31">
        <f t="shared" si="1"/>
        <v>20</v>
      </c>
      <c r="H19" s="31">
        <f t="shared" si="0"/>
        <v>0.2</v>
      </c>
      <c r="I19"/>
      <c r="J19">
        <v>20</v>
      </c>
      <c r="K19" s="31">
        <f t="shared" si="2"/>
        <v>0.2</v>
      </c>
      <c r="L19" s="31">
        <f t="shared" si="3"/>
        <v>20</v>
      </c>
      <c r="M19" s="31">
        <f t="shared" si="2"/>
        <v>0.2</v>
      </c>
      <c r="O19">
        <v>20</v>
      </c>
      <c r="P19" s="40">
        <f t="shared" si="4"/>
        <v>0.2</v>
      </c>
      <c r="Q19" s="40">
        <f t="shared" si="5"/>
        <v>20</v>
      </c>
      <c r="R19" s="40">
        <f t="shared" si="4"/>
        <v>0.2</v>
      </c>
    </row>
    <row r="20" spans="1:18" ht="12.75">
      <c r="A20" s="26"/>
      <c r="B20" s="26" t="s">
        <v>91</v>
      </c>
      <c r="C20" s="28">
        <v>0</v>
      </c>
      <c r="E20">
        <v>20</v>
      </c>
      <c r="F20" s="40">
        <f t="shared" si="0"/>
        <v>0</v>
      </c>
      <c r="G20" s="40">
        <f t="shared" si="1"/>
        <v>20</v>
      </c>
      <c r="H20" s="40">
        <f t="shared" si="0"/>
        <v>0</v>
      </c>
      <c r="I20"/>
      <c r="J20">
        <v>10</v>
      </c>
      <c r="K20" s="31">
        <f t="shared" si="2"/>
        <v>0</v>
      </c>
      <c r="L20" s="40">
        <f t="shared" si="3"/>
        <v>10</v>
      </c>
      <c r="M20" s="31">
        <f t="shared" si="2"/>
        <v>0</v>
      </c>
      <c r="O20">
        <v>10</v>
      </c>
      <c r="P20" s="40">
        <f t="shared" si="4"/>
        <v>0</v>
      </c>
      <c r="Q20" s="40">
        <f t="shared" si="5"/>
        <v>10</v>
      </c>
      <c r="R20" s="40">
        <f t="shared" si="4"/>
        <v>0</v>
      </c>
    </row>
    <row r="21" spans="1:18" ht="12.75">
      <c r="A21" s="26"/>
      <c r="B21" s="26" t="s">
        <v>34</v>
      </c>
      <c r="C21" s="28">
        <v>0.001</v>
      </c>
      <c r="E21">
        <v>60</v>
      </c>
      <c r="F21" s="31">
        <f t="shared" si="0"/>
        <v>0.06</v>
      </c>
      <c r="G21" s="31">
        <f t="shared" si="1"/>
        <v>60</v>
      </c>
      <c r="H21" s="31">
        <f t="shared" si="0"/>
        <v>0.06</v>
      </c>
      <c r="I21"/>
      <c r="J21">
        <v>70</v>
      </c>
      <c r="K21" s="31">
        <f t="shared" si="2"/>
        <v>0.07</v>
      </c>
      <c r="L21" s="40">
        <f t="shared" si="3"/>
        <v>70</v>
      </c>
      <c r="M21" s="31">
        <f t="shared" si="2"/>
        <v>0.07</v>
      </c>
      <c r="O21">
        <v>60</v>
      </c>
      <c r="P21" s="40">
        <f t="shared" si="4"/>
        <v>0.06</v>
      </c>
      <c r="Q21" s="40">
        <f t="shared" si="5"/>
        <v>60</v>
      </c>
      <c r="R21" s="40">
        <f t="shared" si="4"/>
        <v>0.06</v>
      </c>
    </row>
    <row r="22" spans="1:18" ht="12.75">
      <c r="A22" s="26"/>
      <c r="B22" s="26" t="s">
        <v>35</v>
      </c>
      <c r="C22" s="28">
        <v>0.1</v>
      </c>
      <c r="D22" t="s">
        <v>98</v>
      </c>
      <c r="E22">
        <v>10</v>
      </c>
      <c r="F22" s="31">
        <f t="shared" si="0"/>
        <v>1</v>
      </c>
      <c r="G22" s="31">
        <f t="shared" si="1"/>
        <v>5</v>
      </c>
      <c r="H22" s="31">
        <f t="shared" si="0"/>
        <v>0.5</v>
      </c>
      <c r="I22"/>
      <c r="J22">
        <v>10</v>
      </c>
      <c r="K22" s="31">
        <f t="shared" si="2"/>
        <v>1</v>
      </c>
      <c r="L22" s="40">
        <f t="shared" si="3"/>
        <v>10</v>
      </c>
      <c r="M22" s="31">
        <f t="shared" si="2"/>
        <v>1</v>
      </c>
      <c r="O22">
        <v>10</v>
      </c>
      <c r="P22" s="40">
        <f t="shared" si="4"/>
        <v>1</v>
      </c>
      <c r="Q22" s="40">
        <f t="shared" si="5"/>
        <v>10</v>
      </c>
      <c r="R22" s="40">
        <f t="shared" si="4"/>
        <v>1</v>
      </c>
    </row>
    <row r="23" spans="1:18" ht="12.75">
      <c r="A23" s="26"/>
      <c r="B23" s="26" t="s">
        <v>92</v>
      </c>
      <c r="C23" s="28">
        <v>0</v>
      </c>
      <c r="D23" t="s">
        <v>98</v>
      </c>
      <c r="E23">
        <v>10</v>
      </c>
      <c r="F23" s="40">
        <f t="shared" si="0"/>
        <v>0</v>
      </c>
      <c r="G23" s="40">
        <f t="shared" si="1"/>
        <v>5</v>
      </c>
      <c r="H23" s="40">
        <f t="shared" si="0"/>
        <v>0</v>
      </c>
      <c r="I23"/>
      <c r="J23">
        <v>130</v>
      </c>
      <c r="K23" s="31">
        <f t="shared" si="2"/>
        <v>0</v>
      </c>
      <c r="L23" s="40">
        <f t="shared" si="3"/>
        <v>130</v>
      </c>
      <c r="M23" s="31">
        <f t="shared" si="2"/>
        <v>0</v>
      </c>
      <c r="O23">
        <v>50</v>
      </c>
      <c r="P23" s="40">
        <f t="shared" si="4"/>
        <v>0</v>
      </c>
      <c r="Q23" s="40">
        <f t="shared" si="5"/>
        <v>50</v>
      </c>
      <c r="R23" s="40">
        <f t="shared" si="4"/>
        <v>0</v>
      </c>
    </row>
    <row r="24" spans="1:18" ht="12.75">
      <c r="A24" s="26"/>
      <c r="B24" s="26" t="s">
        <v>36</v>
      </c>
      <c r="C24" s="28">
        <v>0.05</v>
      </c>
      <c r="E24">
        <v>10</v>
      </c>
      <c r="F24" s="40">
        <f t="shared" si="0"/>
        <v>0.5</v>
      </c>
      <c r="G24" s="40">
        <f t="shared" si="1"/>
        <v>10</v>
      </c>
      <c r="H24" s="40">
        <f t="shared" si="0"/>
        <v>0.5</v>
      </c>
      <c r="I24"/>
      <c r="J24">
        <v>10</v>
      </c>
      <c r="K24" s="31">
        <f t="shared" si="2"/>
        <v>0.5</v>
      </c>
      <c r="L24" s="40">
        <f t="shared" si="3"/>
        <v>10</v>
      </c>
      <c r="M24" s="31">
        <f t="shared" si="2"/>
        <v>0.5</v>
      </c>
      <c r="O24">
        <v>10</v>
      </c>
      <c r="P24" s="40">
        <f t="shared" si="4"/>
        <v>0.5</v>
      </c>
      <c r="Q24" s="40">
        <f t="shared" si="5"/>
        <v>10</v>
      </c>
      <c r="R24" s="40">
        <f t="shared" si="4"/>
        <v>0.5</v>
      </c>
    </row>
    <row r="25" spans="1:18" ht="12.75">
      <c r="A25" s="26"/>
      <c r="B25" s="26" t="s">
        <v>37</v>
      </c>
      <c r="C25" s="28">
        <v>0.5</v>
      </c>
      <c r="E25">
        <v>20</v>
      </c>
      <c r="F25" s="40">
        <f t="shared" si="0"/>
        <v>10</v>
      </c>
      <c r="G25" s="40">
        <f t="shared" si="1"/>
        <v>20</v>
      </c>
      <c r="H25" s="40">
        <f t="shared" si="0"/>
        <v>10</v>
      </c>
      <c r="I25"/>
      <c r="J25">
        <v>10</v>
      </c>
      <c r="K25" s="31">
        <f t="shared" si="2"/>
        <v>5</v>
      </c>
      <c r="L25" s="40">
        <f t="shared" si="3"/>
        <v>10</v>
      </c>
      <c r="M25" s="31">
        <f t="shared" si="2"/>
        <v>5</v>
      </c>
      <c r="O25">
        <v>10</v>
      </c>
      <c r="P25" s="40">
        <f t="shared" si="4"/>
        <v>5</v>
      </c>
      <c r="Q25" s="40">
        <f t="shared" si="5"/>
        <v>10</v>
      </c>
      <c r="R25" s="40">
        <f t="shared" si="4"/>
        <v>5</v>
      </c>
    </row>
    <row r="26" spans="1:18" ht="12.75">
      <c r="A26" s="26"/>
      <c r="B26" s="26" t="s">
        <v>93</v>
      </c>
      <c r="C26" s="28">
        <v>0</v>
      </c>
      <c r="E26">
        <v>140</v>
      </c>
      <c r="F26" s="40">
        <f t="shared" si="0"/>
        <v>0</v>
      </c>
      <c r="G26" s="40">
        <f t="shared" si="1"/>
        <v>140</v>
      </c>
      <c r="H26" s="40">
        <f t="shared" si="0"/>
        <v>0</v>
      </c>
      <c r="I26"/>
      <c r="J26">
        <v>50</v>
      </c>
      <c r="K26" s="31">
        <f t="shared" si="2"/>
        <v>0</v>
      </c>
      <c r="L26" s="40">
        <f t="shared" si="3"/>
        <v>50</v>
      </c>
      <c r="M26" s="31">
        <f t="shared" si="2"/>
        <v>0</v>
      </c>
      <c r="O26">
        <v>10</v>
      </c>
      <c r="P26" s="40">
        <f t="shared" si="4"/>
        <v>0</v>
      </c>
      <c r="Q26" s="40">
        <f t="shared" si="5"/>
        <v>10</v>
      </c>
      <c r="R26" s="40">
        <f t="shared" si="4"/>
        <v>0</v>
      </c>
    </row>
    <row r="27" spans="1:18" ht="12.75">
      <c r="A27" s="26"/>
      <c r="B27" s="26" t="s">
        <v>38</v>
      </c>
      <c r="C27" s="28">
        <v>0.1</v>
      </c>
      <c r="E27">
        <v>40</v>
      </c>
      <c r="F27" s="40">
        <f t="shared" si="0"/>
        <v>4</v>
      </c>
      <c r="G27" s="40">
        <f t="shared" si="1"/>
        <v>40</v>
      </c>
      <c r="H27" s="40">
        <f t="shared" si="0"/>
        <v>4</v>
      </c>
      <c r="I27"/>
      <c r="J27">
        <v>40</v>
      </c>
      <c r="K27" s="31">
        <f t="shared" si="2"/>
        <v>4</v>
      </c>
      <c r="L27" s="40">
        <f t="shared" si="3"/>
        <v>40</v>
      </c>
      <c r="M27" s="31">
        <f t="shared" si="2"/>
        <v>4</v>
      </c>
      <c r="O27">
        <v>30</v>
      </c>
      <c r="P27" s="40">
        <f t="shared" si="4"/>
        <v>3</v>
      </c>
      <c r="Q27" s="40">
        <f t="shared" si="5"/>
        <v>30</v>
      </c>
      <c r="R27" s="40">
        <f t="shared" si="4"/>
        <v>3</v>
      </c>
    </row>
    <row r="28" spans="1:18" ht="12.75">
      <c r="A28" s="26"/>
      <c r="B28" s="26" t="s">
        <v>39</v>
      </c>
      <c r="C28" s="28">
        <v>0.1</v>
      </c>
      <c r="E28">
        <v>20</v>
      </c>
      <c r="F28" s="40">
        <f t="shared" si="0"/>
        <v>2</v>
      </c>
      <c r="G28" s="40">
        <f t="shared" si="1"/>
        <v>20</v>
      </c>
      <c r="H28" s="40">
        <f t="shared" si="0"/>
        <v>2</v>
      </c>
      <c r="I28"/>
      <c r="J28">
        <v>10</v>
      </c>
      <c r="K28" s="31">
        <f t="shared" si="2"/>
        <v>1</v>
      </c>
      <c r="L28" s="40">
        <f t="shared" si="3"/>
        <v>10</v>
      </c>
      <c r="M28" s="31">
        <f t="shared" si="2"/>
        <v>1</v>
      </c>
      <c r="O28">
        <v>10</v>
      </c>
      <c r="P28" s="40">
        <f t="shared" si="4"/>
        <v>1</v>
      </c>
      <c r="Q28" s="40">
        <f t="shared" si="5"/>
        <v>10</v>
      </c>
      <c r="R28" s="40">
        <f t="shared" si="4"/>
        <v>1</v>
      </c>
    </row>
    <row r="29" spans="1:18" ht="12.75">
      <c r="A29" s="26"/>
      <c r="B29" s="26" t="s">
        <v>40</v>
      </c>
      <c r="C29" s="28">
        <v>0.1</v>
      </c>
      <c r="E29">
        <v>10</v>
      </c>
      <c r="F29" s="40">
        <f t="shared" si="0"/>
        <v>1</v>
      </c>
      <c r="G29" s="40">
        <f t="shared" si="1"/>
        <v>10</v>
      </c>
      <c r="H29" s="40">
        <f t="shared" si="0"/>
        <v>1</v>
      </c>
      <c r="I29"/>
      <c r="J29">
        <v>20</v>
      </c>
      <c r="K29" s="31">
        <f t="shared" si="2"/>
        <v>2</v>
      </c>
      <c r="L29" s="40">
        <f t="shared" si="3"/>
        <v>20</v>
      </c>
      <c r="M29" s="31">
        <f t="shared" si="2"/>
        <v>2</v>
      </c>
      <c r="O29">
        <v>20</v>
      </c>
      <c r="P29" s="40">
        <f t="shared" si="4"/>
        <v>2</v>
      </c>
      <c r="Q29" s="40">
        <f t="shared" si="5"/>
        <v>20</v>
      </c>
      <c r="R29" s="40">
        <f t="shared" si="4"/>
        <v>2</v>
      </c>
    </row>
    <row r="30" spans="1:18" ht="12.75">
      <c r="A30" s="26"/>
      <c r="B30" s="26" t="s">
        <v>41</v>
      </c>
      <c r="C30" s="28">
        <v>0.1</v>
      </c>
      <c r="D30" t="s">
        <v>98</v>
      </c>
      <c r="E30">
        <v>9</v>
      </c>
      <c r="F30" s="40">
        <f t="shared" si="0"/>
        <v>0.9</v>
      </c>
      <c r="G30" s="40">
        <f t="shared" si="1"/>
        <v>4.5</v>
      </c>
      <c r="H30" s="40">
        <f t="shared" si="0"/>
        <v>0.45</v>
      </c>
      <c r="I30" t="s">
        <v>98</v>
      </c>
      <c r="J30">
        <v>5</v>
      </c>
      <c r="K30" s="31">
        <f t="shared" si="2"/>
        <v>0.5</v>
      </c>
      <c r="L30" s="40">
        <f t="shared" si="3"/>
        <v>2.5</v>
      </c>
      <c r="M30" s="31">
        <f t="shared" si="2"/>
        <v>0.25</v>
      </c>
      <c r="N30" t="s">
        <v>98</v>
      </c>
      <c r="O30">
        <v>3</v>
      </c>
      <c r="P30" s="40">
        <f t="shared" si="4"/>
        <v>0.30000000000000004</v>
      </c>
      <c r="Q30" s="40">
        <f t="shared" si="5"/>
        <v>1.5</v>
      </c>
      <c r="R30" s="40">
        <f t="shared" si="4"/>
        <v>0.15000000000000002</v>
      </c>
    </row>
    <row r="31" spans="1:18" ht="12.75">
      <c r="A31" s="26"/>
      <c r="B31" s="26" t="s">
        <v>94</v>
      </c>
      <c r="C31" s="28">
        <v>0</v>
      </c>
      <c r="E31">
        <v>80</v>
      </c>
      <c r="F31" s="40">
        <f t="shared" si="0"/>
        <v>0</v>
      </c>
      <c r="G31" s="40">
        <f t="shared" si="1"/>
        <v>80</v>
      </c>
      <c r="H31" s="40">
        <f t="shared" si="0"/>
        <v>0</v>
      </c>
      <c r="I31"/>
      <c r="J31">
        <v>50</v>
      </c>
      <c r="K31" s="31">
        <f t="shared" si="2"/>
        <v>0</v>
      </c>
      <c r="L31" s="40">
        <f t="shared" si="3"/>
        <v>50</v>
      </c>
      <c r="M31" s="31">
        <f t="shared" si="2"/>
        <v>0</v>
      </c>
      <c r="O31">
        <v>60</v>
      </c>
      <c r="P31" s="40">
        <f t="shared" si="4"/>
        <v>0</v>
      </c>
      <c r="Q31" s="40">
        <f t="shared" si="5"/>
        <v>60</v>
      </c>
      <c r="R31" s="40">
        <f t="shared" si="4"/>
        <v>0</v>
      </c>
    </row>
    <row r="32" spans="1:18" ht="12.75">
      <c r="A32" s="26"/>
      <c r="B32" s="26" t="s">
        <v>42</v>
      </c>
      <c r="C32" s="28">
        <v>0.01</v>
      </c>
      <c r="E32">
        <v>30</v>
      </c>
      <c r="F32" s="40">
        <f t="shared" si="0"/>
        <v>0.3</v>
      </c>
      <c r="G32" s="40">
        <f t="shared" si="1"/>
        <v>30</v>
      </c>
      <c r="H32" s="40">
        <f t="shared" si="0"/>
        <v>0.3</v>
      </c>
      <c r="I32"/>
      <c r="J32">
        <v>30</v>
      </c>
      <c r="K32" s="31">
        <f t="shared" si="2"/>
        <v>0.3</v>
      </c>
      <c r="L32" s="40">
        <f t="shared" si="3"/>
        <v>30</v>
      </c>
      <c r="M32" s="31">
        <f t="shared" si="2"/>
        <v>0.3</v>
      </c>
      <c r="O32">
        <v>30</v>
      </c>
      <c r="P32" s="40">
        <f t="shared" si="4"/>
        <v>0.3</v>
      </c>
      <c r="Q32" s="40">
        <f t="shared" si="5"/>
        <v>30</v>
      </c>
      <c r="R32" s="40">
        <f t="shared" si="4"/>
        <v>0.3</v>
      </c>
    </row>
    <row r="33" spans="1:18" ht="12.75">
      <c r="A33" s="26"/>
      <c r="B33" s="26" t="s">
        <v>43</v>
      </c>
      <c r="C33" s="28">
        <v>0.01</v>
      </c>
      <c r="D33" t="s">
        <v>98</v>
      </c>
      <c r="E33">
        <v>10</v>
      </c>
      <c r="F33" s="40">
        <f t="shared" si="0"/>
        <v>0.1</v>
      </c>
      <c r="G33" s="40">
        <f t="shared" si="1"/>
        <v>5</v>
      </c>
      <c r="H33" s="40">
        <f t="shared" si="0"/>
        <v>0.05</v>
      </c>
      <c r="I33" t="s">
        <v>98</v>
      </c>
      <c r="J33">
        <v>9</v>
      </c>
      <c r="K33" s="31">
        <f t="shared" si="2"/>
        <v>0.09</v>
      </c>
      <c r="L33" s="40">
        <f t="shared" si="3"/>
        <v>4.5</v>
      </c>
      <c r="M33" s="31">
        <f t="shared" si="2"/>
        <v>0.045</v>
      </c>
      <c r="N33" t="s">
        <v>98</v>
      </c>
      <c r="O33">
        <v>5</v>
      </c>
      <c r="P33" s="40">
        <f t="shared" si="4"/>
        <v>0.05</v>
      </c>
      <c r="Q33" s="40">
        <f t="shared" si="5"/>
        <v>2.5</v>
      </c>
      <c r="R33" s="40">
        <f t="shared" si="4"/>
        <v>0.025</v>
      </c>
    </row>
    <row r="34" spans="1:18" ht="12.75">
      <c r="A34" s="26"/>
      <c r="B34" s="26" t="s">
        <v>95</v>
      </c>
      <c r="C34" s="28">
        <v>0</v>
      </c>
      <c r="E34">
        <v>10</v>
      </c>
      <c r="F34" s="40">
        <f t="shared" si="0"/>
        <v>0</v>
      </c>
      <c r="G34" s="40">
        <f t="shared" si="1"/>
        <v>10</v>
      </c>
      <c r="H34" s="40">
        <f t="shared" si="0"/>
        <v>0</v>
      </c>
      <c r="I34" t="s">
        <v>98</v>
      </c>
      <c r="J34">
        <v>10</v>
      </c>
      <c r="K34" s="31">
        <f t="shared" si="2"/>
        <v>0</v>
      </c>
      <c r="L34" s="40">
        <f t="shared" si="3"/>
        <v>5</v>
      </c>
      <c r="M34" s="31">
        <f t="shared" si="2"/>
        <v>0</v>
      </c>
      <c r="O34">
        <v>5</v>
      </c>
      <c r="P34" s="40">
        <f t="shared" si="4"/>
        <v>0</v>
      </c>
      <c r="Q34" s="40">
        <f t="shared" si="5"/>
        <v>5</v>
      </c>
      <c r="R34" s="40">
        <f t="shared" si="4"/>
        <v>0</v>
      </c>
    </row>
    <row r="35" spans="1:18" ht="12.75">
      <c r="A35" s="26"/>
      <c r="B35" s="26" t="s">
        <v>44</v>
      </c>
      <c r="C35" s="28">
        <v>0.001</v>
      </c>
      <c r="E35">
        <v>30</v>
      </c>
      <c r="F35" s="40">
        <f t="shared" si="0"/>
        <v>0.03</v>
      </c>
      <c r="G35" s="40">
        <f t="shared" si="1"/>
        <v>30</v>
      </c>
      <c r="H35" s="40">
        <f t="shared" si="0"/>
        <v>0.03</v>
      </c>
      <c r="I35"/>
      <c r="J35">
        <v>20</v>
      </c>
      <c r="K35" s="31">
        <f t="shared" si="2"/>
        <v>0.02</v>
      </c>
      <c r="L35" s="40">
        <f t="shared" si="3"/>
        <v>20</v>
      </c>
      <c r="M35" s="31">
        <f t="shared" si="2"/>
        <v>0.02</v>
      </c>
      <c r="O35">
        <v>30</v>
      </c>
      <c r="P35" s="40">
        <f t="shared" si="4"/>
        <v>0.03</v>
      </c>
      <c r="Q35" s="40">
        <f t="shared" si="5"/>
        <v>30</v>
      </c>
      <c r="R35" s="40">
        <f t="shared" si="4"/>
        <v>0.03</v>
      </c>
    </row>
    <row r="36" spans="1:18" ht="12.75">
      <c r="A36" s="26"/>
      <c r="B36" s="26"/>
      <c r="C36" s="26"/>
      <c r="D36" s="26"/>
      <c r="E36" s="31"/>
      <c r="F36" s="35"/>
      <c r="G36" s="31"/>
      <c r="H36" s="35"/>
      <c r="I36" s="53"/>
      <c r="J36" s="12"/>
      <c r="K36" s="29"/>
      <c r="L36" s="29"/>
      <c r="M36" s="29"/>
      <c r="N36" s="31"/>
      <c r="O36" s="12"/>
      <c r="P36" s="34"/>
      <c r="Q36" s="31"/>
      <c r="R36" s="34"/>
    </row>
    <row r="37" spans="1:18" ht="12.75">
      <c r="A37" s="26"/>
      <c r="B37" s="26" t="s">
        <v>45</v>
      </c>
      <c r="C37" s="26"/>
      <c r="D37" s="26"/>
      <c r="F37" s="31">
        <v>133.026</v>
      </c>
      <c r="G37" s="31">
        <v>133.026</v>
      </c>
      <c r="H37" s="31">
        <v>133.026</v>
      </c>
      <c r="I37"/>
      <c r="K37">
        <v>120.931</v>
      </c>
      <c r="L37">
        <v>120.931</v>
      </c>
      <c r="M37">
        <v>120.931</v>
      </c>
      <c r="P37">
        <v>114.685</v>
      </c>
      <c r="Q37">
        <v>114.685</v>
      </c>
      <c r="R37">
        <v>114.685</v>
      </c>
    </row>
    <row r="38" spans="1:18" ht="12.75">
      <c r="A38" s="26"/>
      <c r="B38" s="26" t="s">
        <v>57</v>
      </c>
      <c r="C38" s="26"/>
      <c r="D38" s="26"/>
      <c r="F38" s="31">
        <f>H38</f>
        <v>13.6</v>
      </c>
      <c r="G38" s="31">
        <f>emiss!G50</f>
        <v>13.6</v>
      </c>
      <c r="H38" s="31">
        <f>emiss!G50</f>
        <v>13.6</v>
      </c>
      <c r="I38"/>
      <c r="K38">
        <f>M38</f>
        <v>13.5</v>
      </c>
      <c r="L38">
        <f>emiss!G56</f>
        <v>13.5</v>
      </c>
      <c r="M38">
        <f>emiss!G56</f>
        <v>13.5</v>
      </c>
      <c r="P38">
        <f>R38</f>
        <v>13.5</v>
      </c>
      <c r="Q38">
        <f>emiss!K56</f>
        <v>13.5</v>
      </c>
      <c r="R38">
        <f>emiss!K56</f>
        <v>13.5</v>
      </c>
    </row>
    <row r="39" spans="1:18" ht="12.75">
      <c r="A39" s="26"/>
      <c r="B39" s="26"/>
      <c r="C39" s="26"/>
      <c r="D39" s="26"/>
      <c r="E39" s="31"/>
      <c r="F39" s="12"/>
      <c r="G39" s="31"/>
      <c r="H39" s="12"/>
      <c r="I39" s="47"/>
      <c r="J39" s="31"/>
      <c r="K39" s="32"/>
      <c r="L39" s="29"/>
      <c r="M39" s="32"/>
      <c r="N39" s="31"/>
      <c r="O39" s="31"/>
      <c r="P39" s="31"/>
      <c r="Q39" s="31"/>
      <c r="R39" s="31"/>
    </row>
    <row r="40" spans="1:18" ht="12.75">
      <c r="A40" s="26"/>
      <c r="B40" s="26" t="s">
        <v>96</v>
      </c>
      <c r="C40" s="35"/>
      <c r="D40" s="35"/>
      <c r="E40" s="29"/>
      <c r="F40" s="30">
        <f>SUM(F11:F35)/1000</f>
        <v>0.03909</v>
      </c>
      <c r="G40" s="29">
        <f>SUM(G35,G34,G31,G26,G23,G21,G20,G18,G14,G12)/1000</f>
        <v>0.425</v>
      </c>
      <c r="H40" s="30">
        <f>SUM(H11:H35)/1000</f>
        <v>0.02859</v>
      </c>
      <c r="I40" s="37"/>
      <c r="J40" s="29"/>
      <c r="K40" s="30">
        <f>SUM(K11:K35)/1000</f>
        <v>0.026580000000000003</v>
      </c>
      <c r="L40" s="29">
        <f>SUM(L35,L34,L31,L26,L23,L21,L20,L18,L14,L12)/1000</f>
        <v>0.445</v>
      </c>
      <c r="M40" s="30">
        <f>SUM(M11:M35)/1000</f>
        <v>0.021785000000000002</v>
      </c>
      <c r="N40" s="35"/>
      <c r="O40" s="31"/>
      <c r="P40" s="31">
        <f>SUM(P11:P35)/1000</f>
        <v>0.020540000000000003</v>
      </c>
      <c r="Q40" s="29">
        <f>SUM(Q35,Q34,Q31,Q26,Q23,Q21,Q20,Q18,Q14,Q12)/1000</f>
        <v>0.33</v>
      </c>
      <c r="R40" s="31">
        <f>SUM(R11:R35)/1000</f>
        <v>0.017365</v>
      </c>
    </row>
    <row r="41" spans="1:18" ht="12.75">
      <c r="A41" s="26"/>
      <c r="B41" s="26" t="s">
        <v>46</v>
      </c>
      <c r="C41" s="35"/>
      <c r="D41" s="29">
        <f>(F41-H41)*2/F41*100</f>
        <v>53.72217958557176</v>
      </c>
      <c r="E41" s="31"/>
      <c r="F41" s="30">
        <f>(F40/F37/0.0283*(21-7)/(21-F38))</f>
        <v>0.019644411301102234</v>
      </c>
      <c r="G41" s="30">
        <f>(G40/G37/0.0283*(21-7)/(21-G38))</f>
        <v>0.21358083404882192</v>
      </c>
      <c r="H41" s="30">
        <f>(H40/H37/0.0283*(21-7)/(21-H38))</f>
        <v>0.014367708342248986</v>
      </c>
      <c r="I41" s="29">
        <f>(K41-M41)*2/K41*100</f>
        <v>36.07975921745677</v>
      </c>
      <c r="J41" s="31"/>
      <c r="K41" s="31">
        <f>K40/K37/0.0283*(21-7)/(21-K38)</f>
        <v>0.014497651947831248</v>
      </c>
      <c r="L41" s="31">
        <f>(L40/L37/0.0283*(21-7)/(21-L38))</f>
        <v>0.24271840168490988</v>
      </c>
      <c r="M41" s="31">
        <f>M40/M37/0.0283*(21-7)/(21-M38)</f>
        <v>0.011882292990350025</v>
      </c>
      <c r="N41" s="29">
        <f>(P41-R41)*2/P41*100</f>
        <v>30.915287244401213</v>
      </c>
      <c r="O41" s="31"/>
      <c r="P41" s="31">
        <f>P40/P37/0.0283*(21-7)/(21-P38)</f>
        <v>0.011813379537631452</v>
      </c>
      <c r="Q41" s="31">
        <f>(Q40/Q37/0.0283*(21-7)/(21-Q38))</f>
        <v>0.18979626326282267</v>
      </c>
      <c r="R41" s="31">
        <f>R40/R37/0.0283*(21-7)/(21-R38)</f>
        <v>0.009987309428966413</v>
      </c>
    </row>
    <row r="42" spans="1:18" ht="12.75">
      <c r="A42" s="26"/>
      <c r="B42" s="26"/>
      <c r="C42" s="26"/>
      <c r="D42" s="26"/>
      <c r="E42" s="30"/>
      <c r="F42" s="35"/>
      <c r="G42" s="30"/>
      <c r="H42" s="35"/>
      <c r="I42" s="54"/>
      <c r="J42" s="30"/>
      <c r="K42" s="30"/>
      <c r="L42" s="30"/>
      <c r="M42" s="30"/>
      <c r="N42" s="30"/>
      <c r="O42" s="30"/>
      <c r="P42" s="34"/>
      <c r="Q42" s="30"/>
      <c r="R42" s="34"/>
    </row>
    <row r="43" spans="1:18" ht="12.75">
      <c r="A43" s="31"/>
      <c r="B43" s="26" t="s">
        <v>58</v>
      </c>
      <c r="C43" s="35">
        <f>AVERAGE(H41,M41,R41)</f>
        <v>0.012079103587188474</v>
      </c>
      <c r="D43" s="31"/>
      <c r="E43" s="31"/>
      <c r="F43" s="35"/>
      <c r="G43" s="31"/>
      <c r="H43" s="35"/>
      <c r="I43" s="53"/>
      <c r="J43" s="31"/>
      <c r="K43" s="31"/>
      <c r="L43" s="31"/>
      <c r="M43" s="31"/>
      <c r="N43" s="31"/>
      <c r="O43" s="31"/>
      <c r="P43" s="34"/>
      <c r="Q43" s="31"/>
      <c r="R43" s="34"/>
    </row>
    <row r="44" spans="1:18" ht="12.75">
      <c r="A44" s="26"/>
      <c r="B44" s="26" t="s">
        <v>59</v>
      </c>
      <c r="C44" s="35">
        <f>AVERAGE(G41,L41,Q41)</f>
        <v>0.2153651663321848</v>
      </c>
      <c r="D44" s="26"/>
      <c r="E44" s="34"/>
      <c r="F44" s="35"/>
      <c r="G44" s="34"/>
      <c r="H44" s="35"/>
      <c r="I44" s="38"/>
      <c r="J44" s="34"/>
      <c r="K44" s="34"/>
      <c r="L44" s="34"/>
      <c r="M44" s="34"/>
      <c r="N44" s="34"/>
      <c r="O44" s="34"/>
      <c r="P44" s="34"/>
      <c r="Q44" s="34"/>
      <c r="R44" s="34"/>
    </row>
    <row r="46" ht="12.75">
      <c r="B46" s="6" t="s">
        <v>166</v>
      </c>
    </row>
    <row r="47" spans="1:8" ht="12.75">
      <c r="A47" s="26"/>
      <c r="B47" s="9" t="s">
        <v>167</v>
      </c>
      <c r="C47" s="9"/>
      <c r="D47" s="34"/>
      <c r="E47" s="34"/>
      <c r="F47" s="35"/>
      <c r="G47" s="35"/>
      <c r="H47" s="35"/>
    </row>
    <row r="48" spans="1:8" ht="12.75">
      <c r="A48" s="26"/>
      <c r="C48" s="9"/>
      <c r="D48" s="36"/>
      <c r="E48" s="36"/>
      <c r="F48" s="37"/>
      <c r="G48" s="37"/>
      <c r="H48" s="37"/>
    </row>
    <row r="49" ht="6" customHeight="1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spans="1:18" ht="12.75">
      <c r="A128" s="26"/>
      <c r="B128" s="26"/>
      <c r="C128" s="35"/>
      <c r="D128" s="35"/>
      <c r="E128" s="29"/>
      <c r="F128" s="30"/>
      <c r="G128" s="29"/>
      <c r="H128" s="30"/>
      <c r="I128" s="37"/>
      <c r="J128" s="29"/>
      <c r="K128" s="30"/>
      <c r="L128" s="29"/>
      <c r="M128" s="30"/>
      <c r="N128" s="35"/>
      <c r="O128" s="31"/>
      <c r="P128" s="31"/>
      <c r="Q128" s="29"/>
      <c r="R128" s="31"/>
    </row>
    <row r="129" spans="1:18" ht="12.75">
      <c r="A129" s="26"/>
      <c r="B129" s="26"/>
      <c r="C129" s="35"/>
      <c r="D129" s="35"/>
      <c r="E129" s="31"/>
      <c r="F129" s="30"/>
      <c r="G129" s="30"/>
      <c r="H129" s="30"/>
      <c r="I129" s="37"/>
      <c r="J129" s="31"/>
      <c r="K129" s="31"/>
      <c r="L129" s="31"/>
      <c r="M129" s="31"/>
      <c r="N129" s="35"/>
      <c r="O129" s="31"/>
      <c r="P129" s="31"/>
      <c r="Q129" s="31"/>
      <c r="R129" s="31"/>
    </row>
    <row r="130" spans="1:18" ht="12.75">
      <c r="A130" s="26"/>
      <c r="B130" s="26"/>
      <c r="C130" s="26"/>
      <c r="D130" s="26"/>
      <c r="E130" s="30"/>
      <c r="F130" s="35"/>
      <c r="G130" s="30"/>
      <c r="H130" s="35"/>
      <c r="I130" s="54"/>
      <c r="J130" s="30"/>
      <c r="K130" s="30"/>
      <c r="L130" s="30"/>
      <c r="M130" s="30"/>
      <c r="N130" s="30"/>
      <c r="O130" s="30"/>
      <c r="P130" s="34"/>
      <c r="Q130" s="30"/>
      <c r="R130" s="34"/>
    </row>
    <row r="131" spans="1:18" ht="12.75">
      <c r="A131" s="31"/>
      <c r="B131" s="26"/>
      <c r="C131" s="35"/>
      <c r="D131" s="31"/>
      <c r="E131" s="31"/>
      <c r="F131" s="35"/>
      <c r="G131" s="31"/>
      <c r="H131" s="35"/>
      <c r="I131" s="53"/>
      <c r="J131" s="31"/>
      <c r="K131" s="31"/>
      <c r="L131" s="31"/>
      <c r="M131" s="31"/>
      <c r="N131" s="31"/>
      <c r="O131" s="31"/>
      <c r="P131" s="34"/>
      <c r="Q131" s="31"/>
      <c r="R131" s="34"/>
    </row>
    <row r="132" spans="1:18" ht="12.75">
      <c r="A132" s="26"/>
      <c r="B132" s="26"/>
      <c r="C132" s="35"/>
      <c r="D132" s="26"/>
      <c r="E132" s="34"/>
      <c r="F132" s="35"/>
      <c r="G132" s="34"/>
      <c r="H132" s="35"/>
      <c r="I132" s="38"/>
      <c r="J132" s="34"/>
      <c r="K132" s="34"/>
      <c r="L132" s="34"/>
      <c r="M132" s="34"/>
      <c r="N132" s="34"/>
      <c r="O132" s="34"/>
      <c r="P132" s="34"/>
      <c r="Q132" s="34"/>
      <c r="R132" s="3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9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3.421875" style="0" customWidth="1"/>
    <col min="2" max="2" width="18.8515625" style="0" customWidth="1"/>
    <col min="4" max="4" width="4.140625" style="0" customWidth="1"/>
    <col min="9" max="9" width="4.140625" style="0" customWidth="1"/>
    <col min="14" max="14" width="5.421875" style="0" customWidth="1"/>
  </cols>
  <sheetData>
    <row r="1" ht="12.75">
      <c r="A1" t="s">
        <v>65</v>
      </c>
    </row>
    <row r="2" ht="12.75">
      <c r="A2" s="12" t="s">
        <v>224</v>
      </c>
    </row>
    <row r="3" spans="1:18" ht="12.75">
      <c r="A3" s="26" t="s">
        <v>20</v>
      </c>
      <c r="B3" s="26"/>
      <c r="C3" s="9" t="s">
        <v>176</v>
      </c>
      <c r="D3" s="9"/>
      <c r="E3" s="34"/>
      <c r="F3" s="35"/>
      <c r="G3" s="34"/>
      <c r="H3" s="35"/>
      <c r="I3" s="38"/>
      <c r="J3" s="34"/>
      <c r="K3" s="34"/>
      <c r="L3" s="34"/>
      <c r="M3" s="34"/>
      <c r="N3" s="34"/>
      <c r="O3" s="34"/>
      <c r="P3" s="34"/>
      <c r="Q3" s="34"/>
      <c r="R3" s="34"/>
    </row>
    <row r="4" spans="1:18" ht="12.75">
      <c r="A4" s="26" t="s">
        <v>21</v>
      </c>
      <c r="B4" s="26"/>
      <c r="C4" s="9" t="str">
        <f>emiss!B88</f>
        <v>3004C2</v>
      </c>
      <c r="D4" s="9"/>
      <c r="E4" s="36"/>
      <c r="F4" s="37"/>
      <c r="G4" s="36"/>
      <c r="H4" s="37"/>
      <c r="I4" s="38"/>
      <c r="J4" s="36"/>
      <c r="K4" s="36"/>
      <c r="L4" s="36"/>
      <c r="M4" s="36"/>
      <c r="N4" s="36"/>
      <c r="O4" s="36"/>
      <c r="P4" s="36"/>
      <c r="Q4" s="36"/>
      <c r="R4" s="36"/>
    </row>
    <row r="5" spans="1:18" ht="12.75">
      <c r="A5" s="26" t="s">
        <v>22</v>
      </c>
      <c r="B5" s="26"/>
      <c r="C5" s="12" t="s">
        <v>177</v>
      </c>
      <c r="D5" s="12"/>
      <c r="E5" s="12"/>
      <c r="F5" s="12"/>
      <c r="G5" s="12"/>
      <c r="H5" s="12"/>
      <c r="I5" s="47"/>
      <c r="J5" s="12"/>
      <c r="K5" s="34"/>
      <c r="L5" s="12"/>
      <c r="M5" s="34"/>
      <c r="N5" s="34"/>
      <c r="O5" s="34"/>
      <c r="P5" s="34"/>
      <c r="Q5" s="34"/>
      <c r="R5" s="34"/>
    </row>
    <row r="6" spans="1:18" ht="12.75">
      <c r="A6" s="26"/>
      <c r="B6" s="26"/>
      <c r="C6" s="28"/>
      <c r="D6" s="28"/>
      <c r="E6" s="38"/>
      <c r="F6" s="35"/>
      <c r="G6" s="38"/>
      <c r="H6" s="35"/>
      <c r="I6" s="38"/>
      <c r="J6" s="38"/>
      <c r="K6" s="34"/>
      <c r="L6" s="38"/>
      <c r="M6" s="34"/>
      <c r="N6" s="34"/>
      <c r="O6" s="38"/>
      <c r="P6" s="34"/>
      <c r="Q6" s="38"/>
      <c r="R6" s="34"/>
    </row>
    <row r="7" spans="1:18" ht="12.75">
      <c r="A7" s="26"/>
      <c r="B7" s="26"/>
      <c r="C7" s="28" t="s">
        <v>23</v>
      </c>
      <c r="D7" s="28"/>
      <c r="E7" s="39" t="s">
        <v>133</v>
      </c>
      <c r="F7" s="39"/>
      <c r="G7" s="39"/>
      <c r="H7" s="39"/>
      <c r="I7" s="11"/>
      <c r="J7" s="39" t="s">
        <v>155</v>
      </c>
      <c r="K7" s="39"/>
      <c r="L7" s="39"/>
      <c r="M7" s="39"/>
      <c r="N7" s="11"/>
      <c r="O7" s="39" t="s">
        <v>156</v>
      </c>
      <c r="P7" s="39"/>
      <c r="Q7" s="39"/>
      <c r="R7" s="39"/>
    </row>
    <row r="8" spans="1:18" ht="12.75">
      <c r="A8" s="26"/>
      <c r="B8" s="26"/>
      <c r="C8" s="28" t="s">
        <v>24</v>
      </c>
      <c r="D8" s="26"/>
      <c r="E8" s="38" t="s">
        <v>25</v>
      </c>
      <c r="F8" s="37" t="s">
        <v>26</v>
      </c>
      <c r="G8" s="38" t="s">
        <v>25</v>
      </c>
      <c r="H8" s="37" t="s">
        <v>26</v>
      </c>
      <c r="I8" s="38"/>
      <c r="J8" s="38" t="s">
        <v>25</v>
      </c>
      <c r="K8" s="38" t="s">
        <v>27</v>
      </c>
      <c r="L8" s="38" t="s">
        <v>25</v>
      </c>
      <c r="M8" s="38" t="s">
        <v>27</v>
      </c>
      <c r="N8" s="34"/>
      <c r="O8" s="38" t="s">
        <v>25</v>
      </c>
      <c r="P8" s="38" t="s">
        <v>27</v>
      </c>
      <c r="Q8" s="38" t="s">
        <v>25</v>
      </c>
      <c r="R8" s="38" t="s">
        <v>27</v>
      </c>
    </row>
    <row r="9" spans="1:18" ht="12.75">
      <c r="A9" s="26"/>
      <c r="B9" s="26"/>
      <c r="C9" s="28"/>
      <c r="D9" s="26"/>
      <c r="E9" s="38" t="s">
        <v>198</v>
      </c>
      <c r="F9" s="38" t="s">
        <v>198</v>
      </c>
      <c r="G9" s="38" t="s">
        <v>64</v>
      </c>
      <c r="H9" s="37" t="s">
        <v>64</v>
      </c>
      <c r="I9" s="38"/>
      <c r="J9" s="38" t="s">
        <v>198</v>
      </c>
      <c r="K9" s="38" t="s">
        <v>198</v>
      </c>
      <c r="L9" s="38" t="s">
        <v>64</v>
      </c>
      <c r="M9" s="37" t="s">
        <v>64</v>
      </c>
      <c r="N9" s="34"/>
      <c r="O9" s="38" t="s">
        <v>198</v>
      </c>
      <c r="P9" s="38" t="s">
        <v>198</v>
      </c>
      <c r="Q9" s="38" t="s">
        <v>64</v>
      </c>
      <c r="R9" s="37" t="s">
        <v>64</v>
      </c>
    </row>
    <row r="10" spans="1:18" ht="12.75">
      <c r="A10" s="26" t="s">
        <v>99</v>
      </c>
      <c r="B10" s="26"/>
      <c r="C10" s="26"/>
      <c r="D10" s="26"/>
      <c r="E10" s="34"/>
      <c r="F10" s="35"/>
      <c r="G10" s="34"/>
      <c r="H10" s="35"/>
      <c r="I10" s="38"/>
      <c r="J10" s="34"/>
      <c r="K10" s="34"/>
      <c r="L10" s="34"/>
      <c r="M10" s="34"/>
      <c r="N10" s="34"/>
      <c r="O10" s="29"/>
      <c r="P10" s="34"/>
      <c r="Q10" s="34"/>
      <c r="R10" s="34"/>
    </row>
    <row r="11" spans="1:18" ht="12.75">
      <c r="A11" s="26"/>
      <c r="B11" s="26" t="s">
        <v>28</v>
      </c>
      <c r="C11" s="28">
        <v>1</v>
      </c>
      <c r="D11" t="s">
        <v>98</v>
      </c>
      <c r="E11">
        <v>44.4</v>
      </c>
      <c r="F11" s="31">
        <f aca="true" t="shared" si="0" ref="F11:H35">IF(E11="","",E11*$C11)</f>
        <v>44.4</v>
      </c>
      <c r="G11" s="31">
        <f aca="true" t="shared" si="1" ref="G11:G35">IF(E11=0,"",IF(D11="nd",E11/2,E11))</f>
        <v>22.2</v>
      </c>
      <c r="H11" s="31">
        <f t="shared" si="0"/>
        <v>22.2</v>
      </c>
      <c r="I11" t="s">
        <v>98</v>
      </c>
      <c r="J11">
        <v>16.7</v>
      </c>
      <c r="K11" s="31">
        <f aca="true" t="shared" si="2" ref="K11:M35">IF(J11="","",J11*$C11)</f>
        <v>16.7</v>
      </c>
      <c r="L11" s="31">
        <f aca="true" t="shared" si="3" ref="L11:L35">IF(J11=0,"",IF(I11="nd",J11/2,J11))</f>
        <v>8.35</v>
      </c>
      <c r="M11" s="31">
        <f t="shared" si="2"/>
        <v>8.35</v>
      </c>
      <c r="N11" t="s">
        <v>98</v>
      </c>
      <c r="O11">
        <v>45.8</v>
      </c>
      <c r="P11" s="40">
        <f aca="true" t="shared" si="4" ref="P11:R35">IF(O11="","",O11*$C11)</f>
        <v>45.8</v>
      </c>
      <c r="Q11" s="40">
        <f aca="true" t="shared" si="5" ref="Q11:Q35">IF(O11=0,"",IF(N11="nd",O11/2,O11))</f>
        <v>22.9</v>
      </c>
      <c r="R11" s="40">
        <f t="shared" si="4"/>
        <v>22.9</v>
      </c>
    </row>
    <row r="12" spans="1:18" ht="12.75">
      <c r="A12" s="26"/>
      <c r="B12" s="26" t="s">
        <v>88</v>
      </c>
      <c r="C12" s="28">
        <v>0</v>
      </c>
      <c r="D12" t="s">
        <v>98</v>
      </c>
      <c r="E12">
        <v>44.4</v>
      </c>
      <c r="F12" s="40">
        <f t="shared" si="0"/>
        <v>0</v>
      </c>
      <c r="G12" s="40">
        <f t="shared" si="1"/>
        <v>22.2</v>
      </c>
      <c r="H12" s="40">
        <f t="shared" si="0"/>
        <v>0</v>
      </c>
      <c r="I12" t="s">
        <v>98</v>
      </c>
      <c r="J12">
        <v>16.7</v>
      </c>
      <c r="K12" s="31">
        <f t="shared" si="2"/>
        <v>0</v>
      </c>
      <c r="L12" s="40">
        <f t="shared" si="3"/>
        <v>8.35</v>
      </c>
      <c r="M12" s="31">
        <f t="shared" si="2"/>
        <v>0</v>
      </c>
      <c r="N12" t="s">
        <v>98</v>
      </c>
      <c r="O12">
        <v>45.8</v>
      </c>
      <c r="P12" s="40">
        <f t="shared" si="4"/>
        <v>0</v>
      </c>
      <c r="Q12" s="40">
        <f t="shared" si="5"/>
        <v>22.9</v>
      </c>
      <c r="R12" s="40">
        <f t="shared" si="4"/>
        <v>0</v>
      </c>
    </row>
    <row r="13" spans="1:18" ht="12.75">
      <c r="A13" s="26"/>
      <c r="B13" s="26" t="s">
        <v>29</v>
      </c>
      <c r="C13" s="28">
        <v>0.5</v>
      </c>
      <c r="D13" t="s">
        <v>98</v>
      </c>
      <c r="E13">
        <v>16.9</v>
      </c>
      <c r="F13" s="31">
        <f t="shared" si="0"/>
        <v>8.45</v>
      </c>
      <c r="G13" s="31">
        <f t="shared" si="1"/>
        <v>8.45</v>
      </c>
      <c r="H13" s="31">
        <f t="shared" si="0"/>
        <v>4.225</v>
      </c>
      <c r="I13" t="s">
        <v>98</v>
      </c>
      <c r="J13">
        <v>8.4</v>
      </c>
      <c r="K13" s="31">
        <f t="shared" si="2"/>
        <v>4.2</v>
      </c>
      <c r="L13" s="31">
        <f t="shared" si="3"/>
        <v>4.2</v>
      </c>
      <c r="M13" s="31">
        <f t="shared" si="2"/>
        <v>2.1</v>
      </c>
      <c r="N13" t="s">
        <v>98</v>
      </c>
      <c r="O13">
        <v>13.7</v>
      </c>
      <c r="P13" s="40">
        <f t="shared" si="4"/>
        <v>6.85</v>
      </c>
      <c r="Q13" s="40">
        <f t="shared" si="5"/>
        <v>6.85</v>
      </c>
      <c r="R13" s="40">
        <f t="shared" si="4"/>
        <v>3.425</v>
      </c>
    </row>
    <row r="14" spans="1:18" ht="12.75">
      <c r="A14" s="26"/>
      <c r="B14" s="26" t="s">
        <v>89</v>
      </c>
      <c r="C14" s="28">
        <v>0</v>
      </c>
      <c r="E14">
        <v>13.9</v>
      </c>
      <c r="F14" s="40">
        <f t="shared" si="0"/>
        <v>0</v>
      </c>
      <c r="G14" s="40">
        <f t="shared" si="1"/>
        <v>13.9</v>
      </c>
      <c r="H14" s="40">
        <f t="shared" si="0"/>
        <v>0</v>
      </c>
      <c r="I14" t="s">
        <v>98</v>
      </c>
      <c r="J14">
        <v>8.4</v>
      </c>
      <c r="K14" s="31">
        <f t="shared" si="2"/>
        <v>0</v>
      </c>
      <c r="L14" s="40">
        <f t="shared" si="3"/>
        <v>4.2</v>
      </c>
      <c r="M14" s="31">
        <f t="shared" si="2"/>
        <v>0</v>
      </c>
      <c r="N14" t="s">
        <v>98</v>
      </c>
      <c r="O14">
        <v>41.6</v>
      </c>
      <c r="P14" s="40">
        <f t="shared" si="4"/>
        <v>0</v>
      </c>
      <c r="Q14" s="40">
        <f t="shared" si="5"/>
        <v>20.8</v>
      </c>
      <c r="R14" s="40">
        <f t="shared" si="4"/>
        <v>0</v>
      </c>
    </row>
    <row r="15" spans="1:18" ht="12.75">
      <c r="A15" s="26"/>
      <c r="B15" s="26" t="s">
        <v>30</v>
      </c>
      <c r="C15" s="28">
        <v>0.1</v>
      </c>
      <c r="D15" t="s">
        <v>98</v>
      </c>
      <c r="E15">
        <v>23.5</v>
      </c>
      <c r="F15" s="31">
        <f t="shared" si="0"/>
        <v>2.35</v>
      </c>
      <c r="G15" s="31">
        <f t="shared" si="1"/>
        <v>11.75</v>
      </c>
      <c r="H15" s="31">
        <f t="shared" si="0"/>
        <v>1.175</v>
      </c>
      <c r="I15" t="s">
        <v>98</v>
      </c>
      <c r="J15">
        <v>11.5</v>
      </c>
      <c r="K15" s="31">
        <f t="shared" si="2"/>
        <v>1.1500000000000001</v>
      </c>
      <c r="L15" s="31">
        <f t="shared" si="3"/>
        <v>5.75</v>
      </c>
      <c r="M15" s="31">
        <f t="shared" si="2"/>
        <v>0.5750000000000001</v>
      </c>
      <c r="N15" t="s">
        <v>98</v>
      </c>
      <c r="O15">
        <v>25.9</v>
      </c>
      <c r="P15" s="40">
        <f t="shared" si="4"/>
        <v>2.59</v>
      </c>
      <c r="Q15" s="40">
        <f t="shared" si="5"/>
        <v>12.95</v>
      </c>
      <c r="R15" s="40">
        <f t="shared" si="4"/>
        <v>1.295</v>
      </c>
    </row>
    <row r="16" spans="1:18" ht="12.75">
      <c r="A16" s="26"/>
      <c r="B16" s="26" t="s">
        <v>31</v>
      </c>
      <c r="C16" s="28">
        <v>0.1</v>
      </c>
      <c r="D16" t="s">
        <v>98</v>
      </c>
      <c r="E16">
        <v>22.6</v>
      </c>
      <c r="F16" s="31">
        <f t="shared" si="0"/>
        <v>2.2600000000000002</v>
      </c>
      <c r="G16" s="31">
        <f t="shared" si="1"/>
        <v>11.3</v>
      </c>
      <c r="H16" s="31">
        <f t="shared" si="0"/>
        <v>1.1300000000000001</v>
      </c>
      <c r="I16" t="s">
        <v>98</v>
      </c>
      <c r="J16">
        <v>11</v>
      </c>
      <c r="K16" s="31">
        <f t="shared" si="2"/>
        <v>1.1</v>
      </c>
      <c r="L16" s="31">
        <f t="shared" si="3"/>
        <v>5.5</v>
      </c>
      <c r="M16" s="31">
        <f t="shared" si="2"/>
        <v>0.55</v>
      </c>
      <c r="N16" t="s">
        <v>98</v>
      </c>
      <c r="O16">
        <v>24.8</v>
      </c>
      <c r="P16" s="40">
        <f t="shared" si="4"/>
        <v>2.4800000000000004</v>
      </c>
      <c r="Q16" s="40">
        <f t="shared" si="5"/>
        <v>12.4</v>
      </c>
      <c r="R16" s="40">
        <f t="shared" si="4"/>
        <v>1.2400000000000002</v>
      </c>
    </row>
    <row r="17" spans="1:18" ht="12.75">
      <c r="A17" s="26"/>
      <c r="B17" s="26" t="s">
        <v>32</v>
      </c>
      <c r="C17" s="28">
        <v>0.1</v>
      </c>
      <c r="D17" t="s">
        <v>98</v>
      </c>
      <c r="E17">
        <v>21.6</v>
      </c>
      <c r="F17" s="31">
        <f t="shared" si="0"/>
        <v>2.16</v>
      </c>
      <c r="G17" s="31">
        <f t="shared" si="1"/>
        <v>10.8</v>
      </c>
      <c r="H17" s="31">
        <f t="shared" si="0"/>
        <v>1.08</v>
      </c>
      <c r="I17" t="s">
        <v>98</v>
      </c>
      <c r="J17">
        <v>10.6</v>
      </c>
      <c r="K17" s="31">
        <f t="shared" si="2"/>
        <v>1.06</v>
      </c>
      <c r="L17" s="31">
        <f t="shared" si="3"/>
        <v>5.3</v>
      </c>
      <c r="M17" s="31">
        <f t="shared" si="2"/>
        <v>0.53</v>
      </c>
      <c r="N17" t="s">
        <v>98</v>
      </c>
      <c r="O17">
        <v>23.8</v>
      </c>
      <c r="P17" s="40">
        <f t="shared" si="4"/>
        <v>2.3800000000000003</v>
      </c>
      <c r="Q17" s="40">
        <f t="shared" si="5"/>
        <v>11.9</v>
      </c>
      <c r="R17" s="40">
        <f t="shared" si="4"/>
        <v>1.1900000000000002</v>
      </c>
    </row>
    <row r="18" spans="1:18" ht="12.75">
      <c r="A18" s="26"/>
      <c r="B18" s="26" t="s">
        <v>90</v>
      </c>
      <c r="C18" s="28">
        <v>0</v>
      </c>
      <c r="D18" t="s">
        <v>98</v>
      </c>
      <c r="E18">
        <v>27.7</v>
      </c>
      <c r="F18" s="40">
        <f t="shared" si="0"/>
        <v>0</v>
      </c>
      <c r="G18" s="40">
        <f t="shared" si="1"/>
        <v>13.85</v>
      </c>
      <c r="H18" s="40">
        <f t="shared" si="0"/>
        <v>0</v>
      </c>
      <c r="I18" t="s">
        <v>98</v>
      </c>
      <c r="J18">
        <v>14.9</v>
      </c>
      <c r="K18" s="31">
        <f t="shared" si="2"/>
        <v>0</v>
      </c>
      <c r="L18" s="40">
        <f t="shared" si="3"/>
        <v>7.45</v>
      </c>
      <c r="M18" s="31">
        <f t="shared" si="2"/>
        <v>0</v>
      </c>
      <c r="N18" t="s">
        <v>98</v>
      </c>
      <c r="O18">
        <v>47.3</v>
      </c>
      <c r="P18" s="40">
        <f t="shared" si="4"/>
        <v>0</v>
      </c>
      <c r="Q18" s="40">
        <f t="shared" si="5"/>
        <v>23.65</v>
      </c>
      <c r="R18" s="40">
        <f t="shared" si="4"/>
        <v>0</v>
      </c>
    </row>
    <row r="19" spans="1:18" ht="12.75">
      <c r="A19" s="26"/>
      <c r="B19" s="26" t="s">
        <v>33</v>
      </c>
      <c r="C19" s="28">
        <v>0.01</v>
      </c>
      <c r="E19">
        <v>46.5</v>
      </c>
      <c r="F19" s="31">
        <f t="shared" si="0"/>
        <v>0.465</v>
      </c>
      <c r="G19" s="31">
        <f t="shared" si="1"/>
        <v>46.5</v>
      </c>
      <c r="H19" s="31">
        <f t="shared" si="0"/>
        <v>0.465</v>
      </c>
      <c r="J19">
        <v>12.8</v>
      </c>
      <c r="K19" s="31">
        <f t="shared" si="2"/>
        <v>0.128</v>
      </c>
      <c r="L19" s="31">
        <f t="shared" si="3"/>
        <v>12.8</v>
      </c>
      <c r="M19" s="31">
        <f t="shared" si="2"/>
        <v>0.128</v>
      </c>
      <c r="O19">
        <v>103</v>
      </c>
      <c r="P19" s="40">
        <f t="shared" si="4"/>
        <v>1.03</v>
      </c>
      <c r="Q19" s="40">
        <f t="shared" si="5"/>
        <v>103</v>
      </c>
      <c r="R19" s="40">
        <f t="shared" si="4"/>
        <v>1.03</v>
      </c>
    </row>
    <row r="20" spans="1:18" ht="12.75">
      <c r="A20" s="26"/>
      <c r="B20" s="26" t="s">
        <v>91</v>
      </c>
      <c r="C20" s="28">
        <v>0</v>
      </c>
      <c r="E20">
        <v>77.3</v>
      </c>
      <c r="F20" s="40">
        <f t="shared" si="0"/>
        <v>0</v>
      </c>
      <c r="G20" s="40">
        <f t="shared" si="1"/>
        <v>77.3</v>
      </c>
      <c r="H20" s="40">
        <f t="shared" si="0"/>
        <v>0</v>
      </c>
      <c r="J20">
        <v>12.8</v>
      </c>
      <c r="K20" s="31">
        <f t="shared" si="2"/>
        <v>0</v>
      </c>
      <c r="L20" s="40">
        <f t="shared" si="3"/>
        <v>12.8</v>
      </c>
      <c r="M20" s="31">
        <f t="shared" si="2"/>
        <v>0</v>
      </c>
      <c r="O20">
        <v>279</v>
      </c>
      <c r="P20" s="40">
        <f t="shared" si="4"/>
        <v>0</v>
      </c>
      <c r="Q20" s="40">
        <f t="shared" si="5"/>
        <v>279</v>
      </c>
      <c r="R20" s="40">
        <f t="shared" si="4"/>
        <v>0</v>
      </c>
    </row>
    <row r="21" spans="1:18" ht="12.75">
      <c r="A21" s="26"/>
      <c r="B21" s="26" t="s">
        <v>34</v>
      </c>
      <c r="C21" s="28">
        <v>0.001</v>
      </c>
      <c r="E21">
        <v>270</v>
      </c>
      <c r="F21" s="31">
        <f t="shared" si="0"/>
        <v>0.27</v>
      </c>
      <c r="G21" s="31">
        <f t="shared" si="1"/>
        <v>270</v>
      </c>
      <c r="H21" s="31">
        <f t="shared" si="0"/>
        <v>0.27</v>
      </c>
      <c r="J21">
        <v>50.4</v>
      </c>
      <c r="K21" s="31">
        <f t="shared" si="2"/>
        <v>0.0504</v>
      </c>
      <c r="L21" s="40">
        <f t="shared" si="3"/>
        <v>50.4</v>
      </c>
      <c r="M21" s="31">
        <f t="shared" si="2"/>
        <v>0.0504</v>
      </c>
      <c r="O21">
        <v>1790</v>
      </c>
      <c r="P21" s="40">
        <f t="shared" si="4"/>
        <v>1.79</v>
      </c>
      <c r="Q21" s="40">
        <f t="shared" si="5"/>
        <v>1790</v>
      </c>
      <c r="R21" s="40">
        <f t="shared" si="4"/>
        <v>1.79</v>
      </c>
    </row>
    <row r="22" spans="1:18" ht="12.75">
      <c r="A22" s="26"/>
      <c r="B22" s="26" t="s">
        <v>35</v>
      </c>
      <c r="C22" s="28">
        <v>0.1</v>
      </c>
      <c r="E22">
        <v>25.1</v>
      </c>
      <c r="F22" s="31">
        <f t="shared" si="0"/>
        <v>2.5100000000000002</v>
      </c>
      <c r="G22" s="31">
        <f t="shared" si="1"/>
        <v>25.1</v>
      </c>
      <c r="H22" s="31">
        <f t="shared" si="0"/>
        <v>2.5100000000000002</v>
      </c>
      <c r="J22">
        <v>13.7</v>
      </c>
      <c r="K22" s="31">
        <f t="shared" si="2"/>
        <v>1.37</v>
      </c>
      <c r="L22" s="40">
        <f t="shared" si="3"/>
        <v>13.7</v>
      </c>
      <c r="M22" s="31">
        <f t="shared" si="2"/>
        <v>1.37</v>
      </c>
      <c r="N22" t="s">
        <v>98</v>
      </c>
      <c r="O22">
        <v>38.8</v>
      </c>
      <c r="P22" s="40">
        <f t="shared" si="4"/>
        <v>3.88</v>
      </c>
      <c r="Q22" s="40">
        <f t="shared" si="5"/>
        <v>19.4</v>
      </c>
      <c r="R22" s="40">
        <f t="shared" si="4"/>
        <v>1.94</v>
      </c>
    </row>
    <row r="23" spans="1:18" ht="12.75">
      <c r="A23" s="26"/>
      <c r="B23" s="26" t="s">
        <v>92</v>
      </c>
      <c r="C23" s="28">
        <v>0</v>
      </c>
      <c r="E23">
        <v>25.1</v>
      </c>
      <c r="F23" s="40">
        <f t="shared" si="0"/>
        <v>0</v>
      </c>
      <c r="G23" s="40">
        <f t="shared" si="1"/>
        <v>25.1</v>
      </c>
      <c r="H23" s="40">
        <f t="shared" si="0"/>
        <v>0</v>
      </c>
      <c r="J23">
        <v>72.1</v>
      </c>
      <c r="K23" s="31">
        <f t="shared" si="2"/>
        <v>0</v>
      </c>
      <c r="L23" s="40">
        <f t="shared" si="3"/>
        <v>72.1</v>
      </c>
      <c r="M23" s="31">
        <f t="shared" si="2"/>
        <v>0</v>
      </c>
      <c r="O23">
        <v>96.1</v>
      </c>
      <c r="P23" s="40">
        <f t="shared" si="4"/>
        <v>0</v>
      </c>
      <c r="Q23" s="40">
        <f t="shared" si="5"/>
        <v>96.1</v>
      </c>
      <c r="R23" s="40">
        <f t="shared" si="4"/>
        <v>0</v>
      </c>
    </row>
    <row r="24" spans="1:18" ht="12.75">
      <c r="A24" s="26"/>
      <c r="B24" s="26" t="s">
        <v>36</v>
      </c>
      <c r="C24" s="28">
        <v>0.05</v>
      </c>
      <c r="E24">
        <v>13.2</v>
      </c>
      <c r="F24" s="40">
        <f t="shared" si="0"/>
        <v>0.66</v>
      </c>
      <c r="G24" s="40">
        <f t="shared" si="1"/>
        <v>13.2</v>
      </c>
      <c r="H24" s="40">
        <f t="shared" si="0"/>
        <v>0.66</v>
      </c>
      <c r="I24" t="s">
        <v>98</v>
      </c>
      <c r="J24">
        <v>11.8</v>
      </c>
      <c r="K24" s="31">
        <f t="shared" si="2"/>
        <v>0.5900000000000001</v>
      </c>
      <c r="L24" s="40">
        <f t="shared" si="3"/>
        <v>5.9</v>
      </c>
      <c r="M24" s="31">
        <f t="shared" si="2"/>
        <v>0.29500000000000004</v>
      </c>
      <c r="N24" t="s">
        <v>98</v>
      </c>
      <c r="O24">
        <v>23.6</v>
      </c>
      <c r="P24" s="40">
        <f t="shared" si="4"/>
        <v>1.1800000000000002</v>
      </c>
      <c r="Q24" s="40">
        <f t="shared" si="5"/>
        <v>11.8</v>
      </c>
      <c r="R24" s="40">
        <f t="shared" si="4"/>
        <v>0.5900000000000001</v>
      </c>
    </row>
    <row r="25" spans="1:18" ht="12.75">
      <c r="A25" s="26"/>
      <c r="B25" s="26" t="s">
        <v>37</v>
      </c>
      <c r="C25" s="28">
        <v>0.5</v>
      </c>
      <c r="E25">
        <v>10.6</v>
      </c>
      <c r="F25" s="40">
        <f t="shared" si="0"/>
        <v>5.3</v>
      </c>
      <c r="G25" s="40">
        <f t="shared" si="1"/>
        <v>10.6</v>
      </c>
      <c r="H25" s="40">
        <f t="shared" si="0"/>
        <v>5.3</v>
      </c>
      <c r="J25">
        <v>7</v>
      </c>
      <c r="K25" s="31">
        <f t="shared" si="2"/>
        <v>3.5</v>
      </c>
      <c r="L25" s="40">
        <f t="shared" si="3"/>
        <v>7</v>
      </c>
      <c r="M25" s="31">
        <f t="shared" si="2"/>
        <v>3.5</v>
      </c>
      <c r="N25" t="s">
        <v>98</v>
      </c>
      <c r="O25">
        <v>34.8</v>
      </c>
      <c r="P25" s="40">
        <f t="shared" si="4"/>
        <v>17.4</v>
      </c>
      <c r="Q25" s="40">
        <f t="shared" si="5"/>
        <v>17.4</v>
      </c>
      <c r="R25" s="40">
        <f t="shared" si="4"/>
        <v>8.7</v>
      </c>
    </row>
    <row r="26" spans="1:18" ht="12.75">
      <c r="A26" s="26"/>
      <c r="B26" s="26" t="s">
        <v>93</v>
      </c>
      <c r="C26" s="28">
        <v>0</v>
      </c>
      <c r="E26">
        <v>89.1</v>
      </c>
      <c r="F26" s="40">
        <f t="shared" si="0"/>
        <v>0</v>
      </c>
      <c r="G26" s="40">
        <f t="shared" si="1"/>
        <v>89.1</v>
      </c>
      <c r="H26" s="40">
        <f t="shared" si="0"/>
        <v>0</v>
      </c>
      <c r="J26">
        <v>108</v>
      </c>
      <c r="K26" s="31">
        <f t="shared" si="2"/>
        <v>0</v>
      </c>
      <c r="L26" s="40">
        <f t="shared" si="3"/>
        <v>108</v>
      </c>
      <c r="M26" s="31">
        <f t="shared" si="2"/>
        <v>0</v>
      </c>
      <c r="O26">
        <v>108</v>
      </c>
      <c r="P26" s="40">
        <f t="shared" si="4"/>
        <v>0</v>
      </c>
      <c r="Q26" s="40">
        <f t="shared" si="5"/>
        <v>108</v>
      </c>
      <c r="R26" s="40">
        <f t="shared" si="4"/>
        <v>0</v>
      </c>
    </row>
    <row r="27" spans="1:18" ht="12.75">
      <c r="A27" s="26"/>
      <c r="B27" s="26" t="s">
        <v>38</v>
      </c>
      <c r="C27" s="28">
        <v>0.1</v>
      </c>
      <c r="E27">
        <v>26.4</v>
      </c>
      <c r="F27" s="40">
        <f t="shared" si="0"/>
        <v>2.64</v>
      </c>
      <c r="G27" s="40">
        <f t="shared" si="1"/>
        <v>26.4</v>
      </c>
      <c r="H27" s="40">
        <f t="shared" si="0"/>
        <v>2.64</v>
      </c>
      <c r="J27">
        <v>23.5</v>
      </c>
      <c r="K27" s="31">
        <f t="shared" si="2"/>
        <v>2.35</v>
      </c>
      <c r="L27" s="40">
        <f t="shared" si="3"/>
        <v>23.5</v>
      </c>
      <c r="M27" s="31">
        <f t="shared" si="2"/>
        <v>2.35</v>
      </c>
      <c r="N27" t="s">
        <v>98</v>
      </c>
      <c r="O27">
        <v>26</v>
      </c>
      <c r="P27" s="40">
        <f t="shared" si="4"/>
        <v>2.6</v>
      </c>
      <c r="Q27" s="40">
        <f t="shared" si="5"/>
        <v>13</v>
      </c>
      <c r="R27" s="40">
        <f t="shared" si="4"/>
        <v>1.3</v>
      </c>
    </row>
    <row r="28" spans="1:18" ht="12.75">
      <c r="A28" s="26"/>
      <c r="B28" s="26" t="s">
        <v>39</v>
      </c>
      <c r="C28" s="28">
        <v>0.1</v>
      </c>
      <c r="E28">
        <v>11.7</v>
      </c>
      <c r="F28" s="40">
        <f t="shared" si="0"/>
        <v>1.17</v>
      </c>
      <c r="G28" s="40">
        <f t="shared" si="1"/>
        <v>11.7</v>
      </c>
      <c r="H28" s="40">
        <f t="shared" si="0"/>
        <v>1.17</v>
      </c>
      <c r="I28" t="s">
        <v>98</v>
      </c>
      <c r="J28">
        <v>16.8</v>
      </c>
      <c r="K28" s="31">
        <f t="shared" si="2"/>
        <v>1.6800000000000002</v>
      </c>
      <c r="L28" s="40">
        <f t="shared" si="3"/>
        <v>8.4</v>
      </c>
      <c r="M28" s="31">
        <f t="shared" si="2"/>
        <v>0.8400000000000001</v>
      </c>
      <c r="O28">
        <v>12.3</v>
      </c>
      <c r="P28" s="40">
        <f t="shared" si="4"/>
        <v>1.2300000000000002</v>
      </c>
      <c r="Q28" s="40">
        <f t="shared" si="5"/>
        <v>12.3</v>
      </c>
      <c r="R28" s="40">
        <f t="shared" si="4"/>
        <v>1.2300000000000002</v>
      </c>
    </row>
    <row r="29" spans="1:18" ht="12.75">
      <c r="A29" s="26"/>
      <c r="B29" s="26" t="s">
        <v>40</v>
      </c>
      <c r="C29" s="28">
        <v>0.1</v>
      </c>
      <c r="D29" t="s">
        <v>98</v>
      </c>
      <c r="E29">
        <v>9.8</v>
      </c>
      <c r="F29" s="40">
        <f t="shared" si="0"/>
        <v>0.9800000000000001</v>
      </c>
      <c r="G29" s="40">
        <f t="shared" si="1"/>
        <v>4.9</v>
      </c>
      <c r="H29" s="40">
        <f t="shared" si="0"/>
        <v>0.49000000000000005</v>
      </c>
      <c r="I29" t="s">
        <v>98</v>
      </c>
      <c r="J29">
        <v>13.6</v>
      </c>
      <c r="K29" s="31">
        <f t="shared" si="2"/>
        <v>1.36</v>
      </c>
      <c r="L29" s="40">
        <f t="shared" si="3"/>
        <v>6.8</v>
      </c>
      <c r="M29" s="31">
        <f t="shared" si="2"/>
        <v>0.68</v>
      </c>
      <c r="N29" t="s">
        <v>98</v>
      </c>
      <c r="O29">
        <v>11</v>
      </c>
      <c r="P29" s="40">
        <f t="shared" si="4"/>
        <v>1.1</v>
      </c>
      <c r="Q29" s="40">
        <f t="shared" si="5"/>
        <v>5.5</v>
      </c>
      <c r="R29" s="40">
        <f t="shared" si="4"/>
        <v>0.55</v>
      </c>
    </row>
    <row r="30" spans="1:18" ht="12.75">
      <c r="A30" s="26"/>
      <c r="B30" s="26" t="s">
        <v>41</v>
      </c>
      <c r="C30" s="28">
        <v>0.1</v>
      </c>
      <c r="D30" t="s">
        <v>98</v>
      </c>
      <c r="E30">
        <v>11</v>
      </c>
      <c r="F30" s="40">
        <f t="shared" si="0"/>
        <v>1.1</v>
      </c>
      <c r="G30" s="40">
        <f t="shared" si="1"/>
        <v>5.5</v>
      </c>
      <c r="H30" s="40">
        <f t="shared" si="0"/>
        <v>0.55</v>
      </c>
      <c r="I30" t="s">
        <v>98</v>
      </c>
      <c r="J30">
        <v>15.4</v>
      </c>
      <c r="K30" s="31">
        <f t="shared" si="2"/>
        <v>1.54</v>
      </c>
      <c r="L30" s="40">
        <f t="shared" si="3"/>
        <v>7.7</v>
      </c>
      <c r="M30" s="31">
        <f t="shared" si="2"/>
        <v>0.77</v>
      </c>
      <c r="N30" t="s">
        <v>98</v>
      </c>
      <c r="O30">
        <v>12.4</v>
      </c>
      <c r="P30" s="40">
        <f t="shared" si="4"/>
        <v>1.2400000000000002</v>
      </c>
      <c r="Q30" s="40">
        <f t="shared" si="5"/>
        <v>6.2</v>
      </c>
      <c r="R30" s="40">
        <f t="shared" si="4"/>
        <v>0.6200000000000001</v>
      </c>
    </row>
    <row r="31" spans="1:18" ht="12.75">
      <c r="A31" s="26"/>
      <c r="B31" s="26" t="s">
        <v>94</v>
      </c>
      <c r="C31" s="28">
        <v>0</v>
      </c>
      <c r="E31">
        <v>92</v>
      </c>
      <c r="F31" s="40">
        <f t="shared" si="0"/>
        <v>0</v>
      </c>
      <c r="G31" s="40">
        <f t="shared" si="1"/>
        <v>92</v>
      </c>
      <c r="H31" s="40">
        <f t="shared" si="0"/>
        <v>0</v>
      </c>
      <c r="J31">
        <v>44.6</v>
      </c>
      <c r="K31" s="31">
        <f t="shared" si="2"/>
        <v>0</v>
      </c>
      <c r="L31" s="40">
        <f t="shared" si="3"/>
        <v>44.6</v>
      </c>
      <c r="M31" s="31">
        <f t="shared" si="2"/>
        <v>0</v>
      </c>
      <c r="O31">
        <v>63</v>
      </c>
      <c r="P31" s="40">
        <f t="shared" si="4"/>
        <v>0</v>
      </c>
      <c r="Q31" s="40">
        <f t="shared" si="5"/>
        <v>63</v>
      </c>
      <c r="R31" s="40">
        <f t="shared" si="4"/>
        <v>0</v>
      </c>
    </row>
    <row r="32" spans="1:18" ht="12.75">
      <c r="A32" s="26"/>
      <c r="B32" s="26" t="s">
        <v>42</v>
      </c>
      <c r="C32" s="28">
        <v>0.01</v>
      </c>
      <c r="D32" t="s">
        <v>98</v>
      </c>
      <c r="E32">
        <v>26.3</v>
      </c>
      <c r="F32" s="40">
        <f t="shared" si="0"/>
        <v>0.263</v>
      </c>
      <c r="G32" s="40">
        <f t="shared" si="1"/>
        <v>13.15</v>
      </c>
      <c r="H32" s="40">
        <f t="shared" si="0"/>
        <v>0.1315</v>
      </c>
      <c r="I32" t="s">
        <v>98</v>
      </c>
      <c r="J32">
        <v>14.2</v>
      </c>
      <c r="K32" s="31">
        <f t="shared" si="2"/>
        <v>0.142</v>
      </c>
      <c r="L32" s="40">
        <f t="shared" si="3"/>
        <v>7.1</v>
      </c>
      <c r="M32" s="31">
        <f t="shared" si="2"/>
        <v>0.071</v>
      </c>
      <c r="N32" t="s">
        <v>98</v>
      </c>
      <c r="O32">
        <v>23.5</v>
      </c>
      <c r="P32" s="40">
        <f t="shared" si="4"/>
        <v>0.23500000000000001</v>
      </c>
      <c r="Q32" s="40">
        <f t="shared" si="5"/>
        <v>11.75</v>
      </c>
      <c r="R32" s="40">
        <f t="shared" si="4"/>
        <v>0.11750000000000001</v>
      </c>
    </row>
    <row r="33" spans="1:18" ht="12.75">
      <c r="A33" s="26"/>
      <c r="B33" s="26" t="s">
        <v>43</v>
      </c>
      <c r="C33" s="28">
        <v>0.01</v>
      </c>
      <c r="D33" t="s">
        <v>98</v>
      </c>
      <c r="E33">
        <v>19.5</v>
      </c>
      <c r="F33" s="40">
        <f t="shared" si="0"/>
        <v>0.195</v>
      </c>
      <c r="G33" s="40">
        <f t="shared" si="1"/>
        <v>9.75</v>
      </c>
      <c r="H33" s="40">
        <f t="shared" si="0"/>
        <v>0.0975</v>
      </c>
      <c r="I33" t="s">
        <v>98</v>
      </c>
      <c r="J33">
        <v>10.6</v>
      </c>
      <c r="K33" s="31">
        <f t="shared" si="2"/>
        <v>0.106</v>
      </c>
      <c r="L33" s="40">
        <f t="shared" si="3"/>
        <v>5.3</v>
      </c>
      <c r="M33" s="31">
        <f t="shared" si="2"/>
        <v>0.053</v>
      </c>
      <c r="N33" t="s">
        <v>98</v>
      </c>
      <c r="O33">
        <v>6.6</v>
      </c>
      <c r="P33" s="40">
        <f t="shared" si="4"/>
        <v>0.066</v>
      </c>
      <c r="Q33" s="40">
        <f t="shared" si="5"/>
        <v>3.3</v>
      </c>
      <c r="R33" s="40">
        <f t="shared" si="4"/>
        <v>0.033</v>
      </c>
    </row>
    <row r="34" spans="1:18" ht="12.75">
      <c r="A34" s="26"/>
      <c r="B34" s="26" t="s">
        <v>95</v>
      </c>
      <c r="C34" s="28">
        <v>0</v>
      </c>
      <c r="D34" t="s">
        <v>98</v>
      </c>
      <c r="E34">
        <v>28.6</v>
      </c>
      <c r="F34" s="40">
        <f t="shared" si="0"/>
        <v>0</v>
      </c>
      <c r="G34" s="40">
        <f t="shared" si="1"/>
        <v>14.3</v>
      </c>
      <c r="H34" s="40">
        <f t="shared" si="0"/>
        <v>0</v>
      </c>
      <c r="I34" t="s">
        <v>98</v>
      </c>
      <c r="J34">
        <v>15.5</v>
      </c>
      <c r="K34" s="31">
        <f t="shared" si="2"/>
        <v>0</v>
      </c>
      <c r="L34" s="40">
        <f t="shared" si="3"/>
        <v>7.75</v>
      </c>
      <c r="M34" s="31">
        <f t="shared" si="2"/>
        <v>0</v>
      </c>
      <c r="N34" t="s">
        <v>98</v>
      </c>
      <c r="O34">
        <v>25.7</v>
      </c>
      <c r="P34" s="40">
        <f t="shared" si="4"/>
        <v>0</v>
      </c>
      <c r="Q34" s="40">
        <f t="shared" si="5"/>
        <v>12.85</v>
      </c>
      <c r="R34" s="40">
        <f t="shared" si="4"/>
        <v>0</v>
      </c>
    </row>
    <row r="35" spans="1:18" ht="12.75">
      <c r="A35" s="26"/>
      <c r="B35" s="26" t="s">
        <v>44</v>
      </c>
      <c r="C35" s="28">
        <v>0.001</v>
      </c>
      <c r="E35">
        <v>38.3</v>
      </c>
      <c r="F35" s="40">
        <f t="shared" si="0"/>
        <v>0.0383</v>
      </c>
      <c r="G35" s="40">
        <f t="shared" si="1"/>
        <v>38.3</v>
      </c>
      <c r="H35" s="40">
        <f t="shared" si="0"/>
        <v>0.0383</v>
      </c>
      <c r="J35">
        <v>23.4</v>
      </c>
      <c r="K35" s="31">
        <f t="shared" si="2"/>
        <v>0.0234</v>
      </c>
      <c r="L35" s="40">
        <f t="shared" si="3"/>
        <v>23.4</v>
      </c>
      <c r="M35" s="31">
        <f t="shared" si="2"/>
        <v>0.0234</v>
      </c>
      <c r="N35" t="s">
        <v>98</v>
      </c>
      <c r="O35">
        <v>29.3</v>
      </c>
      <c r="P35" s="40">
        <f t="shared" si="4"/>
        <v>0.0293</v>
      </c>
      <c r="Q35" s="40">
        <f t="shared" si="5"/>
        <v>14.65</v>
      </c>
      <c r="R35" s="40">
        <f t="shared" si="4"/>
        <v>0.01465</v>
      </c>
    </row>
    <row r="36" spans="1:18" ht="12.75">
      <c r="A36" s="26"/>
      <c r="B36" s="26"/>
      <c r="C36" s="26"/>
      <c r="D36" s="26"/>
      <c r="E36" s="31"/>
      <c r="F36" s="35"/>
      <c r="G36" s="31"/>
      <c r="H36" s="35"/>
      <c r="I36" s="53"/>
      <c r="J36" s="12"/>
      <c r="K36" s="29"/>
      <c r="L36" s="29"/>
      <c r="M36" s="29"/>
      <c r="N36" s="31"/>
      <c r="O36" s="12"/>
      <c r="P36" s="34"/>
      <c r="Q36" s="31"/>
      <c r="R36" s="34"/>
    </row>
    <row r="37" spans="1:22" ht="12.75">
      <c r="A37" s="26"/>
      <c r="B37" s="26" t="s">
        <v>45</v>
      </c>
      <c r="C37" s="26"/>
      <c r="D37" s="26"/>
      <c r="F37" s="31">
        <v>81.4</v>
      </c>
      <c r="G37" s="31">
        <v>81.4</v>
      </c>
      <c r="H37" s="31">
        <v>81.4</v>
      </c>
      <c r="K37">
        <v>81.1</v>
      </c>
      <c r="L37">
        <v>81.1</v>
      </c>
      <c r="M37">
        <v>81.1</v>
      </c>
      <c r="P37">
        <v>80.5</v>
      </c>
      <c r="Q37">
        <v>80.5</v>
      </c>
      <c r="R37">
        <v>80.5</v>
      </c>
      <c r="S37" s="5"/>
      <c r="T37" s="5"/>
      <c r="U37" s="5"/>
      <c r="V37" s="5"/>
    </row>
    <row r="38" spans="1:22" ht="12.75">
      <c r="A38" s="26"/>
      <c r="B38" s="26" t="s">
        <v>57</v>
      </c>
      <c r="C38" s="26"/>
      <c r="D38" s="26"/>
      <c r="F38" s="31">
        <v>12.8</v>
      </c>
      <c r="G38" s="31">
        <v>12.8</v>
      </c>
      <c r="H38" s="31">
        <v>12.8</v>
      </c>
      <c r="K38">
        <v>13.5</v>
      </c>
      <c r="L38">
        <v>13.5</v>
      </c>
      <c r="M38">
        <v>13.5</v>
      </c>
      <c r="P38">
        <v>12.8</v>
      </c>
      <c r="Q38">
        <v>12.8</v>
      </c>
      <c r="R38">
        <v>12.8</v>
      </c>
      <c r="S38" s="2"/>
      <c r="T38" s="5"/>
      <c r="U38" s="2"/>
      <c r="V38" s="2"/>
    </row>
    <row r="39" spans="1:22" ht="12.75">
      <c r="A39" s="31"/>
      <c r="B39" s="26"/>
      <c r="C39" s="26"/>
      <c r="D39" s="26"/>
      <c r="E39" s="31"/>
      <c r="F39" s="12"/>
      <c r="G39" s="31"/>
      <c r="H39" s="12"/>
      <c r="I39" s="47"/>
      <c r="J39" s="31"/>
      <c r="K39" s="32"/>
      <c r="L39" s="29"/>
      <c r="M39" s="32"/>
      <c r="N39" s="31"/>
      <c r="O39" s="31"/>
      <c r="P39" s="31"/>
      <c r="Q39" s="31"/>
      <c r="R39" s="31"/>
      <c r="S39" s="2"/>
      <c r="T39" s="5"/>
      <c r="U39" s="3"/>
      <c r="V39" s="3"/>
    </row>
    <row r="40" spans="1:18" ht="12.75">
      <c r="A40" s="26"/>
      <c r="B40" s="26" t="s">
        <v>96</v>
      </c>
      <c r="C40" s="35"/>
      <c r="D40" s="35"/>
      <c r="E40" s="29"/>
      <c r="F40" s="30">
        <f>SUM(F11:F35)/1000</f>
        <v>0.0752113</v>
      </c>
      <c r="G40" s="29">
        <f>SUM(G35,G34,G31,G26,G23,G21,G20,G18,G14,G12)/1000</f>
        <v>0.6560499999999999</v>
      </c>
      <c r="H40" s="30">
        <f>SUM(H11:H35)/1000</f>
        <v>0.044132299999999985</v>
      </c>
      <c r="I40" s="37"/>
      <c r="J40" s="29"/>
      <c r="K40" s="30">
        <f>SUM(K11:K35)/1000</f>
        <v>0.03704980000000001</v>
      </c>
      <c r="L40" s="29">
        <f>SUM(L35,L34,L31,L26,L23,L21,L20,L18,L14,L12)/1000</f>
        <v>0.33905</v>
      </c>
      <c r="M40" s="30">
        <f>SUM(M11:M35)/1000</f>
        <v>0.0222358</v>
      </c>
      <c r="N40" s="35"/>
      <c r="O40" s="31"/>
      <c r="P40" s="31">
        <f>SUM(P11:P35)/1000</f>
        <v>0.0918803</v>
      </c>
      <c r="Q40" s="29">
        <f>SUM(Q35,Q34,Q31,Q26,Q23,Q21,Q20,Q18,Q14,Q12)/1000</f>
        <v>2.43095</v>
      </c>
      <c r="R40" s="31">
        <f>SUM(R11:R35)/1000</f>
        <v>0.04796515</v>
      </c>
    </row>
    <row r="41" spans="2:18" ht="12.75">
      <c r="B41" s="26" t="s">
        <v>46</v>
      </c>
      <c r="C41" s="35"/>
      <c r="D41" s="29">
        <f>(F41-H41)*2/F41*100</f>
        <v>82.64449623926198</v>
      </c>
      <c r="E41" s="31"/>
      <c r="F41" s="30">
        <f>(F40/F37/0.0283*(21-7)/(21-F38))</f>
        <v>0.055742499451023116</v>
      </c>
      <c r="G41" s="30">
        <f>(G40/G37/0.0283*(21-7)/(21-G38))</f>
        <v>0.48622835617578364</v>
      </c>
      <c r="H41" s="30">
        <f>(H40/H37/0.0283*(21-7)/(21-H38))</f>
        <v>0.0327084455197874</v>
      </c>
      <c r="I41" s="29">
        <f>(K41-M41)*2/K41*100</f>
        <v>79.96804301237798</v>
      </c>
      <c r="J41" s="31"/>
      <c r="K41" s="31">
        <f>K40/K37/0.0283*(21-7)/(21-K38)</f>
        <v>0.030133206688364795</v>
      </c>
      <c r="L41" s="31">
        <f>(L40/L37/0.0283*(21-7)/(21-L38))</f>
        <v>0.27575489551063925</v>
      </c>
      <c r="M41" s="31">
        <f>M40/M37/0.0283*(21-7)/(21-M38)</f>
        <v>0.018084738845584637</v>
      </c>
      <c r="N41" s="29">
        <f>(P41-R41)*2/P41*100</f>
        <v>95.5920910140694</v>
      </c>
      <c r="O41" s="31"/>
      <c r="P41" s="31">
        <f>P40/P37/0.0283*(21-7)/(21-P38)</f>
        <v>0.06885797900842737</v>
      </c>
      <c r="Q41" s="31">
        <f>(Q40/Q37/0.0283*(21-7)/(21-Q38))</f>
        <v>1.82183018634611</v>
      </c>
      <c r="R41" s="31">
        <f>R40/R37/0.0283*(21-7)/(21-R38)</f>
        <v>0.035946588026335026</v>
      </c>
    </row>
    <row r="42" spans="2:18" ht="12.75">
      <c r="B42" s="26"/>
      <c r="C42" s="26"/>
      <c r="D42" s="26"/>
      <c r="E42" s="30"/>
      <c r="F42" s="35"/>
      <c r="G42" s="30"/>
      <c r="H42" s="35"/>
      <c r="I42" s="54"/>
      <c r="J42" s="30"/>
      <c r="K42" s="30"/>
      <c r="L42" s="30"/>
      <c r="M42" s="30"/>
      <c r="N42" s="30"/>
      <c r="O42" s="30"/>
      <c r="P42" s="34"/>
      <c r="Q42" s="30"/>
      <c r="R42" s="34"/>
    </row>
    <row r="43" spans="1:18" ht="12.75">
      <c r="A43" s="26"/>
      <c r="B43" s="26" t="s">
        <v>58</v>
      </c>
      <c r="C43" s="35">
        <f>AVERAGE(H41,M41,R41)</f>
        <v>0.02891325746390236</v>
      </c>
      <c r="D43" s="31"/>
      <c r="E43" s="31"/>
      <c r="F43" s="35"/>
      <c r="G43" s="31"/>
      <c r="H43" s="35"/>
      <c r="I43" s="53"/>
      <c r="J43" s="31"/>
      <c r="K43" s="31"/>
      <c r="L43" s="31"/>
      <c r="M43" s="31"/>
      <c r="N43" s="31"/>
      <c r="O43" s="31"/>
      <c r="P43" s="34"/>
      <c r="Q43" s="31"/>
      <c r="R43" s="34"/>
    </row>
    <row r="44" spans="1:18" ht="12.75">
      <c r="A44" s="26"/>
      <c r="B44" s="26" t="s">
        <v>59</v>
      </c>
      <c r="C44" s="35">
        <f>AVERAGE(G41,L41,Q41)</f>
        <v>0.8612711460108443</v>
      </c>
      <c r="D44" s="26"/>
      <c r="E44" s="34"/>
      <c r="F44" s="35"/>
      <c r="G44" s="34"/>
      <c r="H44" s="35"/>
      <c r="I44" s="38"/>
      <c r="J44" s="34"/>
      <c r="K44" s="34"/>
      <c r="L44" s="34"/>
      <c r="M44" s="34"/>
      <c r="N44" s="34"/>
      <c r="O44" s="34"/>
      <c r="P44" s="34"/>
      <c r="Q44" s="34"/>
      <c r="R44" s="34"/>
    </row>
    <row r="45" spans="1:9" ht="12.75">
      <c r="A45" s="26"/>
      <c r="I45" s="52"/>
    </row>
    <row r="46" spans="1:18" ht="12.75">
      <c r="A46" s="75" t="s">
        <v>184</v>
      </c>
      <c r="B46" s="74"/>
      <c r="C46" s="28"/>
      <c r="D46" s="38"/>
      <c r="F46" s="38"/>
      <c r="H46" s="38"/>
      <c r="I46" s="38"/>
      <c r="J46" s="38"/>
      <c r="K46" s="34"/>
      <c r="L46" s="34"/>
      <c r="M46" s="34"/>
      <c r="N46" s="38"/>
      <c r="O46" s="38"/>
      <c r="P46" s="34"/>
      <c r="Q46" s="34"/>
      <c r="R46" s="34"/>
    </row>
    <row r="47" spans="1:18" ht="12.75">
      <c r="A47" s="26"/>
      <c r="B47" s="26"/>
      <c r="C47" s="28"/>
      <c r="D47" s="28"/>
      <c r="E47" s="39"/>
      <c r="F47" s="39"/>
      <c r="G47" s="39"/>
      <c r="H47" s="39"/>
      <c r="I47" s="11"/>
      <c r="J47" s="39"/>
      <c r="K47" s="39"/>
      <c r="L47" s="39"/>
      <c r="M47" s="39"/>
      <c r="N47" s="11"/>
      <c r="O47" s="39"/>
      <c r="P47" s="39"/>
      <c r="Q47" s="39"/>
      <c r="R47" s="39"/>
    </row>
    <row r="48" spans="1:18" ht="12.75">
      <c r="A48" s="26"/>
      <c r="B48" s="26"/>
      <c r="C48" s="28"/>
      <c r="D48" s="26"/>
      <c r="E48" s="38"/>
      <c r="F48" s="37"/>
      <c r="G48" s="38"/>
      <c r="H48" s="37"/>
      <c r="I48" s="38"/>
      <c r="J48" s="38"/>
      <c r="K48" s="38"/>
      <c r="L48" s="38"/>
      <c r="M48" s="38"/>
      <c r="N48" s="34"/>
      <c r="O48" s="38"/>
      <c r="P48" s="38"/>
      <c r="Q48" s="38"/>
      <c r="R48" s="38"/>
    </row>
    <row r="49" spans="1:18" ht="12.75">
      <c r="A49" s="26"/>
      <c r="B49" s="26"/>
      <c r="C49" s="28"/>
      <c r="D49" s="26"/>
      <c r="E49" s="38"/>
      <c r="F49" s="37"/>
      <c r="G49" s="38"/>
      <c r="H49" s="37"/>
      <c r="I49" s="38"/>
      <c r="J49" s="38"/>
      <c r="K49" s="37"/>
      <c r="L49" s="38"/>
      <c r="M49" s="37"/>
      <c r="N49" s="34"/>
      <c r="O49" s="38"/>
      <c r="P49" s="37"/>
      <c r="Q49" s="38"/>
      <c r="R49" s="37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2004-02-23T23:53:47Z</cp:lastPrinted>
  <dcterms:created xsi:type="dcterms:W3CDTF">2000-01-10T00:44:42Z</dcterms:created>
  <dcterms:modified xsi:type="dcterms:W3CDTF">2005-03-10T22:45:12Z</dcterms:modified>
  <cp:category/>
  <cp:version/>
  <cp:contentType/>
  <cp:contentStatus/>
</cp:coreProperties>
</file>