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65" windowWidth="12015" windowHeight="6405" tabRatio="794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2" sheetId="12" r:id="rId12"/>
    <sheet name="df c13" sheetId="13" r:id="rId13"/>
    <sheet name="df c2" sheetId="14" r:id="rId14"/>
    <sheet name="df c3" sheetId="15" r:id="rId15"/>
  </sheets>
  <definedNames>
    <definedName name="_xlnm.Print_Titles" localSheetId="5">'feed 1'!$B:$B</definedName>
  </definedNames>
  <calcPr fullCalcOnLoad="1"/>
</workbook>
</file>

<file path=xl/sharedStrings.xml><?xml version="1.0" encoding="utf-8"?>
<sst xmlns="http://schemas.openxmlformats.org/spreadsheetml/2006/main" count="3486" uniqueCount="337">
  <si>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</si>
  <si>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</si>
  <si>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</si>
  <si>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</si>
  <si>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</si>
  <si>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</si>
  <si>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</si>
  <si>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</si>
  <si>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</si>
  <si>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</si>
  <si>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</si>
  <si>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</si>
  <si>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n</t>
  </si>
  <si>
    <t>nd</t>
  </si>
  <si>
    <t>%</t>
  </si>
  <si>
    <t>y</t>
  </si>
  <si>
    <t>dscfm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</si>
  <si>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</si>
  <si>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</si>
  <si>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</si>
  <si>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</si>
  <si>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</si>
  <si>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</si>
  <si>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</si>
  <si>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</si>
  <si>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</si>
  <si>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</si>
  <si>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</si>
  <si>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</si>
  <si>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</si>
  <si>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</si>
  <si>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</si>
  <si>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</si>
  <si>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</si>
  <si>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</si>
  <si>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1,2,3,7,8-PCDD</t>
  </si>
  <si>
    <t>1,2,3,4,7,8-HxCDD</t>
  </si>
  <si>
    <t>1,2,3,4,6,7,8-HpCDD</t>
  </si>
  <si>
    <t>OCDD</t>
  </si>
  <si>
    <t>2,3,7,8-TCDF</t>
  </si>
  <si>
    <t>1,2,3,7,8-PCDF</t>
  </si>
  <si>
    <t>2,3,4,7,8-PCDF</t>
  </si>
  <si>
    <t>1,2,3,7,8,9-HxCDF</t>
  </si>
  <si>
    <t>1,2,3,4,7,8,9-HpCDF</t>
  </si>
  <si>
    <t>OCDF</t>
  </si>
  <si>
    <t>Gas sample volume (dscf)</t>
  </si>
  <si>
    <t>O2 (%)</t>
  </si>
  <si>
    <t>PCDD/PCDF (ng in sample)</t>
  </si>
  <si>
    <t>PCDD/PCDF (ng/dscm @ 7% O2)</t>
  </si>
  <si>
    <t>O2</t>
  </si>
  <si>
    <t>Combustor Characteristics</t>
  </si>
  <si>
    <t>ppmv</t>
  </si>
  <si>
    <t>Spike</t>
  </si>
  <si>
    <t>Process Information</t>
  </si>
  <si>
    <t>Cl2</t>
  </si>
  <si>
    <t>ug/dscm</t>
  </si>
  <si>
    <t>Cond Avg</t>
  </si>
  <si>
    <t>Stack Gas Flowrate</t>
  </si>
  <si>
    <t>Oxygen</t>
  </si>
  <si>
    <t>1/2 ND</t>
  </si>
  <si>
    <t>TEQ Cond Avg</t>
  </si>
  <si>
    <t>SVM</t>
  </si>
  <si>
    <t>LVM</t>
  </si>
  <si>
    <t>HW</t>
  </si>
  <si>
    <t>DRE</t>
  </si>
  <si>
    <t>ng/dscm</t>
  </si>
  <si>
    <t>Other</t>
  </si>
  <si>
    <t>Capacity (MMBtu/hr)</t>
  </si>
  <si>
    <t>PCDD/PCDF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</si>
  <si>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</si>
  <si>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</si>
  <si>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</si>
  <si>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</si>
  <si>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</si>
  <si>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</si>
  <si>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</si>
  <si>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</si>
  <si>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</si>
  <si>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</si>
  <si>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</si>
  <si>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</si>
  <si>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</si>
  <si>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</si>
  <si>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</si>
  <si>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</si>
  <si>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</si>
  <si>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</si>
  <si>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</si>
  <si>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</si>
  <si>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</si>
  <si>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</si>
  <si>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</si>
  <si>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</si>
  <si>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</si>
  <si>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</si>
  <si>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Mercury</t>
  </si>
  <si>
    <t>Feed Rate</t>
  </si>
  <si>
    <t>HWC Burn Status (Date if Terminated)</t>
  </si>
  <si>
    <t>Phase I ID No.</t>
  </si>
  <si>
    <t>Kiln No. 1</t>
  </si>
  <si>
    <t>Wet, long</t>
  </si>
  <si>
    <t>Y</t>
  </si>
  <si>
    <t>Metals</t>
  </si>
  <si>
    <t>g/hr</t>
  </si>
  <si>
    <t>Raw Matl</t>
  </si>
  <si>
    <t>Coal</t>
  </si>
  <si>
    <t>R1</t>
  </si>
  <si>
    <t>R2</t>
  </si>
  <si>
    <t>R3</t>
  </si>
  <si>
    <t>F</t>
  </si>
  <si>
    <t>POHC DRE</t>
  </si>
  <si>
    <t>POHC Feedrate</t>
  </si>
  <si>
    <t>Emission Rate</t>
  </si>
  <si>
    <t>Liq Waste</t>
  </si>
  <si>
    <t>Selenium</t>
  </si>
  <si>
    <t>Risk burn, normal operations</t>
  </si>
  <si>
    <t>Tetrachloroethene</t>
  </si>
  <si>
    <t>1,2,4-Trichlorobenzene</t>
  </si>
  <si>
    <t>Tier I for Hg, Ag, Tl, Sb, Ba; Tier III for Pb, As, Be, Cd, Cr</t>
  </si>
  <si>
    <t>Essroc</t>
  </si>
  <si>
    <t>Logansport</t>
  </si>
  <si>
    <t>IN</t>
  </si>
  <si>
    <t>Kiln No. 2 (ID No. 491)</t>
  </si>
  <si>
    <t>ESP</t>
  </si>
  <si>
    <t>Containerized solids mid kiln for Kiln 1</t>
  </si>
  <si>
    <t>Liq, solid</t>
  </si>
  <si>
    <t>Max operating conditions, max metals, prod, waste feed, chlorine</t>
  </si>
  <si>
    <t>POHC DRE, min comb temp, min CO</t>
  </si>
  <si>
    <t>300C10</t>
  </si>
  <si>
    <t>300C11</t>
  </si>
  <si>
    <t>300C12</t>
  </si>
  <si>
    <t>ESP Power</t>
  </si>
  <si>
    <t>ESP Inlet Temp</t>
  </si>
  <si>
    <t>kVA</t>
  </si>
  <si>
    <t>CoC, max operating cond</t>
  </si>
  <si>
    <t>CoC, low temp POHC DRE</t>
  </si>
  <si>
    <t>Essroc, Logansport, IN</t>
  </si>
  <si>
    <t>CoC burn, low temp, October 1998</t>
  </si>
  <si>
    <t>CoC burn, max oper cond, October 1998</t>
  </si>
  <si>
    <t>Risk burn, normal operations, October 1998</t>
  </si>
  <si>
    <t>RCRA Trial Burn for the Burning of Waste-Derived Fuels for Energy Recovery at Essroc Cement Corp., Logansport, Indiana, APCC Project 98062, March 1999</t>
  </si>
  <si>
    <t>Air Pollution Characterization and Control, LTD</t>
  </si>
  <si>
    <t>PM, HCl/Cl2, CO, HC, D/F, SVOC, VOC, TOE</t>
  </si>
  <si>
    <t>Metals, D/F, PM, HCl/Cl2, CO, HC</t>
  </si>
  <si>
    <t>October 17-18, 1998</t>
  </si>
  <si>
    <t>Trichloroethene</t>
  </si>
  <si>
    <t>Carbon Tetrachloride</t>
  </si>
  <si>
    <t>CO (RA)</t>
  </si>
  <si>
    <t>CO (MHRA)</t>
  </si>
  <si>
    <t>HC (RA)</t>
  </si>
  <si>
    <t>HC (MHRA)</t>
  </si>
  <si>
    <t>ESP upset during run 1, not used in average</t>
  </si>
  <si>
    <t>Essroc, Logansport, IN, Kiln No. 1</t>
  </si>
  <si>
    <t>300C13</t>
  </si>
  <si>
    <t>Essroc, Logansport, IN, Kiln No. 2</t>
  </si>
  <si>
    <t>Condition 13 and 11 -- Kiln No. 2</t>
  </si>
  <si>
    <t>Condition 10 and 12 -- Kiln No. 1</t>
  </si>
  <si>
    <t>Putting all data under one kiln since both kilns are identical in design and operation</t>
  </si>
  <si>
    <t>Risk Burn Kiln 1</t>
  </si>
  <si>
    <t>Risk Burn Kiln 2</t>
  </si>
  <si>
    <t>PCDD/PCDDF</t>
  </si>
  <si>
    <t>Risk Burn normal operating conditions, Kiln 1</t>
  </si>
  <si>
    <t>PM/PSD, metals, D/F, HCl/Cl2, CO, HC</t>
  </si>
  <si>
    <t>PM/PSD, D/F, organics (SVOC, VOC), HCl/Cl2, CO, HC</t>
  </si>
  <si>
    <t>Risk Burn normal operating conditions, Kiln 2</t>
  </si>
  <si>
    <t>Solid Waste</t>
  </si>
  <si>
    <t>Petrol Coke</t>
  </si>
  <si>
    <t>lb/min</t>
  </si>
  <si>
    <t>same as kiln back end temp</t>
  </si>
  <si>
    <t>Kiln Mid Zone Temp</t>
  </si>
  <si>
    <t>lb/hr</t>
  </si>
  <si>
    <t>CoC; Min temp, max CO, POHC DRE, min ESP power</t>
  </si>
  <si>
    <t>CoC; Max operating temp, max temp, feedrates</t>
  </si>
  <si>
    <t>IND005081542</t>
  </si>
  <si>
    <t>300C1</t>
  </si>
  <si>
    <t>Report Name/Date</t>
  </si>
  <si>
    <t>Report Prepare</t>
  </si>
  <si>
    <t>Testing Firm</t>
  </si>
  <si>
    <t>Cond Descr</t>
  </si>
  <si>
    <t>300C2</t>
  </si>
  <si>
    <t>300C3</t>
  </si>
  <si>
    <t>?</t>
  </si>
  <si>
    <t>July 26-28, 1993</t>
  </si>
  <si>
    <t>300C4</t>
  </si>
  <si>
    <t>BASELINE</t>
  </si>
  <si>
    <t>300C5</t>
  </si>
  <si>
    <t>May 20-29, 1987</t>
  </si>
  <si>
    <t>300C6</t>
  </si>
  <si>
    <t>May 19-20, 1987</t>
  </si>
  <si>
    <t>300C7</t>
  </si>
  <si>
    <t>R4</t>
  </si>
  <si>
    <t/>
  </si>
  <si>
    <t>Halogens</t>
  </si>
  <si>
    <t>SVOC</t>
  </si>
  <si>
    <t>Chromium (Hex)</t>
  </si>
  <si>
    <t>Cr Hex</t>
  </si>
  <si>
    <t>Dioxin &amp; Furan</t>
  </si>
  <si>
    <t>Particulate</t>
  </si>
  <si>
    <t>Raw material slurry</t>
  </si>
  <si>
    <t>Spiked metals liquid</t>
  </si>
  <si>
    <t>Spiked metals solid</t>
  </si>
  <si>
    <t>Liquid waste</t>
  </si>
  <si>
    <t>Solid waste</t>
  </si>
  <si>
    <t>R5</t>
  </si>
  <si>
    <t>R6</t>
  </si>
  <si>
    <t>Feedrate</t>
  </si>
  <si>
    <t>Heating value</t>
  </si>
  <si>
    <t>Btu/lb</t>
  </si>
  <si>
    <t>ppmw</t>
  </si>
  <si>
    <t>Cobalt</t>
  </si>
  <si>
    <t>Copper</t>
  </si>
  <si>
    <t>Iron</t>
  </si>
  <si>
    <t>Manganese</t>
  </si>
  <si>
    <t>Vanadium</t>
  </si>
  <si>
    <t>gal/min</t>
  </si>
  <si>
    <t>No Be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</si>
  <si>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</si>
  <si>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</si>
  <si>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</si>
  <si>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</si>
  <si>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</si>
  <si>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</si>
  <si>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</si>
  <si>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</si>
  <si>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</si>
  <si>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</si>
  <si>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</si>
  <si>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</si>
  <si>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</si>
  <si>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</si>
  <si>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</si>
  <si>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</si>
  <si>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</si>
  <si>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</si>
  <si>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</si>
  <si>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</si>
  <si>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</si>
  <si>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</si>
  <si>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</si>
  <si>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</si>
  <si>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</si>
  <si>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</si>
  <si>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</si>
  <si>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</si>
  <si>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</si>
  <si>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</si>
  <si>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</si>
  <si>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</si>
  <si>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</si>
  <si>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</si>
  <si>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</si>
  <si>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Testing Dates</t>
  </si>
  <si>
    <t>Condition Descr</t>
  </si>
  <si>
    <t>Content</t>
  </si>
  <si>
    <t>Cond Description</t>
  </si>
  <si>
    <t>1,1,1-Trichloroethane</t>
  </si>
  <si>
    <t>Carbontetrachloride</t>
  </si>
  <si>
    <t>Trichlorobenzene</t>
  </si>
  <si>
    <t>Freon 113</t>
  </si>
  <si>
    <t>Particulate Emissions, ESP Collection Efficiency, and Dioxin/Furan (PCDD/PCDF) Emission Testing at Essroc Materials Inc., Logansport, Indiana, prepared by Air Pollution Characterization and Control, Ltd., September 1993, APCC Project No. 93023</t>
  </si>
  <si>
    <t>Air Pollution Characterization and Control, Ltd.</t>
  </si>
  <si>
    <t>B.I.F. Certification of Compliance, C.O.C. Report &amp; Attachments, Stack Test Report and Appendix, Submitted August 20, 1992</t>
  </si>
  <si>
    <t>Essroc Materials</t>
  </si>
  <si>
    <t>CoC, LOW COMB TEMP</t>
  </si>
  <si>
    <t>May 29-30, 1992</t>
  </si>
  <si>
    <t>May 31-Jun 1, 1992</t>
  </si>
  <si>
    <t>CoC, HIGH COMB TEMP</t>
  </si>
  <si>
    <t>Supplemental Fuel Trial Burn, Coplay Cement, Logansport Indiana, May 1987, prepared by TRC, TRC project No. 3919-E71, September 1987</t>
  </si>
  <si>
    <t>TRC</t>
  </si>
  <si>
    <t>May 28-29, 1987</t>
  </si>
  <si>
    <t>Haz waste firing</t>
  </si>
  <si>
    <t>Combustor Class</t>
  </si>
  <si>
    <t>Combustor Type</t>
  </si>
  <si>
    <t>Stack Gas Emissions 1</t>
  </si>
  <si>
    <t>Stack Gas Emissions 2</t>
  </si>
  <si>
    <t>LVM (no Be)</t>
  </si>
  <si>
    <t>Feedstreams 1</t>
  </si>
  <si>
    <t>Feedstreams 2</t>
  </si>
  <si>
    <t>5 compartments, 2 fields/compartment, 54,000 ft2 plate area, Research Cottrell, 360 SCA</t>
  </si>
  <si>
    <t>30010</t>
  </si>
  <si>
    <t>30011</t>
  </si>
  <si>
    <t>ESP Temperature</t>
  </si>
  <si>
    <t>Process Info</t>
  </si>
  <si>
    <t>Combustion Temperature (back end?)</t>
  </si>
  <si>
    <t>E1</t>
  </si>
  <si>
    <t>Total Chorine</t>
  </si>
  <si>
    <t>E2</t>
  </si>
  <si>
    <t>E3</t>
  </si>
  <si>
    <t>Total Chlorine</t>
  </si>
  <si>
    <t>Anitmony</t>
  </si>
  <si>
    <t>Cond Dates</t>
  </si>
  <si>
    <t>October 13-14, 1998</t>
  </si>
  <si>
    <t>Number of Sister Facilities</t>
  </si>
  <si>
    <t>APCS Detailed Acronym</t>
  </si>
  <si>
    <t>APCS General Class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</si>
  <si>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</si>
  <si>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</si>
  <si>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</si>
  <si>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</si>
  <si>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</si>
  <si>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</si>
  <si>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</si>
  <si>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</si>
  <si>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</si>
  <si>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</si>
  <si>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c12</t>
  </si>
  <si>
    <t>df c13</t>
  </si>
  <si>
    <t>df c2</t>
  </si>
  <si>
    <t>df c3</t>
  </si>
  <si>
    <t>Cement Kiln (CK)</t>
  </si>
  <si>
    <t>Feedstream Number</t>
  </si>
  <si>
    <t>Feed Class</t>
  </si>
  <si>
    <t>Heating Value</t>
  </si>
  <si>
    <t>Raw Material</t>
  </si>
  <si>
    <t>Liq HW</t>
  </si>
  <si>
    <t>Solid HW</t>
  </si>
  <si>
    <t>F1</t>
  </si>
  <si>
    <t>F2</t>
  </si>
  <si>
    <t>F3</t>
  </si>
  <si>
    <t>F4</t>
  </si>
  <si>
    <t>F5</t>
  </si>
  <si>
    <t>F6</t>
  </si>
  <si>
    <t>F7</t>
  </si>
  <si>
    <t>F8</t>
  </si>
  <si>
    <t>Misc. Fuel</t>
  </si>
  <si>
    <t>Feed Class 2</t>
  </si>
  <si>
    <t>RM</t>
  </si>
  <si>
    <t>MF</t>
  </si>
  <si>
    <t>N</t>
  </si>
  <si>
    <t>1,2,3,4,7,8-HxCDF</t>
  </si>
  <si>
    <t>Thermal Feedrate</t>
  </si>
  <si>
    <t>MMBtu/hr</t>
  </si>
  <si>
    <t>Raw material</t>
  </si>
  <si>
    <t>Spiked liquid</t>
  </si>
  <si>
    <t>Spiked solid</t>
  </si>
  <si>
    <t>Spiked liquid2</t>
  </si>
  <si>
    <t>Run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</si>
</sst>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0.00000000"/>
    <numFmt numFmtId="173" formatCode="0.000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\(0.00\)"/>
    <numFmt numFmtId="178" formatCode="0.0_);\(0.0\)"/>
    <numFmt numFmtId="179" formatCode="mm/dd/yy"/>
    <numFmt numFmtId="180" formatCode="#,##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7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C1" sqref="C1"/>
    </sheetView>
  </sheetViews>
  <sheetFormatPr defaultColWidth="9.140625" defaultRowHeight="12.75"/>
  <sheetData>
    <row r="1" ht="12.75">
      <c r="A1" t="s">
        <v>295</v>
      </c>
    </row>
    <row r="2" ht="12.75">
      <c r="A2" t="s">
        <v>296</v>
      </c>
    </row>
    <row r="3" ht="12.75">
      <c r="A3" t="s">
        <v>297</v>
      </c>
    </row>
    <row r="4" ht="12.75">
      <c r="A4" t="s">
        <v>298</v>
      </c>
    </row>
    <row r="5" ht="12.75">
      <c r="A5" t="s">
        <v>299</v>
      </c>
    </row>
    <row r="6" ht="12.75">
      <c r="A6" t="s">
        <v>300</v>
      </c>
    </row>
    <row r="7" ht="12.75">
      <c r="A7" t="s">
        <v>301</v>
      </c>
    </row>
    <row r="8" ht="12.75">
      <c r="A8" t="s">
        <v>302</v>
      </c>
    </row>
    <row r="9" ht="12.75">
      <c r="A9" t="s">
        <v>303</v>
      </c>
    </row>
    <row r="10" ht="12.75">
      <c r="A10" t="s">
        <v>304</v>
      </c>
    </row>
    <row r="11" ht="12.75">
      <c r="A11" t="s">
        <v>305</v>
      </c>
    </row>
    <row r="12" ht="12.75">
      <c r="A12" t="s">
        <v>306</v>
      </c>
    </row>
    <row r="13" ht="12.75">
      <c r="A13" t="s">
        <v>307</v>
      </c>
    </row>
    <row r="14" ht="12.75">
      <c r="A14" t="s">
        <v>308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23"/>
  <sheetViews>
    <sheetView workbookViewId="0" topLeftCell="A15">
      <selection activeCell="C2" sqref="C2"/>
    </sheetView>
  </sheetViews>
  <sheetFormatPr defaultColWidth="9.140625" defaultRowHeight="12.75"/>
  <cols>
    <col min="1" max="1" width="2.421875" style="6" customWidth="1"/>
    <col min="2" max="2" width="25.8515625" style="6" customWidth="1"/>
    <col min="3" max="3" width="7.8515625" style="6" customWidth="1"/>
    <col min="4" max="4" width="4.421875" style="7" customWidth="1"/>
    <col min="5" max="5" width="8.7109375" style="8" customWidth="1"/>
    <col min="6" max="6" width="7.7109375" style="9" customWidth="1"/>
    <col min="7" max="7" width="8.57421875" style="8" customWidth="1"/>
    <col min="8" max="8" width="7.7109375" style="9" customWidth="1"/>
    <col min="9" max="9" width="3.57421875" style="10" customWidth="1"/>
    <col min="10" max="10" width="7.00390625" style="8" customWidth="1"/>
    <col min="11" max="11" width="8.28125" style="8" customWidth="1"/>
    <col min="12" max="12" width="9.140625" style="8" customWidth="1"/>
    <col min="13" max="13" width="8.28125" style="8" customWidth="1"/>
    <col min="14" max="14" width="3.57421875" style="10" customWidth="1"/>
    <col min="15" max="15" width="7.8515625" style="8" customWidth="1"/>
    <col min="16" max="18" width="8.7109375" style="8" customWidth="1"/>
    <col min="19" max="19" width="7.421875" style="0" customWidth="1"/>
    <col min="20" max="31" width="10.8515625" style="0" customWidth="1"/>
    <col min="32" max="16384" width="10.8515625" style="6" customWidth="1"/>
  </cols>
  <sheetData>
    <row r="1" ht="12.75">
      <c r="A1" s="48" t="s">
        <v>68</v>
      </c>
    </row>
    <row r="2" ht="12.75">
      <c r="A2" s="6" t="s">
        <v>328</v>
      </c>
    </row>
    <row r="3" spans="1:3" ht="12.75">
      <c r="A3" s="6" t="s">
        <v>22</v>
      </c>
      <c r="C3" s="11" t="s">
        <v>136</v>
      </c>
    </row>
    <row r="4" spans="1:18" ht="12.75">
      <c r="A4" s="6" t="s">
        <v>23</v>
      </c>
      <c r="C4" s="11" t="s">
        <v>128</v>
      </c>
      <c r="E4" s="12"/>
      <c r="F4" s="13"/>
      <c r="G4" s="12"/>
      <c r="H4" s="13"/>
      <c r="J4" s="12"/>
      <c r="K4" s="12"/>
      <c r="L4" s="12"/>
      <c r="M4" s="12"/>
      <c r="O4" s="12"/>
      <c r="P4" s="12"/>
      <c r="Q4" s="12"/>
      <c r="R4" s="12"/>
    </row>
    <row r="5" spans="1:3" ht="12.75">
      <c r="A5" s="6" t="s">
        <v>24</v>
      </c>
      <c r="C5" s="11" t="s">
        <v>137</v>
      </c>
    </row>
    <row r="6" spans="3:17" ht="12.75">
      <c r="C6" s="7"/>
      <c r="E6" s="10"/>
      <c r="G6" s="10"/>
      <c r="J6" s="10"/>
      <c r="L6" s="10"/>
      <c r="O6" s="10"/>
      <c r="Q6" s="10"/>
    </row>
    <row r="7" spans="3:31" ht="12.75">
      <c r="C7" s="7" t="s">
        <v>25</v>
      </c>
      <c r="E7" s="14" t="s">
        <v>26</v>
      </c>
      <c r="F7" s="14"/>
      <c r="G7" s="14"/>
      <c r="H7" s="14"/>
      <c r="I7" s="15"/>
      <c r="J7" s="14" t="s">
        <v>27</v>
      </c>
      <c r="K7" s="14"/>
      <c r="L7" s="14"/>
      <c r="M7" s="14"/>
      <c r="N7" s="15"/>
      <c r="O7" s="14" t="s">
        <v>28</v>
      </c>
      <c r="P7" s="14"/>
      <c r="Q7" s="14"/>
      <c r="R7" s="1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3:31" ht="12.75">
      <c r="C8" s="7" t="s">
        <v>29</v>
      </c>
      <c r="E8" s="10" t="s">
        <v>30</v>
      </c>
      <c r="F8" s="13" t="s">
        <v>31</v>
      </c>
      <c r="G8" s="10" t="s">
        <v>30</v>
      </c>
      <c r="H8" s="13" t="s">
        <v>31</v>
      </c>
      <c r="J8" s="10" t="s">
        <v>30</v>
      </c>
      <c r="K8" s="10" t="s">
        <v>32</v>
      </c>
      <c r="L8" s="10" t="s">
        <v>30</v>
      </c>
      <c r="M8" s="10" t="s">
        <v>32</v>
      </c>
      <c r="O8" s="10" t="s">
        <v>30</v>
      </c>
      <c r="P8" s="10" t="s">
        <v>32</v>
      </c>
      <c r="Q8" s="10" t="s">
        <v>30</v>
      </c>
      <c r="R8" s="10" t="s">
        <v>32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3:31" ht="12.75">
      <c r="C9" s="7"/>
      <c r="E9" s="10" t="s">
        <v>216</v>
      </c>
      <c r="F9" s="10" t="s">
        <v>216</v>
      </c>
      <c r="G9" s="10" t="s">
        <v>59</v>
      </c>
      <c r="H9" s="13" t="s">
        <v>59</v>
      </c>
      <c r="J9" s="10" t="s">
        <v>216</v>
      </c>
      <c r="K9" s="10" t="s">
        <v>216</v>
      </c>
      <c r="L9" s="10" t="s">
        <v>59</v>
      </c>
      <c r="M9" s="13" t="s">
        <v>59</v>
      </c>
      <c r="O9" s="10" t="s">
        <v>216</v>
      </c>
      <c r="P9" s="10" t="s">
        <v>216</v>
      </c>
      <c r="Q9" s="10" t="s">
        <v>59</v>
      </c>
      <c r="R9" s="13" t="s">
        <v>59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15" ht="13.5" customHeight="1">
      <c r="A10" s="6" t="s">
        <v>33</v>
      </c>
      <c r="O10" s="16"/>
    </row>
    <row r="11" spans="2:18" ht="12.75">
      <c r="B11" s="6" t="s">
        <v>34</v>
      </c>
      <c r="C11" s="7">
        <v>1</v>
      </c>
      <c r="D11"/>
      <c r="E11">
        <v>0.1</v>
      </c>
      <c r="F11" s="9">
        <f aca="true" t="shared" si="0" ref="F11:H21">IF(E11="","",E11*$C11)</f>
        <v>0.1</v>
      </c>
      <c r="G11" s="17">
        <f>IF(E11=0,"",IF(D11="nd",E11/2,E11))</f>
        <v>0.1</v>
      </c>
      <c r="H11" s="9">
        <f t="shared" si="0"/>
        <v>0.1</v>
      </c>
      <c r="I11"/>
      <c r="J11">
        <v>0.092</v>
      </c>
      <c r="K11" s="9">
        <f aca="true" t="shared" si="1" ref="K11:M21">IF(J11="","",J11*$C11)</f>
        <v>0.092</v>
      </c>
      <c r="L11" s="17">
        <f>IF(J11=0,"",IF(I11="nd",J11/2,J11))</f>
        <v>0.092</v>
      </c>
      <c r="M11" s="9">
        <f t="shared" si="1"/>
        <v>0.092</v>
      </c>
      <c r="N11"/>
      <c r="O11">
        <v>0.084</v>
      </c>
      <c r="P11" s="9">
        <f aca="true" t="shared" si="2" ref="P11:R21">IF(O11="","",O11*$C11)</f>
        <v>0.084</v>
      </c>
      <c r="Q11" s="17">
        <f>IF(O11=0,"",IF(N11="nd",O11/2,O11))</f>
        <v>0.084</v>
      </c>
      <c r="R11" s="9">
        <f t="shared" si="2"/>
        <v>0.084</v>
      </c>
    </row>
    <row r="12" spans="2:18" ht="12.75">
      <c r="B12" s="6" t="s">
        <v>35</v>
      </c>
      <c r="C12" s="7">
        <v>0.5</v>
      </c>
      <c r="D12"/>
      <c r="E12">
        <v>0.29</v>
      </c>
      <c r="F12" s="9">
        <f t="shared" si="0"/>
        <v>0.145</v>
      </c>
      <c r="G12" s="17">
        <f>IF(E12=0,"",IF(D12="nd",E12/2,E12))</f>
        <v>0.29</v>
      </c>
      <c r="H12" s="9">
        <f t="shared" si="0"/>
        <v>0.145</v>
      </c>
      <c r="I12"/>
      <c r="J12">
        <v>0.423</v>
      </c>
      <c r="K12" s="9">
        <f t="shared" si="1"/>
        <v>0.2115</v>
      </c>
      <c r="L12" s="17">
        <f aca="true" t="shared" si="3" ref="L12:L21">IF(J12=0,"",IF(I12="nd",J12/2,J12))</f>
        <v>0.423</v>
      </c>
      <c r="M12" s="9">
        <f t="shared" si="1"/>
        <v>0.2115</v>
      </c>
      <c r="N12"/>
      <c r="O12">
        <v>0.51</v>
      </c>
      <c r="P12" s="9">
        <f t="shared" si="2"/>
        <v>0.255</v>
      </c>
      <c r="Q12" s="17">
        <f aca="true" t="shared" si="4" ref="Q12:Q21">IF(O12=0,"",IF(N12="nd",O12/2,O12))</f>
        <v>0.51</v>
      </c>
      <c r="R12" s="9">
        <f t="shared" si="2"/>
        <v>0.255</v>
      </c>
    </row>
    <row r="13" spans="2:18" ht="12.75">
      <c r="B13" s="6" t="s">
        <v>36</v>
      </c>
      <c r="C13" s="7">
        <v>0.1</v>
      </c>
      <c r="D13"/>
      <c r="E13">
        <v>1.39</v>
      </c>
      <c r="F13" s="9">
        <f t="shared" si="0"/>
        <v>0.13899999999999998</v>
      </c>
      <c r="G13" s="17">
        <f>IF(E13=0,"",IF(D13="nd",E13/2,E13))</f>
        <v>1.39</v>
      </c>
      <c r="H13" s="9">
        <f t="shared" si="0"/>
        <v>0.13899999999999998</v>
      </c>
      <c r="I13"/>
      <c r="J13">
        <v>2.69</v>
      </c>
      <c r="K13" s="9">
        <f t="shared" si="1"/>
        <v>0.269</v>
      </c>
      <c r="L13" s="17">
        <f t="shared" si="3"/>
        <v>2.69</v>
      </c>
      <c r="M13" s="9">
        <f t="shared" si="1"/>
        <v>0.269</v>
      </c>
      <c r="N13"/>
      <c r="O13">
        <v>4.11</v>
      </c>
      <c r="P13" s="9">
        <f t="shared" si="2"/>
        <v>0.41100000000000003</v>
      </c>
      <c r="Q13" s="17">
        <f t="shared" si="4"/>
        <v>4.11</v>
      </c>
      <c r="R13" s="9">
        <f t="shared" si="2"/>
        <v>0.41100000000000003</v>
      </c>
    </row>
    <row r="14" spans="2:18" ht="12.75">
      <c r="B14" s="6" t="s">
        <v>37</v>
      </c>
      <c r="C14" s="7">
        <v>0.01</v>
      </c>
      <c r="D14"/>
      <c r="E14">
        <v>4.5</v>
      </c>
      <c r="F14" s="9">
        <f t="shared" si="0"/>
        <v>0.045</v>
      </c>
      <c r="G14" s="17">
        <f>IF(E14=0,"",IF(D14="nd",E14/2,E14))</f>
        <v>4.5</v>
      </c>
      <c r="H14" s="9">
        <f t="shared" si="0"/>
        <v>0.045</v>
      </c>
      <c r="I14"/>
      <c r="J14">
        <v>6.69</v>
      </c>
      <c r="K14" s="9">
        <f t="shared" si="1"/>
        <v>0.0669</v>
      </c>
      <c r="L14" s="17">
        <f t="shared" si="3"/>
        <v>6.69</v>
      </c>
      <c r="M14" s="9">
        <f t="shared" si="1"/>
        <v>0.0669</v>
      </c>
      <c r="N14"/>
      <c r="O14">
        <v>9.9</v>
      </c>
      <c r="P14" s="9">
        <f t="shared" si="2"/>
        <v>0.099</v>
      </c>
      <c r="Q14" s="17">
        <f t="shared" si="4"/>
        <v>9.9</v>
      </c>
      <c r="R14" s="9">
        <f t="shared" si="2"/>
        <v>0.099</v>
      </c>
    </row>
    <row r="15" spans="2:18" ht="12.75">
      <c r="B15" s="6" t="s">
        <v>38</v>
      </c>
      <c r="C15" s="7">
        <v>0.001</v>
      </c>
      <c r="D15"/>
      <c r="E15">
        <v>4.2</v>
      </c>
      <c r="F15" s="9">
        <f t="shared" si="0"/>
        <v>0.004200000000000001</v>
      </c>
      <c r="G15" s="17">
        <f aca="true" t="shared" si="5" ref="G15:G21">IF(E15=0,"",IF(D15="nd",E15/2,E15))</f>
        <v>4.2</v>
      </c>
      <c r="H15" s="9">
        <f t="shared" si="0"/>
        <v>0.004200000000000001</v>
      </c>
      <c r="I15"/>
      <c r="J15">
        <v>4</v>
      </c>
      <c r="K15" s="9">
        <f t="shared" si="1"/>
        <v>0.004</v>
      </c>
      <c r="L15" s="17">
        <f t="shared" si="3"/>
        <v>4</v>
      </c>
      <c r="M15" s="9">
        <f t="shared" si="1"/>
        <v>0.004</v>
      </c>
      <c r="N15"/>
      <c r="O15">
        <v>4.1</v>
      </c>
      <c r="P15" s="9">
        <f t="shared" si="2"/>
        <v>0.0040999999999999995</v>
      </c>
      <c r="Q15" s="17">
        <f t="shared" si="4"/>
        <v>4.1</v>
      </c>
      <c r="R15" s="9">
        <f t="shared" si="2"/>
        <v>0.0040999999999999995</v>
      </c>
    </row>
    <row r="16" spans="2:18" ht="12.75">
      <c r="B16" s="6" t="s">
        <v>39</v>
      </c>
      <c r="C16" s="7">
        <v>0.1</v>
      </c>
      <c r="D16"/>
      <c r="E16">
        <v>2.1</v>
      </c>
      <c r="F16" s="9">
        <f t="shared" si="0"/>
        <v>0.21000000000000002</v>
      </c>
      <c r="G16" s="17">
        <f t="shared" si="5"/>
        <v>2.1</v>
      </c>
      <c r="H16" s="9">
        <f t="shared" si="0"/>
        <v>0.21000000000000002</v>
      </c>
      <c r="I16"/>
      <c r="J16">
        <v>2.2</v>
      </c>
      <c r="K16" s="9">
        <f t="shared" si="1"/>
        <v>0.22000000000000003</v>
      </c>
      <c r="L16" s="17">
        <f t="shared" si="3"/>
        <v>2.2</v>
      </c>
      <c r="M16" s="9">
        <f t="shared" si="1"/>
        <v>0.22000000000000003</v>
      </c>
      <c r="N16"/>
      <c r="O16">
        <v>0.056</v>
      </c>
      <c r="P16" s="9">
        <f t="shared" si="2"/>
        <v>0.005600000000000001</v>
      </c>
      <c r="Q16" s="17">
        <f t="shared" si="4"/>
        <v>0.056</v>
      </c>
      <c r="R16" s="9">
        <f t="shared" si="2"/>
        <v>0.005600000000000001</v>
      </c>
    </row>
    <row r="17" spans="2:18" ht="12.75">
      <c r="B17" s="6" t="s">
        <v>40</v>
      </c>
      <c r="C17" s="7">
        <v>0.05</v>
      </c>
      <c r="D17"/>
      <c r="E17">
        <v>1.22</v>
      </c>
      <c r="F17" s="9">
        <f t="shared" si="0"/>
        <v>0.061</v>
      </c>
      <c r="G17" s="17">
        <f t="shared" si="5"/>
        <v>1.22</v>
      </c>
      <c r="H17" s="9">
        <f t="shared" si="0"/>
        <v>0.061</v>
      </c>
      <c r="I17"/>
      <c r="J17">
        <v>1.307</v>
      </c>
      <c r="K17" s="9">
        <f t="shared" si="1"/>
        <v>0.06535</v>
      </c>
      <c r="L17" s="17">
        <f t="shared" si="3"/>
        <v>1.307</v>
      </c>
      <c r="M17" s="9">
        <f t="shared" si="1"/>
        <v>0.06535</v>
      </c>
      <c r="N17"/>
      <c r="O17">
        <v>1.11</v>
      </c>
      <c r="P17" s="9">
        <f t="shared" si="2"/>
        <v>0.05550000000000001</v>
      </c>
      <c r="Q17" s="17">
        <f t="shared" si="4"/>
        <v>1.11</v>
      </c>
      <c r="R17" s="9">
        <f t="shared" si="2"/>
        <v>0.05550000000000001</v>
      </c>
    </row>
    <row r="18" spans="2:18" ht="12.75">
      <c r="B18" s="6" t="s">
        <v>41</v>
      </c>
      <c r="C18" s="7">
        <v>0.5</v>
      </c>
      <c r="D18"/>
      <c r="E18">
        <v>1.65</v>
      </c>
      <c r="F18" s="9">
        <f t="shared" si="0"/>
        <v>0.825</v>
      </c>
      <c r="G18" s="17">
        <f t="shared" si="5"/>
        <v>1.65</v>
      </c>
      <c r="H18" s="9">
        <f t="shared" si="0"/>
        <v>0.825</v>
      </c>
      <c r="I18"/>
      <c r="J18">
        <v>2.62</v>
      </c>
      <c r="K18" s="9">
        <f t="shared" si="1"/>
        <v>1.31</v>
      </c>
      <c r="L18" s="17">
        <f t="shared" si="3"/>
        <v>2.62</v>
      </c>
      <c r="M18" s="9">
        <f t="shared" si="1"/>
        <v>1.31</v>
      </c>
      <c r="N18"/>
      <c r="O18">
        <v>2.04</v>
      </c>
      <c r="P18" s="9">
        <f t="shared" si="2"/>
        <v>1.02</v>
      </c>
      <c r="Q18" s="17">
        <f t="shared" si="4"/>
        <v>2.04</v>
      </c>
      <c r="R18" s="9">
        <f t="shared" si="2"/>
        <v>1.02</v>
      </c>
    </row>
    <row r="19" spans="2:18" ht="12.75">
      <c r="B19" s="6" t="s">
        <v>329</v>
      </c>
      <c r="C19" s="7">
        <v>0.1</v>
      </c>
      <c r="D19"/>
      <c r="E19">
        <v>2.94</v>
      </c>
      <c r="F19" s="9">
        <f t="shared" si="0"/>
        <v>0.294</v>
      </c>
      <c r="G19" s="17">
        <f t="shared" si="5"/>
        <v>2.94</v>
      </c>
      <c r="H19" s="9">
        <f t="shared" si="0"/>
        <v>0.294</v>
      </c>
      <c r="I19"/>
      <c r="J19">
        <v>5.357</v>
      </c>
      <c r="K19" s="9">
        <f t="shared" si="1"/>
        <v>0.5357000000000001</v>
      </c>
      <c r="L19" s="17">
        <f t="shared" si="3"/>
        <v>5.357</v>
      </c>
      <c r="M19" s="9">
        <f t="shared" si="1"/>
        <v>0.5357000000000001</v>
      </c>
      <c r="N19"/>
      <c r="O19">
        <v>3.81</v>
      </c>
      <c r="P19" s="9">
        <f t="shared" si="2"/>
        <v>0.381</v>
      </c>
      <c r="Q19" s="17">
        <f t="shared" si="4"/>
        <v>3.81</v>
      </c>
      <c r="R19" s="9">
        <f t="shared" si="2"/>
        <v>0.381</v>
      </c>
    </row>
    <row r="20" spans="2:18" ht="12.75">
      <c r="B20" s="6" t="s">
        <v>43</v>
      </c>
      <c r="C20" s="7">
        <v>0.01</v>
      </c>
      <c r="D20"/>
      <c r="E20">
        <v>1.79</v>
      </c>
      <c r="F20" s="9">
        <f t="shared" si="0"/>
        <v>0.0179</v>
      </c>
      <c r="G20" s="17">
        <f t="shared" si="5"/>
        <v>1.79</v>
      </c>
      <c r="H20" s="9">
        <f t="shared" si="0"/>
        <v>0.0179</v>
      </c>
      <c r="I20"/>
      <c r="J20">
        <v>2.82</v>
      </c>
      <c r="K20" s="9">
        <f t="shared" si="1"/>
        <v>0.0282</v>
      </c>
      <c r="L20" s="17">
        <f t="shared" si="3"/>
        <v>2.82</v>
      </c>
      <c r="M20" s="9">
        <f t="shared" si="1"/>
        <v>0.0282</v>
      </c>
      <c r="N20"/>
      <c r="O20">
        <v>1.44</v>
      </c>
      <c r="P20" s="9">
        <f t="shared" si="2"/>
        <v>0.0144</v>
      </c>
      <c r="Q20" s="17">
        <f t="shared" si="4"/>
        <v>1.44</v>
      </c>
      <c r="R20" s="9">
        <f t="shared" si="2"/>
        <v>0.0144</v>
      </c>
    </row>
    <row r="21" spans="2:18" ht="12.75">
      <c r="B21" s="6" t="s">
        <v>44</v>
      </c>
      <c r="C21" s="7">
        <v>0.001</v>
      </c>
      <c r="D21"/>
      <c r="E21">
        <v>0.59</v>
      </c>
      <c r="F21" s="9">
        <f t="shared" si="0"/>
        <v>0.00059</v>
      </c>
      <c r="G21" s="17">
        <f t="shared" si="5"/>
        <v>0.59</v>
      </c>
      <c r="H21" s="9">
        <f t="shared" si="0"/>
        <v>0.00059</v>
      </c>
      <c r="I21"/>
      <c r="J21">
        <v>0.62</v>
      </c>
      <c r="K21" s="9">
        <f t="shared" si="1"/>
        <v>0.00062</v>
      </c>
      <c r="L21" s="17">
        <f t="shared" si="3"/>
        <v>0.62</v>
      </c>
      <c r="M21" s="9">
        <f t="shared" si="1"/>
        <v>0.00062</v>
      </c>
      <c r="N21"/>
      <c r="O21">
        <v>0.63</v>
      </c>
      <c r="P21" s="9">
        <f t="shared" si="2"/>
        <v>0.00063</v>
      </c>
      <c r="Q21" s="17">
        <f t="shared" si="4"/>
        <v>0.63</v>
      </c>
      <c r="R21" s="9">
        <f t="shared" si="2"/>
        <v>0.00063</v>
      </c>
    </row>
    <row r="22" spans="5:17" ht="12.75">
      <c r="E22" s="19"/>
      <c r="G22" s="19"/>
      <c r="I22" s="20"/>
      <c r="J22" s="18"/>
      <c r="K22" s="16"/>
      <c r="L22" s="16"/>
      <c r="M22" s="16"/>
      <c r="N22" s="20"/>
      <c r="O22" s="18"/>
      <c r="Q22" s="19"/>
    </row>
    <row r="23" spans="2:18" ht="12.75">
      <c r="B23" s="6" t="s">
        <v>45</v>
      </c>
      <c r="E23" s="19"/>
      <c r="F23" s="19">
        <v>79.01</v>
      </c>
      <c r="G23" s="19">
        <v>79.01</v>
      </c>
      <c r="H23" s="19">
        <v>79.01</v>
      </c>
      <c r="I23" s="20"/>
      <c r="J23" s="19"/>
      <c r="K23" s="19">
        <v>85.03</v>
      </c>
      <c r="L23" s="19">
        <v>85.03</v>
      </c>
      <c r="M23" s="19">
        <v>85.03</v>
      </c>
      <c r="N23" s="20"/>
      <c r="O23" s="19"/>
      <c r="P23" s="19">
        <v>109.12</v>
      </c>
      <c r="Q23" s="19">
        <v>109.12</v>
      </c>
      <c r="R23" s="19">
        <v>109.12</v>
      </c>
    </row>
    <row r="24" spans="2:18" ht="12.75">
      <c r="B24" s="6" t="s">
        <v>46</v>
      </c>
      <c r="E24" s="19"/>
      <c r="F24" s="19">
        <v>6.2</v>
      </c>
      <c r="G24" s="19">
        <v>6.2</v>
      </c>
      <c r="H24" s="19">
        <v>6.2</v>
      </c>
      <c r="I24" s="20"/>
      <c r="J24" s="19"/>
      <c r="K24" s="16">
        <v>6.3</v>
      </c>
      <c r="L24" s="16">
        <v>6.3</v>
      </c>
      <c r="M24" s="16">
        <v>6.3</v>
      </c>
      <c r="N24" s="20"/>
      <c r="O24" s="19"/>
      <c r="P24" s="19">
        <v>6.2</v>
      </c>
      <c r="Q24" s="16">
        <v>6.2</v>
      </c>
      <c r="R24" s="19">
        <v>6.2</v>
      </c>
    </row>
    <row r="25" spans="5:18" ht="12.75">
      <c r="E25" s="19"/>
      <c r="F25" s="21"/>
      <c r="G25" s="19"/>
      <c r="H25" s="21"/>
      <c r="I25" s="22"/>
      <c r="J25" s="19"/>
      <c r="K25" s="23"/>
      <c r="L25" s="16"/>
      <c r="M25" s="23"/>
      <c r="N25" s="20"/>
      <c r="O25" s="19"/>
      <c r="P25" s="19"/>
      <c r="Q25" s="19"/>
      <c r="R25" s="19"/>
    </row>
    <row r="26" spans="2:18" ht="12.75">
      <c r="B26" s="6" t="s">
        <v>47</v>
      </c>
      <c r="C26" s="9"/>
      <c r="D26" s="13"/>
      <c r="E26" s="16"/>
      <c r="F26" s="17">
        <f>SUM(F11:F21)</f>
        <v>1.84169</v>
      </c>
      <c r="G26" s="17"/>
      <c r="H26" s="17">
        <f>SUM(H11:H21)</f>
        <v>1.84169</v>
      </c>
      <c r="I26" s="13"/>
      <c r="J26" s="16"/>
      <c r="K26" s="17">
        <f>SUM(K11:K21)</f>
        <v>2.80327</v>
      </c>
      <c r="L26" s="17"/>
      <c r="M26" s="17">
        <f>SUM(M11:M21)</f>
        <v>2.80327</v>
      </c>
      <c r="N26" s="13"/>
      <c r="O26" s="19"/>
      <c r="P26" s="17">
        <f>SUM(P11:P21)</f>
        <v>2.3302300000000002</v>
      </c>
      <c r="Q26" s="17"/>
      <c r="R26" s="17">
        <f>SUM(R11:R21)</f>
        <v>2.3302300000000002</v>
      </c>
    </row>
    <row r="27" spans="2:18" ht="12.75">
      <c r="B27" s="6" t="s">
        <v>48</v>
      </c>
      <c r="C27" s="9"/>
      <c r="D27" s="16">
        <f>(F27-H27)*2/F27*100</f>
        <v>0</v>
      </c>
      <c r="E27" s="19"/>
      <c r="F27" s="17">
        <f>(F26/F23/0.0283*(21-7)/(21-F24))</f>
        <v>0.7791379403104536</v>
      </c>
      <c r="G27" s="17"/>
      <c r="H27" s="17">
        <f>(H26/H23/0.0283*(21-7)/(21-H24))</f>
        <v>0.7791379403104536</v>
      </c>
      <c r="I27" s="16">
        <f>(K27-M27)*2/K27*100</f>
        <v>0</v>
      </c>
      <c r="J27" s="19"/>
      <c r="K27" s="17">
        <f>(K26/K23/0.0283*(21-7)/(21-K24))</f>
        <v>1.109473709915292</v>
      </c>
      <c r="L27" s="17"/>
      <c r="M27" s="17">
        <f>(M26/M23/0.0283*(21-7)/(21-M24))</f>
        <v>1.109473709915292</v>
      </c>
      <c r="N27" s="16">
        <f>(P27-R27)*2/P27*100</f>
        <v>0</v>
      </c>
      <c r="O27" s="19"/>
      <c r="P27" s="17">
        <f>(P26/P23/0.0283*(21-7)/(21-P24))</f>
        <v>0.7137963397580974</v>
      </c>
      <c r="Q27" s="17"/>
      <c r="R27" s="17">
        <f>(R26/R23/0.0283*(21-7)/(21-R24))</f>
        <v>0.7137963397580974</v>
      </c>
    </row>
    <row r="28" spans="5:17" ht="12.75">
      <c r="E28" s="17"/>
      <c r="G28" s="17"/>
      <c r="I28" s="24"/>
      <c r="J28" s="17"/>
      <c r="K28" s="17"/>
      <c r="L28" s="17"/>
      <c r="M28" s="17"/>
      <c r="N28" s="24"/>
      <c r="O28" s="17"/>
      <c r="Q28" s="17"/>
    </row>
    <row r="29" spans="2:31" s="19" customFormat="1" ht="12.75">
      <c r="B29" s="19" t="s">
        <v>60</v>
      </c>
      <c r="C29" s="17">
        <f>AVERAGE(H27,M27,R27)</f>
        <v>0.8674693299946145</v>
      </c>
      <c r="D29" s="20"/>
      <c r="F29" s="9"/>
      <c r="H29" s="9"/>
      <c r="I29" s="20"/>
      <c r="N29" s="20"/>
      <c r="P29" s="8"/>
      <c r="R29" s="8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5:18" ht="12.75">
      <c r="E30" s="6"/>
      <c r="G30" s="6"/>
      <c r="I30" s="7"/>
      <c r="J30" s="6"/>
      <c r="K30" s="6"/>
      <c r="L30" s="6"/>
      <c r="M30" s="6"/>
      <c r="N30" s="7"/>
      <c r="O30" s="6"/>
      <c r="P30" s="6"/>
      <c r="Q30" s="6"/>
      <c r="R30" s="6"/>
    </row>
    <row r="31" spans="5:18" ht="12.75">
      <c r="E31" s="6"/>
      <c r="G31" s="6"/>
      <c r="I31" s="7"/>
      <c r="J31" s="6"/>
      <c r="K31" s="6"/>
      <c r="L31" s="6"/>
      <c r="M31" s="6"/>
      <c r="N31" s="7"/>
      <c r="O31" s="6"/>
      <c r="P31" s="6"/>
      <c r="Q31" s="6"/>
      <c r="R31" s="6"/>
    </row>
    <row r="32" spans="5:18" ht="12.75">
      <c r="E32" s="6"/>
      <c r="G32" s="6"/>
      <c r="I32" s="7"/>
      <c r="J32" s="6"/>
      <c r="K32" s="6"/>
      <c r="L32" s="6"/>
      <c r="M32" s="6"/>
      <c r="N32" s="7"/>
      <c r="O32" s="6"/>
      <c r="P32" s="6"/>
      <c r="Q32" s="6"/>
      <c r="R32" s="6"/>
    </row>
    <row r="33" spans="9:18" ht="12.75">
      <c r="I33" s="7"/>
      <c r="J33" s="6"/>
      <c r="K33" s="6"/>
      <c r="L33" s="6"/>
      <c r="M33" s="6"/>
      <c r="N33" s="7"/>
      <c r="O33" s="6"/>
      <c r="P33" s="6"/>
      <c r="Q33" s="6"/>
      <c r="R33" s="6"/>
    </row>
    <row r="34" spans="5:18" ht="12.75">
      <c r="E34" s="7"/>
      <c r="G34" s="12"/>
      <c r="I34" s="7"/>
      <c r="J34" s="6"/>
      <c r="K34" s="6"/>
      <c r="L34" s="6"/>
      <c r="M34" s="6"/>
      <c r="N34" s="7"/>
      <c r="O34" s="6"/>
      <c r="P34" s="6"/>
      <c r="Q34" s="6"/>
      <c r="R34" s="6"/>
    </row>
    <row r="35" spans="5:18" ht="12.75">
      <c r="E35" s="11"/>
      <c r="F35" s="25"/>
      <c r="G35" s="11"/>
      <c r="H35" s="25"/>
      <c r="I35" s="7"/>
      <c r="J35" s="6"/>
      <c r="K35" s="6"/>
      <c r="L35" s="6"/>
      <c r="M35" s="6"/>
      <c r="N35" s="7"/>
      <c r="O35" s="6"/>
      <c r="P35" s="6"/>
      <c r="Q35" s="6"/>
      <c r="R35" s="6"/>
    </row>
    <row r="36" spans="5:18" ht="12.75">
      <c r="E36" s="6"/>
      <c r="G36" s="6"/>
      <c r="I36" s="7"/>
      <c r="J36" s="6"/>
      <c r="K36" s="6"/>
      <c r="L36" s="6"/>
      <c r="M36" s="6"/>
      <c r="N36" s="7"/>
      <c r="O36" s="6"/>
      <c r="P36" s="6"/>
      <c r="Q36" s="6"/>
      <c r="R36" s="6"/>
    </row>
    <row r="37" spans="5:18" ht="12.75">
      <c r="E37" s="6"/>
      <c r="G37" s="6"/>
      <c r="I37" s="7"/>
      <c r="J37" s="6"/>
      <c r="K37" s="6"/>
      <c r="L37" s="6"/>
      <c r="M37" s="6"/>
      <c r="N37" s="7"/>
      <c r="O37" s="6"/>
      <c r="P37" s="6"/>
      <c r="Q37" s="6"/>
      <c r="R37" s="6"/>
    </row>
    <row r="38" spans="3:18" ht="12.75">
      <c r="C38" s="7"/>
      <c r="E38" s="14"/>
      <c r="F38" s="26"/>
      <c r="G38" s="14"/>
      <c r="H38" s="26"/>
      <c r="I38" s="15"/>
      <c r="J38" s="14"/>
      <c r="K38" s="14"/>
      <c r="L38" s="14"/>
      <c r="M38" s="14"/>
      <c r="N38" s="15"/>
      <c r="O38" s="14"/>
      <c r="P38" s="14"/>
      <c r="Q38" s="14"/>
      <c r="R38" s="14"/>
    </row>
    <row r="39" spans="3:18" ht="12.75">
      <c r="C39" s="7"/>
      <c r="E39" s="10"/>
      <c r="F39" s="13"/>
      <c r="G39" s="10"/>
      <c r="H39" s="13"/>
      <c r="J39" s="10"/>
      <c r="K39" s="10"/>
      <c r="L39" s="10"/>
      <c r="M39" s="10"/>
      <c r="O39" s="10"/>
      <c r="P39" s="10"/>
      <c r="Q39" s="10"/>
      <c r="R39" s="10"/>
    </row>
    <row r="40" spans="3:18" ht="12.75">
      <c r="C40" s="7"/>
      <c r="E40" s="10"/>
      <c r="G40" s="10"/>
      <c r="J40" s="10"/>
      <c r="K40" s="9"/>
      <c r="L40" s="10"/>
      <c r="M40" s="9"/>
      <c r="O40" s="10"/>
      <c r="P40" s="9"/>
      <c r="Q40" s="10"/>
      <c r="R40" s="9"/>
    </row>
    <row r="41" ht="12.75">
      <c r="O41" s="16"/>
    </row>
    <row r="42" spans="3:18" ht="12.75">
      <c r="C42" s="7"/>
      <c r="E42" s="16"/>
      <c r="G42" s="16"/>
      <c r="I42" s="13"/>
      <c r="J42" s="18"/>
      <c r="K42" s="16"/>
      <c r="L42" s="16"/>
      <c r="M42" s="16"/>
      <c r="N42" s="13"/>
      <c r="O42" s="16"/>
      <c r="P42" s="9">
        <f aca="true" t="shared" si="6" ref="P42:R66">IF(O42="","",O42*$C42)</f>
      </c>
      <c r="Q42" s="16"/>
      <c r="R42" s="9">
        <f t="shared" si="6"/>
      </c>
    </row>
    <row r="43" spans="3:18" ht="12.75">
      <c r="C43" s="7"/>
      <c r="E43" s="16"/>
      <c r="G43" s="16"/>
      <c r="I43" s="13"/>
      <c r="J43" s="18"/>
      <c r="K43" s="16"/>
      <c r="L43" s="16"/>
      <c r="M43" s="16"/>
      <c r="N43" s="13"/>
      <c r="O43" s="23"/>
      <c r="P43" s="9">
        <f t="shared" si="6"/>
      </c>
      <c r="Q43" s="16"/>
      <c r="R43" s="9">
        <f t="shared" si="6"/>
      </c>
    </row>
    <row r="44" spans="3:18" ht="12.75">
      <c r="C44" s="7"/>
      <c r="E44" s="16"/>
      <c r="G44" s="16"/>
      <c r="I44" s="13"/>
      <c r="J44" s="18"/>
      <c r="K44" s="16"/>
      <c r="L44" s="16"/>
      <c r="M44" s="16"/>
      <c r="N44" s="13"/>
      <c r="O44" s="23"/>
      <c r="P44" s="9">
        <f t="shared" si="6"/>
      </c>
      <c r="Q44" s="16"/>
      <c r="R44" s="9">
        <f t="shared" si="6"/>
      </c>
    </row>
    <row r="45" spans="3:18" ht="12.75">
      <c r="C45" s="7"/>
      <c r="E45" s="16"/>
      <c r="G45" s="16"/>
      <c r="I45" s="13"/>
      <c r="J45" s="18"/>
      <c r="K45" s="16"/>
      <c r="L45" s="16"/>
      <c r="M45" s="16"/>
      <c r="N45" s="13"/>
      <c r="O45" s="23"/>
      <c r="P45" s="9">
        <f t="shared" si="6"/>
      </c>
      <c r="Q45" s="16"/>
      <c r="R45" s="9">
        <f t="shared" si="6"/>
      </c>
    </row>
    <row r="46" spans="3:18" ht="12.75">
      <c r="C46" s="7"/>
      <c r="E46" s="16"/>
      <c r="G46" s="16"/>
      <c r="I46" s="13"/>
      <c r="J46" s="18"/>
      <c r="K46" s="16"/>
      <c r="L46" s="16"/>
      <c r="M46" s="16"/>
      <c r="N46" s="13"/>
      <c r="O46" s="23"/>
      <c r="P46" s="9">
        <f t="shared" si="6"/>
      </c>
      <c r="Q46" s="16"/>
      <c r="R46" s="9">
        <f t="shared" si="6"/>
      </c>
    </row>
    <row r="47" spans="3:18" ht="12.75">
      <c r="C47" s="7"/>
      <c r="E47" s="16"/>
      <c r="G47" s="16"/>
      <c r="I47" s="13"/>
      <c r="J47" s="18"/>
      <c r="K47" s="16"/>
      <c r="L47" s="16"/>
      <c r="M47" s="16"/>
      <c r="N47" s="13"/>
      <c r="O47" s="23"/>
      <c r="P47" s="9">
        <f t="shared" si="6"/>
      </c>
      <c r="Q47" s="16"/>
      <c r="R47" s="9">
        <f t="shared" si="6"/>
      </c>
    </row>
    <row r="48" spans="3:18" ht="12.75">
      <c r="C48" s="7"/>
      <c r="E48" s="16"/>
      <c r="G48" s="16"/>
      <c r="I48" s="13"/>
      <c r="J48" s="18"/>
      <c r="K48" s="16"/>
      <c r="L48" s="16"/>
      <c r="M48" s="16"/>
      <c r="N48" s="13"/>
      <c r="O48" s="23"/>
      <c r="P48" s="9">
        <f t="shared" si="6"/>
      </c>
      <c r="Q48" s="16"/>
      <c r="R48" s="9">
        <f t="shared" si="6"/>
      </c>
    </row>
    <row r="49" spans="3:18" ht="12.75">
      <c r="C49" s="7"/>
      <c r="E49" s="16"/>
      <c r="G49" s="16"/>
      <c r="I49" s="13"/>
      <c r="J49" s="18"/>
      <c r="K49" s="16"/>
      <c r="L49" s="16"/>
      <c r="M49" s="16"/>
      <c r="N49" s="13"/>
      <c r="O49" s="23"/>
      <c r="P49" s="9">
        <f t="shared" si="6"/>
      </c>
      <c r="Q49" s="16"/>
      <c r="R49" s="9">
        <f t="shared" si="6"/>
      </c>
    </row>
    <row r="50" spans="3:18" ht="12.75">
      <c r="C50" s="7"/>
      <c r="E50" s="16"/>
      <c r="G50" s="16"/>
      <c r="I50" s="13"/>
      <c r="J50" s="18"/>
      <c r="K50" s="16"/>
      <c r="L50" s="16"/>
      <c r="M50" s="16"/>
      <c r="N50" s="13"/>
      <c r="O50" s="23"/>
      <c r="P50" s="9">
        <f t="shared" si="6"/>
      </c>
      <c r="Q50" s="16"/>
      <c r="R50" s="9">
        <f t="shared" si="6"/>
      </c>
    </row>
    <row r="51" spans="3:18" ht="12.75">
      <c r="C51" s="7"/>
      <c r="E51" s="16"/>
      <c r="G51" s="16"/>
      <c r="I51" s="13"/>
      <c r="J51" s="18"/>
      <c r="K51" s="16"/>
      <c r="L51" s="16"/>
      <c r="M51" s="16"/>
      <c r="N51" s="13"/>
      <c r="O51" s="23"/>
      <c r="P51" s="9">
        <f t="shared" si="6"/>
      </c>
      <c r="Q51" s="16"/>
      <c r="R51" s="9">
        <f t="shared" si="6"/>
      </c>
    </row>
    <row r="52" spans="3:18" ht="12.75">
      <c r="C52" s="7"/>
      <c r="E52" s="16"/>
      <c r="G52" s="16"/>
      <c r="I52" s="13"/>
      <c r="J52" s="18"/>
      <c r="K52" s="16"/>
      <c r="L52" s="16"/>
      <c r="M52" s="16"/>
      <c r="N52" s="13"/>
      <c r="O52" s="23"/>
      <c r="P52" s="9">
        <f t="shared" si="6"/>
      </c>
      <c r="Q52" s="16"/>
      <c r="R52" s="9">
        <f t="shared" si="6"/>
      </c>
    </row>
    <row r="53" spans="3:18" ht="12.75">
      <c r="C53" s="7"/>
      <c r="E53" s="16"/>
      <c r="G53" s="16"/>
      <c r="I53" s="13"/>
      <c r="J53" s="18"/>
      <c r="K53" s="16"/>
      <c r="L53" s="16"/>
      <c r="M53" s="16"/>
      <c r="N53" s="13"/>
      <c r="O53" s="23"/>
      <c r="P53" s="9">
        <f t="shared" si="6"/>
      </c>
      <c r="Q53" s="16"/>
      <c r="R53" s="9">
        <f t="shared" si="6"/>
      </c>
    </row>
    <row r="54" spans="3:18" ht="12.75">
      <c r="C54" s="7"/>
      <c r="E54" s="16"/>
      <c r="G54" s="16"/>
      <c r="I54" s="13"/>
      <c r="J54" s="18"/>
      <c r="K54" s="16"/>
      <c r="L54" s="16"/>
      <c r="M54" s="16"/>
      <c r="N54" s="13"/>
      <c r="O54" s="23"/>
      <c r="P54" s="9">
        <f t="shared" si="6"/>
      </c>
      <c r="Q54" s="16"/>
      <c r="R54" s="9">
        <f t="shared" si="6"/>
      </c>
    </row>
    <row r="55" spans="3:18" ht="12.75">
      <c r="C55" s="7"/>
      <c r="E55" s="16"/>
      <c r="G55" s="16"/>
      <c r="I55" s="13"/>
      <c r="J55" s="18"/>
      <c r="K55" s="16"/>
      <c r="L55" s="16"/>
      <c r="M55" s="16"/>
      <c r="N55" s="13"/>
      <c r="O55" s="23"/>
      <c r="P55" s="9">
        <f t="shared" si="6"/>
      </c>
      <c r="Q55" s="16"/>
      <c r="R55" s="9">
        <f t="shared" si="6"/>
      </c>
    </row>
    <row r="56" spans="3:18" ht="12.75">
      <c r="C56" s="7"/>
      <c r="E56" s="16"/>
      <c r="G56" s="16"/>
      <c r="I56" s="13"/>
      <c r="J56" s="18"/>
      <c r="K56" s="16"/>
      <c r="L56" s="16"/>
      <c r="M56" s="16"/>
      <c r="N56" s="13"/>
      <c r="O56" s="23"/>
      <c r="P56" s="9">
        <f t="shared" si="6"/>
      </c>
      <c r="Q56" s="16"/>
      <c r="R56" s="9">
        <f t="shared" si="6"/>
      </c>
    </row>
    <row r="57" spans="3:18" ht="12.75">
      <c r="C57" s="7"/>
      <c r="E57" s="16"/>
      <c r="G57" s="16"/>
      <c r="I57" s="13"/>
      <c r="J57" s="18"/>
      <c r="K57" s="16"/>
      <c r="L57" s="16"/>
      <c r="M57" s="16"/>
      <c r="N57" s="13"/>
      <c r="O57" s="23"/>
      <c r="P57" s="9">
        <f t="shared" si="6"/>
      </c>
      <c r="Q57" s="16"/>
      <c r="R57" s="9">
        <f t="shared" si="6"/>
      </c>
    </row>
    <row r="58" spans="3:18" ht="12.75">
      <c r="C58" s="7"/>
      <c r="E58" s="16"/>
      <c r="G58" s="16"/>
      <c r="I58" s="13"/>
      <c r="J58" s="18"/>
      <c r="K58" s="16"/>
      <c r="L58" s="16"/>
      <c r="M58" s="16"/>
      <c r="N58" s="13"/>
      <c r="O58" s="23"/>
      <c r="P58" s="9">
        <f t="shared" si="6"/>
      </c>
      <c r="Q58" s="16"/>
      <c r="R58" s="9">
        <f t="shared" si="6"/>
      </c>
    </row>
    <row r="59" spans="3:18" ht="12.75">
      <c r="C59" s="7"/>
      <c r="E59" s="16"/>
      <c r="G59" s="16"/>
      <c r="I59" s="13"/>
      <c r="J59" s="18"/>
      <c r="K59" s="16"/>
      <c r="L59" s="16"/>
      <c r="M59" s="16"/>
      <c r="N59" s="13"/>
      <c r="O59" s="23"/>
      <c r="P59" s="9">
        <f t="shared" si="6"/>
      </c>
      <c r="Q59" s="16"/>
      <c r="R59" s="9">
        <f t="shared" si="6"/>
      </c>
    </row>
    <row r="60" spans="3:18" ht="12.75">
      <c r="C60" s="7"/>
      <c r="E60" s="16"/>
      <c r="G60" s="16"/>
      <c r="I60" s="13"/>
      <c r="J60" s="18"/>
      <c r="K60" s="16"/>
      <c r="L60" s="16"/>
      <c r="M60" s="16"/>
      <c r="N60" s="13"/>
      <c r="O60" s="23"/>
      <c r="P60" s="9">
        <f t="shared" si="6"/>
      </c>
      <c r="Q60" s="16"/>
      <c r="R60" s="9">
        <f t="shared" si="6"/>
      </c>
    </row>
    <row r="61" spans="3:18" ht="12.75">
      <c r="C61" s="7"/>
      <c r="E61" s="16"/>
      <c r="G61" s="16"/>
      <c r="I61" s="13"/>
      <c r="J61" s="18"/>
      <c r="K61" s="16"/>
      <c r="L61" s="16"/>
      <c r="M61" s="16"/>
      <c r="N61" s="13"/>
      <c r="O61" s="23"/>
      <c r="P61" s="9">
        <f t="shared" si="6"/>
      </c>
      <c r="Q61" s="16"/>
      <c r="R61" s="9">
        <f t="shared" si="6"/>
      </c>
    </row>
    <row r="62" spans="3:18" ht="12.75">
      <c r="C62" s="7"/>
      <c r="E62" s="16"/>
      <c r="G62" s="16"/>
      <c r="I62" s="13"/>
      <c r="J62" s="18"/>
      <c r="K62" s="16"/>
      <c r="L62" s="16"/>
      <c r="M62" s="16"/>
      <c r="N62" s="13"/>
      <c r="O62" s="23"/>
      <c r="P62" s="9">
        <f t="shared" si="6"/>
      </c>
      <c r="Q62" s="16"/>
      <c r="R62" s="9">
        <f t="shared" si="6"/>
      </c>
    </row>
    <row r="63" spans="3:18" ht="12.75">
      <c r="C63" s="7"/>
      <c r="E63" s="16"/>
      <c r="G63" s="16"/>
      <c r="I63" s="13"/>
      <c r="J63" s="18"/>
      <c r="K63" s="16"/>
      <c r="L63" s="16"/>
      <c r="M63" s="16"/>
      <c r="N63" s="13"/>
      <c r="O63" s="23"/>
      <c r="P63" s="9">
        <f t="shared" si="6"/>
      </c>
      <c r="Q63" s="16"/>
      <c r="R63" s="9">
        <f t="shared" si="6"/>
      </c>
    </row>
    <row r="64" spans="3:18" ht="12.75">
      <c r="C64" s="7"/>
      <c r="E64" s="16"/>
      <c r="G64" s="16"/>
      <c r="I64" s="13"/>
      <c r="J64" s="18"/>
      <c r="K64" s="16"/>
      <c r="L64" s="16"/>
      <c r="M64" s="16"/>
      <c r="N64" s="13"/>
      <c r="O64" s="23"/>
      <c r="P64" s="9">
        <f t="shared" si="6"/>
      </c>
      <c r="Q64" s="16"/>
      <c r="R64" s="9">
        <f t="shared" si="6"/>
      </c>
    </row>
    <row r="65" spans="3:18" ht="12.75">
      <c r="C65" s="7"/>
      <c r="E65" s="16"/>
      <c r="G65" s="16"/>
      <c r="I65" s="13"/>
      <c r="J65" s="18"/>
      <c r="K65" s="16"/>
      <c r="L65" s="16"/>
      <c r="M65" s="16"/>
      <c r="N65" s="13"/>
      <c r="O65" s="23"/>
      <c r="P65" s="9">
        <f t="shared" si="6"/>
      </c>
      <c r="Q65" s="16"/>
      <c r="R65" s="9">
        <f t="shared" si="6"/>
      </c>
    </row>
    <row r="66" spans="3:18" ht="12.75">
      <c r="C66" s="7"/>
      <c r="E66" s="16"/>
      <c r="G66" s="16"/>
      <c r="I66" s="13"/>
      <c r="J66" s="18"/>
      <c r="K66" s="16"/>
      <c r="L66" s="16"/>
      <c r="M66" s="16"/>
      <c r="N66" s="13"/>
      <c r="O66" s="23"/>
      <c r="P66" s="9">
        <f t="shared" si="6"/>
      </c>
      <c r="Q66" s="16"/>
      <c r="R66" s="9">
        <f t="shared" si="6"/>
      </c>
    </row>
    <row r="67" spans="5:17" ht="12.75">
      <c r="E67" s="19"/>
      <c r="G67" s="19"/>
      <c r="I67" s="20"/>
      <c r="J67" s="19"/>
      <c r="K67" s="16"/>
      <c r="L67" s="16"/>
      <c r="M67" s="16"/>
      <c r="N67" s="20"/>
      <c r="O67" s="18"/>
      <c r="Q67" s="19"/>
    </row>
    <row r="68" spans="5:18" ht="12.75">
      <c r="E68" s="19"/>
      <c r="G68" s="19"/>
      <c r="I68" s="20"/>
      <c r="J68" s="19"/>
      <c r="K68" s="16"/>
      <c r="L68" s="16"/>
      <c r="M68" s="16"/>
      <c r="N68" s="20"/>
      <c r="O68" s="19"/>
      <c r="P68" s="19"/>
      <c r="Q68" s="19"/>
      <c r="R68" s="19"/>
    </row>
    <row r="69" spans="5:18" ht="12.75">
      <c r="E69" s="19"/>
      <c r="G69" s="19"/>
      <c r="I69" s="20"/>
      <c r="J69" s="19"/>
      <c r="K69" s="16"/>
      <c r="L69" s="16"/>
      <c r="M69" s="16"/>
      <c r="N69" s="20"/>
      <c r="O69" s="19"/>
      <c r="P69" s="19"/>
      <c r="Q69" s="19"/>
      <c r="R69" s="19"/>
    </row>
    <row r="70" spans="5:18" ht="12.75">
      <c r="E70" s="19"/>
      <c r="F70" s="21"/>
      <c r="G70" s="19"/>
      <c r="H70" s="21"/>
      <c r="I70" s="22"/>
      <c r="J70" s="19"/>
      <c r="K70" s="23"/>
      <c r="L70" s="16"/>
      <c r="M70" s="23"/>
      <c r="N70" s="20"/>
      <c r="O70" s="19"/>
      <c r="P70" s="19"/>
      <c r="Q70" s="19"/>
      <c r="R70" s="19"/>
    </row>
    <row r="71" spans="3:18" ht="12.75">
      <c r="C71" s="9"/>
      <c r="D71" s="13"/>
      <c r="E71" s="16"/>
      <c r="G71" s="16"/>
      <c r="I71" s="13"/>
      <c r="J71" s="16"/>
      <c r="K71" s="16"/>
      <c r="L71" s="16"/>
      <c r="M71" s="16"/>
      <c r="N71" s="13"/>
      <c r="O71" s="19"/>
      <c r="P71" s="9"/>
      <c r="Q71" s="9"/>
      <c r="R71" s="9"/>
    </row>
    <row r="72" spans="3:18" ht="12.75">
      <c r="C72" s="9"/>
      <c r="D72" s="13"/>
      <c r="E72" s="19"/>
      <c r="G72" s="17"/>
      <c r="I72" s="13"/>
      <c r="J72" s="19"/>
      <c r="K72" s="9"/>
      <c r="L72" s="16"/>
      <c r="M72" s="9"/>
      <c r="N72" s="13"/>
      <c r="O72" s="19"/>
      <c r="P72" s="17"/>
      <c r="Q72" s="17"/>
      <c r="R72" s="17"/>
    </row>
    <row r="89" spans="3:18" ht="12.75">
      <c r="C89" s="7"/>
      <c r="E89" s="14"/>
      <c r="F89" s="14"/>
      <c r="G89" s="14"/>
      <c r="H89" s="14"/>
      <c r="I89" s="15"/>
      <c r="J89" s="14"/>
      <c r="K89" s="14"/>
      <c r="L89" s="14"/>
      <c r="M89" s="14"/>
      <c r="N89" s="15"/>
      <c r="O89" s="14"/>
      <c r="P89" s="14"/>
      <c r="Q89" s="14"/>
      <c r="R89" s="14"/>
    </row>
    <row r="90" spans="3:18" ht="12.75">
      <c r="C90" s="7"/>
      <c r="E90" s="10"/>
      <c r="F90" s="13"/>
      <c r="G90" s="10"/>
      <c r="H90" s="13"/>
      <c r="J90" s="10"/>
      <c r="K90" s="10"/>
      <c r="L90" s="10"/>
      <c r="M90" s="10"/>
      <c r="O90" s="10"/>
      <c r="P90" s="10"/>
      <c r="Q90" s="10"/>
      <c r="R90" s="10"/>
    </row>
    <row r="91" spans="3:18" ht="12.75">
      <c r="C91" s="7"/>
      <c r="E91" s="10"/>
      <c r="G91" s="10"/>
      <c r="J91" s="10"/>
      <c r="K91" s="9"/>
      <c r="L91" s="10"/>
      <c r="M91" s="9"/>
      <c r="O91" s="10"/>
      <c r="P91" s="9"/>
      <c r="Q91" s="10"/>
      <c r="R91" s="9"/>
    </row>
    <row r="92" ht="12.75">
      <c r="O92" s="16"/>
    </row>
    <row r="93" spans="3:18" ht="12.75">
      <c r="C93" s="7"/>
      <c r="E93" s="16"/>
      <c r="F93" s="19"/>
      <c r="G93" s="16"/>
      <c r="H93" s="19"/>
      <c r="I93" s="13"/>
      <c r="J93" s="18"/>
      <c r="K93" s="16"/>
      <c r="L93" s="16"/>
      <c r="M93" s="16"/>
      <c r="N93" s="13"/>
      <c r="O93" s="16"/>
      <c r="P93" s="9"/>
      <c r="Q93" s="16"/>
      <c r="R93" s="9"/>
    </row>
    <row r="94" spans="3:18" ht="12.75">
      <c r="C94" s="7"/>
      <c r="E94" s="16"/>
      <c r="F94" s="19"/>
      <c r="G94" s="16"/>
      <c r="H94" s="19"/>
      <c r="I94" s="13"/>
      <c r="J94" s="18"/>
      <c r="K94" s="16"/>
      <c r="L94" s="16"/>
      <c r="M94" s="16"/>
      <c r="N94" s="13"/>
      <c r="O94" s="23"/>
      <c r="P94" s="9"/>
      <c r="Q94" s="16"/>
      <c r="R94" s="9"/>
    </row>
    <row r="95" spans="3:18" ht="12.75">
      <c r="C95" s="7"/>
      <c r="E95" s="16"/>
      <c r="F95" s="19"/>
      <c r="G95" s="16"/>
      <c r="H95" s="19"/>
      <c r="I95" s="13"/>
      <c r="J95" s="18"/>
      <c r="K95" s="16"/>
      <c r="L95" s="16"/>
      <c r="M95" s="16"/>
      <c r="N95" s="13"/>
      <c r="O95" s="23"/>
      <c r="P95" s="9"/>
      <c r="Q95" s="16"/>
      <c r="R95" s="9"/>
    </row>
    <row r="96" spans="3:18" ht="12.75">
      <c r="C96" s="7"/>
      <c r="E96" s="16"/>
      <c r="F96" s="19"/>
      <c r="G96" s="16"/>
      <c r="H96" s="19"/>
      <c r="I96" s="13"/>
      <c r="J96" s="18"/>
      <c r="K96" s="16"/>
      <c r="L96" s="16"/>
      <c r="M96" s="16"/>
      <c r="N96" s="13"/>
      <c r="O96" s="23"/>
      <c r="P96" s="9"/>
      <c r="Q96" s="16"/>
      <c r="R96" s="9"/>
    </row>
    <row r="97" spans="3:18" ht="12.75">
      <c r="C97" s="7"/>
      <c r="E97" s="16"/>
      <c r="F97" s="19"/>
      <c r="G97" s="16"/>
      <c r="H97" s="19"/>
      <c r="I97" s="13"/>
      <c r="J97" s="18"/>
      <c r="K97" s="16"/>
      <c r="L97" s="16"/>
      <c r="M97" s="16"/>
      <c r="N97" s="13"/>
      <c r="O97" s="23"/>
      <c r="P97" s="9"/>
      <c r="Q97" s="16"/>
      <c r="R97" s="9"/>
    </row>
    <row r="98" spans="3:18" ht="12.75">
      <c r="C98" s="7"/>
      <c r="E98" s="16"/>
      <c r="F98" s="19"/>
      <c r="G98" s="16"/>
      <c r="H98" s="19"/>
      <c r="I98" s="13"/>
      <c r="J98" s="18"/>
      <c r="K98" s="16"/>
      <c r="L98" s="16"/>
      <c r="M98" s="16"/>
      <c r="N98" s="13"/>
      <c r="O98" s="23"/>
      <c r="P98" s="9"/>
      <c r="Q98" s="16"/>
      <c r="R98" s="9"/>
    </row>
    <row r="99" spans="3:18" ht="12.75">
      <c r="C99" s="7"/>
      <c r="E99" s="16"/>
      <c r="F99" s="19"/>
      <c r="G99" s="16"/>
      <c r="H99" s="19"/>
      <c r="I99" s="13"/>
      <c r="J99" s="18"/>
      <c r="K99" s="16"/>
      <c r="L99" s="16"/>
      <c r="M99" s="16"/>
      <c r="N99" s="13"/>
      <c r="O99" s="23"/>
      <c r="P99" s="9"/>
      <c r="Q99" s="16"/>
      <c r="R99" s="9"/>
    </row>
    <row r="100" spans="3:18" ht="12.75">
      <c r="C100" s="7"/>
      <c r="E100" s="16"/>
      <c r="F100" s="19"/>
      <c r="G100" s="16"/>
      <c r="H100" s="19"/>
      <c r="I100" s="13"/>
      <c r="J100" s="18"/>
      <c r="K100" s="16"/>
      <c r="L100" s="16"/>
      <c r="M100" s="16"/>
      <c r="N100" s="13"/>
      <c r="O100" s="23"/>
      <c r="P100" s="9"/>
      <c r="Q100" s="16"/>
      <c r="R100" s="9"/>
    </row>
    <row r="101" spans="3:18" ht="12.75">
      <c r="C101" s="7"/>
      <c r="E101" s="16"/>
      <c r="F101" s="19"/>
      <c r="G101" s="16"/>
      <c r="H101" s="19"/>
      <c r="I101" s="13"/>
      <c r="J101" s="18"/>
      <c r="K101" s="16"/>
      <c r="L101" s="16"/>
      <c r="M101" s="16"/>
      <c r="N101" s="13"/>
      <c r="O101" s="23"/>
      <c r="P101" s="9"/>
      <c r="Q101" s="16"/>
      <c r="R101" s="9"/>
    </row>
    <row r="102" spans="3:18" ht="12.75">
      <c r="C102" s="7"/>
      <c r="E102" s="16"/>
      <c r="F102" s="19"/>
      <c r="G102" s="16"/>
      <c r="H102" s="19"/>
      <c r="I102" s="13"/>
      <c r="J102" s="18"/>
      <c r="K102" s="16"/>
      <c r="L102" s="16"/>
      <c r="M102" s="16"/>
      <c r="N102" s="13"/>
      <c r="O102" s="23"/>
      <c r="P102" s="9"/>
      <c r="Q102" s="16"/>
      <c r="R102" s="9"/>
    </row>
    <row r="103" spans="3:18" ht="12.75">
      <c r="C103" s="7"/>
      <c r="E103" s="16"/>
      <c r="F103" s="19"/>
      <c r="G103" s="16"/>
      <c r="H103" s="19"/>
      <c r="I103" s="13"/>
      <c r="J103" s="18"/>
      <c r="K103" s="16"/>
      <c r="L103" s="16"/>
      <c r="M103" s="16"/>
      <c r="N103" s="13"/>
      <c r="O103" s="23"/>
      <c r="P103" s="9"/>
      <c r="Q103" s="16"/>
      <c r="R103" s="9"/>
    </row>
    <row r="104" spans="3:18" ht="12.75">
      <c r="C104" s="7"/>
      <c r="E104" s="16"/>
      <c r="F104" s="19"/>
      <c r="G104" s="16"/>
      <c r="H104" s="19"/>
      <c r="I104" s="13"/>
      <c r="J104" s="18"/>
      <c r="K104" s="16"/>
      <c r="L104" s="16"/>
      <c r="M104" s="16"/>
      <c r="N104" s="13"/>
      <c r="O104" s="23"/>
      <c r="P104" s="9"/>
      <c r="Q104" s="16"/>
      <c r="R104" s="9"/>
    </row>
    <row r="105" spans="3:18" ht="12.75">
      <c r="C105" s="7"/>
      <c r="E105" s="16"/>
      <c r="F105" s="19"/>
      <c r="G105" s="16"/>
      <c r="H105" s="19"/>
      <c r="I105" s="13"/>
      <c r="J105" s="18"/>
      <c r="K105" s="16"/>
      <c r="L105" s="16"/>
      <c r="M105" s="16"/>
      <c r="N105" s="13"/>
      <c r="O105" s="23"/>
      <c r="P105" s="9"/>
      <c r="Q105" s="16"/>
      <c r="R105" s="9"/>
    </row>
    <row r="106" spans="3:18" ht="12.75">
      <c r="C106" s="7"/>
      <c r="E106" s="16"/>
      <c r="F106" s="19"/>
      <c r="G106" s="16"/>
      <c r="H106" s="19"/>
      <c r="I106" s="13"/>
      <c r="J106" s="18"/>
      <c r="K106" s="16"/>
      <c r="L106" s="16"/>
      <c r="M106" s="16"/>
      <c r="N106" s="13"/>
      <c r="O106" s="23"/>
      <c r="P106" s="9"/>
      <c r="Q106" s="16"/>
      <c r="R106" s="9"/>
    </row>
    <row r="107" spans="3:18" ht="12.75">
      <c r="C107" s="7"/>
      <c r="E107" s="16"/>
      <c r="F107" s="19"/>
      <c r="G107" s="16"/>
      <c r="H107" s="19"/>
      <c r="I107" s="13"/>
      <c r="J107" s="18"/>
      <c r="K107" s="16"/>
      <c r="L107" s="16"/>
      <c r="M107" s="16"/>
      <c r="N107" s="13"/>
      <c r="O107" s="23"/>
      <c r="P107" s="9"/>
      <c r="Q107" s="16"/>
      <c r="R107" s="9"/>
    </row>
    <row r="108" spans="3:18" ht="12.75">
      <c r="C108" s="7"/>
      <c r="E108" s="16"/>
      <c r="F108" s="19"/>
      <c r="G108" s="16"/>
      <c r="H108" s="19"/>
      <c r="I108" s="13"/>
      <c r="J108" s="18"/>
      <c r="K108" s="16"/>
      <c r="L108" s="16"/>
      <c r="M108" s="16"/>
      <c r="N108" s="13"/>
      <c r="O108" s="23"/>
      <c r="P108" s="9"/>
      <c r="Q108" s="16"/>
      <c r="R108" s="9"/>
    </row>
    <row r="109" spans="3:18" ht="12.75">
      <c r="C109" s="7"/>
      <c r="E109" s="16"/>
      <c r="F109" s="19"/>
      <c r="G109" s="16"/>
      <c r="H109" s="19"/>
      <c r="I109" s="13"/>
      <c r="J109" s="18"/>
      <c r="K109" s="16"/>
      <c r="L109" s="16"/>
      <c r="M109" s="16"/>
      <c r="N109" s="13"/>
      <c r="O109" s="23"/>
      <c r="P109" s="9"/>
      <c r="Q109" s="16"/>
      <c r="R109" s="9"/>
    </row>
    <row r="110" spans="3:18" ht="12.75">
      <c r="C110" s="7"/>
      <c r="E110" s="16"/>
      <c r="F110" s="19"/>
      <c r="G110" s="16"/>
      <c r="H110" s="19"/>
      <c r="I110" s="13"/>
      <c r="J110" s="18"/>
      <c r="K110" s="16"/>
      <c r="L110" s="16"/>
      <c r="M110" s="16"/>
      <c r="N110" s="13"/>
      <c r="O110" s="23"/>
      <c r="P110" s="9"/>
      <c r="Q110" s="16"/>
      <c r="R110" s="9"/>
    </row>
    <row r="111" spans="3:18" ht="12.75">
      <c r="C111" s="7"/>
      <c r="E111" s="16"/>
      <c r="F111" s="19"/>
      <c r="G111" s="16"/>
      <c r="H111" s="19"/>
      <c r="I111" s="13"/>
      <c r="J111" s="18"/>
      <c r="K111" s="16"/>
      <c r="L111" s="16"/>
      <c r="M111" s="16"/>
      <c r="N111" s="13"/>
      <c r="O111" s="23"/>
      <c r="P111" s="9"/>
      <c r="Q111" s="16"/>
      <c r="R111" s="9"/>
    </row>
    <row r="112" spans="3:18" ht="12.75">
      <c r="C112" s="7"/>
      <c r="E112" s="16"/>
      <c r="F112" s="19"/>
      <c r="G112" s="16"/>
      <c r="H112" s="19"/>
      <c r="I112" s="13"/>
      <c r="J112" s="18"/>
      <c r="K112" s="16"/>
      <c r="L112" s="16"/>
      <c r="M112" s="16"/>
      <c r="N112" s="13"/>
      <c r="O112" s="23"/>
      <c r="P112" s="9"/>
      <c r="Q112" s="16"/>
      <c r="R112" s="9"/>
    </row>
    <row r="113" spans="3:18" ht="12.75">
      <c r="C113" s="7"/>
      <c r="E113" s="16"/>
      <c r="F113" s="19"/>
      <c r="G113" s="16"/>
      <c r="H113" s="19"/>
      <c r="I113" s="13"/>
      <c r="J113" s="18"/>
      <c r="K113" s="16"/>
      <c r="L113" s="16"/>
      <c r="M113" s="16"/>
      <c r="N113" s="13"/>
      <c r="O113" s="23"/>
      <c r="P113" s="9"/>
      <c r="Q113" s="16"/>
      <c r="R113" s="9"/>
    </row>
    <row r="114" spans="3:18" ht="12.75">
      <c r="C114" s="7"/>
      <c r="E114" s="16"/>
      <c r="F114" s="19"/>
      <c r="G114" s="16"/>
      <c r="H114" s="19"/>
      <c r="I114" s="13"/>
      <c r="J114" s="18"/>
      <c r="K114" s="16"/>
      <c r="L114" s="16"/>
      <c r="M114" s="16"/>
      <c r="N114" s="13"/>
      <c r="O114" s="23"/>
      <c r="P114" s="9"/>
      <c r="Q114" s="16"/>
      <c r="R114" s="9"/>
    </row>
    <row r="115" spans="3:18" ht="12.75">
      <c r="C115" s="7"/>
      <c r="E115" s="16"/>
      <c r="F115" s="19"/>
      <c r="G115" s="16"/>
      <c r="H115" s="19"/>
      <c r="I115" s="13"/>
      <c r="J115" s="18"/>
      <c r="K115" s="16"/>
      <c r="L115" s="16"/>
      <c r="M115" s="16"/>
      <c r="N115" s="13"/>
      <c r="O115" s="23"/>
      <c r="P115" s="9"/>
      <c r="Q115" s="16"/>
      <c r="R115" s="9"/>
    </row>
    <row r="116" spans="3:18" ht="12.75">
      <c r="C116" s="7"/>
      <c r="E116" s="16"/>
      <c r="F116" s="19"/>
      <c r="G116" s="16"/>
      <c r="H116" s="19"/>
      <c r="I116" s="13"/>
      <c r="J116" s="18"/>
      <c r="K116" s="16"/>
      <c r="L116" s="16"/>
      <c r="M116" s="16"/>
      <c r="N116" s="13"/>
      <c r="O116" s="23"/>
      <c r="P116" s="9"/>
      <c r="Q116" s="16"/>
      <c r="R116" s="9"/>
    </row>
    <row r="117" spans="3:18" ht="12.75">
      <c r="C117" s="7"/>
      <c r="E117" s="16"/>
      <c r="F117" s="19"/>
      <c r="G117" s="16"/>
      <c r="H117" s="19"/>
      <c r="I117" s="13"/>
      <c r="J117" s="18"/>
      <c r="K117" s="16"/>
      <c r="L117" s="16"/>
      <c r="M117" s="16"/>
      <c r="N117" s="13"/>
      <c r="O117" s="23"/>
      <c r="P117" s="9"/>
      <c r="Q117" s="16"/>
      <c r="R117" s="9"/>
    </row>
    <row r="118" spans="5:17" ht="12.75">
      <c r="E118" s="19"/>
      <c r="G118" s="19"/>
      <c r="I118" s="20"/>
      <c r="J118" s="19"/>
      <c r="K118" s="16"/>
      <c r="L118" s="16"/>
      <c r="M118" s="16"/>
      <c r="N118" s="20"/>
      <c r="O118" s="18"/>
      <c r="Q118" s="19"/>
    </row>
    <row r="119" spans="5:18" ht="12.75">
      <c r="E119" s="19"/>
      <c r="F119" s="19"/>
      <c r="G119" s="19"/>
      <c r="H119" s="19"/>
      <c r="I119" s="20"/>
      <c r="J119" s="19"/>
      <c r="K119" s="16"/>
      <c r="L119" s="16"/>
      <c r="M119" s="16"/>
      <c r="N119" s="20"/>
      <c r="O119" s="19"/>
      <c r="P119" s="19"/>
      <c r="Q119" s="19"/>
      <c r="R119" s="19"/>
    </row>
    <row r="120" spans="5:18" ht="12.75">
      <c r="E120" s="19"/>
      <c r="F120" s="19"/>
      <c r="G120" s="19"/>
      <c r="H120" s="19"/>
      <c r="I120" s="20"/>
      <c r="J120" s="19"/>
      <c r="K120" s="16"/>
      <c r="L120" s="16"/>
      <c r="M120" s="16"/>
      <c r="N120" s="20"/>
      <c r="O120" s="19"/>
      <c r="P120" s="19"/>
      <c r="Q120" s="19"/>
      <c r="R120" s="19"/>
    </row>
    <row r="121" spans="5:18" ht="12.75">
      <c r="E121" s="19"/>
      <c r="F121" s="18"/>
      <c r="G121" s="19"/>
      <c r="H121" s="18"/>
      <c r="I121" s="22"/>
      <c r="J121" s="19"/>
      <c r="K121" s="23"/>
      <c r="L121" s="16"/>
      <c r="M121" s="23"/>
      <c r="N121" s="20"/>
      <c r="O121" s="19"/>
      <c r="P121" s="19"/>
      <c r="Q121" s="19"/>
      <c r="R121" s="19"/>
    </row>
    <row r="122" spans="3:18" ht="12.75">
      <c r="C122" s="9"/>
      <c r="D122" s="13"/>
      <c r="E122" s="16"/>
      <c r="F122" s="19"/>
      <c r="G122" s="16"/>
      <c r="H122" s="19"/>
      <c r="I122" s="13"/>
      <c r="J122" s="16"/>
      <c r="K122" s="16"/>
      <c r="L122" s="16"/>
      <c r="M122" s="16"/>
      <c r="N122" s="13"/>
      <c r="O122" s="19"/>
      <c r="P122" s="9"/>
      <c r="Q122" s="9"/>
      <c r="R122" s="9"/>
    </row>
    <row r="123" spans="3:18" ht="12.75">
      <c r="C123" s="9"/>
      <c r="D123" s="13"/>
      <c r="E123" s="19"/>
      <c r="G123" s="17"/>
      <c r="I123" s="13"/>
      <c r="J123" s="19"/>
      <c r="K123" s="9"/>
      <c r="L123" s="16"/>
      <c r="M123" s="9"/>
      <c r="N123" s="13"/>
      <c r="O123" s="19"/>
      <c r="P123" s="17"/>
      <c r="Q123" s="17"/>
      <c r="R123" s="17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23"/>
  <sheetViews>
    <sheetView workbookViewId="0" topLeftCell="A12">
      <selection activeCell="C2" sqref="C2"/>
    </sheetView>
  </sheetViews>
  <sheetFormatPr defaultColWidth="9.140625" defaultRowHeight="12.75"/>
  <cols>
    <col min="1" max="1" width="2.7109375" style="6" customWidth="1"/>
    <col min="2" max="2" width="25.8515625" style="6" customWidth="1"/>
    <col min="3" max="3" width="7.8515625" style="6" customWidth="1"/>
    <col min="4" max="4" width="5.00390625" style="7" customWidth="1"/>
    <col min="5" max="5" width="8.7109375" style="8" customWidth="1"/>
    <col min="6" max="6" width="7.7109375" style="9" customWidth="1"/>
    <col min="7" max="7" width="8.57421875" style="8" customWidth="1"/>
    <col min="8" max="8" width="7.7109375" style="9" customWidth="1"/>
    <col min="9" max="9" width="3.57421875" style="10" customWidth="1"/>
    <col min="10" max="10" width="7.00390625" style="8" customWidth="1"/>
    <col min="11" max="11" width="8.28125" style="8" customWidth="1"/>
    <col min="12" max="12" width="9.140625" style="8" customWidth="1"/>
    <col min="13" max="13" width="8.28125" style="8" customWidth="1"/>
    <col min="14" max="14" width="3.57421875" style="10" customWidth="1"/>
    <col min="15" max="15" width="7.8515625" style="8" customWidth="1"/>
    <col min="16" max="18" width="8.7109375" style="8" customWidth="1"/>
    <col min="19" max="19" width="7.421875" style="0" customWidth="1"/>
    <col min="20" max="31" width="10.8515625" style="0" customWidth="1"/>
    <col min="32" max="16384" width="10.8515625" style="6" customWidth="1"/>
  </cols>
  <sheetData>
    <row r="1" ht="12.75">
      <c r="A1" s="48" t="s">
        <v>68</v>
      </c>
    </row>
    <row r="2" ht="12.75">
      <c r="A2" s="6" t="s">
        <v>328</v>
      </c>
    </row>
    <row r="3" spans="1:3" ht="12.75">
      <c r="A3" s="6" t="s">
        <v>22</v>
      </c>
      <c r="C3" s="11" t="s">
        <v>136</v>
      </c>
    </row>
    <row r="4" spans="1:18" ht="12.75">
      <c r="A4" s="6" t="s">
        <v>23</v>
      </c>
      <c r="C4" s="11" t="s">
        <v>129</v>
      </c>
      <c r="E4" s="12"/>
      <c r="F4" s="13"/>
      <c r="G4" s="12"/>
      <c r="H4" s="13"/>
      <c r="J4" s="12"/>
      <c r="K4" s="12"/>
      <c r="L4" s="12"/>
      <c r="M4" s="12"/>
      <c r="O4" s="12"/>
      <c r="P4" s="12"/>
      <c r="Q4" s="12"/>
      <c r="R4" s="12"/>
    </row>
    <row r="5" spans="1:3" ht="12.75">
      <c r="A5" s="6" t="s">
        <v>24</v>
      </c>
      <c r="C5" s="11" t="s">
        <v>138</v>
      </c>
    </row>
    <row r="6" spans="3:17" ht="12.75">
      <c r="C6" s="7"/>
      <c r="E6" s="10"/>
      <c r="G6" s="10"/>
      <c r="J6" s="10"/>
      <c r="L6" s="10"/>
      <c r="O6" s="10"/>
      <c r="Q6" s="10"/>
    </row>
    <row r="7" spans="3:31" ht="12.75">
      <c r="C7" s="7" t="s">
        <v>25</v>
      </c>
      <c r="E7" s="14" t="s">
        <v>26</v>
      </c>
      <c r="F7" s="14"/>
      <c r="G7" s="14"/>
      <c r="H7" s="14"/>
      <c r="I7" s="15"/>
      <c r="J7" s="14" t="s">
        <v>27</v>
      </c>
      <c r="K7" s="14"/>
      <c r="L7" s="14"/>
      <c r="M7" s="14"/>
      <c r="N7" s="15"/>
      <c r="O7" s="14" t="s">
        <v>28</v>
      </c>
      <c r="P7" s="14"/>
      <c r="Q7" s="14"/>
      <c r="R7" s="1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3:31" ht="12.75">
      <c r="C8" s="7" t="s">
        <v>29</v>
      </c>
      <c r="E8" s="10" t="s">
        <v>30</v>
      </c>
      <c r="F8" s="13" t="s">
        <v>31</v>
      </c>
      <c r="G8" s="10" t="s">
        <v>30</v>
      </c>
      <c r="H8" s="13" t="s">
        <v>31</v>
      </c>
      <c r="J8" s="10" t="s">
        <v>30</v>
      </c>
      <c r="K8" s="10" t="s">
        <v>32</v>
      </c>
      <c r="L8" s="10" t="s">
        <v>30</v>
      </c>
      <c r="M8" s="10" t="s">
        <v>32</v>
      </c>
      <c r="O8" s="10" t="s">
        <v>30</v>
      </c>
      <c r="P8" s="10" t="s">
        <v>32</v>
      </c>
      <c r="Q8" s="10" t="s">
        <v>30</v>
      </c>
      <c r="R8" s="10" t="s">
        <v>32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3:31" ht="12.75">
      <c r="C9" s="7"/>
      <c r="E9" s="10" t="s">
        <v>216</v>
      </c>
      <c r="F9" s="10" t="s">
        <v>216</v>
      </c>
      <c r="G9" s="10" t="s">
        <v>59</v>
      </c>
      <c r="H9" s="13" t="s">
        <v>59</v>
      </c>
      <c r="J9" s="10" t="s">
        <v>216</v>
      </c>
      <c r="K9" s="10" t="s">
        <v>216</v>
      </c>
      <c r="L9" s="10" t="s">
        <v>59</v>
      </c>
      <c r="M9" s="13" t="s">
        <v>59</v>
      </c>
      <c r="O9" s="10" t="s">
        <v>216</v>
      </c>
      <c r="P9" s="10" t="s">
        <v>216</v>
      </c>
      <c r="Q9" s="10" t="s">
        <v>59</v>
      </c>
      <c r="R9" s="13" t="s">
        <v>59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15" ht="13.5" customHeight="1">
      <c r="A10" s="6" t="s">
        <v>33</v>
      </c>
      <c r="O10" s="16"/>
    </row>
    <row r="11" spans="2:18" ht="12.75">
      <c r="B11" s="6" t="s">
        <v>34</v>
      </c>
      <c r="C11" s="7">
        <v>1</v>
      </c>
      <c r="D11"/>
      <c r="E11">
        <v>0.04</v>
      </c>
      <c r="F11" s="9">
        <f aca="true" t="shared" si="0" ref="F11:H21">IF(E11="","",E11*$C11)</f>
        <v>0.04</v>
      </c>
      <c r="G11" s="17">
        <f aca="true" t="shared" si="1" ref="G11:G21">IF(E11=0,"",IF(D11="nd",E11/2,E11))</f>
        <v>0.04</v>
      </c>
      <c r="H11" s="9">
        <f t="shared" si="0"/>
        <v>0.04</v>
      </c>
      <c r="I11"/>
      <c r="J11">
        <v>0.075</v>
      </c>
      <c r="K11" s="9">
        <f aca="true" t="shared" si="2" ref="K11:M21">IF(J11="","",J11*$C11)</f>
        <v>0.075</v>
      </c>
      <c r="L11" s="17">
        <f>IF(J11=0,"",IF(I11="nd",J11/2,J11))</f>
        <v>0.075</v>
      </c>
      <c r="M11" s="9">
        <f t="shared" si="2"/>
        <v>0.075</v>
      </c>
      <c r="N11"/>
      <c r="O11">
        <v>0.11</v>
      </c>
      <c r="P11" s="9">
        <f aca="true" t="shared" si="3" ref="P11:R21">IF(O11="","",O11*$C11)</f>
        <v>0.11</v>
      </c>
      <c r="Q11" s="17">
        <f>IF(O11=0,"",IF(N11="nd",O11/2,O11))</f>
        <v>0.11</v>
      </c>
      <c r="R11" s="9">
        <f t="shared" si="3"/>
        <v>0.11</v>
      </c>
    </row>
    <row r="12" spans="2:18" ht="12.75">
      <c r="B12" s="6" t="s">
        <v>35</v>
      </c>
      <c r="C12" s="7">
        <v>0.5</v>
      </c>
      <c r="D12"/>
      <c r="E12">
        <v>0.12</v>
      </c>
      <c r="F12" s="9">
        <f t="shared" si="0"/>
        <v>0.06</v>
      </c>
      <c r="G12" s="17">
        <f t="shared" si="1"/>
        <v>0.12</v>
      </c>
      <c r="H12" s="9">
        <f t="shared" si="0"/>
        <v>0.06</v>
      </c>
      <c r="I12"/>
      <c r="J12">
        <v>0.2</v>
      </c>
      <c r="K12" s="9">
        <f t="shared" si="2"/>
        <v>0.1</v>
      </c>
      <c r="L12" s="17">
        <f aca="true" t="shared" si="4" ref="L12:L21">IF(J12=0,"",IF(I12="nd",J12/2,J12))</f>
        <v>0.2</v>
      </c>
      <c r="M12" s="9">
        <f t="shared" si="2"/>
        <v>0.1</v>
      </c>
      <c r="N12"/>
      <c r="O12">
        <v>0.3</v>
      </c>
      <c r="P12" s="9">
        <f t="shared" si="3"/>
        <v>0.15</v>
      </c>
      <c r="Q12" s="17">
        <f aca="true" t="shared" si="5" ref="Q12:Q21">IF(O12=0,"",IF(N12="nd",O12/2,O12))</f>
        <v>0.3</v>
      </c>
      <c r="R12" s="9">
        <f t="shared" si="3"/>
        <v>0.15</v>
      </c>
    </row>
    <row r="13" spans="2:18" ht="12.75">
      <c r="B13" s="6" t="s">
        <v>36</v>
      </c>
      <c r="C13" s="7">
        <v>0.1</v>
      </c>
      <c r="D13"/>
      <c r="E13">
        <v>0.86</v>
      </c>
      <c r="F13" s="9">
        <f t="shared" si="0"/>
        <v>0.08600000000000001</v>
      </c>
      <c r="G13" s="17">
        <f t="shared" si="1"/>
        <v>0.86</v>
      </c>
      <c r="H13" s="9">
        <f t="shared" si="0"/>
        <v>0.08600000000000001</v>
      </c>
      <c r="I13"/>
      <c r="J13">
        <v>1.48</v>
      </c>
      <c r="K13" s="9">
        <f t="shared" si="2"/>
        <v>0.148</v>
      </c>
      <c r="L13" s="17">
        <f t="shared" si="4"/>
        <v>1.48</v>
      </c>
      <c r="M13" s="9">
        <f t="shared" si="2"/>
        <v>0.148</v>
      </c>
      <c r="N13"/>
      <c r="O13">
        <v>2.9</v>
      </c>
      <c r="P13" s="9">
        <f t="shared" si="3"/>
        <v>0.29</v>
      </c>
      <c r="Q13" s="17">
        <f t="shared" si="5"/>
        <v>2.9</v>
      </c>
      <c r="R13" s="9">
        <f t="shared" si="3"/>
        <v>0.29</v>
      </c>
    </row>
    <row r="14" spans="2:18" ht="12.75">
      <c r="B14" s="6" t="s">
        <v>37</v>
      </c>
      <c r="C14" s="7">
        <v>0.01</v>
      </c>
      <c r="D14"/>
      <c r="E14">
        <v>2.53</v>
      </c>
      <c r="F14" s="9">
        <f t="shared" si="0"/>
        <v>0.0253</v>
      </c>
      <c r="G14" s="17">
        <f t="shared" si="1"/>
        <v>2.53</v>
      </c>
      <c r="H14" s="9">
        <f t="shared" si="0"/>
        <v>0.0253</v>
      </c>
      <c r="I14"/>
      <c r="J14">
        <v>5.13</v>
      </c>
      <c r="K14" s="9">
        <f t="shared" si="2"/>
        <v>0.0513</v>
      </c>
      <c r="L14" s="17">
        <f t="shared" si="4"/>
        <v>5.13</v>
      </c>
      <c r="M14" s="9">
        <f t="shared" si="2"/>
        <v>0.0513</v>
      </c>
      <c r="N14"/>
      <c r="O14">
        <v>8.96</v>
      </c>
      <c r="P14" s="9">
        <f t="shared" si="3"/>
        <v>0.08960000000000001</v>
      </c>
      <c r="Q14" s="17">
        <f t="shared" si="5"/>
        <v>8.96</v>
      </c>
      <c r="R14" s="9">
        <f t="shared" si="3"/>
        <v>0.08960000000000001</v>
      </c>
    </row>
    <row r="15" spans="2:18" ht="12.75">
      <c r="B15" s="6" t="s">
        <v>38</v>
      </c>
      <c r="C15" s="7">
        <v>0.001</v>
      </c>
      <c r="D15"/>
      <c r="E15">
        <v>2</v>
      </c>
      <c r="F15" s="9">
        <f t="shared" si="0"/>
        <v>0.002</v>
      </c>
      <c r="G15" s="17">
        <f t="shared" si="1"/>
        <v>2</v>
      </c>
      <c r="H15" s="9">
        <f t="shared" si="0"/>
        <v>0.002</v>
      </c>
      <c r="I15"/>
      <c r="J15">
        <v>2.47</v>
      </c>
      <c r="K15" s="9">
        <f t="shared" si="2"/>
        <v>0.0024700000000000004</v>
      </c>
      <c r="L15" s="17">
        <f t="shared" si="4"/>
        <v>2.47</v>
      </c>
      <c r="M15" s="9">
        <f t="shared" si="2"/>
        <v>0.0024700000000000004</v>
      </c>
      <c r="N15"/>
      <c r="O15">
        <v>3.01</v>
      </c>
      <c r="P15" s="9">
        <f t="shared" si="3"/>
        <v>0.0030099999999999997</v>
      </c>
      <c r="Q15" s="17">
        <f t="shared" si="5"/>
        <v>3.01</v>
      </c>
      <c r="R15" s="9">
        <f t="shared" si="3"/>
        <v>0.0030099999999999997</v>
      </c>
    </row>
    <row r="16" spans="2:18" ht="12.75">
      <c r="B16" s="6" t="s">
        <v>39</v>
      </c>
      <c r="C16" s="7">
        <v>0.1</v>
      </c>
      <c r="D16"/>
      <c r="E16">
        <v>0.77</v>
      </c>
      <c r="F16" s="9">
        <f t="shared" si="0"/>
        <v>0.07700000000000001</v>
      </c>
      <c r="G16" s="17">
        <f t="shared" si="1"/>
        <v>0.77</v>
      </c>
      <c r="H16" s="9">
        <f t="shared" si="0"/>
        <v>0.07700000000000001</v>
      </c>
      <c r="I16"/>
      <c r="J16">
        <v>3.21</v>
      </c>
      <c r="K16" s="9">
        <f t="shared" si="2"/>
        <v>0.321</v>
      </c>
      <c r="L16" s="17">
        <f t="shared" si="4"/>
        <v>3.21</v>
      </c>
      <c r="M16" s="9">
        <f t="shared" si="2"/>
        <v>0.321</v>
      </c>
      <c r="N16"/>
      <c r="O16">
        <v>4.7</v>
      </c>
      <c r="P16" s="9">
        <f t="shared" si="3"/>
        <v>0.47000000000000003</v>
      </c>
      <c r="Q16" s="17">
        <f t="shared" si="5"/>
        <v>4.7</v>
      </c>
      <c r="R16" s="9">
        <f t="shared" si="3"/>
        <v>0.47000000000000003</v>
      </c>
    </row>
    <row r="17" spans="2:18" ht="12.75">
      <c r="B17" s="6" t="s">
        <v>40</v>
      </c>
      <c r="C17" s="7">
        <v>0.05</v>
      </c>
      <c r="D17"/>
      <c r="E17">
        <v>0.31</v>
      </c>
      <c r="F17" s="9">
        <f t="shared" si="0"/>
        <v>0.0155</v>
      </c>
      <c r="G17" s="17">
        <f t="shared" si="1"/>
        <v>0.31</v>
      </c>
      <c r="H17" s="9">
        <f t="shared" si="0"/>
        <v>0.0155</v>
      </c>
      <c r="I17"/>
      <c r="J17">
        <v>1.8</v>
      </c>
      <c r="K17" s="9">
        <f t="shared" si="2"/>
        <v>0.09000000000000001</v>
      </c>
      <c r="L17" s="17">
        <f t="shared" si="4"/>
        <v>1.8</v>
      </c>
      <c r="M17" s="9">
        <f t="shared" si="2"/>
        <v>0.09000000000000001</v>
      </c>
      <c r="N17"/>
      <c r="O17">
        <v>2.81</v>
      </c>
      <c r="P17" s="9">
        <f t="shared" si="3"/>
        <v>0.1405</v>
      </c>
      <c r="Q17" s="17">
        <f t="shared" si="5"/>
        <v>2.81</v>
      </c>
      <c r="R17" s="9">
        <f t="shared" si="3"/>
        <v>0.1405</v>
      </c>
    </row>
    <row r="18" spans="2:18" ht="12.75">
      <c r="B18" s="6" t="s">
        <v>41</v>
      </c>
      <c r="C18" s="7">
        <v>0.5</v>
      </c>
      <c r="D18"/>
      <c r="E18">
        <v>0.64</v>
      </c>
      <c r="F18" s="9">
        <f t="shared" si="0"/>
        <v>0.32</v>
      </c>
      <c r="G18" s="17">
        <f t="shared" si="1"/>
        <v>0.64</v>
      </c>
      <c r="H18" s="9">
        <f t="shared" si="0"/>
        <v>0.32</v>
      </c>
      <c r="I18"/>
      <c r="J18">
        <v>2.53</v>
      </c>
      <c r="K18" s="9">
        <f t="shared" si="2"/>
        <v>1.265</v>
      </c>
      <c r="L18" s="17">
        <f t="shared" si="4"/>
        <v>2.53</v>
      </c>
      <c r="M18" s="9">
        <f t="shared" si="2"/>
        <v>1.265</v>
      </c>
      <c r="N18"/>
      <c r="O18">
        <v>5.03</v>
      </c>
      <c r="P18" s="9">
        <f t="shared" si="3"/>
        <v>2.515</v>
      </c>
      <c r="Q18" s="17">
        <f t="shared" si="5"/>
        <v>5.03</v>
      </c>
      <c r="R18" s="9">
        <f t="shared" si="3"/>
        <v>2.515</v>
      </c>
    </row>
    <row r="19" spans="2:18" ht="12.75">
      <c r="B19" s="6" t="s">
        <v>329</v>
      </c>
      <c r="C19" s="7">
        <v>0.1</v>
      </c>
      <c r="D19"/>
      <c r="E19">
        <v>1.32</v>
      </c>
      <c r="F19" s="9">
        <f t="shared" si="0"/>
        <v>0.132</v>
      </c>
      <c r="G19" s="17">
        <f t="shared" si="1"/>
        <v>1.32</v>
      </c>
      <c r="H19" s="9">
        <f t="shared" si="0"/>
        <v>0.132</v>
      </c>
      <c r="I19"/>
      <c r="J19">
        <v>3.66</v>
      </c>
      <c r="K19" s="9">
        <f t="shared" si="2"/>
        <v>0.36600000000000005</v>
      </c>
      <c r="L19" s="17">
        <f t="shared" si="4"/>
        <v>3.66</v>
      </c>
      <c r="M19" s="9">
        <f t="shared" si="2"/>
        <v>0.36600000000000005</v>
      </c>
      <c r="N19"/>
      <c r="O19">
        <v>7.94</v>
      </c>
      <c r="P19" s="9">
        <f t="shared" si="3"/>
        <v>0.794</v>
      </c>
      <c r="Q19" s="17">
        <f t="shared" si="5"/>
        <v>7.94</v>
      </c>
      <c r="R19" s="9">
        <f t="shared" si="3"/>
        <v>0.794</v>
      </c>
    </row>
    <row r="20" spans="2:18" ht="12.75">
      <c r="B20" s="6" t="s">
        <v>43</v>
      </c>
      <c r="C20" s="7">
        <v>0.01</v>
      </c>
      <c r="D20"/>
      <c r="E20">
        <v>0.63</v>
      </c>
      <c r="F20" s="9">
        <f t="shared" si="0"/>
        <v>0.0063</v>
      </c>
      <c r="G20" s="17">
        <f t="shared" si="1"/>
        <v>0.63</v>
      </c>
      <c r="H20" s="9">
        <f t="shared" si="0"/>
        <v>0.0063</v>
      </c>
      <c r="I20"/>
      <c r="J20">
        <v>1.12</v>
      </c>
      <c r="K20" s="9">
        <f t="shared" si="2"/>
        <v>0.011200000000000002</v>
      </c>
      <c r="L20" s="17">
        <f t="shared" si="4"/>
        <v>1.12</v>
      </c>
      <c r="M20" s="9">
        <f t="shared" si="2"/>
        <v>0.011200000000000002</v>
      </c>
      <c r="N20"/>
      <c r="O20">
        <v>1.78</v>
      </c>
      <c r="P20" s="9">
        <f t="shared" si="3"/>
        <v>0.0178</v>
      </c>
      <c r="Q20" s="17">
        <f t="shared" si="5"/>
        <v>1.78</v>
      </c>
      <c r="R20" s="9">
        <f t="shared" si="3"/>
        <v>0.0178</v>
      </c>
    </row>
    <row r="21" spans="2:18" ht="12.75">
      <c r="B21" s="6" t="s">
        <v>44</v>
      </c>
      <c r="C21" s="7">
        <v>0.001</v>
      </c>
      <c r="D21"/>
      <c r="E21">
        <v>0.19</v>
      </c>
      <c r="F21" s="9">
        <f t="shared" si="0"/>
        <v>0.00019</v>
      </c>
      <c r="G21" s="17">
        <f t="shared" si="1"/>
        <v>0.19</v>
      </c>
      <c r="H21" s="9">
        <f t="shared" si="0"/>
        <v>0.00019</v>
      </c>
      <c r="I21"/>
      <c r="J21">
        <v>0.27</v>
      </c>
      <c r="K21" s="9">
        <f t="shared" si="2"/>
        <v>0.00027</v>
      </c>
      <c r="L21" s="17">
        <f t="shared" si="4"/>
        <v>0.27</v>
      </c>
      <c r="M21" s="9">
        <f t="shared" si="2"/>
        <v>0.00027</v>
      </c>
      <c r="N21"/>
      <c r="O21">
        <v>0.4</v>
      </c>
      <c r="P21" s="9">
        <f t="shared" si="3"/>
        <v>0.0004</v>
      </c>
      <c r="Q21" s="17">
        <f t="shared" si="5"/>
        <v>0.4</v>
      </c>
      <c r="R21" s="9">
        <f t="shared" si="3"/>
        <v>0.0004</v>
      </c>
    </row>
    <row r="22" spans="5:17" ht="12.75">
      <c r="E22" s="19"/>
      <c r="G22" s="19"/>
      <c r="I22" s="20"/>
      <c r="J22" s="18"/>
      <c r="K22" s="16"/>
      <c r="L22" s="16"/>
      <c r="M22" s="16"/>
      <c r="N22" s="20"/>
      <c r="O22" s="18"/>
      <c r="Q22" s="19"/>
    </row>
    <row r="23" spans="2:18" ht="12.75">
      <c r="B23" s="6" t="s">
        <v>45</v>
      </c>
      <c r="E23" s="19"/>
      <c r="F23" s="19">
        <v>74.54</v>
      </c>
      <c r="G23" s="19">
        <v>74.54</v>
      </c>
      <c r="H23" s="19">
        <v>74.54</v>
      </c>
      <c r="I23" s="20"/>
      <c r="J23" s="19"/>
      <c r="K23" s="19">
        <v>80.23</v>
      </c>
      <c r="L23" s="19">
        <v>80.23</v>
      </c>
      <c r="M23" s="19">
        <v>80.23</v>
      </c>
      <c r="N23" s="20"/>
      <c r="O23" s="19"/>
      <c r="P23" s="19">
        <v>76.21</v>
      </c>
      <c r="Q23" s="19">
        <v>76.21</v>
      </c>
      <c r="R23" s="19">
        <v>76.21</v>
      </c>
    </row>
    <row r="24" spans="2:18" ht="12.75">
      <c r="B24" s="6" t="s">
        <v>46</v>
      </c>
      <c r="E24" s="19"/>
      <c r="F24" s="19">
        <v>8.4</v>
      </c>
      <c r="G24" s="19">
        <v>8.4</v>
      </c>
      <c r="H24" s="19">
        <v>8.4</v>
      </c>
      <c r="I24" s="20"/>
      <c r="J24" s="19"/>
      <c r="K24" s="16">
        <v>9.4</v>
      </c>
      <c r="L24" s="16">
        <v>9.4</v>
      </c>
      <c r="M24" s="16">
        <v>9.4</v>
      </c>
      <c r="N24" s="20"/>
      <c r="O24" s="19"/>
      <c r="P24" s="19">
        <v>9</v>
      </c>
      <c r="Q24" s="16">
        <v>9</v>
      </c>
      <c r="R24" s="19">
        <v>9</v>
      </c>
    </row>
    <row r="25" spans="5:18" ht="12.75">
      <c r="E25" s="19"/>
      <c r="F25" s="21"/>
      <c r="G25" s="19"/>
      <c r="H25" s="21"/>
      <c r="I25" s="22"/>
      <c r="J25" s="19"/>
      <c r="K25" s="23"/>
      <c r="L25" s="16"/>
      <c r="M25" s="23"/>
      <c r="N25" s="20"/>
      <c r="O25" s="19"/>
      <c r="P25" s="19"/>
      <c r="Q25" s="19"/>
      <c r="R25" s="19"/>
    </row>
    <row r="26" spans="2:18" ht="12.75">
      <c r="B26" s="6" t="s">
        <v>47</v>
      </c>
      <c r="C26" s="9"/>
      <c r="D26" s="13"/>
      <c r="E26" s="16"/>
      <c r="F26" s="17">
        <f>SUM(F11:F21)</f>
        <v>0.76429</v>
      </c>
      <c r="G26" s="17"/>
      <c r="H26" s="17">
        <f>SUM(H11:H21)</f>
        <v>0.76429</v>
      </c>
      <c r="I26" s="13"/>
      <c r="J26" s="16"/>
      <c r="K26" s="17">
        <f>SUM(K11:K21)</f>
        <v>2.43024</v>
      </c>
      <c r="L26" s="17"/>
      <c r="M26" s="17">
        <f>SUM(M11:M21)</f>
        <v>2.43024</v>
      </c>
      <c r="N26" s="13"/>
      <c r="O26" s="19"/>
      <c r="P26" s="17">
        <f>SUM(P11:P21)</f>
        <v>4.580310000000001</v>
      </c>
      <c r="Q26" s="17"/>
      <c r="R26" s="17">
        <f>SUM(R11:R21)</f>
        <v>4.580310000000001</v>
      </c>
    </row>
    <row r="27" spans="2:18" ht="12.75">
      <c r="B27" s="6" t="s">
        <v>48</v>
      </c>
      <c r="C27" s="9"/>
      <c r="D27" s="16">
        <f>(F27-H27)*2/F27*100</f>
        <v>0</v>
      </c>
      <c r="E27" s="19"/>
      <c r="F27" s="17">
        <f>(F26/F23/0.0283*(21-7)/(21-F24))</f>
        <v>0.4025685505309413</v>
      </c>
      <c r="G27" s="17"/>
      <c r="H27" s="17">
        <f>(H26/H23/0.0283*(21-7)/(21-H24))</f>
        <v>0.4025685505309413</v>
      </c>
      <c r="I27" s="16">
        <f>(K27-M27)*2/K27*100</f>
        <v>0</v>
      </c>
      <c r="J27" s="19"/>
      <c r="K27" s="17">
        <f>(K26/K23/0.0283*(21-7)/(21-K24))</f>
        <v>1.2918020918930817</v>
      </c>
      <c r="L27" s="17"/>
      <c r="M27" s="17">
        <f>(M26/M23/0.0283*(21-7)/(21-M24))</f>
        <v>1.2918020918930817</v>
      </c>
      <c r="N27" s="16">
        <f>(P27-R27)*2/P27*100</f>
        <v>0</v>
      </c>
      <c r="O27" s="19"/>
      <c r="P27" s="17">
        <f>(P26/P23/0.0283*(21-7)/(21-P24))</f>
        <v>2.4776688738528434</v>
      </c>
      <c r="Q27" s="17"/>
      <c r="R27" s="17">
        <f>(R26/R23/0.0283*(21-7)/(21-R24))</f>
        <v>2.4776688738528434</v>
      </c>
    </row>
    <row r="28" spans="5:17" ht="12.75">
      <c r="E28" s="17"/>
      <c r="G28" s="17"/>
      <c r="I28" s="24"/>
      <c r="J28" s="17"/>
      <c r="K28" s="17"/>
      <c r="L28" s="17"/>
      <c r="M28" s="17"/>
      <c r="N28" s="24"/>
      <c r="O28" s="17"/>
      <c r="Q28" s="17"/>
    </row>
    <row r="29" spans="2:31" s="19" customFormat="1" ht="12.75">
      <c r="B29" s="19" t="s">
        <v>60</v>
      </c>
      <c r="C29" s="17">
        <f>AVERAGE(H27,M27,R27)</f>
        <v>1.3906798387589554</v>
      </c>
      <c r="D29" s="20"/>
      <c r="F29" s="9"/>
      <c r="H29" s="9"/>
      <c r="I29" s="20"/>
      <c r="N29" s="20"/>
      <c r="P29" s="8"/>
      <c r="R29" s="8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5:18" ht="12.75">
      <c r="E30" s="6"/>
      <c r="G30" s="6"/>
      <c r="I30" s="7"/>
      <c r="J30" s="6"/>
      <c r="K30" s="6"/>
      <c r="L30" s="6"/>
      <c r="M30" s="6"/>
      <c r="N30" s="7"/>
      <c r="O30" s="6"/>
      <c r="P30" s="6"/>
      <c r="Q30" s="6"/>
      <c r="R30" s="6"/>
    </row>
    <row r="31" spans="5:18" ht="12.75">
      <c r="E31" s="6"/>
      <c r="G31" s="6"/>
      <c r="I31" s="7"/>
      <c r="J31" s="6"/>
      <c r="K31" s="6"/>
      <c r="L31" s="6"/>
      <c r="M31" s="6"/>
      <c r="N31" s="7"/>
      <c r="O31" s="6"/>
      <c r="P31" s="6"/>
      <c r="Q31" s="6"/>
      <c r="R31" s="6"/>
    </row>
    <row r="32" spans="5:18" ht="12.75">
      <c r="E32" s="6"/>
      <c r="G32" s="6"/>
      <c r="I32" s="7"/>
      <c r="J32" s="6"/>
      <c r="K32" s="6"/>
      <c r="L32" s="6"/>
      <c r="M32" s="6"/>
      <c r="N32" s="7"/>
      <c r="O32" s="6"/>
      <c r="P32" s="6"/>
      <c r="Q32" s="6"/>
      <c r="R32" s="6"/>
    </row>
    <row r="33" spans="9:18" ht="12.75">
      <c r="I33" s="7"/>
      <c r="J33" s="6"/>
      <c r="K33" s="6"/>
      <c r="L33" s="6"/>
      <c r="M33" s="6"/>
      <c r="N33" s="7"/>
      <c r="O33" s="6"/>
      <c r="P33" s="6"/>
      <c r="Q33" s="6"/>
      <c r="R33" s="6"/>
    </row>
    <row r="34" spans="5:18" ht="12.75">
      <c r="E34" s="7"/>
      <c r="G34" s="12"/>
      <c r="I34" s="7"/>
      <c r="J34" s="6"/>
      <c r="K34" s="6"/>
      <c r="L34" s="6"/>
      <c r="M34" s="6"/>
      <c r="N34" s="7"/>
      <c r="O34" s="6"/>
      <c r="P34" s="6"/>
      <c r="Q34" s="6"/>
      <c r="R34" s="6"/>
    </row>
    <row r="35" spans="5:18" ht="12.75">
      <c r="E35" s="11"/>
      <c r="F35" s="25"/>
      <c r="G35" s="11"/>
      <c r="H35" s="25"/>
      <c r="I35" s="7"/>
      <c r="J35" s="6"/>
      <c r="K35" s="6"/>
      <c r="L35" s="6"/>
      <c r="M35" s="6"/>
      <c r="N35" s="7"/>
      <c r="O35" s="6"/>
      <c r="P35" s="6"/>
      <c r="Q35" s="6"/>
      <c r="R35" s="6"/>
    </row>
    <row r="36" spans="5:18" ht="12.75">
      <c r="E36" s="6"/>
      <c r="G36" s="6"/>
      <c r="I36" s="7"/>
      <c r="J36" s="6"/>
      <c r="K36" s="6"/>
      <c r="L36" s="6"/>
      <c r="M36" s="6"/>
      <c r="N36" s="7"/>
      <c r="O36" s="6"/>
      <c r="P36" s="6"/>
      <c r="Q36" s="6"/>
      <c r="R36" s="6"/>
    </row>
    <row r="37" spans="5:18" ht="12.75">
      <c r="E37" s="6"/>
      <c r="G37" s="6"/>
      <c r="I37" s="7"/>
      <c r="J37" s="6"/>
      <c r="K37" s="6"/>
      <c r="L37" s="6"/>
      <c r="M37" s="6"/>
      <c r="N37" s="7"/>
      <c r="O37" s="6"/>
      <c r="P37" s="6"/>
      <c r="Q37" s="6"/>
      <c r="R37" s="6"/>
    </row>
    <row r="38" spans="3:18" ht="12.75">
      <c r="C38" s="7"/>
      <c r="E38" s="14"/>
      <c r="F38" s="26"/>
      <c r="G38" s="14"/>
      <c r="H38" s="26"/>
      <c r="I38" s="15"/>
      <c r="J38" s="14"/>
      <c r="K38" s="14"/>
      <c r="L38" s="14"/>
      <c r="M38" s="14"/>
      <c r="N38" s="15"/>
      <c r="O38" s="14"/>
      <c r="P38" s="14"/>
      <c r="Q38" s="14"/>
      <c r="R38" s="14"/>
    </row>
    <row r="39" spans="3:18" ht="12.75">
      <c r="C39" s="7"/>
      <c r="E39" s="10"/>
      <c r="F39" s="13"/>
      <c r="G39" s="10"/>
      <c r="H39" s="13"/>
      <c r="J39" s="10"/>
      <c r="K39" s="10"/>
      <c r="L39" s="10"/>
      <c r="M39" s="10"/>
      <c r="O39" s="10"/>
      <c r="P39" s="10"/>
      <c r="Q39" s="10"/>
      <c r="R39" s="10"/>
    </row>
    <row r="40" spans="3:18" ht="12.75">
      <c r="C40" s="7"/>
      <c r="E40" s="10"/>
      <c r="G40" s="10"/>
      <c r="J40" s="10"/>
      <c r="K40" s="9"/>
      <c r="L40" s="10"/>
      <c r="M40" s="9"/>
      <c r="O40" s="10"/>
      <c r="P40" s="9"/>
      <c r="Q40" s="10"/>
      <c r="R40" s="9"/>
    </row>
    <row r="41" ht="12.75">
      <c r="O41" s="16"/>
    </row>
    <row r="42" spans="3:18" ht="12.75">
      <c r="C42" s="7"/>
      <c r="E42" s="16"/>
      <c r="G42" s="16"/>
      <c r="I42" s="13"/>
      <c r="J42" s="18"/>
      <c r="K42" s="16"/>
      <c r="L42" s="16"/>
      <c r="M42" s="16"/>
      <c r="N42" s="13"/>
      <c r="O42" s="16"/>
      <c r="P42" s="9">
        <f aca="true" t="shared" si="6" ref="P42:R66">IF(O42="","",O42*$C42)</f>
      </c>
      <c r="Q42" s="16"/>
      <c r="R42" s="9">
        <f t="shared" si="6"/>
      </c>
    </row>
    <row r="43" spans="3:18" ht="12.75">
      <c r="C43" s="7"/>
      <c r="E43" s="16"/>
      <c r="G43" s="16"/>
      <c r="I43" s="13"/>
      <c r="J43" s="18"/>
      <c r="K43" s="16"/>
      <c r="L43" s="16"/>
      <c r="M43" s="16"/>
      <c r="N43" s="13"/>
      <c r="O43" s="23"/>
      <c r="P43" s="9">
        <f t="shared" si="6"/>
      </c>
      <c r="Q43" s="16"/>
      <c r="R43" s="9">
        <f t="shared" si="6"/>
      </c>
    </row>
    <row r="44" spans="3:18" ht="12.75">
      <c r="C44" s="7"/>
      <c r="E44" s="16"/>
      <c r="G44" s="16"/>
      <c r="I44" s="13"/>
      <c r="J44" s="18"/>
      <c r="K44" s="16"/>
      <c r="L44" s="16"/>
      <c r="M44" s="16"/>
      <c r="N44" s="13"/>
      <c r="O44" s="23"/>
      <c r="P44" s="9">
        <f t="shared" si="6"/>
      </c>
      <c r="Q44" s="16"/>
      <c r="R44" s="9">
        <f t="shared" si="6"/>
      </c>
    </row>
    <row r="45" spans="3:18" ht="12.75">
      <c r="C45" s="7"/>
      <c r="E45" s="16"/>
      <c r="G45" s="16"/>
      <c r="I45" s="13"/>
      <c r="J45" s="18"/>
      <c r="K45" s="16"/>
      <c r="L45" s="16"/>
      <c r="M45" s="16"/>
      <c r="N45" s="13"/>
      <c r="O45" s="23"/>
      <c r="P45" s="9">
        <f t="shared" si="6"/>
      </c>
      <c r="Q45" s="16"/>
      <c r="R45" s="9">
        <f t="shared" si="6"/>
      </c>
    </row>
    <row r="46" spans="3:18" ht="12.75">
      <c r="C46" s="7"/>
      <c r="E46" s="16"/>
      <c r="G46" s="16"/>
      <c r="I46" s="13"/>
      <c r="J46" s="18"/>
      <c r="K46" s="16"/>
      <c r="L46" s="16"/>
      <c r="M46" s="16"/>
      <c r="N46" s="13"/>
      <c r="O46" s="23"/>
      <c r="P46" s="9">
        <f t="shared" si="6"/>
      </c>
      <c r="Q46" s="16"/>
      <c r="R46" s="9">
        <f t="shared" si="6"/>
      </c>
    </row>
    <row r="47" spans="3:18" ht="12.75">
      <c r="C47" s="7"/>
      <c r="E47" s="16"/>
      <c r="G47" s="16"/>
      <c r="I47" s="13"/>
      <c r="J47" s="18"/>
      <c r="K47" s="16"/>
      <c r="L47" s="16"/>
      <c r="M47" s="16"/>
      <c r="N47" s="13"/>
      <c r="O47" s="23"/>
      <c r="P47" s="9">
        <f t="shared" si="6"/>
      </c>
      <c r="Q47" s="16"/>
      <c r="R47" s="9">
        <f t="shared" si="6"/>
      </c>
    </row>
    <row r="48" spans="3:18" ht="12.75">
      <c r="C48" s="7"/>
      <c r="E48" s="16"/>
      <c r="G48" s="16"/>
      <c r="I48" s="13"/>
      <c r="J48" s="18"/>
      <c r="K48" s="16"/>
      <c r="L48" s="16"/>
      <c r="M48" s="16"/>
      <c r="N48" s="13"/>
      <c r="O48" s="23"/>
      <c r="P48" s="9">
        <f t="shared" si="6"/>
      </c>
      <c r="Q48" s="16"/>
      <c r="R48" s="9">
        <f t="shared" si="6"/>
      </c>
    </row>
    <row r="49" spans="3:18" ht="12.75">
      <c r="C49" s="7"/>
      <c r="E49" s="16"/>
      <c r="G49" s="16"/>
      <c r="I49" s="13"/>
      <c r="J49" s="18"/>
      <c r="K49" s="16"/>
      <c r="L49" s="16"/>
      <c r="M49" s="16"/>
      <c r="N49" s="13"/>
      <c r="O49" s="23"/>
      <c r="P49" s="9">
        <f t="shared" si="6"/>
      </c>
      <c r="Q49" s="16"/>
      <c r="R49" s="9">
        <f t="shared" si="6"/>
      </c>
    </row>
    <row r="50" spans="3:18" ht="12.75">
      <c r="C50" s="7"/>
      <c r="E50" s="16"/>
      <c r="G50" s="16"/>
      <c r="I50" s="13"/>
      <c r="J50" s="18"/>
      <c r="K50" s="16"/>
      <c r="L50" s="16"/>
      <c r="M50" s="16"/>
      <c r="N50" s="13"/>
      <c r="O50" s="23"/>
      <c r="P50" s="9">
        <f t="shared" si="6"/>
      </c>
      <c r="Q50" s="16"/>
      <c r="R50" s="9">
        <f t="shared" si="6"/>
      </c>
    </row>
    <row r="51" spans="3:18" ht="12.75">
      <c r="C51" s="7"/>
      <c r="E51" s="16"/>
      <c r="G51" s="16"/>
      <c r="I51" s="13"/>
      <c r="J51" s="18"/>
      <c r="K51" s="16"/>
      <c r="L51" s="16"/>
      <c r="M51" s="16"/>
      <c r="N51" s="13"/>
      <c r="O51" s="23"/>
      <c r="P51" s="9">
        <f t="shared" si="6"/>
      </c>
      <c r="Q51" s="16"/>
      <c r="R51" s="9">
        <f t="shared" si="6"/>
      </c>
    </row>
    <row r="52" spans="3:18" ht="12.75">
      <c r="C52" s="7"/>
      <c r="E52" s="16"/>
      <c r="G52" s="16"/>
      <c r="I52" s="13"/>
      <c r="J52" s="18"/>
      <c r="K52" s="16"/>
      <c r="L52" s="16"/>
      <c r="M52" s="16"/>
      <c r="N52" s="13"/>
      <c r="O52" s="23"/>
      <c r="P52" s="9">
        <f t="shared" si="6"/>
      </c>
      <c r="Q52" s="16"/>
      <c r="R52" s="9">
        <f t="shared" si="6"/>
      </c>
    </row>
    <row r="53" spans="3:18" ht="12.75">
      <c r="C53" s="7"/>
      <c r="E53" s="16"/>
      <c r="G53" s="16"/>
      <c r="I53" s="13"/>
      <c r="J53" s="18"/>
      <c r="K53" s="16"/>
      <c r="L53" s="16"/>
      <c r="M53" s="16"/>
      <c r="N53" s="13"/>
      <c r="O53" s="23"/>
      <c r="P53" s="9">
        <f t="shared" si="6"/>
      </c>
      <c r="Q53" s="16"/>
      <c r="R53" s="9">
        <f t="shared" si="6"/>
      </c>
    </row>
    <row r="54" spans="3:18" ht="12.75">
      <c r="C54" s="7"/>
      <c r="E54" s="16"/>
      <c r="G54" s="16"/>
      <c r="I54" s="13"/>
      <c r="J54" s="18"/>
      <c r="K54" s="16"/>
      <c r="L54" s="16"/>
      <c r="M54" s="16"/>
      <c r="N54" s="13"/>
      <c r="O54" s="23"/>
      <c r="P54" s="9">
        <f t="shared" si="6"/>
      </c>
      <c r="Q54" s="16"/>
      <c r="R54" s="9">
        <f t="shared" si="6"/>
      </c>
    </row>
    <row r="55" spans="3:18" ht="12.75">
      <c r="C55" s="7"/>
      <c r="E55" s="16"/>
      <c r="G55" s="16"/>
      <c r="I55" s="13"/>
      <c r="J55" s="18"/>
      <c r="K55" s="16"/>
      <c r="L55" s="16"/>
      <c r="M55" s="16"/>
      <c r="N55" s="13"/>
      <c r="O55" s="23"/>
      <c r="P55" s="9">
        <f t="shared" si="6"/>
      </c>
      <c r="Q55" s="16"/>
      <c r="R55" s="9">
        <f t="shared" si="6"/>
      </c>
    </row>
    <row r="56" spans="3:18" ht="12.75">
      <c r="C56" s="7"/>
      <c r="E56" s="16"/>
      <c r="G56" s="16"/>
      <c r="I56" s="13"/>
      <c r="J56" s="18"/>
      <c r="K56" s="16"/>
      <c r="L56" s="16"/>
      <c r="M56" s="16"/>
      <c r="N56" s="13"/>
      <c r="O56" s="23"/>
      <c r="P56" s="9">
        <f t="shared" si="6"/>
      </c>
      <c r="Q56" s="16"/>
      <c r="R56" s="9">
        <f t="shared" si="6"/>
      </c>
    </row>
    <row r="57" spans="3:18" ht="12.75">
      <c r="C57" s="7"/>
      <c r="E57" s="16"/>
      <c r="G57" s="16"/>
      <c r="I57" s="13"/>
      <c r="J57" s="18"/>
      <c r="K57" s="16"/>
      <c r="L57" s="16"/>
      <c r="M57" s="16"/>
      <c r="N57" s="13"/>
      <c r="O57" s="23"/>
      <c r="P57" s="9">
        <f t="shared" si="6"/>
      </c>
      <c r="Q57" s="16"/>
      <c r="R57" s="9">
        <f t="shared" si="6"/>
      </c>
    </row>
    <row r="58" spans="3:18" ht="12.75">
      <c r="C58" s="7"/>
      <c r="E58" s="16"/>
      <c r="G58" s="16"/>
      <c r="I58" s="13"/>
      <c r="J58" s="18"/>
      <c r="K58" s="16"/>
      <c r="L58" s="16"/>
      <c r="M58" s="16"/>
      <c r="N58" s="13"/>
      <c r="O58" s="23"/>
      <c r="P58" s="9">
        <f t="shared" si="6"/>
      </c>
      <c r="Q58" s="16"/>
      <c r="R58" s="9">
        <f t="shared" si="6"/>
      </c>
    </row>
    <row r="59" spans="3:18" ht="12.75">
      <c r="C59" s="7"/>
      <c r="E59" s="16"/>
      <c r="G59" s="16"/>
      <c r="I59" s="13"/>
      <c r="J59" s="18"/>
      <c r="K59" s="16"/>
      <c r="L59" s="16"/>
      <c r="M59" s="16"/>
      <c r="N59" s="13"/>
      <c r="O59" s="23"/>
      <c r="P59" s="9">
        <f t="shared" si="6"/>
      </c>
      <c r="Q59" s="16"/>
      <c r="R59" s="9">
        <f t="shared" si="6"/>
      </c>
    </row>
    <row r="60" spans="3:18" ht="12.75">
      <c r="C60" s="7"/>
      <c r="E60" s="16"/>
      <c r="G60" s="16"/>
      <c r="I60" s="13"/>
      <c r="J60" s="18"/>
      <c r="K60" s="16"/>
      <c r="L60" s="16"/>
      <c r="M60" s="16"/>
      <c r="N60" s="13"/>
      <c r="O60" s="23"/>
      <c r="P60" s="9">
        <f t="shared" si="6"/>
      </c>
      <c r="Q60" s="16"/>
      <c r="R60" s="9">
        <f t="shared" si="6"/>
      </c>
    </row>
    <row r="61" spans="3:18" ht="12.75">
      <c r="C61" s="7"/>
      <c r="E61" s="16"/>
      <c r="G61" s="16"/>
      <c r="I61" s="13"/>
      <c r="J61" s="18"/>
      <c r="K61" s="16"/>
      <c r="L61" s="16"/>
      <c r="M61" s="16"/>
      <c r="N61" s="13"/>
      <c r="O61" s="23"/>
      <c r="P61" s="9">
        <f t="shared" si="6"/>
      </c>
      <c r="Q61" s="16"/>
      <c r="R61" s="9">
        <f t="shared" si="6"/>
      </c>
    </row>
    <row r="62" spans="3:18" ht="12.75">
      <c r="C62" s="7"/>
      <c r="E62" s="16"/>
      <c r="G62" s="16"/>
      <c r="I62" s="13"/>
      <c r="J62" s="18"/>
      <c r="K62" s="16"/>
      <c r="L62" s="16"/>
      <c r="M62" s="16"/>
      <c r="N62" s="13"/>
      <c r="O62" s="23"/>
      <c r="P62" s="9">
        <f t="shared" si="6"/>
      </c>
      <c r="Q62" s="16"/>
      <c r="R62" s="9">
        <f t="shared" si="6"/>
      </c>
    </row>
    <row r="63" spans="3:18" ht="12.75">
      <c r="C63" s="7"/>
      <c r="E63" s="16"/>
      <c r="G63" s="16"/>
      <c r="I63" s="13"/>
      <c r="J63" s="18"/>
      <c r="K63" s="16"/>
      <c r="L63" s="16"/>
      <c r="M63" s="16"/>
      <c r="N63" s="13"/>
      <c r="O63" s="23"/>
      <c r="P63" s="9">
        <f t="shared" si="6"/>
      </c>
      <c r="Q63" s="16"/>
      <c r="R63" s="9">
        <f t="shared" si="6"/>
      </c>
    </row>
    <row r="64" spans="3:18" ht="12.75">
      <c r="C64" s="7"/>
      <c r="E64" s="16"/>
      <c r="G64" s="16"/>
      <c r="I64" s="13"/>
      <c r="J64" s="18"/>
      <c r="K64" s="16"/>
      <c r="L64" s="16"/>
      <c r="M64" s="16"/>
      <c r="N64" s="13"/>
      <c r="O64" s="23"/>
      <c r="P64" s="9">
        <f t="shared" si="6"/>
      </c>
      <c r="Q64" s="16"/>
      <c r="R64" s="9">
        <f t="shared" si="6"/>
      </c>
    </row>
    <row r="65" spans="3:18" ht="12.75">
      <c r="C65" s="7"/>
      <c r="E65" s="16"/>
      <c r="G65" s="16"/>
      <c r="I65" s="13"/>
      <c r="J65" s="18"/>
      <c r="K65" s="16"/>
      <c r="L65" s="16"/>
      <c r="M65" s="16"/>
      <c r="N65" s="13"/>
      <c r="O65" s="23"/>
      <c r="P65" s="9">
        <f t="shared" si="6"/>
      </c>
      <c r="Q65" s="16"/>
      <c r="R65" s="9">
        <f t="shared" si="6"/>
      </c>
    </row>
    <row r="66" spans="3:18" ht="12.75">
      <c r="C66" s="7"/>
      <c r="E66" s="16"/>
      <c r="G66" s="16"/>
      <c r="I66" s="13"/>
      <c r="J66" s="18"/>
      <c r="K66" s="16"/>
      <c r="L66" s="16"/>
      <c r="M66" s="16"/>
      <c r="N66" s="13"/>
      <c r="O66" s="23"/>
      <c r="P66" s="9">
        <f t="shared" si="6"/>
      </c>
      <c r="Q66" s="16"/>
      <c r="R66" s="9">
        <f t="shared" si="6"/>
      </c>
    </row>
    <row r="67" spans="5:17" ht="12.75">
      <c r="E67" s="19"/>
      <c r="G67" s="19"/>
      <c r="I67" s="20"/>
      <c r="J67" s="19"/>
      <c r="K67" s="16"/>
      <c r="L67" s="16"/>
      <c r="M67" s="16"/>
      <c r="N67" s="20"/>
      <c r="O67" s="18"/>
      <c r="Q67" s="19"/>
    </row>
    <row r="68" spans="5:18" ht="12.75">
      <c r="E68" s="19"/>
      <c r="G68" s="19"/>
      <c r="I68" s="20"/>
      <c r="J68" s="19"/>
      <c r="K68" s="16"/>
      <c r="L68" s="16"/>
      <c r="M68" s="16"/>
      <c r="N68" s="20"/>
      <c r="O68" s="19"/>
      <c r="P68" s="19"/>
      <c r="Q68" s="19"/>
      <c r="R68" s="19"/>
    </row>
    <row r="69" spans="5:18" ht="12.75">
      <c r="E69" s="19"/>
      <c r="G69" s="19"/>
      <c r="I69" s="20"/>
      <c r="J69" s="19"/>
      <c r="K69" s="16"/>
      <c r="L69" s="16"/>
      <c r="M69" s="16"/>
      <c r="N69" s="20"/>
      <c r="O69" s="19"/>
      <c r="P69" s="19"/>
      <c r="Q69" s="19"/>
      <c r="R69" s="19"/>
    </row>
    <row r="70" spans="5:18" ht="12.75">
      <c r="E70" s="19"/>
      <c r="F70" s="21"/>
      <c r="G70" s="19"/>
      <c r="H70" s="21"/>
      <c r="I70" s="22"/>
      <c r="J70" s="19"/>
      <c r="K70" s="23"/>
      <c r="L70" s="16"/>
      <c r="M70" s="23"/>
      <c r="N70" s="20"/>
      <c r="O70" s="19"/>
      <c r="P70" s="19"/>
      <c r="Q70" s="19"/>
      <c r="R70" s="19"/>
    </row>
    <row r="71" spans="3:18" ht="12.75">
      <c r="C71" s="9"/>
      <c r="D71" s="13"/>
      <c r="E71" s="16"/>
      <c r="G71" s="16"/>
      <c r="I71" s="13"/>
      <c r="J71" s="16"/>
      <c r="K71" s="16"/>
      <c r="L71" s="16"/>
      <c r="M71" s="16"/>
      <c r="N71" s="13"/>
      <c r="O71" s="19"/>
      <c r="P71" s="9"/>
      <c r="Q71" s="9"/>
      <c r="R71" s="9"/>
    </row>
    <row r="72" spans="3:18" ht="12.75">
      <c r="C72" s="9"/>
      <c r="D72" s="13"/>
      <c r="E72" s="19"/>
      <c r="G72" s="17"/>
      <c r="I72" s="13"/>
      <c r="J72" s="19"/>
      <c r="K72" s="9"/>
      <c r="L72" s="16"/>
      <c r="M72" s="9"/>
      <c r="N72" s="13"/>
      <c r="O72" s="19"/>
      <c r="P72" s="17"/>
      <c r="Q72" s="17"/>
      <c r="R72" s="17"/>
    </row>
    <row r="89" spans="3:18" ht="12.75">
      <c r="C89" s="7"/>
      <c r="E89" s="14"/>
      <c r="F89" s="14"/>
      <c r="G89" s="14"/>
      <c r="H89" s="14"/>
      <c r="I89" s="15"/>
      <c r="J89" s="14"/>
      <c r="K89" s="14"/>
      <c r="L89" s="14"/>
      <c r="M89" s="14"/>
      <c r="N89" s="15"/>
      <c r="O89" s="14"/>
      <c r="P89" s="14"/>
      <c r="Q89" s="14"/>
      <c r="R89" s="14"/>
    </row>
    <row r="90" spans="3:18" ht="12.75">
      <c r="C90" s="7"/>
      <c r="E90" s="10"/>
      <c r="F90" s="13"/>
      <c r="G90" s="10"/>
      <c r="H90" s="13"/>
      <c r="J90" s="10"/>
      <c r="K90" s="10"/>
      <c r="L90" s="10"/>
      <c r="M90" s="10"/>
      <c r="O90" s="10"/>
      <c r="P90" s="10"/>
      <c r="Q90" s="10"/>
      <c r="R90" s="10"/>
    </row>
    <row r="91" spans="3:18" ht="12.75">
      <c r="C91" s="7"/>
      <c r="E91" s="10"/>
      <c r="G91" s="10"/>
      <c r="J91" s="10"/>
      <c r="K91" s="9"/>
      <c r="L91" s="10"/>
      <c r="M91" s="9"/>
      <c r="O91" s="10"/>
      <c r="P91" s="9"/>
      <c r="Q91" s="10"/>
      <c r="R91" s="9"/>
    </row>
    <row r="92" ht="12.75">
      <c r="O92" s="16"/>
    </row>
    <row r="93" spans="3:18" ht="12.75">
      <c r="C93" s="7"/>
      <c r="E93" s="16"/>
      <c r="F93" s="19"/>
      <c r="G93" s="16"/>
      <c r="H93" s="19"/>
      <c r="I93" s="13"/>
      <c r="J93" s="18"/>
      <c r="K93" s="16"/>
      <c r="L93" s="16"/>
      <c r="M93" s="16"/>
      <c r="N93" s="13"/>
      <c r="O93" s="16"/>
      <c r="P93" s="9"/>
      <c r="Q93" s="16"/>
      <c r="R93" s="9"/>
    </row>
    <row r="94" spans="3:18" ht="12.75">
      <c r="C94" s="7"/>
      <c r="E94" s="16"/>
      <c r="F94" s="19"/>
      <c r="G94" s="16"/>
      <c r="H94" s="19"/>
      <c r="I94" s="13"/>
      <c r="J94" s="18"/>
      <c r="K94" s="16"/>
      <c r="L94" s="16"/>
      <c r="M94" s="16"/>
      <c r="N94" s="13"/>
      <c r="O94" s="23"/>
      <c r="P94" s="9"/>
      <c r="Q94" s="16"/>
      <c r="R94" s="9"/>
    </row>
    <row r="95" spans="3:18" ht="12.75">
      <c r="C95" s="7"/>
      <c r="E95" s="16"/>
      <c r="F95" s="19"/>
      <c r="G95" s="16"/>
      <c r="H95" s="19"/>
      <c r="I95" s="13"/>
      <c r="J95" s="18"/>
      <c r="K95" s="16"/>
      <c r="L95" s="16"/>
      <c r="M95" s="16"/>
      <c r="N95" s="13"/>
      <c r="O95" s="23"/>
      <c r="P95" s="9"/>
      <c r="Q95" s="16"/>
      <c r="R95" s="9"/>
    </row>
    <row r="96" spans="3:18" ht="12.75">
      <c r="C96" s="7"/>
      <c r="E96" s="16"/>
      <c r="F96" s="19"/>
      <c r="G96" s="16"/>
      <c r="H96" s="19"/>
      <c r="I96" s="13"/>
      <c r="J96" s="18"/>
      <c r="K96" s="16"/>
      <c r="L96" s="16"/>
      <c r="M96" s="16"/>
      <c r="N96" s="13"/>
      <c r="O96" s="23"/>
      <c r="P96" s="9"/>
      <c r="Q96" s="16"/>
      <c r="R96" s="9"/>
    </row>
    <row r="97" spans="3:18" ht="12.75">
      <c r="C97" s="7"/>
      <c r="E97" s="16"/>
      <c r="F97" s="19"/>
      <c r="G97" s="16"/>
      <c r="H97" s="19"/>
      <c r="I97" s="13"/>
      <c r="J97" s="18"/>
      <c r="K97" s="16"/>
      <c r="L97" s="16"/>
      <c r="M97" s="16"/>
      <c r="N97" s="13"/>
      <c r="O97" s="23"/>
      <c r="P97" s="9"/>
      <c r="Q97" s="16"/>
      <c r="R97" s="9"/>
    </row>
    <row r="98" spans="3:18" ht="12.75">
      <c r="C98" s="7"/>
      <c r="E98" s="16"/>
      <c r="F98" s="19"/>
      <c r="G98" s="16"/>
      <c r="H98" s="19"/>
      <c r="I98" s="13"/>
      <c r="J98" s="18"/>
      <c r="K98" s="16"/>
      <c r="L98" s="16"/>
      <c r="M98" s="16"/>
      <c r="N98" s="13"/>
      <c r="O98" s="23"/>
      <c r="P98" s="9"/>
      <c r="Q98" s="16"/>
      <c r="R98" s="9"/>
    </row>
    <row r="99" spans="3:18" ht="12.75">
      <c r="C99" s="7"/>
      <c r="E99" s="16"/>
      <c r="F99" s="19"/>
      <c r="G99" s="16"/>
      <c r="H99" s="19"/>
      <c r="I99" s="13"/>
      <c r="J99" s="18"/>
      <c r="K99" s="16"/>
      <c r="L99" s="16"/>
      <c r="M99" s="16"/>
      <c r="N99" s="13"/>
      <c r="O99" s="23"/>
      <c r="P99" s="9"/>
      <c r="Q99" s="16"/>
      <c r="R99" s="9"/>
    </row>
    <row r="100" spans="3:18" ht="12.75">
      <c r="C100" s="7"/>
      <c r="E100" s="16"/>
      <c r="F100" s="19"/>
      <c r="G100" s="16"/>
      <c r="H100" s="19"/>
      <c r="I100" s="13"/>
      <c r="J100" s="18"/>
      <c r="K100" s="16"/>
      <c r="L100" s="16"/>
      <c r="M100" s="16"/>
      <c r="N100" s="13"/>
      <c r="O100" s="23"/>
      <c r="P100" s="9"/>
      <c r="Q100" s="16"/>
      <c r="R100" s="9"/>
    </row>
    <row r="101" spans="3:18" ht="12.75">
      <c r="C101" s="7"/>
      <c r="E101" s="16"/>
      <c r="F101" s="19"/>
      <c r="G101" s="16"/>
      <c r="H101" s="19"/>
      <c r="I101" s="13"/>
      <c r="J101" s="18"/>
      <c r="K101" s="16"/>
      <c r="L101" s="16"/>
      <c r="M101" s="16"/>
      <c r="N101" s="13"/>
      <c r="O101" s="23"/>
      <c r="P101" s="9"/>
      <c r="Q101" s="16"/>
      <c r="R101" s="9"/>
    </row>
    <row r="102" spans="3:18" ht="12.75">
      <c r="C102" s="7"/>
      <c r="E102" s="16"/>
      <c r="F102" s="19"/>
      <c r="G102" s="16"/>
      <c r="H102" s="19"/>
      <c r="I102" s="13"/>
      <c r="J102" s="18"/>
      <c r="K102" s="16"/>
      <c r="L102" s="16"/>
      <c r="M102" s="16"/>
      <c r="N102" s="13"/>
      <c r="O102" s="23"/>
      <c r="P102" s="9"/>
      <c r="Q102" s="16"/>
      <c r="R102" s="9"/>
    </row>
    <row r="103" spans="3:18" ht="12.75">
      <c r="C103" s="7"/>
      <c r="E103" s="16"/>
      <c r="F103" s="19"/>
      <c r="G103" s="16"/>
      <c r="H103" s="19"/>
      <c r="I103" s="13"/>
      <c r="J103" s="18"/>
      <c r="K103" s="16"/>
      <c r="L103" s="16"/>
      <c r="M103" s="16"/>
      <c r="N103" s="13"/>
      <c r="O103" s="23"/>
      <c r="P103" s="9"/>
      <c r="Q103" s="16"/>
      <c r="R103" s="9"/>
    </row>
    <row r="104" spans="3:18" ht="12.75">
      <c r="C104" s="7"/>
      <c r="E104" s="16"/>
      <c r="F104" s="19"/>
      <c r="G104" s="16"/>
      <c r="H104" s="19"/>
      <c r="I104" s="13"/>
      <c r="J104" s="18"/>
      <c r="K104" s="16"/>
      <c r="L104" s="16"/>
      <c r="M104" s="16"/>
      <c r="N104" s="13"/>
      <c r="O104" s="23"/>
      <c r="P104" s="9"/>
      <c r="Q104" s="16"/>
      <c r="R104" s="9"/>
    </row>
    <row r="105" spans="3:18" ht="12.75">
      <c r="C105" s="7"/>
      <c r="E105" s="16"/>
      <c r="F105" s="19"/>
      <c r="G105" s="16"/>
      <c r="H105" s="19"/>
      <c r="I105" s="13"/>
      <c r="J105" s="18"/>
      <c r="K105" s="16"/>
      <c r="L105" s="16"/>
      <c r="M105" s="16"/>
      <c r="N105" s="13"/>
      <c r="O105" s="23"/>
      <c r="P105" s="9"/>
      <c r="Q105" s="16"/>
      <c r="R105" s="9"/>
    </row>
    <row r="106" spans="3:18" ht="12.75">
      <c r="C106" s="7"/>
      <c r="E106" s="16"/>
      <c r="F106" s="19"/>
      <c r="G106" s="16"/>
      <c r="H106" s="19"/>
      <c r="I106" s="13"/>
      <c r="J106" s="18"/>
      <c r="K106" s="16"/>
      <c r="L106" s="16"/>
      <c r="M106" s="16"/>
      <c r="N106" s="13"/>
      <c r="O106" s="23"/>
      <c r="P106" s="9"/>
      <c r="Q106" s="16"/>
      <c r="R106" s="9"/>
    </row>
    <row r="107" spans="3:18" ht="12.75">
      <c r="C107" s="7"/>
      <c r="E107" s="16"/>
      <c r="F107" s="19"/>
      <c r="G107" s="16"/>
      <c r="H107" s="19"/>
      <c r="I107" s="13"/>
      <c r="J107" s="18"/>
      <c r="K107" s="16"/>
      <c r="L107" s="16"/>
      <c r="M107" s="16"/>
      <c r="N107" s="13"/>
      <c r="O107" s="23"/>
      <c r="P107" s="9"/>
      <c r="Q107" s="16"/>
      <c r="R107" s="9"/>
    </row>
    <row r="108" spans="3:18" ht="12.75">
      <c r="C108" s="7"/>
      <c r="E108" s="16"/>
      <c r="F108" s="19"/>
      <c r="G108" s="16"/>
      <c r="H108" s="19"/>
      <c r="I108" s="13"/>
      <c r="J108" s="18"/>
      <c r="K108" s="16"/>
      <c r="L108" s="16"/>
      <c r="M108" s="16"/>
      <c r="N108" s="13"/>
      <c r="O108" s="23"/>
      <c r="P108" s="9"/>
      <c r="Q108" s="16"/>
      <c r="R108" s="9"/>
    </row>
    <row r="109" spans="3:18" ht="12.75">
      <c r="C109" s="7"/>
      <c r="E109" s="16"/>
      <c r="F109" s="19"/>
      <c r="G109" s="16"/>
      <c r="H109" s="19"/>
      <c r="I109" s="13"/>
      <c r="J109" s="18"/>
      <c r="K109" s="16"/>
      <c r="L109" s="16"/>
      <c r="M109" s="16"/>
      <c r="N109" s="13"/>
      <c r="O109" s="23"/>
      <c r="P109" s="9"/>
      <c r="Q109" s="16"/>
      <c r="R109" s="9"/>
    </row>
    <row r="110" spans="3:18" ht="12.75">
      <c r="C110" s="7"/>
      <c r="E110" s="16"/>
      <c r="F110" s="19"/>
      <c r="G110" s="16"/>
      <c r="H110" s="19"/>
      <c r="I110" s="13"/>
      <c r="J110" s="18"/>
      <c r="K110" s="16"/>
      <c r="L110" s="16"/>
      <c r="M110" s="16"/>
      <c r="N110" s="13"/>
      <c r="O110" s="23"/>
      <c r="P110" s="9"/>
      <c r="Q110" s="16"/>
      <c r="R110" s="9"/>
    </row>
    <row r="111" spans="3:18" ht="12.75">
      <c r="C111" s="7"/>
      <c r="E111" s="16"/>
      <c r="F111" s="19"/>
      <c r="G111" s="16"/>
      <c r="H111" s="19"/>
      <c r="I111" s="13"/>
      <c r="J111" s="18"/>
      <c r="K111" s="16"/>
      <c r="L111" s="16"/>
      <c r="M111" s="16"/>
      <c r="N111" s="13"/>
      <c r="O111" s="23"/>
      <c r="P111" s="9"/>
      <c r="Q111" s="16"/>
      <c r="R111" s="9"/>
    </row>
    <row r="112" spans="3:18" ht="12.75">
      <c r="C112" s="7"/>
      <c r="E112" s="16"/>
      <c r="F112" s="19"/>
      <c r="G112" s="16"/>
      <c r="H112" s="19"/>
      <c r="I112" s="13"/>
      <c r="J112" s="18"/>
      <c r="K112" s="16"/>
      <c r="L112" s="16"/>
      <c r="M112" s="16"/>
      <c r="N112" s="13"/>
      <c r="O112" s="23"/>
      <c r="P112" s="9"/>
      <c r="Q112" s="16"/>
      <c r="R112" s="9"/>
    </row>
    <row r="113" spans="3:18" ht="12.75">
      <c r="C113" s="7"/>
      <c r="E113" s="16"/>
      <c r="F113" s="19"/>
      <c r="G113" s="16"/>
      <c r="H113" s="19"/>
      <c r="I113" s="13"/>
      <c r="J113" s="18"/>
      <c r="K113" s="16"/>
      <c r="L113" s="16"/>
      <c r="M113" s="16"/>
      <c r="N113" s="13"/>
      <c r="O113" s="23"/>
      <c r="P113" s="9"/>
      <c r="Q113" s="16"/>
      <c r="R113" s="9"/>
    </row>
    <row r="114" spans="3:18" ht="12.75">
      <c r="C114" s="7"/>
      <c r="E114" s="16"/>
      <c r="F114" s="19"/>
      <c r="G114" s="16"/>
      <c r="H114" s="19"/>
      <c r="I114" s="13"/>
      <c r="J114" s="18"/>
      <c r="K114" s="16"/>
      <c r="L114" s="16"/>
      <c r="M114" s="16"/>
      <c r="N114" s="13"/>
      <c r="O114" s="23"/>
      <c r="P114" s="9"/>
      <c r="Q114" s="16"/>
      <c r="R114" s="9"/>
    </row>
    <row r="115" spans="3:18" ht="12.75">
      <c r="C115" s="7"/>
      <c r="E115" s="16"/>
      <c r="F115" s="19"/>
      <c r="G115" s="16"/>
      <c r="H115" s="19"/>
      <c r="I115" s="13"/>
      <c r="J115" s="18"/>
      <c r="K115" s="16"/>
      <c r="L115" s="16"/>
      <c r="M115" s="16"/>
      <c r="N115" s="13"/>
      <c r="O115" s="23"/>
      <c r="P115" s="9"/>
      <c r="Q115" s="16"/>
      <c r="R115" s="9"/>
    </row>
    <row r="116" spans="3:18" ht="12.75">
      <c r="C116" s="7"/>
      <c r="E116" s="16"/>
      <c r="F116" s="19"/>
      <c r="G116" s="16"/>
      <c r="H116" s="19"/>
      <c r="I116" s="13"/>
      <c r="J116" s="18"/>
      <c r="K116" s="16"/>
      <c r="L116" s="16"/>
      <c r="M116" s="16"/>
      <c r="N116" s="13"/>
      <c r="O116" s="23"/>
      <c r="P116" s="9"/>
      <c r="Q116" s="16"/>
      <c r="R116" s="9"/>
    </row>
    <row r="117" spans="3:18" ht="12.75">
      <c r="C117" s="7"/>
      <c r="E117" s="16"/>
      <c r="F117" s="19"/>
      <c r="G117" s="16"/>
      <c r="H117" s="19"/>
      <c r="I117" s="13"/>
      <c r="J117" s="18"/>
      <c r="K117" s="16"/>
      <c r="L117" s="16"/>
      <c r="M117" s="16"/>
      <c r="N117" s="13"/>
      <c r="O117" s="23"/>
      <c r="P117" s="9"/>
      <c r="Q117" s="16"/>
      <c r="R117" s="9"/>
    </row>
    <row r="118" spans="5:17" ht="12.75">
      <c r="E118" s="19"/>
      <c r="G118" s="19"/>
      <c r="I118" s="20"/>
      <c r="J118" s="19"/>
      <c r="K118" s="16"/>
      <c r="L118" s="16"/>
      <c r="M118" s="16"/>
      <c r="N118" s="20"/>
      <c r="O118" s="18"/>
      <c r="Q118" s="19"/>
    </row>
    <row r="119" spans="5:18" ht="12.75">
      <c r="E119" s="19"/>
      <c r="F119" s="19"/>
      <c r="G119" s="19"/>
      <c r="H119" s="19"/>
      <c r="I119" s="20"/>
      <c r="J119" s="19"/>
      <c r="K119" s="16"/>
      <c r="L119" s="16"/>
      <c r="M119" s="16"/>
      <c r="N119" s="20"/>
      <c r="O119" s="19"/>
      <c r="P119" s="19"/>
      <c r="Q119" s="19"/>
      <c r="R119" s="19"/>
    </row>
    <row r="120" spans="5:18" ht="12.75">
      <c r="E120" s="19"/>
      <c r="F120" s="19"/>
      <c r="G120" s="19"/>
      <c r="H120" s="19"/>
      <c r="I120" s="20"/>
      <c r="J120" s="19"/>
      <c r="K120" s="16"/>
      <c r="L120" s="16"/>
      <c r="M120" s="16"/>
      <c r="N120" s="20"/>
      <c r="O120" s="19"/>
      <c r="P120" s="19"/>
      <c r="Q120" s="19"/>
      <c r="R120" s="19"/>
    </row>
    <row r="121" spans="5:18" ht="12.75">
      <c r="E121" s="19"/>
      <c r="F121" s="18"/>
      <c r="G121" s="19"/>
      <c r="H121" s="18"/>
      <c r="I121" s="22"/>
      <c r="J121" s="19"/>
      <c r="K121" s="23"/>
      <c r="L121" s="16"/>
      <c r="M121" s="23"/>
      <c r="N121" s="20"/>
      <c r="O121" s="19"/>
      <c r="P121" s="19"/>
      <c r="Q121" s="19"/>
      <c r="R121" s="19"/>
    </row>
    <row r="122" spans="3:18" ht="12.75">
      <c r="C122" s="9"/>
      <c r="D122" s="13"/>
      <c r="E122" s="16"/>
      <c r="F122" s="19"/>
      <c r="G122" s="16"/>
      <c r="H122" s="19"/>
      <c r="I122" s="13"/>
      <c r="J122" s="16"/>
      <c r="K122" s="16"/>
      <c r="L122" s="16"/>
      <c r="M122" s="16"/>
      <c r="N122" s="13"/>
      <c r="O122" s="19"/>
      <c r="P122" s="9"/>
      <c r="Q122" s="9"/>
      <c r="R122" s="9"/>
    </row>
    <row r="123" spans="3:18" ht="12.75">
      <c r="C123" s="9"/>
      <c r="D123" s="13"/>
      <c r="E123" s="19"/>
      <c r="G123" s="17"/>
      <c r="I123" s="13"/>
      <c r="J123" s="19"/>
      <c r="K123" s="9"/>
      <c r="L123" s="16"/>
      <c r="M123" s="9"/>
      <c r="N123" s="13"/>
      <c r="O123" s="19"/>
      <c r="P123" s="17"/>
      <c r="Q123" s="17"/>
      <c r="R123" s="17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C2" sqref="C2"/>
    </sheetView>
  </sheetViews>
  <sheetFormatPr defaultColWidth="9.140625" defaultRowHeight="12.75"/>
  <cols>
    <col min="1" max="1" width="2.57421875" style="6" customWidth="1"/>
    <col min="2" max="2" width="25.8515625" style="6" customWidth="1"/>
    <col min="3" max="3" width="7.8515625" style="6" customWidth="1"/>
    <col min="4" max="4" width="4.28125" style="7" customWidth="1"/>
    <col min="5" max="5" width="8.7109375" style="8" customWidth="1"/>
    <col min="6" max="6" width="7.7109375" style="9" customWidth="1"/>
    <col min="7" max="7" width="8.57421875" style="8" customWidth="1"/>
    <col min="8" max="8" width="7.7109375" style="9" customWidth="1"/>
    <col min="9" max="9" width="3.57421875" style="10" customWidth="1"/>
    <col min="10" max="10" width="7.00390625" style="8" customWidth="1"/>
    <col min="11" max="11" width="8.28125" style="8" customWidth="1"/>
    <col min="12" max="12" width="9.140625" style="8" customWidth="1"/>
    <col min="13" max="13" width="8.28125" style="8" customWidth="1"/>
    <col min="14" max="14" width="3.57421875" style="10" customWidth="1"/>
    <col min="15" max="15" width="7.8515625" style="8" customWidth="1"/>
    <col min="16" max="18" width="8.7109375" style="8" customWidth="1"/>
    <col min="19" max="19" width="7.421875" style="0" customWidth="1"/>
    <col min="20" max="31" width="10.8515625" style="0" customWidth="1"/>
    <col min="32" max="16384" width="10.8515625" style="6" customWidth="1"/>
  </cols>
  <sheetData>
    <row r="1" ht="12.75">
      <c r="A1" s="48" t="s">
        <v>68</v>
      </c>
    </row>
    <row r="2" ht="12.75">
      <c r="A2" s="6" t="s">
        <v>328</v>
      </c>
    </row>
    <row r="3" spans="1:3" ht="12.75">
      <c r="A3" s="6" t="s">
        <v>22</v>
      </c>
      <c r="C3" s="11" t="s">
        <v>152</v>
      </c>
    </row>
    <row r="4" spans="1:18" ht="12.75">
      <c r="A4" s="6" t="s">
        <v>23</v>
      </c>
      <c r="C4" s="11" t="s">
        <v>130</v>
      </c>
      <c r="E4" s="12"/>
      <c r="F4" s="13"/>
      <c r="G4" s="12"/>
      <c r="H4" s="13"/>
      <c r="J4" s="12"/>
      <c r="K4" s="12"/>
      <c r="L4" s="12"/>
      <c r="M4" s="12"/>
      <c r="O4" s="12"/>
      <c r="P4" s="12"/>
      <c r="Q4" s="12"/>
      <c r="R4" s="12"/>
    </row>
    <row r="5" spans="1:3" ht="12.75">
      <c r="A5" s="6" t="s">
        <v>24</v>
      </c>
      <c r="C5" s="11" t="s">
        <v>139</v>
      </c>
    </row>
    <row r="6" spans="3:17" ht="12.75">
      <c r="C6" s="7"/>
      <c r="E6" s="10"/>
      <c r="G6" s="10"/>
      <c r="J6" s="10"/>
      <c r="L6" s="10"/>
      <c r="O6" s="10"/>
      <c r="Q6" s="10"/>
    </row>
    <row r="7" spans="3:18" ht="12.75">
      <c r="C7" s="7" t="s">
        <v>25</v>
      </c>
      <c r="E7" s="14" t="s">
        <v>26</v>
      </c>
      <c r="F7" s="14"/>
      <c r="G7" s="14"/>
      <c r="H7" s="14"/>
      <c r="I7" s="15"/>
      <c r="J7" s="14" t="s">
        <v>27</v>
      </c>
      <c r="K7" s="14"/>
      <c r="L7" s="14"/>
      <c r="M7" s="14"/>
      <c r="N7" s="15"/>
      <c r="O7" s="14" t="s">
        <v>28</v>
      </c>
      <c r="P7" s="14"/>
      <c r="Q7" s="14"/>
      <c r="R7" s="14"/>
    </row>
    <row r="8" spans="3:18" ht="12.75">
      <c r="C8" s="7" t="s">
        <v>29</v>
      </c>
      <c r="E8" s="10" t="s">
        <v>30</v>
      </c>
      <c r="F8" s="13" t="s">
        <v>31</v>
      </c>
      <c r="G8" s="10" t="s">
        <v>30</v>
      </c>
      <c r="H8" s="13" t="s">
        <v>31</v>
      </c>
      <c r="J8" s="10" t="s">
        <v>30</v>
      </c>
      <c r="K8" s="10" t="s">
        <v>32</v>
      </c>
      <c r="L8" s="10" t="s">
        <v>30</v>
      </c>
      <c r="M8" s="10" t="s">
        <v>32</v>
      </c>
      <c r="O8" s="10" t="s">
        <v>30</v>
      </c>
      <c r="P8" s="10" t="s">
        <v>32</v>
      </c>
      <c r="Q8" s="10" t="s">
        <v>30</v>
      </c>
      <c r="R8" s="10" t="s">
        <v>32</v>
      </c>
    </row>
    <row r="9" spans="3:31" ht="12.75">
      <c r="C9" s="7"/>
      <c r="E9" s="10" t="s">
        <v>216</v>
      </c>
      <c r="F9" s="10" t="s">
        <v>216</v>
      </c>
      <c r="G9" s="10" t="s">
        <v>59</v>
      </c>
      <c r="H9" s="13" t="s">
        <v>59</v>
      </c>
      <c r="J9" s="10" t="s">
        <v>216</v>
      </c>
      <c r="K9" s="10" t="s">
        <v>216</v>
      </c>
      <c r="L9" s="10" t="s">
        <v>59</v>
      </c>
      <c r="M9" s="13" t="s">
        <v>59</v>
      </c>
      <c r="O9" s="10" t="s">
        <v>216</v>
      </c>
      <c r="P9" s="10" t="s">
        <v>216</v>
      </c>
      <c r="Q9" s="10" t="s">
        <v>59</v>
      </c>
      <c r="R9" s="13" t="s">
        <v>59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15" ht="13.5" customHeight="1">
      <c r="A10" s="6" t="s">
        <v>33</v>
      </c>
      <c r="O10" s="16"/>
    </row>
    <row r="11" spans="2:18" ht="12.75">
      <c r="B11" s="6" t="s">
        <v>34</v>
      </c>
      <c r="C11" s="7">
        <v>1</v>
      </c>
      <c r="D11"/>
      <c r="E11">
        <v>0.042</v>
      </c>
      <c r="F11" s="9">
        <f aca="true" t="shared" si="0" ref="F11:H21">IF(E11="","",E11*$C11)</f>
        <v>0.042</v>
      </c>
      <c r="G11" s="17">
        <f aca="true" t="shared" si="1" ref="G11:G21">IF(E11=0,"",IF(D11="nd",E11/2,E11))</f>
        <v>0.042</v>
      </c>
      <c r="H11" s="9">
        <f t="shared" si="0"/>
        <v>0.042</v>
      </c>
      <c r="I11"/>
      <c r="J11">
        <v>0.071</v>
      </c>
      <c r="K11" s="9">
        <f aca="true" t="shared" si="2" ref="K11:M21">IF(J11="","",J11*$C11)</f>
        <v>0.071</v>
      </c>
      <c r="L11" s="17">
        <f>IF(J11=0,"",IF(I11="nd",J11/2,J11))</f>
        <v>0.071</v>
      </c>
      <c r="M11" s="9">
        <f t="shared" si="2"/>
        <v>0.071</v>
      </c>
      <c r="N11"/>
      <c r="O11">
        <v>0.063</v>
      </c>
      <c r="P11" s="9">
        <f aca="true" t="shared" si="3" ref="P11:R21">IF(O11="","",O11*$C11)</f>
        <v>0.063</v>
      </c>
      <c r="Q11" s="17">
        <f>IF(O11=0,"",IF(N11="nd",O11/2,O11))</f>
        <v>0.063</v>
      </c>
      <c r="R11" s="9">
        <f t="shared" si="3"/>
        <v>0.063</v>
      </c>
    </row>
    <row r="12" spans="2:18" ht="12.75">
      <c r="B12" s="6" t="s">
        <v>35</v>
      </c>
      <c r="C12" s="7">
        <v>0.5</v>
      </c>
      <c r="D12"/>
      <c r="E12">
        <v>0.285</v>
      </c>
      <c r="F12" s="9">
        <f t="shared" si="0"/>
        <v>0.1425</v>
      </c>
      <c r="G12" s="17">
        <f t="shared" si="1"/>
        <v>0.285</v>
      </c>
      <c r="H12" s="9">
        <f t="shared" si="0"/>
        <v>0.1425</v>
      </c>
      <c r="I12"/>
      <c r="J12">
        <v>0.328</v>
      </c>
      <c r="K12" s="9">
        <f t="shared" si="2"/>
        <v>0.164</v>
      </c>
      <c r="L12" s="17">
        <f aca="true" t="shared" si="4" ref="L12:L21">IF(J12=0,"",IF(I12="nd",J12/2,J12))</f>
        <v>0.328</v>
      </c>
      <c r="M12" s="9">
        <f t="shared" si="2"/>
        <v>0.164</v>
      </c>
      <c r="N12"/>
      <c r="O12">
        <v>0.645</v>
      </c>
      <c r="P12" s="9">
        <f t="shared" si="3"/>
        <v>0.3225</v>
      </c>
      <c r="Q12" s="17">
        <f aca="true" t="shared" si="5" ref="Q12:Q21">IF(O12=0,"",IF(N12="nd",O12/2,O12))</f>
        <v>0.645</v>
      </c>
      <c r="R12" s="9">
        <f t="shared" si="3"/>
        <v>0.3225</v>
      </c>
    </row>
    <row r="13" spans="2:18" ht="12.75">
      <c r="B13" s="6" t="s">
        <v>36</v>
      </c>
      <c r="C13" s="7">
        <v>0.1</v>
      </c>
      <c r="D13"/>
      <c r="E13">
        <v>2.17</v>
      </c>
      <c r="F13" s="9">
        <f t="shared" si="0"/>
        <v>0.217</v>
      </c>
      <c r="G13" s="17">
        <f t="shared" si="1"/>
        <v>2.17</v>
      </c>
      <c r="H13" s="9">
        <f t="shared" si="0"/>
        <v>0.217</v>
      </c>
      <c r="I13"/>
      <c r="J13">
        <v>2.9</v>
      </c>
      <c r="K13" s="9">
        <f t="shared" si="2"/>
        <v>0.29</v>
      </c>
      <c r="L13" s="17">
        <f t="shared" si="4"/>
        <v>2.9</v>
      </c>
      <c r="M13" s="9">
        <f t="shared" si="2"/>
        <v>0.29</v>
      </c>
      <c r="N13"/>
      <c r="O13">
        <v>5.55</v>
      </c>
      <c r="P13" s="9">
        <f t="shared" si="3"/>
        <v>0.555</v>
      </c>
      <c r="Q13" s="17">
        <f t="shared" si="5"/>
        <v>5.55</v>
      </c>
      <c r="R13" s="9">
        <f t="shared" si="3"/>
        <v>0.555</v>
      </c>
    </row>
    <row r="14" spans="2:18" ht="12.75">
      <c r="B14" s="6" t="s">
        <v>37</v>
      </c>
      <c r="C14" s="7">
        <v>0.01</v>
      </c>
      <c r="D14"/>
      <c r="E14">
        <v>8.97</v>
      </c>
      <c r="F14" s="9">
        <f t="shared" si="0"/>
        <v>0.0897</v>
      </c>
      <c r="G14" s="17">
        <f t="shared" si="1"/>
        <v>8.97</v>
      </c>
      <c r="H14" s="9">
        <f t="shared" si="0"/>
        <v>0.0897</v>
      </c>
      <c r="I14"/>
      <c r="J14">
        <v>11</v>
      </c>
      <c r="K14" s="9">
        <f t="shared" si="2"/>
        <v>0.11</v>
      </c>
      <c r="L14" s="17">
        <f t="shared" si="4"/>
        <v>11</v>
      </c>
      <c r="M14" s="9">
        <f t="shared" si="2"/>
        <v>0.11</v>
      </c>
      <c r="N14"/>
      <c r="O14">
        <v>23.3</v>
      </c>
      <c r="P14" s="9">
        <f t="shared" si="3"/>
        <v>0.233</v>
      </c>
      <c r="Q14" s="17">
        <f t="shared" si="5"/>
        <v>23.3</v>
      </c>
      <c r="R14" s="9">
        <f t="shared" si="3"/>
        <v>0.233</v>
      </c>
    </row>
    <row r="15" spans="2:18" ht="12.75">
      <c r="B15" s="6" t="s">
        <v>38</v>
      </c>
      <c r="C15" s="7">
        <v>0.001</v>
      </c>
      <c r="D15"/>
      <c r="E15">
        <v>2.95</v>
      </c>
      <c r="F15" s="9">
        <f t="shared" si="0"/>
        <v>0.0029500000000000004</v>
      </c>
      <c r="G15" s="17">
        <f t="shared" si="1"/>
        <v>2.95</v>
      </c>
      <c r="H15" s="9">
        <f t="shared" si="0"/>
        <v>0.0029500000000000004</v>
      </c>
      <c r="I15"/>
      <c r="J15">
        <v>3.47</v>
      </c>
      <c r="K15" s="9">
        <f t="shared" si="2"/>
        <v>0.0034700000000000004</v>
      </c>
      <c r="L15" s="17">
        <f t="shared" si="4"/>
        <v>3.47</v>
      </c>
      <c r="M15" s="9">
        <f t="shared" si="2"/>
        <v>0.0034700000000000004</v>
      </c>
      <c r="N15"/>
      <c r="O15">
        <v>5.75</v>
      </c>
      <c r="P15" s="9">
        <f t="shared" si="3"/>
        <v>0.00575</v>
      </c>
      <c r="Q15" s="17">
        <f t="shared" si="5"/>
        <v>5.75</v>
      </c>
      <c r="R15" s="9">
        <f t="shared" si="3"/>
        <v>0.00575</v>
      </c>
    </row>
    <row r="16" spans="2:18" ht="12.75">
      <c r="B16" s="6" t="s">
        <v>39</v>
      </c>
      <c r="C16" s="7">
        <v>0.1</v>
      </c>
      <c r="D16"/>
      <c r="E16">
        <v>2.21</v>
      </c>
      <c r="F16" s="9">
        <f t="shared" si="0"/>
        <v>0.221</v>
      </c>
      <c r="G16" s="17">
        <f t="shared" si="1"/>
        <v>2.21</v>
      </c>
      <c r="H16" s="9">
        <f t="shared" si="0"/>
        <v>0.221</v>
      </c>
      <c r="I16"/>
      <c r="J16">
        <v>2.61</v>
      </c>
      <c r="K16" s="9">
        <f t="shared" si="2"/>
        <v>0.261</v>
      </c>
      <c r="L16" s="17">
        <f t="shared" si="4"/>
        <v>2.61</v>
      </c>
      <c r="M16" s="9">
        <f t="shared" si="2"/>
        <v>0.261</v>
      </c>
      <c r="N16"/>
      <c r="O16">
        <v>3.01</v>
      </c>
      <c r="P16" s="9">
        <f t="shared" si="3"/>
        <v>0.301</v>
      </c>
      <c r="Q16" s="17">
        <f t="shared" si="5"/>
        <v>3.01</v>
      </c>
      <c r="R16" s="9">
        <f t="shared" si="3"/>
        <v>0.301</v>
      </c>
    </row>
    <row r="17" spans="2:18" ht="12.75">
      <c r="B17" s="6" t="s">
        <v>40</v>
      </c>
      <c r="C17" s="7">
        <v>0.05</v>
      </c>
      <c r="D17"/>
      <c r="E17">
        <v>0.985</v>
      </c>
      <c r="F17" s="9">
        <f t="shared" si="0"/>
        <v>0.04925</v>
      </c>
      <c r="G17" s="17">
        <f t="shared" si="1"/>
        <v>0.985</v>
      </c>
      <c r="H17" s="9">
        <f t="shared" si="0"/>
        <v>0.04925</v>
      </c>
      <c r="I17"/>
      <c r="J17">
        <v>1.11</v>
      </c>
      <c r="K17" s="9">
        <f t="shared" si="2"/>
        <v>0.05550000000000001</v>
      </c>
      <c r="L17" s="17">
        <f t="shared" si="4"/>
        <v>1.11</v>
      </c>
      <c r="M17" s="9">
        <f t="shared" si="2"/>
        <v>0.05550000000000001</v>
      </c>
      <c r="N17"/>
      <c r="O17">
        <v>1</v>
      </c>
      <c r="P17" s="9">
        <f t="shared" si="3"/>
        <v>0.05</v>
      </c>
      <c r="Q17" s="17">
        <f t="shared" si="5"/>
        <v>1</v>
      </c>
      <c r="R17" s="9">
        <f t="shared" si="3"/>
        <v>0.05</v>
      </c>
    </row>
    <row r="18" spans="2:18" ht="12.75">
      <c r="B18" s="6" t="s">
        <v>41</v>
      </c>
      <c r="C18" s="7">
        <v>0.5</v>
      </c>
      <c r="D18"/>
      <c r="E18">
        <v>2.31</v>
      </c>
      <c r="F18" s="9">
        <f t="shared" si="0"/>
        <v>1.155</v>
      </c>
      <c r="G18" s="17">
        <f t="shared" si="1"/>
        <v>2.31</v>
      </c>
      <c r="H18" s="9">
        <f t="shared" si="0"/>
        <v>1.155</v>
      </c>
      <c r="I18"/>
      <c r="J18">
        <v>2.42</v>
      </c>
      <c r="K18" s="9">
        <f t="shared" si="2"/>
        <v>1.21</v>
      </c>
      <c r="L18" s="17">
        <f t="shared" si="4"/>
        <v>2.42</v>
      </c>
      <c r="M18" s="9">
        <f t="shared" si="2"/>
        <v>1.21</v>
      </c>
      <c r="N18"/>
      <c r="O18">
        <v>3.41</v>
      </c>
      <c r="P18" s="9">
        <f t="shared" si="3"/>
        <v>1.705</v>
      </c>
      <c r="Q18" s="17">
        <f t="shared" si="5"/>
        <v>3.41</v>
      </c>
      <c r="R18" s="9">
        <f t="shared" si="3"/>
        <v>1.705</v>
      </c>
    </row>
    <row r="19" spans="2:18" ht="12.75">
      <c r="B19" s="6" t="s">
        <v>42</v>
      </c>
      <c r="C19" s="7">
        <v>0.1</v>
      </c>
      <c r="D19"/>
      <c r="E19">
        <v>2.63</v>
      </c>
      <c r="F19" s="9">
        <f t="shared" si="0"/>
        <v>0.263</v>
      </c>
      <c r="G19" s="17">
        <f t="shared" si="1"/>
        <v>2.63</v>
      </c>
      <c r="H19" s="9">
        <f t="shared" si="0"/>
        <v>0.263</v>
      </c>
      <c r="I19"/>
      <c r="J19">
        <v>2.954</v>
      </c>
      <c r="K19" s="9">
        <f t="shared" si="2"/>
        <v>0.29540000000000005</v>
      </c>
      <c r="L19" s="17">
        <f t="shared" si="4"/>
        <v>2.954</v>
      </c>
      <c r="M19" s="9">
        <f t="shared" si="2"/>
        <v>0.29540000000000005</v>
      </c>
      <c r="N19"/>
      <c r="O19">
        <v>4.75</v>
      </c>
      <c r="P19" s="9">
        <f t="shared" si="3"/>
        <v>0.47500000000000003</v>
      </c>
      <c r="Q19" s="17">
        <f t="shared" si="5"/>
        <v>4.75</v>
      </c>
      <c r="R19" s="9">
        <f t="shared" si="3"/>
        <v>0.47500000000000003</v>
      </c>
    </row>
    <row r="20" spans="2:18" ht="12.75">
      <c r="B20" s="6" t="s">
        <v>43</v>
      </c>
      <c r="C20" s="7">
        <v>0.01</v>
      </c>
      <c r="D20"/>
      <c r="E20">
        <v>0.859</v>
      </c>
      <c r="F20" s="9">
        <f t="shared" si="0"/>
        <v>0.00859</v>
      </c>
      <c r="G20" s="17">
        <f t="shared" si="1"/>
        <v>0.859</v>
      </c>
      <c r="H20" s="9">
        <f t="shared" si="0"/>
        <v>0.00859</v>
      </c>
      <c r="I20"/>
      <c r="J20">
        <v>0.997</v>
      </c>
      <c r="K20" s="9">
        <f t="shared" si="2"/>
        <v>0.00997</v>
      </c>
      <c r="L20" s="17">
        <f t="shared" si="4"/>
        <v>0.997</v>
      </c>
      <c r="M20" s="9">
        <f t="shared" si="2"/>
        <v>0.00997</v>
      </c>
      <c r="N20"/>
      <c r="O20">
        <v>1.22</v>
      </c>
      <c r="P20" s="9">
        <f t="shared" si="3"/>
        <v>0.0122</v>
      </c>
      <c r="Q20" s="17">
        <f t="shared" si="5"/>
        <v>1.22</v>
      </c>
      <c r="R20" s="9">
        <f t="shared" si="3"/>
        <v>0.0122</v>
      </c>
    </row>
    <row r="21" spans="2:18" ht="12.75">
      <c r="B21" s="6" t="s">
        <v>44</v>
      </c>
      <c r="C21" s="7">
        <v>0.001</v>
      </c>
      <c r="D21"/>
      <c r="E21">
        <v>0.33</v>
      </c>
      <c r="F21" s="9">
        <f t="shared" si="0"/>
        <v>0.00033</v>
      </c>
      <c r="G21" s="17">
        <f t="shared" si="1"/>
        <v>0.33</v>
      </c>
      <c r="H21" s="9">
        <f t="shared" si="0"/>
        <v>0.00033</v>
      </c>
      <c r="I21"/>
      <c r="J21">
        <v>0.41</v>
      </c>
      <c r="K21" s="9">
        <f t="shared" si="2"/>
        <v>0.00041</v>
      </c>
      <c r="L21" s="17">
        <f t="shared" si="4"/>
        <v>0.41</v>
      </c>
      <c r="M21" s="9">
        <f t="shared" si="2"/>
        <v>0.00041</v>
      </c>
      <c r="N21"/>
      <c r="O21">
        <v>0.32</v>
      </c>
      <c r="P21" s="9">
        <f t="shared" si="3"/>
        <v>0.00032</v>
      </c>
      <c r="Q21" s="17">
        <f t="shared" si="5"/>
        <v>0.32</v>
      </c>
      <c r="R21" s="9">
        <f t="shared" si="3"/>
        <v>0.00032</v>
      </c>
    </row>
    <row r="22" spans="5:17" ht="9" customHeight="1">
      <c r="E22" s="19"/>
      <c r="G22" s="19"/>
      <c r="I22" s="20"/>
      <c r="J22" s="18"/>
      <c r="K22" s="16"/>
      <c r="L22" s="16"/>
      <c r="M22" s="16"/>
      <c r="N22" s="20"/>
      <c r="O22" s="18"/>
      <c r="Q22" s="19"/>
    </row>
    <row r="23" spans="2:18" ht="12.75">
      <c r="B23" s="6" t="s">
        <v>45</v>
      </c>
      <c r="E23" s="19"/>
      <c r="F23">
        <v>77.26</v>
      </c>
      <c r="G23">
        <v>77.26</v>
      </c>
      <c r="H23">
        <v>77.26</v>
      </c>
      <c r="I23"/>
      <c r="J23"/>
      <c r="K23">
        <v>78.18</v>
      </c>
      <c r="L23">
        <v>78.18</v>
      </c>
      <c r="M23">
        <v>78.18</v>
      </c>
      <c r="N23"/>
      <c r="O23"/>
      <c r="P23" s="19">
        <v>84.03</v>
      </c>
      <c r="Q23">
        <v>84.03</v>
      </c>
      <c r="R23" s="19">
        <v>84.03</v>
      </c>
    </row>
    <row r="24" spans="2:18" ht="12.75">
      <c r="B24" s="6" t="s">
        <v>46</v>
      </c>
      <c r="E24" s="19"/>
      <c r="F24">
        <v>7</v>
      </c>
      <c r="G24">
        <v>7</v>
      </c>
      <c r="H24">
        <v>7</v>
      </c>
      <c r="I24"/>
      <c r="J24"/>
      <c r="K24">
        <v>6.9</v>
      </c>
      <c r="L24">
        <v>6.9</v>
      </c>
      <c r="M24">
        <v>6.9</v>
      </c>
      <c r="N24"/>
      <c r="O24"/>
      <c r="P24" s="19">
        <v>6.6</v>
      </c>
      <c r="Q24">
        <v>6.6</v>
      </c>
      <c r="R24" s="19">
        <v>6.6</v>
      </c>
    </row>
    <row r="25" spans="5:18" ht="9.75" customHeight="1">
      <c r="E25" s="19"/>
      <c r="F25" s="21"/>
      <c r="G25" s="19"/>
      <c r="H25" s="21"/>
      <c r="I25" s="22"/>
      <c r="J25" s="19"/>
      <c r="K25" s="23"/>
      <c r="L25" s="16"/>
      <c r="M25" s="23"/>
      <c r="N25" s="20"/>
      <c r="O25" s="19"/>
      <c r="P25" s="19"/>
      <c r="Q25" s="19"/>
      <c r="R25" s="19"/>
    </row>
    <row r="26" spans="2:18" ht="12" customHeight="1">
      <c r="B26" s="6" t="s">
        <v>47</v>
      </c>
      <c r="C26" s="9"/>
      <c r="D26" s="13"/>
      <c r="E26" s="16"/>
      <c r="F26" s="17">
        <f>SUM(F11:F21)</f>
        <v>2.1913199999999997</v>
      </c>
      <c r="G26" s="17"/>
      <c r="H26" s="17">
        <f>SUM(H11:H21)</f>
        <v>2.1913199999999997</v>
      </c>
      <c r="I26" s="13"/>
      <c r="J26" s="16"/>
      <c r="K26" s="17">
        <f>SUM(K11:K21)</f>
        <v>2.47075</v>
      </c>
      <c r="L26" s="17"/>
      <c r="M26" s="17">
        <f>SUM(M11:M21)</f>
        <v>2.47075</v>
      </c>
      <c r="N26" s="13"/>
      <c r="O26" s="19"/>
      <c r="P26" s="17">
        <f>SUM(P11:P21)</f>
        <v>3.72277</v>
      </c>
      <c r="Q26" s="17"/>
      <c r="R26" s="17">
        <f>SUM(R11:R21)</f>
        <v>3.72277</v>
      </c>
    </row>
    <row r="27" spans="2:18" ht="12.75">
      <c r="B27" s="6" t="s">
        <v>48</v>
      </c>
      <c r="C27" s="9"/>
      <c r="D27" s="16">
        <f>(F27-H27)*2/F27*100</f>
        <v>0</v>
      </c>
      <c r="E27" s="19"/>
      <c r="F27" s="17">
        <f>(F26/F23/0.0283*(21-7)/(21-F24))</f>
        <v>1.0022236878092328</v>
      </c>
      <c r="G27" s="17"/>
      <c r="H27" s="17">
        <f>(H26/H23/0.0283*(21-7)/(21-H24))</f>
        <v>1.0022236878092328</v>
      </c>
      <c r="I27" s="16">
        <f>(K27-M27)*2/K27*100</f>
        <v>0</v>
      </c>
      <c r="J27" s="19"/>
      <c r="K27" s="17">
        <f>(K26/K23/0.0283*(21-7)/(21-K24))</f>
        <v>1.108806148335141</v>
      </c>
      <c r="L27" s="17"/>
      <c r="M27" s="17">
        <f>(M26/M23/0.0283*(21-7)/(21-M24))</f>
        <v>1.108806148335141</v>
      </c>
      <c r="N27" s="16">
        <f>(P27-R27)*2/P27*100</f>
        <v>0</v>
      </c>
      <c r="O27" s="19"/>
      <c r="P27" s="17">
        <f>(P26/P23/0.0283*(21-7)/(21-P24))</f>
        <v>1.5219870247510554</v>
      </c>
      <c r="Q27" s="17"/>
      <c r="R27" s="17">
        <f>(R26/R23/0.0283*(21-7)/(21-R24))</f>
        <v>1.5219870247510554</v>
      </c>
    </row>
    <row r="28" spans="5:17" ht="9.75" customHeight="1">
      <c r="E28" s="17"/>
      <c r="G28" s="17"/>
      <c r="I28" s="24"/>
      <c r="J28" s="17"/>
      <c r="K28" s="17"/>
      <c r="L28" s="17"/>
      <c r="M28" s="17"/>
      <c r="N28" s="24"/>
      <c r="O28" s="17"/>
      <c r="Q28" s="17"/>
    </row>
    <row r="29" spans="2:31" s="19" customFormat="1" ht="12.75">
      <c r="B29" s="19" t="s">
        <v>60</v>
      </c>
      <c r="C29" s="17">
        <f>AVERAGE(H27,M27,R27)</f>
        <v>1.2110056202984765</v>
      </c>
      <c r="D29" s="20"/>
      <c r="F29" s="9"/>
      <c r="H29" s="9"/>
      <c r="I29" s="20"/>
      <c r="N29" s="20"/>
      <c r="P29" s="8"/>
      <c r="R29" s="8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5:18" ht="12.75">
      <c r="E30" s="6"/>
      <c r="G30" s="6"/>
      <c r="I30" s="7"/>
      <c r="J30" s="6"/>
      <c r="K30" s="6"/>
      <c r="L30" s="6"/>
      <c r="M30" s="6"/>
      <c r="N30" s="7"/>
      <c r="O30" s="6"/>
      <c r="P30" s="6"/>
      <c r="Q30" s="6"/>
      <c r="R30" s="6"/>
    </row>
    <row r="31" spans="5:18" ht="12.75">
      <c r="E31" s="6"/>
      <c r="G31" s="6"/>
      <c r="I31" s="7"/>
      <c r="J31" s="6"/>
      <c r="K31" s="6"/>
      <c r="L31" s="6"/>
      <c r="M31" s="6"/>
      <c r="N31" s="7"/>
      <c r="O31" s="6"/>
      <c r="P31" s="6"/>
      <c r="Q31" s="6"/>
      <c r="R31" s="6"/>
    </row>
    <row r="32" spans="5:18" ht="12.75">
      <c r="E32" s="6"/>
      <c r="G32" s="6"/>
      <c r="I32" s="7"/>
      <c r="J32" s="6"/>
      <c r="K32" s="6"/>
      <c r="L32" s="6"/>
      <c r="M32" s="6"/>
      <c r="N32" s="7"/>
      <c r="O32" s="6"/>
      <c r="P32" s="6"/>
      <c r="Q32" s="6"/>
      <c r="R32" s="6"/>
    </row>
    <row r="33" spans="9:18" ht="12.75">
      <c r="I33" s="7"/>
      <c r="J33" s="6"/>
      <c r="K33" s="6"/>
      <c r="L33" s="6"/>
      <c r="M33" s="6"/>
      <c r="N33" s="7"/>
      <c r="O33" s="6"/>
      <c r="P33" s="6"/>
      <c r="Q33" s="6"/>
      <c r="R33" s="6"/>
    </row>
    <row r="34" spans="5:18" ht="12.75">
      <c r="E34" s="7"/>
      <c r="G34" s="12"/>
      <c r="I34" s="7"/>
      <c r="J34" s="6"/>
      <c r="K34" s="6"/>
      <c r="L34" s="6"/>
      <c r="M34" s="6"/>
      <c r="N34" s="7"/>
      <c r="O34" s="6"/>
      <c r="P34" s="6"/>
      <c r="Q34" s="6"/>
      <c r="R34" s="6"/>
    </row>
    <row r="35" spans="5:18" ht="12.75">
      <c r="E35" s="11"/>
      <c r="F35" s="25"/>
      <c r="G35" s="11"/>
      <c r="H35" s="25"/>
      <c r="I35" s="7"/>
      <c r="J35" s="6"/>
      <c r="K35" s="6"/>
      <c r="L35" s="6"/>
      <c r="M35" s="6"/>
      <c r="N35" s="7"/>
      <c r="O35" s="6"/>
      <c r="P35" s="6"/>
      <c r="Q35" s="6"/>
      <c r="R35" s="6"/>
    </row>
    <row r="36" spans="5:18" ht="12.75">
      <c r="E36" s="6"/>
      <c r="G36" s="6"/>
      <c r="I36" s="7"/>
      <c r="J36" s="6"/>
      <c r="K36" s="6"/>
      <c r="L36" s="6"/>
      <c r="M36" s="6"/>
      <c r="N36" s="7"/>
      <c r="O36" s="6"/>
      <c r="P36" s="6"/>
      <c r="Q36" s="6"/>
      <c r="R36" s="6"/>
    </row>
    <row r="37" spans="5:18" ht="12.75">
      <c r="E37" s="6"/>
      <c r="G37" s="6"/>
      <c r="I37" s="7"/>
      <c r="J37" s="6"/>
      <c r="K37" s="6"/>
      <c r="L37" s="6"/>
      <c r="M37" s="6"/>
      <c r="N37" s="7"/>
      <c r="O37" s="6"/>
      <c r="P37" s="6"/>
      <c r="Q37" s="6"/>
      <c r="R37" s="6"/>
    </row>
    <row r="38" spans="3:18" ht="12.75">
      <c r="C38" s="7"/>
      <c r="E38" s="14"/>
      <c r="F38" s="26"/>
      <c r="G38" s="14"/>
      <c r="H38" s="26"/>
      <c r="I38" s="15"/>
      <c r="J38" s="14"/>
      <c r="K38" s="14"/>
      <c r="L38" s="14"/>
      <c r="M38" s="14"/>
      <c r="N38" s="15"/>
      <c r="O38" s="14"/>
      <c r="P38" s="14"/>
      <c r="Q38" s="14"/>
      <c r="R38" s="14"/>
    </row>
    <row r="39" spans="3:18" ht="12.75">
      <c r="C39" s="7"/>
      <c r="E39" s="10"/>
      <c r="F39" s="13"/>
      <c r="G39" s="10"/>
      <c r="H39" s="13"/>
      <c r="J39" s="10"/>
      <c r="K39" s="10"/>
      <c r="L39" s="10"/>
      <c r="M39" s="10"/>
      <c r="O39" s="10"/>
      <c r="P39" s="10"/>
      <c r="Q39" s="10"/>
      <c r="R39" s="10"/>
    </row>
    <row r="40" spans="3:18" ht="12.75">
      <c r="C40" s="7"/>
      <c r="E40" s="10"/>
      <c r="G40" s="10"/>
      <c r="J40" s="10"/>
      <c r="K40" s="9"/>
      <c r="L40" s="10"/>
      <c r="M40" s="9"/>
      <c r="O40" s="10"/>
      <c r="P40" s="9"/>
      <c r="Q40" s="10"/>
      <c r="R40" s="9"/>
    </row>
    <row r="41" ht="12.75">
      <c r="O41" s="16"/>
    </row>
    <row r="42" spans="3:18" ht="12.75">
      <c r="C42" s="7"/>
      <c r="E42" s="16"/>
      <c r="G42" s="16"/>
      <c r="I42" s="13"/>
      <c r="J42" s="18"/>
      <c r="K42" s="16"/>
      <c r="L42" s="16"/>
      <c r="M42" s="16"/>
      <c r="N42" s="13"/>
      <c r="O42" s="16"/>
      <c r="P42" s="9">
        <f aca="true" t="shared" si="6" ref="P42:R54">IF(O42="","",O42*$C42)</f>
      </c>
      <c r="Q42" s="16"/>
      <c r="R42" s="9">
        <f t="shared" si="6"/>
      </c>
    </row>
    <row r="43" spans="3:18" ht="12.75">
      <c r="C43" s="7"/>
      <c r="E43" s="16"/>
      <c r="G43" s="16"/>
      <c r="I43" s="13"/>
      <c r="J43" s="18"/>
      <c r="K43" s="16"/>
      <c r="L43" s="16"/>
      <c r="M43" s="16"/>
      <c r="N43" s="13"/>
      <c r="O43" s="23"/>
      <c r="P43" s="9">
        <f t="shared" si="6"/>
      </c>
      <c r="Q43" s="16"/>
      <c r="R43" s="9">
        <f t="shared" si="6"/>
      </c>
    </row>
    <row r="44" spans="3:18" ht="12.75">
      <c r="C44" s="7"/>
      <c r="E44" s="16"/>
      <c r="G44" s="16"/>
      <c r="I44" s="13"/>
      <c r="J44" s="18"/>
      <c r="K44" s="16"/>
      <c r="L44" s="16"/>
      <c r="M44" s="16"/>
      <c r="N44" s="13"/>
      <c r="O44" s="23"/>
      <c r="P44" s="9">
        <f t="shared" si="6"/>
      </c>
      <c r="Q44" s="16"/>
      <c r="R44" s="9">
        <f t="shared" si="6"/>
      </c>
    </row>
    <row r="45" spans="3:18" ht="12.75">
      <c r="C45" s="7"/>
      <c r="E45" s="16"/>
      <c r="G45" s="16"/>
      <c r="I45" s="13"/>
      <c r="J45" s="18"/>
      <c r="K45" s="16"/>
      <c r="L45" s="16"/>
      <c r="M45" s="16"/>
      <c r="N45" s="13"/>
      <c r="O45" s="23"/>
      <c r="P45" s="9">
        <f t="shared" si="6"/>
      </c>
      <c r="Q45" s="16"/>
      <c r="R45" s="9">
        <f t="shared" si="6"/>
      </c>
    </row>
    <row r="46" spans="3:18" ht="12.75">
      <c r="C46" s="7"/>
      <c r="E46" s="16"/>
      <c r="G46" s="16"/>
      <c r="I46" s="13"/>
      <c r="J46" s="18"/>
      <c r="K46" s="16"/>
      <c r="L46" s="16"/>
      <c r="M46" s="16"/>
      <c r="N46" s="13"/>
      <c r="O46" s="23"/>
      <c r="P46" s="9">
        <f t="shared" si="6"/>
      </c>
      <c r="Q46" s="16"/>
      <c r="R46" s="9">
        <f t="shared" si="6"/>
      </c>
    </row>
    <row r="47" spans="3:18" ht="12.75">
      <c r="C47" s="7"/>
      <c r="E47" s="16"/>
      <c r="G47" s="16"/>
      <c r="I47" s="13"/>
      <c r="J47" s="18"/>
      <c r="K47" s="16"/>
      <c r="L47" s="16"/>
      <c r="M47" s="16"/>
      <c r="N47" s="13"/>
      <c r="O47" s="23"/>
      <c r="P47" s="9">
        <f t="shared" si="6"/>
      </c>
      <c r="Q47" s="16"/>
      <c r="R47" s="9">
        <f t="shared" si="6"/>
      </c>
    </row>
    <row r="48" spans="3:18" ht="12.75">
      <c r="C48" s="7"/>
      <c r="E48" s="16"/>
      <c r="G48" s="16"/>
      <c r="I48" s="13"/>
      <c r="J48" s="18"/>
      <c r="K48" s="16"/>
      <c r="L48" s="16"/>
      <c r="M48" s="16"/>
      <c r="N48" s="13"/>
      <c r="O48" s="23"/>
      <c r="P48" s="9">
        <f t="shared" si="6"/>
      </c>
      <c r="Q48" s="16"/>
      <c r="R48" s="9">
        <f t="shared" si="6"/>
      </c>
    </row>
    <row r="49" spans="3:18" ht="12.75">
      <c r="C49" s="7"/>
      <c r="E49" s="16"/>
      <c r="G49" s="16"/>
      <c r="I49" s="13"/>
      <c r="J49" s="18"/>
      <c r="K49" s="16"/>
      <c r="L49" s="16"/>
      <c r="M49" s="16"/>
      <c r="N49" s="13"/>
      <c r="O49" s="23"/>
      <c r="P49" s="9">
        <f t="shared" si="6"/>
      </c>
      <c r="Q49" s="16"/>
      <c r="R49" s="9">
        <f t="shared" si="6"/>
      </c>
    </row>
    <row r="50" spans="3:18" ht="12.75">
      <c r="C50" s="7"/>
      <c r="E50" s="16"/>
      <c r="G50" s="16"/>
      <c r="I50" s="13"/>
      <c r="J50" s="18"/>
      <c r="K50" s="16"/>
      <c r="L50" s="16"/>
      <c r="M50" s="16"/>
      <c r="N50" s="13"/>
      <c r="O50" s="23"/>
      <c r="P50" s="9">
        <f t="shared" si="6"/>
      </c>
      <c r="Q50" s="16"/>
      <c r="R50" s="9">
        <f t="shared" si="6"/>
      </c>
    </row>
    <row r="51" spans="3:18" ht="12.75">
      <c r="C51" s="7"/>
      <c r="E51" s="16"/>
      <c r="G51" s="16"/>
      <c r="I51" s="13"/>
      <c r="J51" s="18"/>
      <c r="K51" s="16"/>
      <c r="L51" s="16"/>
      <c r="M51" s="16"/>
      <c r="N51" s="13"/>
      <c r="O51" s="23"/>
      <c r="P51" s="9">
        <f t="shared" si="6"/>
      </c>
      <c r="Q51" s="16"/>
      <c r="R51" s="9">
        <f t="shared" si="6"/>
      </c>
    </row>
    <row r="52" spans="3:18" ht="12.75">
      <c r="C52" s="7"/>
      <c r="E52" s="16"/>
      <c r="G52" s="16"/>
      <c r="I52" s="13"/>
      <c r="J52" s="18"/>
      <c r="K52" s="16"/>
      <c r="L52" s="16"/>
      <c r="M52" s="16"/>
      <c r="N52" s="13"/>
      <c r="O52" s="23"/>
      <c r="P52" s="9">
        <f t="shared" si="6"/>
      </c>
      <c r="Q52" s="16"/>
      <c r="R52" s="9">
        <f t="shared" si="6"/>
      </c>
    </row>
    <row r="53" spans="3:18" ht="12.75">
      <c r="C53" s="7"/>
      <c r="E53" s="16"/>
      <c r="G53" s="16"/>
      <c r="I53" s="13"/>
      <c r="J53" s="18"/>
      <c r="K53" s="16"/>
      <c r="L53" s="16"/>
      <c r="M53" s="16"/>
      <c r="N53" s="13"/>
      <c r="O53" s="23"/>
      <c r="P53" s="9">
        <f t="shared" si="6"/>
      </c>
      <c r="Q53" s="16"/>
      <c r="R53" s="9">
        <f t="shared" si="6"/>
      </c>
    </row>
    <row r="54" spans="3:18" ht="12.75">
      <c r="C54" s="7"/>
      <c r="E54" s="16"/>
      <c r="G54" s="16"/>
      <c r="I54" s="13"/>
      <c r="J54" s="18"/>
      <c r="K54" s="16"/>
      <c r="L54" s="16"/>
      <c r="M54" s="16"/>
      <c r="N54" s="13"/>
      <c r="O54" s="23"/>
      <c r="P54" s="9">
        <f t="shared" si="6"/>
      </c>
      <c r="Q54" s="16"/>
      <c r="R54" s="9">
        <f t="shared" si="6"/>
      </c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C2" sqref="C2"/>
    </sheetView>
  </sheetViews>
  <sheetFormatPr defaultColWidth="9.140625" defaultRowHeight="12.75"/>
  <cols>
    <col min="1" max="1" width="2.8515625" style="6" customWidth="1"/>
    <col min="2" max="2" width="25.8515625" style="6" customWidth="1"/>
    <col min="3" max="3" width="7.8515625" style="6" customWidth="1"/>
    <col min="4" max="4" width="3.8515625" style="7" customWidth="1"/>
    <col min="5" max="5" width="8.7109375" style="8" customWidth="1"/>
    <col min="6" max="6" width="7.7109375" style="9" customWidth="1"/>
    <col min="7" max="7" width="8.57421875" style="8" customWidth="1"/>
    <col min="8" max="8" width="7.7109375" style="9" customWidth="1"/>
    <col min="9" max="9" width="3.57421875" style="10" customWidth="1"/>
    <col min="10" max="10" width="7.00390625" style="8" customWidth="1"/>
    <col min="11" max="11" width="8.28125" style="8" customWidth="1"/>
    <col min="12" max="12" width="9.140625" style="8" customWidth="1"/>
    <col min="13" max="13" width="8.28125" style="8" customWidth="1"/>
    <col min="14" max="14" width="3.57421875" style="10" customWidth="1"/>
    <col min="15" max="15" width="7.8515625" style="8" customWidth="1"/>
    <col min="16" max="18" width="8.7109375" style="8" customWidth="1"/>
    <col min="19" max="19" width="7.421875" style="0" customWidth="1"/>
    <col min="20" max="31" width="10.8515625" style="0" customWidth="1"/>
    <col min="32" max="16384" width="10.8515625" style="6" customWidth="1"/>
  </cols>
  <sheetData>
    <row r="1" ht="12.75">
      <c r="A1" s="48" t="s">
        <v>68</v>
      </c>
    </row>
    <row r="2" ht="12.75">
      <c r="A2" s="6" t="s">
        <v>328</v>
      </c>
    </row>
    <row r="3" spans="1:3" ht="12.75">
      <c r="A3" s="6" t="s">
        <v>22</v>
      </c>
      <c r="C3" s="11" t="s">
        <v>154</v>
      </c>
    </row>
    <row r="4" spans="1:18" ht="12.75">
      <c r="A4" s="6" t="s">
        <v>23</v>
      </c>
      <c r="C4" s="11" t="s">
        <v>153</v>
      </c>
      <c r="E4" s="12"/>
      <c r="F4" s="13"/>
      <c r="G4" s="12"/>
      <c r="H4" s="13"/>
      <c r="J4" s="12"/>
      <c r="K4" s="12"/>
      <c r="L4" s="12"/>
      <c r="M4" s="12"/>
      <c r="O4" s="12"/>
      <c r="P4" s="12"/>
      <c r="Q4" s="12"/>
      <c r="R4" s="12"/>
    </row>
    <row r="5" spans="1:3" ht="12.75">
      <c r="A5" s="6" t="s">
        <v>24</v>
      </c>
      <c r="C5" s="11" t="s">
        <v>139</v>
      </c>
    </row>
    <row r="6" spans="3:17" ht="12.75">
      <c r="C6" s="7"/>
      <c r="E6" s="10"/>
      <c r="G6" s="10"/>
      <c r="J6" s="10"/>
      <c r="L6" s="10"/>
      <c r="O6" s="10"/>
      <c r="Q6" s="10"/>
    </row>
    <row r="7" spans="3:31" ht="12.75">
      <c r="C7" s="7" t="s">
        <v>25</v>
      </c>
      <c r="E7" s="14" t="s">
        <v>26</v>
      </c>
      <c r="F7" s="14"/>
      <c r="G7" s="14"/>
      <c r="H7" s="14"/>
      <c r="I7" s="15"/>
      <c r="J7" s="14" t="s">
        <v>27</v>
      </c>
      <c r="K7" s="14"/>
      <c r="L7" s="14"/>
      <c r="M7" s="14"/>
      <c r="N7" s="15"/>
      <c r="O7" s="14" t="s">
        <v>28</v>
      </c>
      <c r="P7" s="14"/>
      <c r="Q7" s="14"/>
      <c r="R7" s="14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3:31" ht="12.75">
      <c r="C8" s="7" t="s">
        <v>29</v>
      </c>
      <c r="E8" s="10" t="s">
        <v>30</v>
      </c>
      <c r="F8" s="13" t="s">
        <v>31</v>
      </c>
      <c r="G8" s="10" t="s">
        <v>30</v>
      </c>
      <c r="H8" s="13" t="s">
        <v>31</v>
      </c>
      <c r="J8" s="10" t="s">
        <v>30</v>
      </c>
      <c r="K8" s="10" t="s">
        <v>32</v>
      </c>
      <c r="L8" s="10" t="s">
        <v>30</v>
      </c>
      <c r="M8" s="10" t="s">
        <v>32</v>
      </c>
      <c r="O8" s="10" t="s">
        <v>30</v>
      </c>
      <c r="P8" s="10" t="s">
        <v>32</v>
      </c>
      <c r="Q8" s="10" t="s">
        <v>30</v>
      </c>
      <c r="R8" s="10" t="s">
        <v>32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3:31" ht="12.75">
      <c r="C9" s="7"/>
      <c r="E9" s="10" t="s">
        <v>216</v>
      </c>
      <c r="F9" s="10" t="s">
        <v>216</v>
      </c>
      <c r="G9" s="10" t="s">
        <v>59</v>
      </c>
      <c r="H9" s="13" t="s">
        <v>59</v>
      </c>
      <c r="J9" s="10" t="s">
        <v>216</v>
      </c>
      <c r="K9" s="10" t="s">
        <v>216</v>
      </c>
      <c r="L9" s="10" t="s">
        <v>59</v>
      </c>
      <c r="M9" s="13" t="s">
        <v>59</v>
      </c>
      <c r="O9" s="10" t="s">
        <v>216</v>
      </c>
      <c r="P9" s="10" t="s">
        <v>216</v>
      </c>
      <c r="Q9" s="10" t="s">
        <v>59</v>
      </c>
      <c r="R9" s="13" t="s">
        <v>59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15" ht="13.5" customHeight="1">
      <c r="A10" s="6" t="s">
        <v>33</v>
      </c>
      <c r="O10" s="16"/>
    </row>
    <row r="11" spans="2:18" ht="12.75">
      <c r="B11" s="6" t="s">
        <v>34</v>
      </c>
      <c r="C11" s="7">
        <v>1</v>
      </c>
      <c r="D11"/>
      <c r="E11">
        <v>0.044</v>
      </c>
      <c r="F11" s="9">
        <f aca="true" t="shared" si="0" ref="F11:H21">IF(E11="","",E11*$C11)</f>
        <v>0.044</v>
      </c>
      <c r="G11" s="17">
        <f aca="true" t="shared" si="1" ref="G11:G21">IF(E11=0,"",IF(D11="nd",E11/2,E11))</f>
        <v>0.044</v>
      </c>
      <c r="H11" s="9">
        <f t="shared" si="0"/>
        <v>0.044</v>
      </c>
      <c r="I11"/>
      <c r="J11">
        <v>0.053</v>
      </c>
      <c r="K11" s="9">
        <f aca="true" t="shared" si="2" ref="K11:M21">IF(J11="","",J11*$C11)</f>
        <v>0.053</v>
      </c>
      <c r="L11" s="17">
        <f>IF(J11=0,"",IF(I11="nd",J11/2,J11))</f>
        <v>0.053</v>
      </c>
      <c r="M11" s="9">
        <f t="shared" si="2"/>
        <v>0.053</v>
      </c>
      <c r="N11"/>
      <c r="O11">
        <v>0.054</v>
      </c>
      <c r="P11" s="9">
        <f aca="true" t="shared" si="3" ref="P11:R21">IF(O11="","",O11*$C11)</f>
        <v>0.054</v>
      </c>
      <c r="Q11" s="17">
        <f>IF(O11=0,"",IF(N11="nd",O11/2,O11))</f>
        <v>0.054</v>
      </c>
      <c r="R11" s="9">
        <f t="shared" si="3"/>
        <v>0.054</v>
      </c>
    </row>
    <row r="12" spans="2:18" ht="12.75">
      <c r="B12" s="6" t="s">
        <v>35</v>
      </c>
      <c r="C12" s="7">
        <v>0.5</v>
      </c>
      <c r="D12"/>
      <c r="E12">
        <v>0.147</v>
      </c>
      <c r="F12" s="9">
        <f t="shared" si="0"/>
        <v>0.0735</v>
      </c>
      <c r="G12" s="17">
        <f t="shared" si="1"/>
        <v>0.147</v>
      </c>
      <c r="H12" s="9">
        <f t="shared" si="0"/>
        <v>0.0735</v>
      </c>
      <c r="I12"/>
      <c r="J12">
        <v>0.115</v>
      </c>
      <c r="K12" s="9">
        <f t="shared" si="2"/>
        <v>0.0575</v>
      </c>
      <c r="L12" s="17">
        <f aca="true" t="shared" si="4" ref="L12:L21">IF(J12=0,"",IF(I12="nd",J12/2,J12))</f>
        <v>0.115</v>
      </c>
      <c r="M12" s="9">
        <f t="shared" si="2"/>
        <v>0.0575</v>
      </c>
      <c r="N12"/>
      <c r="O12">
        <v>0.13</v>
      </c>
      <c r="P12" s="9">
        <f t="shared" si="3"/>
        <v>0.065</v>
      </c>
      <c r="Q12" s="17">
        <f aca="true" t="shared" si="5" ref="Q12:Q21">IF(O12=0,"",IF(N12="nd",O12/2,O12))</f>
        <v>0.13</v>
      </c>
      <c r="R12" s="9">
        <f t="shared" si="3"/>
        <v>0.065</v>
      </c>
    </row>
    <row r="13" spans="2:18" ht="12.75">
      <c r="B13" s="6" t="s">
        <v>36</v>
      </c>
      <c r="C13" s="7">
        <v>0.1</v>
      </c>
      <c r="D13"/>
      <c r="E13">
        <v>1.19</v>
      </c>
      <c r="F13" s="9">
        <f t="shared" si="0"/>
        <v>0.119</v>
      </c>
      <c r="G13" s="17">
        <f t="shared" si="1"/>
        <v>1.19</v>
      </c>
      <c r="H13" s="9">
        <f t="shared" si="0"/>
        <v>0.119</v>
      </c>
      <c r="I13"/>
      <c r="J13">
        <v>1.05</v>
      </c>
      <c r="K13" s="9">
        <f t="shared" si="2"/>
        <v>0.10500000000000001</v>
      </c>
      <c r="L13" s="17">
        <f t="shared" si="4"/>
        <v>1.05</v>
      </c>
      <c r="M13" s="9">
        <f t="shared" si="2"/>
        <v>0.10500000000000001</v>
      </c>
      <c r="N13"/>
      <c r="O13">
        <v>1.54</v>
      </c>
      <c r="P13" s="9">
        <f t="shared" si="3"/>
        <v>0.15400000000000003</v>
      </c>
      <c r="Q13" s="17">
        <f t="shared" si="5"/>
        <v>1.54</v>
      </c>
      <c r="R13" s="9">
        <f t="shared" si="3"/>
        <v>0.15400000000000003</v>
      </c>
    </row>
    <row r="14" spans="2:18" ht="12.75">
      <c r="B14" s="6" t="s">
        <v>37</v>
      </c>
      <c r="C14" s="7">
        <v>0.01</v>
      </c>
      <c r="D14"/>
      <c r="E14">
        <v>2.96</v>
      </c>
      <c r="F14" s="9">
        <f t="shared" si="0"/>
        <v>0.0296</v>
      </c>
      <c r="G14" s="17">
        <f t="shared" si="1"/>
        <v>2.96</v>
      </c>
      <c r="H14" s="9">
        <f t="shared" si="0"/>
        <v>0.0296</v>
      </c>
      <c r="I14"/>
      <c r="J14">
        <v>3.55</v>
      </c>
      <c r="K14" s="9">
        <f t="shared" si="2"/>
        <v>0.0355</v>
      </c>
      <c r="L14" s="17">
        <f t="shared" si="4"/>
        <v>3.55</v>
      </c>
      <c r="M14" s="9">
        <f t="shared" si="2"/>
        <v>0.0355</v>
      </c>
      <c r="N14"/>
      <c r="O14">
        <v>7.25</v>
      </c>
      <c r="P14" s="9">
        <f t="shared" si="3"/>
        <v>0.0725</v>
      </c>
      <c r="Q14" s="17">
        <f t="shared" si="5"/>
        <v>7.25</v>
      </c>
      <c r="R14" s="9">
        <f t="shared" si="3"/>
        <v>0.0725</v>
      </c>
    </row>
    <row r="15" spans="2:18" ht="12.75">
      <c r="B15" s="6" t="s">
        <v>38</v>
      </c>
      <c r="C15" s="7">
        <v>0.001</v>
      </c>
      <c r="D15"/>
      <c r="E15">
        <v>2.07</v>
      </c>
      <c r="F15" s="9">
        <f t="shared" si="0"/>
        <v>0.00207</v>
      </c>
      <c r="G15" s="17">
        <f t="shared" si="1"/>
        <v>2.07</v>
      </c>
      <c r="H15" s="9">
        <f t="shared" si="0"/>
        <v>0.00207</v>
      </c>
      <c r="I15"/>
      <c r="J15">
        <v>3.2</v>
      </c>
      <c r="K15" s="9">
        <f t="shared" si="2"/>
        <v>0.0032</v>
      </c>
      <c r="L15" s="17">
        <f t="shared" si="4"/>
        <v>3.2</v>
      </c>
      <c r="M15" s="9">
        <f t="shared" si="2"/>
        <v>0.0032</v>
      </c>
      <c r="N15"/>
      <c r="O15">
        <v>2.83</v>
      </c>
      <c r="P15" s="9">
        <f t="shared" si="3"/>
        <v>0.00283</v>
      </c>
      <c r="Q15" s="17">
        <f t="shared" si="5"/>
        <v>2.83</v>
      </c>
      <c r="R15" s="9">
        <f t="shared" si="3"/>
        <v>0.00283</v>
      </c>
    </row>
    <row r="16" spans="2:18" ht="12.75">
      <c r="B16" s="6" t="s">
        <v>39</v>
      </c>
      <c r="C16" s="7">
        <v>0.1</v>
      </c>
      <c r="D16"/>
      <c r="E16">
        <v>1.6</v>
      </c>
      <c r="F16" s="9">
        <f t="shared" si="0"/>
        <v>0.16000000000000003</v>
      </c>
      <c r="G16" s="17">
        <f t="shared" si="1"/>
        <v>1.6</v>
      </c>
      <c r="H16" s="9">
        <f t="shared" si="0"/>
        <v>0.16000000000000003</v>
      </c>
      <c r="I16"/>
      <c r="J16">
        <v>1.91</v>
      </c>
      <c r="K16" s="9">
        <f t="shared" si="2"/>
        <v>0.191</v>
      </c>
      <c r="L16" s="17">
        <f t="shared" si="4"/>
        <v>1.91</v>
      </c>
      <c r="M16" s="9">
        <f t="shared" si="2"/>
        <v>0.191</v>
      </c>
      <c r="N16"/>
      <c r="O16">
        <v>2.31</v>
      </c>
      <c r="P16" s="9">
        <f t="shared" si="3"/>
        <v>0.231</v>
      </c>
      <c r="Q16" s="17">
        <f t="shared" si="5"/>
        <v>2.31</v>
      </c>
      <c r="R16" s="9">
        <f t="shared" si="3"/>
        <v>0.231</v>
      </c>
    </row>
    <row r="17" spans="2:18" ht="12.75">
      <c r="B17" s="6" t="s">
        <v>40</v>
      </c>
      <c r="C17" s="7">
        <v>0.05</v>
      </c>
      <c r="D17"/>
      <c r="E17">
        <v>0.644</v>
      </c>
      <c r="F17" s="9">
        <f t="shared" si="0"/>
        <v>0.0322</v>
      </c>
      <c r="G17" s="17">
        <f t="shared" si="1"/>
        <v>0.644</v>
      </c>
      <c r="H17" s="9">
        <f t="shared" si="0"/>
        <v>0.0322</v>
      </c>
      <c r="I17"/>
      <c r="J17">
        <v>0.82</v>
      </c>
      <c r="K17" s="9">
        <f t="shared" si="2"/>
        <v>0.041</v>
      </c>
      <c r="L17" s="17">
        <f t="shared" si="4"/>
        <v>0.82</v>
      </c>
      <c r="M17" s="9">
        <f t="shared" si="2"/>
        <v>0.041</v>
      </c>
      <c r="N17"/>
      <c r="O17">
        <v>1.31</v>
      </c>
      <c r="P17" s="9">
        <f t="shared" si="3"/>
        <v>0.0655</v>
      </c>
      <c r="Q17" s="17">
        <f t="shared" si="5"/>
        <v>1.31</v>
      </c>
      <c r="R17" s="9">
        <f t="shared" si="3"/>
        <v>0.0655</v>
      </c>
    </row>
    <row r="18" spans="2:18" ht="12.75">
      <c r="B18" s="6" t="s">
        <v>41</v>
      </c>
      <c r="C18" s="7">
        <v>0.5</v>
      </c>
      <c r="D18"/>
      <c r="E18">
        <v>1.51</v>
      </c>
      <c r="F18" s="9">
        <f t="shared" si="0"/>
        <v>0.755</v>
      </c>
      <c r="G18" s="17">
        <f t="shared" si="1"/>
        <v>1.51</v>
      </c>
      <c r="H18" s="9">
        <f t="shared" si="0"/>
        <v>0.755</v>
      </c>
      <c r="I18"/>
      <c r="J18">
        <v>1.72</v>
      </c>
      <c r="K18" s="9">
        <f t="shared" si="2"/>
        <v>0.86</v>
      </c>
      <c r="L18" s="17">
        <f t="shared" si="4"/>
        <v>1.72</v>
      </c>
      <c r="M18" s="9">
        <f t="shared" si="2"/>
        <v>0.86</v>
      </c>
      <c r="N18"/>
      <c r="O18">
        <v>2.51</v>
      </c>
      <c r="P18" s="9">
        <f t="shared" si="3"/>
        <v>1.255</v>
      </c>
      <c r="Q18" s="17">
        <f t="shared" si="5"/>
        <v>2.51</v>
      </c>
      <c r="R18" s="9">
        <f t="shared" si="3"/>
        <v>1.255</v>
      </c>
    </row>
    <row r="19" spans="2:18" ht="12.75">
      <c r="B19" s="6" t="s">
        <v>42</v>
      </c>
      <c r="C19" s="7">
        <v>0.1</v>
      </c>
      <c r="D19"/>
      <c r="E19">
        <v>2.47</v>
      </c>
      <c r="F19" s="9">
        <f t="shared" si="0"/>
        <v>0.24700000000000003</v>
      </c>
      <c r="G19" s="17">
        <f t="shared" si="1"/>
        <v>2.47</v>
      </c>
      <c r="H19" s="9">
        <f t="shared" si="0"/>
        <v>0.24700000000000003</v>
      </c>
      <c r="I19"/>
      <c r="J19">
        <v>2.84</v>
      </c>
      <c r="K19" s="9">
        <f t="shared" si="2"/>
        <v>0.284</v>
      </c>
      <c r="L19" s="17">
        <f t="shared" si="4"/>
        <v>2.84</v>
      </c>
      <c r="M19" s="9">
        <f t="shared" si="2"/>
        <v>0.284</v>
      </c>
      <c r="N19"/>
      <c r="O19">
        <v>4.9</v>
      </c>
      <c r="P19" s="9">
        <f t="shared" si="3"/>
        <v>0.49000000000000005</v>
      </c>
      <c r="Q19" s="17">
        <f t="shared" si="5"/>
        <v>4.9</v>
      </c>
      <c r="R19" s="9">
        <f t="shared" si="3"/>
        <v>0.49000000000000005</v>
      </c>
    </row>
    <row r="20" spans="2:18" ht="12.75">
      <c r="B20" s="6" t="s">
        <v>43</v>
      </c>
      <c r="C20" s="7">
        <v>0.01</v>
      </c>
      <c r="D20"/>
      <c r="E20">
        <v>1.08</v>
      </c>
      <c r="F20" s="9">
        <f t="shared" si="0"/>
        <v>0.0108</v>
      </c>
      <c r="G20" s="17">
        <f t="shared" si="1"/>
        <v>1.08</v>
      </c>
      <c r="H20" s="9">
        <f t="shared" si="0"/>
        <v>0.0108</v>
      </c>
      <c r="I20"/>
      <c r="J20">
        <v>1.13</v>
      </c>
      <c r="K20" s="9">
        <f t="shared" si="2"/>
        <v>0.0113</v>
      </c>
      <c r="L20" s="17">
        <f t="shared" si="4"/>
        <v>1.13</v>
      </c>
      <c r="M20" s="9">
        <f t="shared" si="2"/>
        <v>0.0113</v>
      </c>
      <c r="N20"/>
      <c r="O20">
        <v>1.65</v>
      </c>
      <c r="P20" s="9">
        <f t="shared" si="3"/>
        <v>0.0165</v>
      </c>
      <c r="Q20" s="17">
        <f t="shared" si="5"/>
        <v>1.65</v>
      </c>
      <c r="R20" s="9">
        <f t="shared" si="3"/>
        <v>0.0165</v>
      </c>
    </row>
    <row r="21" spans="2:18" ht="12.75">
      <c r="B21" s="6" t="s">
        <v>44</v>
      </c>
      <c r="C21" s="7">
        <v>0.001</v>
      </c>
      <c r="D21"/>
      <c r="E21">
        <v>0.29</v>
      </c>
      <c r="F21" s="9">
        <f t="shared" si="0"/>
        <v>0.00029</v>
      </c>
      <c r="G21" s="17">
        <f t="shared" si="1"/>
        <v>0.29</v>
      </c>
      <c r="H21" s="9">
        <f t="shared" si="0"/>
        <v>0.00029</v>
      </c>
      <c r="I21"/>
      <c r="J21">
        <v>0.298</v>
      </c>
      <c r="K21" s="9">
        <f t="shared" si="2"/>
        <v>0.000298</v>
      </c>
      <c r="L21" s="17">
        <f t="shared" si="4"/>
        <v>0.298</v>
      </c>
      <c r="M21" s="9">
        <f t="shared" si="2"/>
        <v>0.000298</v>
      </c>
      <c r="N21"/>
      <c r="O21">
        <v>0.42</v>
      </c>
      <c r="P21" s="9">
        <f t="shared" si="3"/>
        <v>0.00042</v>
      </c>
      <c r="Q21" s="17">
        <f t="shared" si="5"/>
        <v>0.42</v>
      </c>
      <c r="R21" s="9">
        <f t="shared" si="3"/>
        <v>0.00042</v>
      </c>
    </row>
    <row r="22" spans="5:17" ht="9" customHeight="1">
      <c r="E22" s="19"/>
      <c r="G22" s="19"/>
      <c r="I22" s="20"/>
      <c r="J22" s="18"/>
      <c r="K22" s="16"/>
      <c r="L22" s="16"/>
      <c r="M22" s="16"/>
      <c r="N22" s="20"/>
      <c r="O22" s="18"/>
      <c r="Q22" s="19"/>
    </row>
    <row r="23" spans="2:18" ht="12.75">
      <c r="B23" s="6" t="s">
        <v>45</v>
      </c>
      <c r="E23" s="19"/>
      <c r="F23">
        <v>72.46</v>
      </c>
      <c r="G23">
        <v>72.46</v>
      </c>
      <c r="H23">
        <v>72.46</v>
      </c>
      <c r="I23"/>
      <c r="J23"/>
      <c r="K23">
        <v>79.28</v>
      </c>
      <c r="L23">
        <v>79.28</v>
      </c>
      <c r="M23">
        <v>79.28</v>
      </c>
      <c r="N23"/>
      <c r="O23"/>
      <c r="P23">
        <v>72.98</v>
      </c>
      <c r="Q23">
        <v>72.98</v>
      </c>
      <c r="R23">
        <v>72.98</v>
      </c>
    </row>
    <row r="24" spans="2:18" ht="12.75">
      <c r="B24" s="6" t="s">
        <v>46</v>
      </c>
      <c r="E24" s="19"/>
      <c r="F24">
        <v>8.3</v>
      </c>
      <c r="G24">
        <v>8.3</v>
      </c>
      <c r="H24">
        <v>8.3</v>
      </c>
      <c r="I24"/>
      <c r="J24"/>
      <c r="K24">
        <v>8.8</v>
      </c>
      <c r="L24">
        <v>8.8</v>
      </c>
      <c r="M24">
        <v>8.8</v>
      </c>
      <c r="N24"/>
      <c r="O24"/>
      <c r="P24">
        <v>10</v>
      </c>
      <c r="Q24">
        <v>10</v>
      </c>
      <c r="R24">
        <v>10</v>
      </c>
    </row>
    <row r="25" spans="5:18" ht="9.75" customHeight="1">
      <c r="E25" s="19"/>
      <c r="F25" s="21"/>
      <c r="G25" s="19"/>
      <c r="H25" s="21"/>
      <c r="I25" s="22"/>
      <c r="J25" s="19"/>
      <c r="K25" s="23"/>
      <c r="L25" s="16"/>
      <c r="M25" s="23"/>
      <c r="N25" s="20"/>
      <c r="O25" s="19"/>
      <c r="P25" s="19"/>
      <c r="Q25" s="19"/>
      <c r="R25" s="19"/>
    </row>
    <row r="26" spans="2:18" ht="12" customHeight="1">
      <c r="B26" s="6" t="s">
        <v>47</v>
      </c>
      <c r="C26" s="9"/>
      <c r="D26" s="13"/>
      <c r="E26" s="16"/>
      <c r="F26" s="17">
        <f>SUM(F11:F21)</f>
        <v>1.47346</v>
      </c>
      <c r="G26" s="17"/>
      <c r="H26" s="17">
        <f>SUM(H11:H21)</f>
        <v>1.47346</v>
      </c>
      <c r="I26" s="13"/>
      <c r="J26" s="16"/>
      <c r="K26" s="17">
        <f>SUM(K11:K21)</f>
        <v>1.641798</v>
      </c>
      <c r="L26" s="17"/>
      <c r="M26" s="17">
        <f>SUM(M11:M21)</f>
        <v>1.641798</v>
      </c>
      <c r="N26" s="13"/>
      <c r="O26" s="19"/>
      <c r="P26" s="17">
        <f>SUM(P11:P21)</f>
        <v>2.40675</v>
      </c>
      <c r="Q26" s="17"/>
      <c r="R26" s="17">
        <f>SUM(R11:R21)</f>
        <v>2.40675</v>
      </c>
    </row>
    <row r="27" spans="2:18" ht="12.75">
      <c r="B27" s="6" t="s">
        <v>48</v>
      </c>
      <c r="C27" s="9"/>
      <c r="D27" s="16">
        <f>(F27-H27)*2/F27*100</f>
        <v>0</v>
      </c>
      <c r="E27" s="19"/>
      <c r="F27" s="17">
        <f>(F26/F23/0.0283*(21-7)/(21-F24))</f>
        <v>0.7920961457342266</v>
      </c>
      <c r="G27" s="17"/>
      <c r="H27" s="17">
        <f>(H26/H23/0.0283*(21-7)/(21-H24))</f>
        <v>0.7920961457342266</v>
      </c>
      <c r="I27" s="16">
        <f>(K27-M27)*2/K27*100</f>
        <v>0</v>
      </c>
      <c r="J27" s="19"/>
      <c r="K27" s="17">
        <f>(K26/K23/0.0283*(21-7)/(21-K24))</f>
        <v>0.8397264834942392</v>
      </c>
      <c r="L27" s="17"/>
      <c r="M27" s="17">
        <f>(M26/M23/0.0283*(21-7)/(21-M24))</f>
        <v>0.8397264834942392</v>
      </c>
      <c r="N27" s="16">
        <f>(P27-R27)*2/P27*100</f>
        <v>0</v>
      </c>
      <c r="O27" s="19"/>
      <c r="P27" s="17">
        <f>(P26/P23/0.0283*(21-7)/(21-P24))</f>
        <v>1.4831191292238273</v>
      </c>
      <c r="Q27" s="17"/>
      <c r="R27" s="17">
        <f>(R26/R23/0.0283*(21-7)/(21-R24))</f>
        <v>1.4831191292238273</v>
      </c>
    </row>
    <row r="28" spans="5:17" ht="9.75" customHeight="1">
      <c r="E28" s="17"/>
      <c r="G28" s="17"/>
      <c r="I28" s="24"/>
      <c r="J28" s="17"/>
      <c r="K28" s="17"/>
      <c r="L28" s="17"/>
      <c r="M28" s="17"/>
      <c r="N28" s="24"/>
      <c r="O28" s="17"/>
      <c r="Q28" s="17"/>
    </row>
    <row r="29" spans="2:31" s="19" customFormat="1" ht="12.75">
      <c r="B29" s="19" t="s">
        <v>60</v>
      </c>
      <c r="C29" s="17">
        <f>AVERAGE(H27,M27,R27)</f>
        <v>1.0383139194840976</v>
      </c>
      <c r="D29" s="20"/>
      <c r="F29" s="9"/>
      <c r="H29" s="9"/>
      <c r="I29" s="20"/>
      <c r="N29" s="20"/>
      <c r="P29" s="8"/>
      <c r="R29" s="8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5:18" ht="12.75">
      <c r="E30" s="6"/>
      <c r="G30" s="6"/>
      <c r="I30" s="7"/>
      <c r="J30" s="6"/>
      <c r="K30" s="6"/>
      <c r="L30" s="6"/>
      <c r="M30" s="6"/>
      <c r="N30" s="7"/>
      <c r="O30" s="6"/>
      <c r="P30" s="6"/>
      <c r="Q30" s="6"/>
      <c r="R30" s="6"/>
    </row>
    <row r="31" spans="5:18" ht="12.75">
      <c r="E31" s="6"/>
      <c r="G31" s="6"/>
      <c r="I31" s="7"/>
      <c r="J31" s="6"/>
      <c r="K31" s="6"/>
      <c r="L31" s="6"/>
      <c r="M31" s="6"/>
      <c r="N31" s="7"/>
      <c r="O31" s="6"/>
      <c r="P31" s="6"/>
      <c r="Q31" s="6"/>
      <c r="R31" s="6"/>
    </row>
    <row r="32" spans="5:18" ht="12.75">
      <c r="E32" s="6"/>
      <c r="G32" s="6"/>
      <c r="I32" s="7"/>
      <c r="J32" s="6"/>
      <c r="K32" s="6"/>
      <c r="L32" s="6"/>
      <c r="M32" s="6"/>
      <c r="N32" s="7"/>
      <c r="O32" s="6"/>
      <c r="P32" s="6"/>
      <c r="Q32" s="6"/>
      <c r="R32" s="6"/>
    </row>
    <row r="33" spans="9:18" ht="12.75">
      <c r="I33" s="7"/>
      <c r="J33" s="6"/>
      <c r="K33" s="6"/>
      <c r="L33" s="6"/>
      <c r="M33" s="6"/>
      <c r="N33" s="7"/>
      <c r="O33" s="6"/>
      <c r="P33" s="6"/>
      <c r="Q33" s="6"/>
      <c r="R33" s="6"/>
    </row>
    <row r="34" spans="5:18" ht="12.75">
      <c r="E34" s="7"/>
      <c r="G34" s="12"/>
      <c r="I34" s="7"/>
      <c r="J34" s="6"/>
      <c r="K34" s="6"/>
      <c r="L34" s="6"/>
      <c r="M34" s="6"/>
      <c r="N34" s="7"/>
      <c r="O34" s="6"/>
      <c r="P34" s="6"/>
      <c r="Q34" s="6"/>
      <c r="R34" s="6"/>
    </row>
    <row r="35" spans="5:18" ht="12.75">
      <c r="E35" s="11"/>
      <c r="F35" s="25"/>
      <c r="G35" s="11"/>
      <c r="H35" s="25"/>
      <c r="I35" s="7"/>
      <c r="J35" s="6"/>
      <c r="K35" s="6"/>
      <c r="L35" s="6"/>
      <c r="M35" s="6"/>
      <c r="N35" s="7"/>
      <c r="O35" s="6"/>
      <c r="P35" s="6"/>
      <c r="Q35" s="6"/>
      <c r="R35" s="6"/>
    </row>
    <row r="36" spans="5:18" ht="12.75">
      <c r="E36" s="6"/>
      <c r="G36" s="6"/>
      <c r="I36" s="7"/>
      <c r="J36" s="6"/>
      <c r="K36" s="6"/>
      <c r="L36" s="6"/>
      <c r="M36" s="6"/>
      <c r="N36" s="7"/>
      <c r="O36" s="6"/>
      <c r="P36" s="6"/>
      <c r="Q36" s="6"/>
      <c r="R36" s="6"/>
    </row>
    <row r="37" spans="5:18" ht="12.75">
      <c r="E37" s="6"/>
      <c r="G37" s="6"/>
      <c r="I37" s="7"/>
      <c r="J37" s="6"/>
      <c r="K37" s="6"/>
      <c r="L37" s="6"/>
      <c r="M37" s="6"/>
      <c r="N37" s="7"/>
      <c r="O37" s="6"/>
      <c r="P37" s="6"/>
      <c r="Q37" s="6"/>
      <c r="R37" s="6"/>
    </row>
    <row r="38" spans="3:18" ht="12.75">
      <c r="C38" s="7"/>
      <c r="E38" s="14"/>
      <c r="F38" s="26"/>
      <c r="G38" s="14"/>
      <c r="H38" s="26"/>
      <c r="I38" s="15"/>
      <c r="J38" s="14"/>
      <c r="K38" s="14"/>
      <c r="L38" s="14"/>
      <c r="M38" s="14"/>
      <c r="N38" s="15"/>
      <c r="O38" s="14"/>
      <c r="P38" s="14"/>
      <c r="Q38" s="14"/>
      <c r="R38" s="14"/>
    </row>
    <row r="39" spans="3:18" ht="12.75">
      <c r="C39" s="7"/>
      <c r="E39" s="10"/>
      <c r="F39" s="13"/>
      <c r="G39" s="10"/>
      <c r="H39" s="13"/>
      <c r="J39" s="10"/>
      <c r="K39" s="10"/>
      <c r="L39" s="10"/>
      <c r="M39" s="10"/>
      <c r="O39" s="10"/>
      <c r="P39" s="10"/>
      <c r="Q39" s="10"/>
      <c r="R39" s="10"/>
    </row>
    <row r="40" spans="3:18" ht="12.75">
      <c r="C40" s="7"/>
      <c r="E40" s="10"/>
      <c r="G40" s="10"/>
      <c r="J40" s="10"/>
      <c r="K40" s="9"/>
      <c r="L40" s="10"/>
      <c r="M40" s="9"/>
      <c r="O40" s="10"/>
      <c r="P40" s="9"/>
      <c r="Q40" s="10"/>
      <c r="R40" s="9"/>
    </row>
    <row r="41" ht="12.75">
      <c r="O41" s="16"/>
    </row>
    <row r="42" spans="3:18" ht="12.75">
      <c r="C42" s="7"/>
      <c r="E42" s="16"/>
      <c r="G42" s="16"/>
      <c r="I42" s="13"/>
      <c r="J42" s="18"/>
      <c r="K42" s="16"/>
      <c r="L42" s="16"/>
      <c r="M42" s="16"/>
      <c r="N42" s="13"/>
      <c r="O42" s="16"/>
      <c r="P42" s="9"/>
      <c r="Q42" s="16"/>
      <c r="R42" s="9"/>
    </row>
    <row r="43" spans="3:18" ht="12.75">
      <c r="C43" s="7"/>
      <c r="E43" s="16"/>
      <c r="G43" s="16"/>
      <c r="I43" s="13"/>
      <c r="J43" s="18"/>
      <c r="K43" s="16"/>
      <c r="L43" s="16"/>
      <c r="M43" s="16"/>
      <c r="N43" s="13"/>
      <c r="O43" s="23"/>
      <c r="P43" s="9"/>
      <c r="Q43" s="16"/>
      <c r="R43" s="9"/>
    </row>
    <row r="44" spans="3:18" ht="12.75">
      <c r="C44" s="7"/>
      <c r="E44" s="16"/>
      <c r="G44" s="16"/>
      <c r="I44" s="13"/>
      <c r="J44" s="18"/>
      <c r="K44" s="16"/>
      <c r="L44" s="16"/>
      <c r="M44" s="16"/>
      <c r="N44" s="13"/>
      <c r="O44" s="23"/>
      <c r="P44" s="9"/>
      <c r="Q44" s="16"/>
      <c r="R44" s="9"/>
    </row>
    <row r="45" spans="3:18" ht="12.75">
      <c r="C45" s="7"/>
      <c r="E45" s="16"/>
      <c r="G45" s="16"/>
      <c r="I45" s="13"/>
      <c r="J45" s="18"/>
      <c r="K45" s="16"/>
      <c r="L45" s="16"/>
      <c r="M45" s="16"/>
      <c r="N45" s="13"/>
      <c r="O45" s="23"/>
      <c r="P45" s="9"/>
      <c r="Q45" s="16"/>
      <c r="R45" s="9"/>
    </row>
    <row r="46" spans="3:18" ht="12.75">
      <c r="C46" s="7"/>
      <c r="E46" s="16"/>
      <c r="G46" s="16"/>
      <c r="I46" s="13"/>
      <c r="J46" s="18"/>
      <c r="K46" s="16"/>
      <c r="L46" s="16"/>
      <c r="M46" s="16"/>
      <c r="N46" s="13"/>
      <c r="O46" s="23"/>
      <c r="P46" s="9"/>
      <c r="Q46" s="16"/>
      <c r="R46" s="9"/>
    </row>
    <row r="47" spans="3:18" ht="12.75">
      <c r="C47" s="7"/>
      <c r="E47" s="16"/>
      <c r="G47" s="16"/>
      <c r="I47" s="13"/>
      <c r="J47" s="18"/>
      <c r="K47" s="16"/>
      <c r="L47" s="16"/>
      <c r="M47" s="16"/>
      <c r="N47" s="13"/>
      <c r="O47" s="23"/>
      <c r="P47" s="9"/>
      <c r="Q47" s="16"/>
      <c r="R47" s="9"/>
    </row>
    <row r="48" spans="3:18" ht="12.75">
      <c r="C48" s="7"/>
      <c r="E48" s="16"/>
      <c r="G48" s="16"/>
      <c r="I48" s="13"/>
      <c r="J48" s="18"/>
      <c r="K48" s="16"/>
      <c r="L48" s="16"/>
      <c r="M48" s="16"/>
      <c r="N48" s="13"/>
      <c r="O48" s="23"/>
      <c r="P48" s="9"/>
      <c r="Q48" s="16"/>
      <c r="R48" s="9"/>
    </row>
    <row r="49" spans="3:18" ht="12.75">
      <c r="C49" s="7"/>
      <c r="E49" s="16"/>
      <c r="G49" s="16"/>
      <c r="I49" s="13"/>
      <c r="J49" s="18"/>
      <c r="K49" s="16"/>
      <c r="L49" s="16"/>
      <c r="M49" s="16"/>
      <c r="N49" s="13"/>
      <c r="O49" s="23"/>
      <c r="P49" s="9"/>
      <c r="Q49" s="16"/>
      <c r="R49" s="9"/>
    </row>
    <row r="50" spans="3:18" ht="12.75">
      <c r="C50" s="7"/>
      <c r="E50" s="16"/>
      <c r="G50" s="16"/>
      <c r="I50" s="13"/>
      <c r="J50" s="18"/>
      <c r="K50" s="16"/>
      <c r="L50" s="16"/>
      <c r="M50" s="16"/>
      <c r="N50" s="13"/>
      <c r="O50" s="23"/>
      <c r="P50" s="9"/>
      <c r="Q50" s="16"/>
      <c r="R50" s="9"/>
    </row>
    <row r="51" spans="3:18" ht="12.75">
      <c r="C51" s="7"/>
      <c r="E51" s="16"/>
      <c r="G51" s="16"/>
      <c r="I51" s="13"/>
      <c r="J51" s="18"/>
      <c r="K51" s="16"/>
      <c r="L51" s="16"/>
      <c r="M51" s="16"/>
      <c r="N51" s="13"/>
      <c r="O51" s="23"/>
      <c r="P51" s="9"/>
      <c r="Q51" s="16"/>
      <c r="R51" s="9"/>
    </row>
    <row r="52" spans="3:18" ht="12.75">
      <c r="C52" s="7"/>
      <c r="E52" s="16"/>
      <c r="G52" s="16"/>
      <c r="I52" s="13"/>
      <c r="J52" s="18"/>
      <c r="K52" s="16"/>
      <c r="L52" s="16"/>
      <c r="M52" s="16"/>
      <c r="N52" s="13"/>
      <c r="O52" s="23"/>
      <c r="P52" s="9"/>
      <c r="Q52" s="16"/>
      <c r="R52" s="9"/>
    </row>
    <row r="53" spans="3:18" ht="12.75">
      <c r="C53" s="7"/>
      <c r="E53" s="16"/>
      <c r="G53" s="16"/>
      <c r="I53" s="13"/>
      <c r="J53" s="18"/>
      <c r="K53" s="16"/>
      <c r="L53" s="16"/>
      <c r="M53" s="16"/>
      <c r="N53" s="13"/>
      <c r="O53" s="23"/>
      <c r="P53" s="9"/>
      <c r="Q53" s="16"/>
      <c r="R53" s="9"/>
    </row>
    <row r="54" spans="3:18" ht="12.75">
      <c r="C54" s="7"/>
      <c r="E54" s="16"/>
      <c r="G54" s="16"/>
      <c r="I54" s="13"/>
      <c r="J54" s="18"/>
      <c r="K54" s="16"/>
      <c r="L54" s="16"/>
      <c r="M54" s="16"/>
      <c r="N54" s="13"/>
      <c r="O54" s="23"/>
      <c r="P54" s="9"/>
      <c r="Q54" s="16"/>
      <c r="R54" s="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C1">
      <selection activeCell="C2" sqref="C2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4.421875" style="0" customWidth="1"/>
    <col min="5" max="5" width="4.140625" style="0" customWidth="1"/>
    <col min="6" max="7" width="9.57421875" style="2" bestFit="1" customWidth="1"/>
    <col min="8" max="8" width="9.28125" style="2" bestFit="1" customWidth="1"/>
    <col min="9" max="9" width="5.421875" style="0" customWidth="1"/>
    <col min="10" max="11" width="9.57421875" style="2" bestFit="1" customWidth="1"/>
    <col min="12" max="12" width="9.28125" style="2" bestFit="1" customWidth="1"/>
    <col min="13" max="13" width="3.57421875" style="0" customWidth="1"/>
    <col min="14" max="15" width="9.57421875" style="2" bestFit="1" customWidth="1"/>
    <col min="16" max="16" width="9.28125" style="2" bestFit="1" customWidth="1"/>
    <col min="17" max="17" width="3.8515625" style="0" customWidth="1"/>
    <col min="18" max="19" width="9.57421875" style="2" bestFit="1" customWidth="1"/>
    <col min="20" max="20" width="9.28125" style="2" bestFit="1" customWidth="1"/>
  </cols>
  <sheetData>
    <row r="1" spans="3:20" ht="12.75">
      <c r="C1" s="4" t="s">
        <v>179</v>
      </c>
      <c r="D1" s="7" t="s">
        <v>25</v>
      </c>
      <c r="F1" s="89" t="s">
        <v>106</v>
      </c>
      <c r="G1" s="89"/>
      <c r="H1" s="89"/>
      <c r="J1" s="89" t="s">
        <v>107</v>
      </c>
      <c r="K1" s="89"/>
      <c r="L1" s="89"/>
      <c r="N1" s="89" t="s">
        <v>108</v>
      </c>
      <c r="O1" s="89"/>
      <c r="P1" s="89"/>
      <c r="R1" s="89" t="s">
        <v>190</v>
      </c>
      <c r="S1" s="89"/>
      <c r="T1" s="89"/>
    </row>
    <row r="2" spans="4:20" ht="12.75">
      <c r="D2" s="7" t="s">
        <v>29</v>
      </c>
      <c r="F2" s="90" t="s">
        <v>30</v>
      </c>
      <c r="G2" s="13" t="s">
        <v>30</v>
      </c>
      <c r="H2" s="13" t="s">
        <v>31</v>
      </c>
      <c r="J2" s="90" t="s">
        <v>30</v>
      </c>
      <c r="K2" s="13" t="s">
        <v>30</v>
      </c>
      <c r="L2" s="13" t="s">
        <v>31</v>
      </c>
      <c r="N2" s="90" t="s">
        <v>30</v>
      </c>
      <c r="O2" s="13" t="s">
        <v>30</v>
      </c>
      <c r="P2" s="13" t="s">
        <v>31</v>
      </c>
      <c r="R2" s="90" t="s">
        <v>30</v>
      </c>
      <c r="S2" s="13" t="s">
        <v>30</v>
      </c>
      <c r="T2" s="13" t="s">
        <v>31</v>
      </c>
    </row>
    <row r="3" spans="3:20" ht="12.75">
      <c r="C3" t="s">
        <v>65</v>
      </c>
      <c r="D3" s="7"/>
      <c r="F3" s="90" t="s">
        <v>216</v>
      </c>
      <c r="G3" s="13" t="s">
        <v>59</v>
      </c>
      <c r="H3" s="13" t="s">
        <v>59</v>
      </c>
      <c r="J3" s="90" t="s">
        <v>216</v>
      </c>
      <c r="K3" s="13" t="s">
        <v>59</v>
      </c>
      <c r="L3" s="13" t="s">
        <v>59</v>
      </c>
      <c r="N3" s="90" t="s">
        <v>216</v>
      </c>
      <c r="O3" s="13" t="s">
        <v>59</v>
      </c>
      <c r="P3" s="13" t="s">
        <v>59</v>
      </c>
      <c r="R3" s="90" t="s">
        <v>216</v>
      </c>
      <c r="S3" s="13" t="s">
        <v>59</v>
      </c>
      <c r="T3" s="13" t="s">
        <v>59</v>
      </c>
    </row>
    <row r="4" spans="4:20" ht="12.75">
      <c r="D4" s="6"/>
      <c r="G4" s="9"/>
      <c r="H4" s="9"/>
      <c r="K4" s="9"/>
      <c r="L4" s="9"/>
      <c r="O4" s="9"/>
      <c r="P4" s="9"/>
      <c r="S4" s="9"/>
      <c r="T4" s="9"/>
    </row>
    <row r="5" spans="1:40" s="61" customFormat="1" ht="12.75">
      <c r="A5" s="61" t="s">
        <v>179</v>
      </c>
      <c r="B5" s="61">
        <v>1</v>
      </c>
      <c r="C5" s="61" t="s">
        <v>217</v>
      </c>
      <c r="D5" s="7">
        <v>1</v>
      </c>
      <c r="E5" s="58">
        <v>1</v>
      </c>
      <c r="F5" s="64">
        <v>0.016681481148103555</v>
      </c>
      <c r="G5" s="9">
        <f>IF(F5=0,"",IF(E5=1,F5/2,F5))</f>
        <v>0.008340740574051778</v>
      </c>
      <c r="H5" s="9">
        <f>IF(G5="","",G5*$D5)</f>
        <v>0.008340740574051778</v>
      </c>
      <c r="I5" s="58">
        <v>1</v>
      </c>
      <c r="J5" s="64">
        <v>0.03218101593552857</v>
      </c>
      <c r="K5" s="9">
        <f>IF(J5=0,"",IF(I5=1,J5/2,J5))</f>
        <v>0.016090507967764286</v>
      </c>
      <c r="L5" s="9">
        <f>IF(K5="","",K5*$D5)</f>
        <v>0.016090507967764286</v>
      </c>
      <c r="M5" s="58">
        <v>1</v>
      </c>
      <c r="N5" s="64">
        <v>0.017384024426278</v>
      </c>
      <c r="O5" s="9">
        <f>IF(N5=0,"",IF(M5=1,N5/2,N5))</f>
        <v>0.008692012213139</v>
      </c>
      <c r="P5" s="9">
        <f>IF(O5="","",O5*$D5)</f>
        <v>0.008692012213139</v>
      </c>
      <c r="Q5" s="58">
        <v>1</v>
      </c>
      <c r="R5" s="64">
        <v>0.018712396299928435</v>
      </c>
      <c r="S5" s="9">
        <f>IF(R5=0,"",IF(Q5=1,R5/2,R5))</f>
        <v>0.009356198149964218</v>
      </c>
      <c r="T5" s="9">
        <f>IF(S5="","",S5*$D5)</f>
        <v>0.009356198149964218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s="61" customFormat="1" ht="12.75">
      <c r="A6" s="61" t="s">
        <v>179</v>
      </c>
      <c r="B6" s="61">
        <v>2</v>
      </c>
      <c r="C6" s="61" t="s">
        <v>218</v>
      </c>
      <c r="D6" s="7">
        <v>0</v>
      </c>
      <c r="E6" s="58"/>
      <c r="F6" s="64">
        <v>209.61393161335326</v>
      </c>
      <c r="G6" s="9">
        <f aca="true" t="shared" si="0" ref="G6:G37">IF(F6=0,"",IF(E6=1,F6/2,F6))</f>
        <v>209.61393161335326</v>
      </c>
      <c r="H6" s="9">
        <f aca="true" t="shared" si="1" ref="H6:H37">IF(G6="","",G6*$D6)</f>
        <v>0</v>
      </c>
      <c r="I6" s="58"/>
      <c r="J6" s="64">
        <v>199.4901177843416</v>
      </c>
      <c r="K6" s="9">
        <f aca="true" t="shared" si="2" ref="K6:K37">IF(J6=0,"",IF(I6=1,J6/2,J6))</f>
        <v>199.4901177843416</v>
      </c>
      <c r="L6" s="9">
        <f aca="true" t="shared" si="3" ref="L6:L37">IF(K6="","",K6*$D6)</f>
        <v>0</v>
      </c>
      <c r="M6" s="58"/>
      <c r="N6" s="64">
        <v>227.13386847893892</v>
      </c>
      <c r="O6" s="9">
        <f aca="true" t="shared" si="4" ref="O6:O37">IF(N6=0,"",IF(M6=1,N6/2,N6))</f>
        <v>227.13386847893892</v>
      </c>
      <c r="P6" s="9">
        <f aca="true" t="shared" si="5" ref="P6:P37">IF(O6="","",O6*$D6)</f>
        <v>0</v>
      </c>
      <c r="Q6" s="58"/>
      <c r="R6" s="64">
        <v>291.8946698825837</v>
      </c>
      <c r="S6" s="9">
        <f aca="true" t="shared" si="6" ref="S6:S37">IF(R6=0,"",IF(Q6=1,R6/2,R6))</f>
        <v>291.8946698825837</v>
      </c>
      <c r="T6" s="9">
        <f aca="true" t="shared" si="7" ref="T6:T37">IF(S6="","",S6*$D6)</f>
        <v>0</v>
      </c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s="61" customFormat="1" ht="12.75">
      <c r="A7" s="61" t="s">
        <v>179</v>
      </c>
      <c r="B7" s="61">
        <v>3</v>
      </c>
      <c r="C7" s="61" t="s">
        <v>219</v>
      </c>
      <c r="D7" s="7">
        <v>0</v>
      </c>
      <c r="E7" s="58"/>
      <c r="F7" s="64">
        <v>209.63061309450137</v>
      </c>
      <c r="G7" s="9">
        <f t="shared" si="0"/>
        <v>209.63061309450137</v>
      </c>
      <c r="H7" s="9">
        <f t="shared" si="1"/>
        <v>0</v>
      </c>
      <c r="I7" s="58"/>
      <c r="J7" s="64">
        <v>199.52229880027713</v>
      </c>
      <c r="K7" s="9">
        <f t="shared" si="2"/>
        <v>199.52229880027713</v>
      </c>
      <c r="L7" s="9">
        <f t="shared" si="3"/>
        <v>0</v>
      </c>
      <c r="M7" s="58"/>
      <c r="N7" s="64">
        <v>227.1512525033652</v>
      </c>
      <c r="O7" s="9">
        <f t="shared" si="4"/>
        <v>227.1512525033652</v>
      </c>
      <c r="P7" s="9">
        <f t="shared" si="5"/>
        <v>0</v>
      </c>
      <c r="Q7" s="58"/>
      <c r="R7" s="64">
        <v>291.9133822788836</v>
      </c>
      <c r="S7" s="9">
        <f t="shared" si="6"/>
        <v>291.9133822788836</v>
      </c>
      <c r="T7" s="9">
        <f t="shared" si="7"/>
        <v>0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s="61" customFormat="1" ht="12.75">
      <c r="A8" s="61" t="s">
        <v>179</v>
      </c>
      <c r="B8" s="61">
        <v>4</v>
      </c>
      <c r="C8" s="61" t="s">
        <v>220</v>
      </c>
      <c r="D8" s="7">
        <v>0.5</v>
      </c>
      <c r="E8" s="58"/>
      <c r="F8" s="64">
        <v>1.278913554687939</v>
      </c>
      <c r="G8" s="9">
        <f t="shared" si="0"/>
        <v>1.278913554687939</v>
      </c>
      <c r="H8" s="9">
        <f t="shared" si="1"/>
        <v>0.6394567773439696</v>
      </c>
      <c r="I8" s="58"/>
      <c r="J8" s="64">
        <v>1.5446887649053713</v>
      </c>
      <c r="K8" s="9">
        <f t="shared" si="2"/>
        <v>1.5446887649053713</v>
      </c>
      <c r="L8" s="9">
        <f t="shared" si="3"/>
        <v>0.7723443824526857</v>
      </c>
      <c r="M8" s="58"/>
      <c r="N8" s="64">
        <v>1.6225089464526</v>
      </c>
      <c r="O8" s="9">
        <f t="shared" si="4"/>
        <v>1.6225089464526</v>
      </c>
      <c r="P8" s="9">
        <f t="shared" si="5"/>
        <v>0.8112544732263</v>
      </c>
      <c r="Q8" s="58"/>
      <c r="R8" s="64">
        <v>1.995988938659034</v>
      </c>
      <c r="S8" s="9">
        <f t="shared" si="6"/>
        <v>1.995988938659034</v>
      </c>
      <c r="T8" s="9">
        <f t="shared" si="7"/>
        <v>0.997994469329517</v>
      </c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s="61" customFormat="1" ht="12.75">
      <c r="A9" s="61" t="s">
        <v>179</v>
      </c>
      <c r="B9" s="61">
        <v>5</v>
      </c>
      <c r="C9" s="61" t="s">
        <v>221</v>
      </c>
      <c r="D9" s="7">
        <v>0</v>
      </c>
      <c r="E9" s="58"/>
      <c r="F9" s="64">
        <v>316.78132700248653</v>
      </c>
      <c r="G9" s="9">
        <f t="shared" si="0"/>
        <v>316.78132700248653</v>
      </c>
      <c r="H9" s="9">
        <f t="shared" si="1"/>
        <v>0</v>
      </c>
      <c r="I9" s="58"/>
      <c r="J9" s="64">
        <v>297.73875943551</v>
      </c>
      <c r="K9" s="9">
        <f t="shared" si="2"/>
        <v>297.73875943551</v>
      </c>
      <c r="L9" s="9">
        <f t="shared" si="3"/>
        <v>0</v>
      </c>
      <c r="M9" s="58"/>
      <c r="N9" s="64">
        <v>343.74010965560257</v>
      </c>
      <c r="O9" s="9">
        <f t="shared" si="4"/>
        <v>343.74010965560257</v>
      </c>
      <c r="P9" s="9">
        <f t="shared" si="5"/>
        <v>0</v>
      </c>
      <c r="Q9" s="58"/>
      <c r="R9" s="64">
        <v>450.84400151961</v>
      </c>
      <c r="S9" s="9">
        <f t="shared" si="6"/>
        <v>450.84400151961</v>
      </c>
      <c r="T9" s="9">
        <f t="shared" si="7"/>
        <v>0</v>
      </c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s="61" customFormat="1" ht="12.75">
      <c r="A10" s="61" t="s">
        <v>179</v>
      </c>
      <c r="B10" s="61">
        <v>5</v>
      </c>
      <c r="C10" s="61" t="s">
        <v>222</v>
      </c>
      <c r="D10" s="7">
        <v>0</v>
      </c>
      <c r="E10" s="58"/>
      <c r="F10" s="64">
        <v>318.0602405571745</v>
      </c>
      <c r="G10" s="9">
        <f t="shared" si="0"/>
        <v>318.0602405571745</v>
      </c>
      <c r="H10" s="9">
        <f t="shared" si="1"/>
        <v>0</v>
      </c>
      <c r="I10" s="58"/>
      <c r="J10" s="64">
        <v>299.2834482004157</v>
      </c>
      <c r="K10" s="9">
        <f t="shared" si="2"/>
        <v>299.2834482004157</v>
      </c>
      <c r="L10" s="9">
        <f t="shared" si="3"/>
        <v>0</v>
      </c>
      <c r="M10" s="58"/>
      <c r="N10" s="64">
        <v>345.3626186020552</v>
      </c>
      <c r="O10" s="9">
        <f t="shared" si="4"/>
        <v>345.3626186020552</v>
      </c>
      <c r="P10" s="9">
        <f t="shared" si="5"/>
        <v>0</v>
      </c>
      <c r="Q10" s="58"/>
      <c r="R10" s="64">
        <v>452.83999045826823</v>
      </c>
      <c r="S10" s="9">
        <f t="shared" si="6"/>
        <v>452.83999045826823</v>
      </c>
      <c r="T10" s="9">
        <f t="shared" si="7"/>
        <v>0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s="61" customFormat="1" ht="12.75">
      <c r="A11" s="61" t="s">
        <v>179</v>
      </c>
      <c r="B11" s="61">
        <v>7</v>
      </c>
      <c r="C11" s="61" t="s">
        <v>223</v>
      </c>
      <c r="D11" s="7">
        <v>0.1</v>
      </c>
      <c r="E11" s="58"/>
      <c r="F11" s="64">
        <v>1.6681481148103556</v>
      </c>
      <c r="G11" s="9">
        <f t="shared" si="0"/>
        <v>1.6681481148103556</v>
      </c>
      <c r="H11" s="9">
        <f t="shared" si="1"/>
        <v>0.16681481148103558</v>
      </c>
      <c r="I11" s="58"/>
      <c r="J11" s="64">
        <v>2.1883090836159425</v>
      </c>
      <c r="K11" s="9">
        <f t="shared" si="2"/>
        <v>2.1883090836159425</v>
      </c>
      <c r="L11" s="9">
        <f t="shared" si="3"/>
        <v>0.21883090836159425</v>
      </c>
      <c r="M11" s="58"/>
      <c r="N11" s="64">
        <v>1.9122426868905744</v>
      </c>
      <c r="O11" s="9">
        <f t="shared" si="4"/>
        <v>1.9122426868905744</v>
      </c>
      <c r="P11" s="9">
        <f t="shared" si="5"/>
        <v>0.19122426868905745</v>
      </c>
      <c r="Q11" s="58"/>
      <c r="R11" s="64">
        <v>2.1831129016583177</v>
      </c>
      <c r="S11" s="9">
        <f t="shared" si="6"/>
        <v>2.1831129016583177</v>
      </c>
      <c r="T11" s="9">
        <f t="shared" si="7"/>
        <v>0.21831129016583178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s="61" customFormat="1" ht="12.75">
      <c r="A12" s="61" t="s">
        <v>179</v>
      </c>
      <c r="B12" s="61">
        <v>8</v>
      </c>
      <c r="C12" s="61" t="s">
        <v>224</v>
      </c>
      <c r="D12" s="7">
        <v>0.1</v>
      </c>
      <c r="E12" s="58"/>
      <c r="F12" s="64">
        <v>5.338073967393138</v>
      </c>
      <c r="G12" s="9">
        <f t="shared" si="0"/>
        <v>5.338073967393138</v>
      </c>
      <c r="H12" s="9">
        <f t="shared" si="1"/>
        <v>0.5338073967393138</v>
      </c>
      <c r="I12" s="58"/>
      <c r="J12" s="64">
        <v>6.693651314589943</v>
      </c>
      <c r="K12" s="9">
        <f t="shared" si="2"/>
        <v>6.693651314589943</v>
      </c>
      <c r="L12" s="9">
        <f t="shared" si="3"/>
        <v>0.6693651314589943</v>
      </c>
      <c r="M12" s="58"/>
      <c r="N12" s="64">
        <v>6.7797695262484</v>
      </c>
      <c r="O12" s="9">
        <f t="shared" si="4"/>
        <v>6.7797695262484</v>
      </c>
      <c r="P12" s="9">
        <f t="shared" si="5"/>
        <v>0.67797695262484</v>
      </c>
      <c r="Q12" s="58"/>
      <c r="R12" s="64">
        <v>8.545327643633987</v>
      </c>
      <c r="S12" s="9">
        <f t="shared" si="6"/>
        <v>8.545327643633987</v>
      </c>
      <c r="T12" s="9">
        <f t="shared" si="7"/>
        <v>0.8545327643633988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0" s="61" customFormat="1" ht="12.75">
      <c r="A13" s="61" t="s">
        <v>179</v>
      </c>
      <c r="B13" s="61">
        <v>9</v>
      </c>
      <c r="C13" s="61" t="s">
        <v>225</v>
      </c>
      <c r="D13" s="7">
        <v>0.1</v>
      </c>
      <c r="E13" s="58"/>
      <c r="F13" s="64">
        <v>5.2268640930724475</v>
      </c>
      <c r="G13" s="9">
        <f t="shared" si="0"/>
        <v>5.2268640930724475</v>
      </c>
      <c r="H13" s="9">
        <f t="shared" si="1"/>
        <v>0.5226864093072447</v>
      </c>
      <c r="I13" s="58"/>
      <c r="J13" s="64">
        <v>7.401633665171571</v>
      </c>
      <c r="K13" s="9">
        <f t="shared" si="2"/>
        <v>7.401633665171571</v>
      </c>
      <c r="L13" s="9">
        <f t="shared" si="3"/>
        <v>0.7401633665171571</v>
      </c>
      <c r="M13" s="58"/>
      <c r="N13" s="64">
        <v>8.4602252207886</v>
      </c>
      <c r="O13" s="9">
        <f t="shared" si="4"/>
        <v>8.4602252207886</v>
      </c>
      <c r="P13" s="9">
        <f t="shared" si="5"/>
        <v>0.84602252207886</v>
      </c>
      <c r="Q13" s="58"/>
      <c r="R13" s="64">
        <v>9.917570038962072</v>
      </c>
      <c r="S13" s="9">
        <f t="shared" si="6"/>
        <v>9.917570038962072</v>
      </c>
      <c r="T13" s="9">
        <f t="shared" si="7"/>
        <v>0.9917570038962072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s="61" customFormat="1" ht="12.75">
      <c r="A14" s="61" t="s">
        <v>179</v>
      </c>
      <c r="B14" s="61">
        <v>10</v>
      </c>
      <c r="C14" s="61" t="s">
        <v>226</v>
      </c>
      <c r="D14" s="7">
        <v>0</v>
      </c>
      <c r="E14" s="58"/>
      <c r="F14" s="64">
        <v>493.7718419838653</v>
      </c>
      <c r="G14" s="9">
        <f t="shared" si="0"/>
        <v>493.7718419838653</v>
      </c>
      <c r="H14" s="9">
        <f t="shared" si="1"/>
        <v>0</v>
      </c>
      <c r="I14" s="58"/>
      <c r="J14" s="64">
        <v>482.52215293731547</v>
      </c>
      <c r="K14" s="9">
        <f t="shared" si="2"/>
        <v>482.52215293731547</v>
      </c>
      <c r="L14" s="9">
        <f t="shared" si="3"/>
        <v>0</v>
      </c>
      <c r="M14" s="58"/>
      <c r="N14" s="64">
        <v>463.80577169309555</v>
      </c>
      <c r="O14" s="9">
        <f t="shared" si="4"/>
        <v>463.80577169309555</v>
      </c>
      <c r="P14" s="9">
        <f t="shared" si="5"/>
        <v>0</v>
      </c>
      <c r="Q14" s="58"/>
      <c r="R14" s="64">
        <v>555.07204891021</v>
      </c>
      <c r="S14" s="9">
        <f t="shared" si="6"/>
        <v>555.07204891021</v>
      </c>
      <c r="T14" s="9">
        <f t="shared" si="7"/>
        <v>0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61" customFormat="1" ht="12.75">
      <c r="A15" s="61" t="s">
        <v>179</v>
      </c>
      <c r="B15" s="61">
        <v>11</v>
      </c>
      <c r="C15" s="61" t="s">
        <v>227</v>
      </c>
      <c r="D15" s="7">
        <v>0</v>
      </c>
      <c r="E15" s="58"/>
      <c r="F15" s="64">
        <v>506.00492815914123</v>
      </c>
      <c r="G15" s="9">
        <f t="shared" si="0"/>
        <v>506.00492815914123</v>
      </c>
      <c r="H15" s="9">
        <f t="shared" si="1"/>
        <v>0</v>
      </c>
      <c r="I15" s="58"/>
      <c r="J15" s="64">
        <v>498.8057470006929</v>
      </c>
      <c r="K15" s="9">
        <f t="shared" si="2"/>
        <v>498.8057470006929</v>
      </c>
      <c r="L15" s="9">
        <f t="shared" si="3"/>
        <v>0</v>
      </c>
      <c r="M15" s="58"/>
      <c r="N15" s="64">
        <v>480.95800912702316</v>
      </c>
      <c r="O15" s="9">
        <f t="shared" si="4"/>
        <v>480.95800912702316</v>
      </c>
      <c r="P15" s="9">
        <f t="shared" si="5"/>
        <v>0</v>
      </c>
      <c r="Q15" s="58"/>
      <c r="R15" s="64">
        <v>575.7180594944649</v>
      </c>
      <c r="S15" s="9">
        <f t="shared" si="6"/>
        <v>575.7180594944649</v>
      </c>
      <c r="T15" s="9">
        <f t="shared" si="7"/>
        <v>0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61" customFormat="1" ht="12.75">
      <c r="A16" s="61" t="s">
        <v>179</v>
      </c>
      <c r="B16" s="61">
        <v>12</v>
      </c>
      <c r="C16" s="61" t="s">
        <v>228</v>
      </c>
      <c r="D16" s="7">
        <v>0.01</v>
      </c>
      <c r="E16" s="58"/>
      <c r="F16" s="64">
        <v>25.68948096807948</v>
      </c>
      <c r="G16" s="9">
        <f t="shared" si="0"/>
        <v>25.68948096807948</v>
      </c>
      <c r="H16" s="9">
        <f t="shared" si="1"/>
        <v>0.2568948096807948</v>
      </c>
      <c r="I16" s="58"/>
      <c r="J16" s="64">
        <v>31.537395616818</v>
      </c>
      <c r="K16" s="9">
        <f t="shared" si="2"/>
        <v>31.537395616818</v>
      </c>
      <c r="L16" s="9">
        <f t="shared" si="3"/>
        <v>0.31537395616818</v>
      </c>
      <c r="M16" s="58"/>
      <c r="N16" s="64">
        <v>31.465084211563</v>
      </c>
      <c r="O16" s="9">
        <f t="shared" si="4"/>
        <v>31.465084211563</v>
      </c>
      <c r="P16" s="9">
        <f t="shared" si="5"/>
        <v>0.31465084211563</v>
      </c>
      <c r="Q16" s="58"/>
      <c r="R16" s="64">
        <v>37.1129193281914</v>
      </c>
      <c r="S16" s="9">
        <f t="shared" si="6"/>
        <v>37.1129193281914</v>
      </c>
      <c r="T16" s="9">
        <f t="shared" si="7"/>
        <v>0.371129193281914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s="61" customFormat="1" ht="12.75">
      <c r="A17" s="61" t="s">
        <v>179</v>
      </c>
      <c r="B17" s="61">
        <v>13</v>
      </c>
      <c r="C17" s="61" t="s">
        <v>229</v>
      </c>
      <c r="D17" s="7">
        <v>0</v>
      </c>
      <c r="E17" s="58"/>
      <c r="F17" s="64">
        <v>62.166319745266</v>
      </c>
      <c r="G17" s="9">
        <f t="shared" si="0"/>
        <v>62.166319745266</v>
      </c>
      <c r="H17" s="9">
        <f t="shared" si="1"/>
        <v>0</v>
      </c>
      <c r="I17" s="58"/>
      <c r="J17" s="64">
        <v>93.96856653174342</v>
      </c>
      <c r="K17" s="9">
        <f t="shared" si="2"/>
        <v>93.96856653174342</v>
      </c>
      <c r="L17" s="9">
        <f t="shared" si="3"/>
        <v>0</v>
      </c>
      <c r="M17" s="58"/>
      <c r="N17" s="64">
        <v>97.17669654289372</v>
      </c>
      <c r="O17" s="9">
        <f t="shared" si="4"/>
        <v>97.17669654289372</v>
      </c>
      <c r="P17" s="9">
        <f t="shared" si="5"/>
        <v>0</v>
      </c>
      <c r="Q17" s="58"/>
      <c r="R17" s="64">
        <v>115.08123724456</v>
      </c>
      <c r="S17" s="9">
        <f t="shared" si="6"/>
        <v>115.08123724456</v>
      </c>
      <c r="T17" s="9">
        <f t="shared" si="7"/>
        <v>0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s="61" customFormat="1" ht="12.75">
      <c r="A18" s="61" t="s">
        <v>179</v>
      </c>
      <c r="B18" s="61">
        <v>14</v>
      </c>
      <c r="C18" s="61" t="s">
        <v>230</v>
      </c>
      <c r="D18" s="7">
        <v>0</v>
      </c>
      <c r="E18" s="58"/>
      <c r="F18" s="64">
        <v>87.85580071334539</v>
      </c>
      <c r="G18" s="9">
        <f t="shared" si="0"/>
        <v>87.85580071334539</v>
      </c>
      <c r="H18" s="9">
        <f t="shared" si="1"/>
        <v>0</v>
      </c>
      <c r="I18" s="58"/>
      <c r="J18" s="64">
        <v>125.50596214856141</v>
      </c>
      <c r="K18" s="9">
        <f t="shared" si="2"/>
        <v>125.50596214856141</v>
      </c>
      <c r="L18" s="9">
        <f t="shared" si="3"/>
        <v>0</v>
      </c>
      <c r="M18" s="58"/>
      <c r="N18" s="64">
        <v>128.64178075445682</v>
      </c>
      <c r="O18" s="9">
        <f t="shared" si="4"/>
        <v>128.64178075445682</v>
      </c>
      <c r="P18" s="9">
        <f t="shared" si="5"/>
        <v>0</v>
      </c>
      <c r="Q18" s="58"/>
      <c r="R18" s="64">
        <v>152.1941565727513</v>
      </c>
      <c r="S18" s="9">
        <f t="shared" si="6"/>
        <v>152.1941565727513</v>
      </c>
      <c r="T18" s="9">
        <f t="shared" si="7"/>
        <v>0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s="61" customFormat="1" ht="12.75">
      <c r="A19" s="61" t="s">
        <v>179</v>
      </c>
      <c r="B19" s="61">
        <v>15</v>
      </c>
      <c r="C19" s="61" t="s">
        <v>231</v>
      </c>
      <c r="D19" s="7">
        <v>0.001</v>
      </c>
      <c r="E19" s="58"/>
      <c r="F19" s="64">
        <v>6.783802333562112</v>
      </c>
      <c r="G19" s="9">
        <f t="shared" si="0"/>
        <v>6.783802333562112</v>
      </c>
      <c r="H19" s="9">
        <f t="shared" si="1"/>
        <v>0.006783802333562112</v>
      </c>
      <c r="I19" s="58"/>
      <c r="J19" s="64">
        <v>6.758013346461</v>
      </c>
      <c r="K19" s="9">
        <f t="shared" si="2"/>
        <v>6.758013346461</v>
      </c>
      <c r="L19" s="9">
        <f t="shared" si="3"/>
        <v>0.006758013346461001</v>
      </c>
      <c r="M19" s="58"/>
      <c r="N19" s="64">
        <v>6.6638760300732125</v>
      </c>
      <c r="O19" s="9">
        <f t="shared" si="4"/>
        <v>6.6638760300732125</v>
      </c>
      <c r="P19" s="9">
        <f t="shared" si="5"/>
        <v>0.006663876030073213</v>
      </c>
      <c r="Q19" s="58"/>
      <c r="R19" s="64">
        <v>7.672082482970659</v>
      </c>
      <c r="S19" s="9">
        <f t="shared" si="6"/>
        <v>7.672082482970659</v>
      </c>
      <c r="T19" s="9">
        <f t="shared" si="7"/>
        <v>0.0076720824829706585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s="61" customFormat="1" ht="12.75">
      <c r="A20" s="61" t="s">
        <v>179</v>
      </c>
      <c r="B20" s="61">
        <v>16</v>
      </c>
      <c r="C20" s="61" t="s">
        <v>232</v>
      </c>
      <c r="D20" s="7">
        <v>0.1</v>
      </c>
      <c r="E20" s="58"/>
      <c r="F20" s="64">
        <v>19.294913194639783</v>
      </c>
      <c r="G20" s="9">
        <f t="shared" si="0"/>
        <v>19.294913194639783</v>
      </c>
      <c r="H20" s="9">
        <f t="shared" si="1"/>
        <v>1.9294913194639784</v>
      </c>
      <c r="I20" s="58"/>
      <c r="J20" s="64">
        <v>44.538526054771545</v>
      </c>
      <c r="K20" s="9">
        <f t="shared" si="2"/>
        <v>44.538526054771545</v>
      </c>
      <c r="L20" s="9">
        <f t="shared" si="3"/>
        <v>4.453852605477155</v>
      </c>
      <c r="M20" s="58"/>
      <c r="N20" s="64">
        <v>39.05610821103779</v>
      </c>
      <c r="O20" s="9">
        <f t="shared" si="4"/>
        <v>39.05610821103779</v>
      </c>
      <c r="P20" s="9">
        <f t="shared" si="5"/>
        <v>3.905610821103779</v>
      </c>
      <c r="Q20" s="58"/>
      <c r="R20" s="64">
        <v>43.59988337883326</v>
      </c>
      <c r="S20" s="9">
        <f t="shared" si="6"/>
        <v>43.59988337883326</v>
      </c>
      <c r="T20" s="9">
        <f t="shared" si="7"/>
        <v>4.359988337883326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s="61" customFormat="1" ht="12.75">
      <c r="A21" s="61" t="s">
        <v>179</v>
      </c>
      <c r="B21" s="61">
        <v>17</v>
      </c>
      <c r="C21" s="61" t="s">
        <v>233</v>
      </c>
      <c r="D21" s="7">
        <v>0</v>
      </c>
      <c r="E21" s="58"/>
      <c r="F21" s="64">
        <v>81.90607243718847</v>
      </c>
      <c r="G21" s="9">
        <f t="shared" si="0"/>
        <v>81.90607243718847</v>
      </c>
      <c r="H21" s="9">
        <f t="shared" si="1"/>
        <v>0</v>
      </c>
      <c r="I21" s="58"/>
      <c r="J21" s="64">
        <v>184.59030740619184</v>
      </c>
      <c r="K21" s="9">
        <f t="shared" si="2"/>
        <v>184.59030740619184</v>
      </c>
      <c r="L21" s="9">
        <f t="shared" si="3"/>
        <v>0</v>
      </c>
      <c r="M21" s="58"/>
      <c r="N21" s="64">
        <v>154.48603040152335</v>
      </c>
      <c r="O21" s="9">
        <f t="shared" si="4"/>
        <v>154.48603040152335</v>
      </c>
      <c r="P21" s="9">
        <f t="shared" si="5"/>
        <v>0</v>
      </c>
      <c r="Q21" s="58"/>
      <c r="R21" s="64">
        <v>189.05757728361</v>
      </c>
      <c r="S21" s="9">
        <f t="shared" si="6"/>
        <v>189.05757728361</v>
      </c>
      <c r="T21" s="9">
        <f t="shared" si="7"/>
        <v>0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s="61" customFormat="1" ht="12.75">
      <c r="A22" s="61" t="s">
        <v>179</v>
      </c>
      <c r="B22" s="61">
        <v>18</v>
      </c>
      <c r="C22" s="61" t="s">
        <v>234</v>
      </c>
      <c r="D22" s="7">
        <v>0</v>
      </c>
      <c r="E22" s="58"/>
      <c r="F22" s="64">
        <v>101.20098563182825</v>
      </c>
      <c r="G22" s="9">
        <f t="shared" si="0"/>
        <v>101.20098563182825</v>
      </c>
      <c r="H22" s="9">
        <f t="shared" si="1"/>
        <v>0</v>
      </c>
      <c r="I22" s="58"/>
      <c r="J22" s="64">
        <v>229.1288334609634</v>
      </c>
      <c r="K22" s="9">
        <f t="shared" si="2"/>
        <v>229.1288334609634</v>
      </c>
      <c r="L22" s="9">
        <f t="shared" si="3"/>
        <v>0</v>
      </c>
      <c r="M22" s="58"/>
      <c r="N22" s="64">
        <v>193.54213861256113</v>
      </c>
      <c r="O22" s="9">
        <f t="shared" si="4"/>
        <v>193.54213861256113</v>
      </c>
      <c r="P22" s="9">
        <f t="shared" si="5"/>
        <v>0</v>
      </c>
      <c r="Q22" s="58"/>
      <c r="R22" s="64">
        <v>232.65746066244355</v>
      </c>
      <c r="S22" s="9">
        <f t="shared" si="6"/>
        <v>232.65746066244355</v>
      </c>
      <c r="T22" s="9">
        <f t="shared" si="7"/>
        <v>0</v>
      </c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s="61" customFormat="1" ht="12.75">
      <c r="A23" s="61" t="s">
        <v>179</v>
      </c>
      <c r="B23" s="61">
        <v>19</v>
      </c>
      <c r="C23" s="61" t="s">
        <v>235</v>
      </c>
      <c r="D23" s="7">
        <v>0.05</v>
      </c>
      <c r="E23" s="58"/>
      <c r="F23" s="64">
        <v>1.8349629262914</v>
      </c>
      <c r="G23" s="9">
        <f t="shared" si="0"/>
        <v>1.8349629262914</v>
      </c>
      <c r="H23" s="9">
        <f t="shared" si="1"/>
        <v>0.09174814631457001</v>
      </c>
      <c r="I23" s="58"/>
      <c r="J23" s="64">
        <v>4.183532071618714</v>
      </c>
      <c r="K23" s="9">
        <f t="shared" si="2"/>
        <v>4.183532071618714</v>
      </c>
      <c r="L23" s="9">
        <f t="shared" si="3"/>
        <v>0.2091766035809357</v>
      </c>
      <c r="M23" s="58"/>
      <c r="N23" s="64">
        <v>3.5347516333431823</v>
      </c>
      <c r="O23" s="9">
        <f t="shared" si="4"/>
        <v>3.5347516333431823</v>
      </c>
      <c r="P23" s="9">
        <f t="shared" si="5"/>
        <v>0.17673758166715914</v>
      </c>
      <c r="Q23" s="58"/>
      <c r="R23" s="64">
        <v>4.1167271859842565</v>
      </c>
      <c r="S23" s="9">
        <f t="shared" si="6"/>
        <v>4.1167271859842565</v>
      </c>
      <c r="T23" s="9">
        <f t="shared" si="7"/>
        <v>0.20583635929921285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s="61" customFormat="1" ht="12.75">
      <c r="A24" s="61" t="s">
        <v>179</v>
      </c>
      <c r="B24" s="61">
        <v>20</v>
      </c>
      <c r="C24" s="61" t="s">
        <v>236</v>
      </c>
      <c r="D24" s="7">
        <v>0.5</v>
      </c>
      <c r="E24" s="58"/>
      <c r="F24" s="64">
        <v>3.2806912924603666</v>
      </c>
      <c r="G24" s="9">
        <f t="shared" si="0"/>
        <v>3.2806912924603666</v>
      </c>
      <c r="H24" s="9">
        <f t="shared" si="1"/>
        <v>1.6403456462301833</v>
      </c>
      <c r="I24" s="58"/>
      <c r="J24" s="64">
        <v>7.2085475695584</v>
      </c>
      <c r="K24" s="9">
        <f t="shared" si="2"/>
        <v>7.2085475695584</v>
      </c>
      <c r="L24" s="9">
        <f t="shared" si="3"/>
        <v>3.6042737847792</v>
      </c>
      <c r="M24" s="58"/>
      <c r="N24" s="64">
        <v>5.50494106832135</v>
      </c>
      <c r="O24" s="9">
        <f t="shared" si="4"/>
        <v>5.50494106832135</v>
      </c>
      <c r="P24" s="9">
        <f t="shared" si="5"/>
        <v>2.752470534160675</v>
      </c>
      <c r="Q24" s="58"/>
      <c r="R24" s="64">
        <v>6.923586630973523</v>
      </c>
      <c r="S24" s="9">
        <f t="shared" si="6"/>
        <v>6.923586630973523</v>
      </c>
      <c r="T24" s="9">
        <f t="shared" si="7"/>
        <v>3.4617933154867613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s="61" customFormat="1" ht="12.75">
      <c r="A25" s="61" t="s">
        <v>179</v>
      </c>
      <c r="B25" s="61">
        <v>21</v>
      </c>
      <c r="C25" s="61" t="s">
        <v>237</v>
      </c>
      <c r="D25" s="7">
        <v>0</v>
      </c>
      <c r="E25" s="58"/>
      <c r="F25" s="64">
        <v>36.421233840026</v>
      </c>
      <c r="G25" s="9">
        <f t="shared" si="0"/>
        <v>36.421233840026</v>
      </c>
      <c r="H25" s="9">
        <f t="shared" si="1"/>
        <v>0</v>
      </c>
      <c r="I25" s="58"/>
      <c r="J25" s="64">
        <v>93.518032308646</v>
      </c>
      <c r="K25" s="9">
        <f t="shared" si="2"/>
        <v>93.518032308646</v>
      </c>
      <c r="L25" s="9">
        <f t="shared" si="3"/>
        <v>0</v>
      </c>
      <c r="M25" s="58"/>
      <c r="N25" s="64">
        <v>66.29107981220659</v>
      </c>
      <c r="O25" s="9">
        <f t="shared" si="4"/>
        <v>66.29107981220659</v>
      </c>
      <c r="P25" s="9">
        <f t="shared" si="5"/>
        <v>0</v>
      </c>
      <c r="Q25" s="58"/>
      <c r="R25" s="64">
        <v>91.25411928931767</v>
      </c>
      <c r="S25" s="9">
        <f t="shared" si="6"/>
        <v>91.25411928931767</v>
      </c>
      <c r="T25" s="9">
        <f t="shared" si="7"/>
        <v>0</v>
      </c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</row>
    <row r="26" spans="1:40" s="61" customFormat="1" ht="12.75">
      <c r="A26" s="61" t="s">
        <v>179</v>
      </c>
      <c r="B26" s="61">
        <v>22</v>
      </c>
      <c r="C26" s="61" t="s">
        <v>238</v>
      </c>
      <c r="D26" s="7">
        <v>0</v>
      </c>
      <c r="E26" s="58"/>
      <c r="F26" s="64">
        <v>41.53688805877786</v>
      </c>
      <c r="G26" s="9">
        <f t="shared" si="0"/>
        <v>41.53688805877786</v>
      </c>
      <c r="H26" s="9">
        <f t="shared" si="1"/>
        <v>0</v>
      </c>
      <c r="I26" s="58"/>
      <c r="J26" s="64">
        <v>104.91011194982313</v>
      </c>
      <c r="K26" s="9">
        <f t="shared" si="2"/>
        <v>104.91011194982313</v>
      </c>
      <c r="L26" s="9">
        <f t="shared" si="3"/>
        <v>0</v>
      </c>
      <c r="M26" s="58"/>
      <c r="N26" s="64">
        <v>75.33077251387111</v>
      </c>
      <c r="O26" s="9">
        <f t="shared" si="4"/>
        <v>75.33077251387111</v>
      </c>
      <c r="P26" s="9">
        <f t="shared" si="5"/>
        <v>0</v>
      </c>
      <c r="Q26" s="58"/>
      <c r="R26" s="64">
        <v>102.29443310627545</v>
      </c>
      <c r="S26" s="9">
        <f t="shared" si="6"/>
        <v>102.29443310627545</v>
      </c>
      <c r="T26" s="9">
        <f t="shared" si="7"/>
        <v>0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</row>
    <row r="27" spans="1:40" s="61" customFormat="1" ht="12.75">
      <c r="A27" s="61" t="s">
        <v>179</v>
      </c>
      <c r="B27" s="61">
        <v>23</v>
      </c>
      <c r="C27" s="61" t="s">
        <v>239</v>
      </c>
      <c r="D27" s="7">
        <v>0.1</v>
      </c>
      <c r="E27" s="58"/>
      <c r="F27" s="64">
        <v>3.8923456012241635</v>
      </c>
      <c r="G27" s="9">
        <f t="shared" si="0"/>
        <v>3.8923456012241635</v>
      </c>
      <c r="H27" s="9">
        <f t="shared" si="1"/>
        <v>0.38923456012241636</v>
      </c>
      <c r="I27" s="58"/>
      <c r="J27" s="64">
        <v>8.495788206979542</v>
      </c>
      <c r="K27" s="9">
        <f t="shared" si="2"/>
        <v>8.495788206979542</v>
      </c>
      <c r="L27" s="9">
        <f t="shared" si="3"/>
        <v>0.8495788206979542</v>
      </c>
      <c r="M27" s="58"/>
      <c r="N27" s="64">
        <v>6.837716274336</v>
      </c>
      <c r="O27" s="9">
        <f t="shared" si="4"/>
        <v>6.837716274336</v>
      </c>
      <c r="P27" s="9">
        <f t="shared" si="5"/>
        <v>0.6837716274336</v>
      </c>
      <c r="Q27" s="58"/>
      <c r="R27" s="64">
        <v>7.609707828637564</v>
      </c>
      <c r="S27" s="9">
        <f t="shared" si="6"/>
        <v>7.609707828637564</v>
      </c>
      <c r="T27" s="9">
        <f t="shared" si="7"/>
        <v>0.7609707828637564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</row>
    <row r="28" spans="1:40" s="61" customFormat="1" ht="12.75">
      <c r="A28" s="61" t="s">
        <v>179</v>
      </c>
      <c r="B28" s="61">
        <v>24</v>
      </c>
      <c r="C28" s="61" t="s">
        <v>240</v>
      </c>
      <c r="D28" s="7">
        <v>0.1</v>
      </c>
      <c r="E28" s="58"/>
      <c r="F28" s="64">
        <v>1.278913554687939</v>
      </c>
      <c r="G28" s="9">
        <f t="shared" si="0"/>
        <v>1.278913554687939</v>
      </c>
      <c r="H28" s="9">
        <f t="shared" si="1"/>
        <v>0.1278913554687939</v>
      </c>
      <c r="I28" s="58"/>
      <c r="J28" s="64">
        <v>3.218101593552857</v>
      </c>
      <c r="K28" s="9">
        <f t="shared" si="2"/>
        <v>3.218101593552857</v>
      </c>
      <c r="L28" s="9">
        <f t="shared" si="3"/>
        <v>0.32181015935528573</v>
      </c>
      <c r="M28" s="58"/>
      <c r="N28" s="64">
        <v>2.5496569158541</v>
      </c>
      <c r="O28" s="9">
        <f t="shared" si="4"/>
        <v>2.5496569158541</v>
      </c>
      <c r="P28" s="9">
        <f t="shared" si="5"/>
        <v>0.25496569158541</v>
      </c>
      <c r="Q28" s="58"/>
      <c r="R28" s="64">
        <v>2.9316087536554556</v>
      </c>
      <c r="S28" s="9">
        <f t="shared" si="6"/>
        <v>2.9316087536554556</v>
      </c>
      <c r="T28" s="9">
        <f t="shared" si="7"/>
        <v>0.2931608753655456</v>
      </c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s="61" customFormat="1" ht="12.75">
      <c r="A29" s="61" t="s">
        <v>179</v>
      </c>
      <c r="B29" s="61">
        <v>25</v>
      </c>
      <c r="C29" s="61" t="s">
        <v>241</v>
      </c>
      <c r="D29" s="7">
        <v>0.1</v>
      </c>
      <c r="E29" s="58"/>
      <c r="F29" s="64">
        <v>0.16681481148103555</v>
      </c>
      <c r="G29" s="9">
        <f t="shared" si="0"/>
        <v>0.16681481148103555</v>
      </c>
      <c r="H29" s="9">
        <f t="shared" si="1"/>
        <v>0.016681481148103555</v>
      </c>
      <c r="I29" s="58"/>
      <c r="J29" s="64">
        <v>0.36686358166502564</v>
      </c>
      <c r="K29" s="9">
        <f t="shared" si="2"/>
        <v>0.36686358166502564</v>
      </c>
      <c r="L29" s="9">
        <f t="shared" si="3"/>
        <v>0.036686358166502564</v>
      </c>
      <c r="M29" s="58"/>
      <c r="N29" s="64">
        <v>0.25496569158541</v>
      </c>
      <c r="O29" s="9">
        <f t="shared" si="4"/>
        <v>0.25496569158541</v>
      </c>
      <c r="P29" s="9">
        <f t="shared" si="5"/>
        <v>0.025496569158541</v>
      </c>
      <c r="Q29" s="58"/>
      <c r="R29" s="64">
        <v>0.28068594449892653</v>
      </c>
      <c r="S29" s="9">
        <f t="shared" si="6"/>
        <v>0.28068594449892653</v>
      </c>
      <c r="T29" s="9">
        <f t="shared" si="7"/>
        <v>0.028068594449892653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s="61" customFormat="1" ht="12.75">
      <c r="A30" s="61" t="s">
        <v>179</v>
      </c>
      <c r="B30" s="61">
        <v>26</v>
      </c>
      <c r="C30" s="61" t="s">
        <v>242</v>
      </c>
      <c r="D30" s="7">
        <v>0.1</v>
      </c>
      <c r="E30" s="58"/>
      <c r="F30" s="64">
        <v>2.78024685801726</v>
      </c>
      <c r="G30" s="9">
        <f t="shared" si="0"/>
        <v>2.78024685801726</v>
      </c>
      <c r="H30" s="9">
        <f t="shared" si="1"/>
        <v>0.278024685801726</v>
      </c>
      <c r="I30" s="58"/>
      <c r="J30" s="64">
        <v>6.050030995879371</v>
      </c>
      <c r="K30" s="9">
        <f t="shared" si="2"/>
        <v>6.050030995879371</v>
      </c>
      <c r="L30" s="9">
        <f t="shared" si="3"/>
        <v>0.6050030995879372</v>
      </c>
      <c r="M30" s="58"/>
      <c r="N30" s="64">
        <v>4.867526839357825</v>
      </c>
      <c r="O30" s="9">
        <f t="shared" si="4"/>
        <v>4.867526839357825</v>
      </c>
      <c r="P30" s="9">
        <f t="shared" si="5"/>
        <v>0.4867526839357825</v>
      </c>
      <c r="Q30" s="58"/>
      <c r="R30" s="64">
        <v>5.925592161644</v>
      </c>
      <c r="S30" s="9">
        <f t="shared" si="6"/>
        <v>5.925592161644</v>
      </c>
      <c r="T30" s="9">
        <f t="shared" si="7"/>
        <v>0.5925592161644001</v>
      </c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1:40" s="61" customFormat="1" ht="12.75">
      <c r="A31" s="61" t="s">
        <v>179</v>
      </c>
      <c r="B31" s="61">
        <v>27</v>
      </c>
      <c r="C31" s="61" t="s">
        <v>243</v>
      </c>
      <c r="D31" s="7">
        <v>0</v>
      </c>
      <c r="E31" s="58"/>
      <c r="F31" s="64">
        <v>9.953283751701786</v>
      </c>
      <c r="G31" s="9">
        <f t="shared" si="0"/>
        <v>9.953283751701786</v>
      </c>
      <c r="H31" s="9">
        <f t="shared" si="1"/>
        <v>0</v>
      </c>
      <c r="I31" s="58"/>
      <c r="J31" s="64">
        <v>23.254002115013</v>
      </c>
      <c r="K31" s="9">
        <f t="shared" si="2"/>
        <v>23.254002115013</v>
      </c>
      <c r="L31" s="9">
        <f t="shared" si="3"/>
        <v>0</v>
      </c>
      <c r="M31" s="58"/>
      <c r="N31" s="64">
        <v>18.40388719261958</v>
      </c>
      <c r="O31" s="9">
        <f t="shared" si="4"/>
        <v>18.40388719261958</v>
      </c>
      <c r="P31" s="9">
        <f t="shared" si="5"/>
        <v>0</v>
      </c>
      <c r="Q31" s="58"/>
      <c r="R31" s="64">
        <v>22.049440306749</v>
      </c>
      <c r="S31" s="9">
        <f t="shared" si="6"/>
        <v>22.049440306749</v>
      </c>
      <c r="T31" s="9">
        <f t="shared" si="7"/>
        <v>0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spans="1:40" s="61" customFormat="1" ht="12.75">
      <c r="A32" s="61" t="s">
        <v>179</v>
      </c>
      <c r="B32" s="61">
        <v>28</v>
      </c>
      <c r="C32" s="61" t="s">
        <v>244</v>
      </c>
      <c r="D32" s="7">
        <v>0</v>
      </c>
      <c r="E32" s="58"/>
      <c r="F32" s="64">
        <v>18.071604577112186</v>
      </c>
      <c r="G32" s="9">
        <f t="shared" si="0"/>
        <v>18.071604577112186</v>
      </c>
      <c r="H32" s="9">
        <f t="shared" si="1"/>
        <v>0</v>
      </c>
      <c r="I32" s="58"/>
      <c r="J32" s="64">
        <v>41.384786493089734</v>
      </c>
      <c r="K32" s="9">
        <f t="shared" si="2"/>
        <v>41.384786493089734</v>
      </c>
      <c r="L32" s="9">
        <f t="shared" si="3"/>
        <v>0</v>
      </c>
      <c r="M32" s="58"/>
      <c r="N32" s="64">
        <v>32.913752913753</v>
      </c>
      <c r="O32" s="9">
        <f t="shared" si="4"/>
        <v>32.913752913753</v>
      </c>
      <c r="P32" s="9">
        <f t="shared" si="5"/>
        <v>0</v>
      </c>
      <c r="Q32" s="58"/>
      <c r="R32" s="64">
        <v>38.797034995185</v>
      </c>
      <c r="S32" s="9">
        <f t="shared" si="6"/>
        <v>38.797034995185</v>
      </c>
      <c r="T32" s="9">
        <f t="shared" si="7"/>
        <v>0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</row>
    <row r="33" spans="1:40" s="61" customFormat="1" ht="12.75">
      <c r="A33" s="61" t="s">
        <v>179</v>
      </c>
      <c r="B33" s="61">
        <v>29</v>
      </c>
      <c r="C33" s="61" t="s">
        <v>245</v>
      </c>
      <c r="D33" s="7">
        <v>0.01</v>
      </c>
      <c r="E33" s="58"/>
      <c r="F33" s="64">
        <v>1.5013333033293204</v>
      </c>
      <c r="G33" s="9">
        <f t="shared" si="0"/>
        <v>1.5013333033293204</v>
      </c>
      <c r="H33" s="9">
        <f t="shared" si="1"/>
        <v>0.015013333033293203</v>
      </c>
      <c r="I33" s="58"/>
      <c r="J33" s="64">
        <v>3.1537395616818</v>
      </c>
      <c r="K33" s="9">
        <f t="shared" si="2"/>
        <v>3.1537395616818</v>
      </c>
      <c r="L33" s="9">
        <f t="shared" si="3"/>
        <v>0.031537395616818</v>
      </c>
      <c r="M33" s="58"/>
      <c r="N33" s="64">
        <v>2.4917101677665</v>
      </c>
      <c r="O33" s="9">
        <f t="shared" si="4"/>
        <v>2.4917101677665</v>
      </c>
      <c r="P33" s="9">
        <f t="shared" si="5"/>
        <v>0.024917101677665</v>
      </c>
      <c r="Q33" s="58"/>
      <c r="R33" s="64">
        <v>2.682110136323076</v>
      </c>
      <c r="S33" s="9">
        <f t="shared" si="6"/>
        <v>2.682110136323076</v>
      </c>
      <c r="T33" s="9">
        <f t="shared" si="7"/>
        <v>0.02682110136323076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1:40" s="61" customFormat="1" ht="12.75">
      <c r="A34" s="61" t="s">
        <v>179</v>
      </c>
      <c r="B34" s="61">
        <v>30</v>
      </c>
      <c r="C34" s="61" t="s">
        <v>246</v>
      </c>
      <c r="D34" s="7">
        <v>0.01</v>
      </c>
      <c r="E34" s="58"/>
      <c r="F34" s="64">
        <v>0.27246419208569145</v>
      </c>
      <c r="G34" s="9">
        <f t="shared" si="0"/>
        <v>0.27246419208569145</v>
      </c>
      <c r="H34" s="9">
        <f t="shared" si="1"/>
        <v>0.0027246419208569145</v>
      </c>
      <c r="I34" s="58"/>
      <c r="J34" s="64">
        <v>0.9010684461948</v>
      </c>
      <c r="K34" s="9">
        <f t="shared" si="2"/>
        <v>0.9010684461948</v>
      </c>
      <c r="L34" s="9">
        <f t="shared" si="3"/>
        <v>0.009010684461948</v>
      </c>
      <c r="M34" s="58"/>
      <c r="N34" s="64">
        <v>0.5794674808759315</v>
      </c>
      <c r="O34" s="9">
        <f t="shared" si="4"/>
        <v>0.5794674808759315</v>
      </c>
      <c r="P34" s="9">
        <f t="shared" si="5"/>
        <v>0.005794674808759315</v>
      </c>
      <c r="Q34" s="58"/>
      <c r="R34" s="64">
        <v>0.7484958519971375</v>
      </c>
      <c r="S34" s="9">
        <f t="shared" si="6"/>
        <v>0.7484958519971375</v>
      </c>
      <c r="T34" s="9">
        <f t="shared" si="7"/>
        <v>0.007484958519971376</v>
      </c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s="61" customFormat="1" ht="12.75">
      <c r="A35" s="61" t="s">
        <v>179</v>
      </c>
      <c r="B35" s="61">
        <v>31</v>
      </c>
      <c r="C35" s="61" t="s">
        <v>247</v>
      </c>
      <c r="D35" s="7">
        <v>0</v>
      </c>
      <c r="E35" s="58"/>
      <c r="F35" s="64">
        <v>1.618103671366044</v>
      </c>
      <c r="G35" s="9">
        <f t="shared" si="0"/>
        <v>1.618103671366044</v>
      </c>
      <c r="H35" s="9">
        <f t="shared" si="1"/>
        <v>0</v>
      </c>
      <c r="I35" s="58"/>
      <c r="J35" s="64">
        <v>1.9952229880027716</v>
      </c>
      <c r="K35" s="9">
        <f t="shared" si="2"/>
        <v>1.9952229880027716</v>
      </c>
      <c r="L35" s="9">
        <f t="shared" si="3"/>
        <v>0</v>
      </c>
      <c r="M35" s="58"/>
      <c r="N35" s="64">
        <v>2.781443908204471</v>
      </c>
      <c r="O35" s="9">
        <f t="shared" si="4"/>
        <v>2.781443908204471</v>
      </c>
      <c r="P35" s="9">
        <f t="shared" si="5"/>
        <v>0</v>
      </c>
      <c r="Q35" s="58"/>
      <c r="R35" s="64">
        <v>3.1811073709878332</v>
      </c>
      <c r="S35" s="9">
        <f t="shared" si="6"/>
        <v>3.1811073709878332</v>
      </c>
      <c r="T35" s="9">
        <f t="shared" si="7"/>
        <v>0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1:40" s="61" customFormat="1" ht="12.75">
      <c r="A36" s="61" t="s">
        <v>179</v>
      </c>
      <c r="B36" s="61">
        <v>32</v>
      </c>
      <c r="C36" s="61" t="s">
        <v>248</v>
      </c>
      <c r="D36" s="7">
        <v>0</v>
      </c>
      <c r="E36" s="58"/>
      <c r="F36" s="64">
        <v>3.391901166781056</v>
      </c>
      <c r="G36" s="9">
        <f t="shared" si="0"/>
        <v>3.391901166781056</v>
      </c>
      <c r="H36" s="9">
        <f t="shared" si="1"/>
        <v>0</v>
      </c>
      <c r="I36" s="58"/>
      <c r="J36" s="64">
        <v>6.050030995879371</v>
      </c>
      <c r="K36" s="9">
        <f t="shared" si="2"/>
        <v>6.050030995879371</v>
      </c>
      <c r="L36" s="9">
        <f t="shared" si="3"/>
        <v>0</v>
      </c>
      <c r="M36" s="58"/>
      <c r="N36" s="64">
        <v>5.8526215568469</v>
      </c>
      <c r="O36" s="9">
        <f t="shared" si="4"/>
        <v>5.8526215568469</v>
      </c>
      <c r="P36" s="9">
        <f t="shared" si="5"/>
        <v>0</v>
      </c>
      <c r="Q36" s="58"/>
      <c r="R36" s="64">
        <v>6.611713359308047</v>
      </c>
      <c r="S36" s="9">
        <f t="shared" si="6"/>
        <v>6.611713359308047</v>
      </c>
      <c r="T36" s="9">
        <f t="shared" si="7"/>
        <v>0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s="61" customFormat="1" ht="12.75">
      <c r="A37" s="61" t="s">
        <v>179</v>
      </c>
      <c r="B37" s="61">
        <v>33</v>
      </c>
      <c r="C37" s="61" t="s">
        <v>249</v>
      </c>
      <c r="D37" s="7">
        <v>0.001</v>
      </c>
      <c r="E37" s="58">
        <v>2</v>
      </c>
      <c r="F37" s="64">
        <v>0.43371850985069244</v>
      </c>
      <c r="G37" s="9">
        <f t="shared" si="0"/>
        <v>0.43371850985069244</v>
      </c>
      <c r="H37" s="9">
        <f t="shared" si="1"/>
        <v>0.00043371850985069246</v>
      </c>
      <c r="I37" s="58">
        <v>2</v>
      </c>
      <c r="J37" s="64">
        <v>0.7079823505816286</v>
      </c>
      <c r="K37" s="9">
        <f t="shared" si="2"/>
        <v>0.7079823505816286</v>
      </c>
      <c r="L37" s="9">
        <f t="shared" si="3"/>
        <v>0.0007079823505816286</v>
      </c>
      <c r="M37" s="58">
        <v>2</v>
      </c>
      <c r="N37" s="64">
        <v>0.550494106832135</v>
      </c>
      <c r="O37" s="9">
        <f t="shared" si="4"/>
        <v>0.550494106832135</v>
      </c>
      <c r="P37" s="9">
        <f t="shared" si="5"/>
        <v>0.0005504941068321349</v>
      </c>
      <c r="Q37" s="58">
        <v>2</v>
      </c>
      <c r="R37" s="64">
        <v>0.6861211976640428</v>
      </c>
      <c r="S37" s="9">
        <f t="shared" si="6"/>
        <v>0.6861211976640428</v>
      </c>
      <c r="T37" s="9">
        <f t="shared" si="7"/>
        <v>0.0006861211976640428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0" s="61" customFormat="1" ht="12.75">
      <c r="A38" s="61" t="s">
        <v>179</v>
      </c>
      <c r="B38" s="61">
        <v>34</v>
      </c>
      <c r="C38" s="61" t="s">
        <v>250</v>
      </c>
      <c r="D38" s="58"/>
      <c r="E38" s="58"/>
      <c r="F38" s="64">
        <v>1292.9704828020745</v>
      </c>
      <c r="G38" s="64">
        <f>G37+G36+G32+G26+G22+G19+G18+G15+G10+G7</f>
        <v>1292.9704828020745</v>
      </c>
      <c r="H38" s="64"/>
      <c r="I38" s="58"/>
      <c r="J38" s="64">
        <v>1512.0572147467453</v>
      </c>
      <c r="K38" s="64">
        <f>K37+K36+K32+K26+K22+K19+K18+K15+K10+K7</f>
        <v>1512.0572147467453</v>
      </c>
      <c r="L38" s="64"/>
      <c r="M38" s="58"/>
      <c r="N38" s="64">
        <v>1496.9673167208377</v>
      </c>
      <c r="O38" s="64">
        <f>O37+O36+O32+O26+O22+O19+O18+O15+O10+O7</f>
        <v>1496.9673167208377</v>
      </c>
      <c r="P38" s="64"/>
      <c r="Q38" s="58"/>
      <c r="R38" s="64">
        <v>1861.3844346082146</v>
      </c>
      <c r="S38" s="64">
        <f>S37+S36+S32+S26+S22+S19+S18+S15+S10+S7</f>
        <v>1861.3844346082149</v>
      </c>
      <c r="T38" s="64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40" s="61" customFormat="1" ht="12.75">
      <c r="A39" s="61" t="s">
        <v>179</v>
      </c>
      <c r="B39" s="61">
        <v>35</v>
      </c>
      <c r="C39" s="61" t="s">
        <v>32</v>
      </c>
      <c r="D39" s="58"/>
      <c r="E39" s="60">
        <f>(F39-H39)*2/F39*100</f>
        <v>0.25142726879598776</v>
      </c>
      <c r="F39" s="64">
        <v>6.6347143760478</v>
      </c>
      <c r="G39" s="64"/>
      <c r="H39" s="64">
        <f>SUM(H5:H37)</f>
        <v>6.626373635473744</v>
      </c>
      <c r="I39" s="60">
        <f>(J39-L39)*2/J39*100</f>
        <v>0.249917527217282</v>
      </c>
      <c r="J39" s="64">
        <v>12.876654268315</v>
      </c>
      <c r="K39" s="64"/>
      <c r="L39" s="64">
        <f>SUM(L5:L37)</f>
        <v>12.860563760347155</v>
      </c>
      <c r="M39" s="60">
        <f>(N39-P39)*2/N39*100</f>
        <v>0.15546095468578436</v>
      </c>
      <c r="N39" s="64">
        <v>11.182244738829246</v>
      </c>
      <c r="O39" s="64"/>
      <c r="P39" s="64">
        <f>SUM(P5:P37)</f>
        <v>11.173552726616103</v>
      </c>
      <c r="Q39" s="60">
        <f>(R39-T39)*2/R39*100</f>
        <v>0.14178765880220684</v>
      </c>
      <c r="R39" s="64">
        <v>13.19747886241353</v>
      </c>
      <c r="S39" s="64"/>
      <c r="T39" s="64">
        <f>SUM(T5:T37)</f>
        <v>13.188122664263563</v>
      </c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C1">
      <selection activeCell="C2" sqref="C2"/>
    </sheetView>
  </sheetViews>
  <sheetFormatPr defaultColWidth="9.140625" defaultRowHeight="12.75"/>
  <cols>
    <col min="1" max="1" width="7.8515625" style="0" hidden="1" customWidth="1"/>
    <col min="2" max="2" width="4.00390625" style="0" hidden="1" customWidth="1"/>
    <col min="3" max="3" width="15.28125" style="0" customWidth="1"/>
    <col min="4" max="4" width="6.140625" style="0" customWidth="1"/>
    <col min="5" max="5" width="2.140625" style="0" customWidth="1"/>
    <col min="7" max="7" width="2.00390625" style="0" customWidth="1"/>
    <col min="9" max="9" width="2.28125" style="0" customWidth="1"/>
  </cols>
  <sheetData>
    <row r="1" spans="3:10" ht="12.75">
      <c r="C1" s="4" t="s">
        <v>180</v>
      </c>
      <c r="F1" s="5" t="s">
        <v>106</v>
      </c>
      <c r="G1" s="5"/>
      <c r="H1" s="5" t="s">
        <v>107</v>
      </c>
      <c r="I1" s="5"/>
      <c r="J1" s="5" t="s">
        <v>108</v>
      </c>
    </row>
    <row r="3" ht="12.75">
      <c r="C3" t="s">
        <v>65</v>
      </c>
    </row>
    <row r="5" spans="1:31" s="61" customFormat="1" ht="12.75">
      <c r="A5" s="61" t="s">
        <v>180</v>
      </c>
      <c r="B5" s="61">
        <v>34</v>
      </c>
      <c r="C5" s="61" t="s">
        <v>250</v>
      </c>
      <c r="D5" s="58"/>
      <c r="E5" s="58"/>
      <c r="F5" s="59">
        <v>257.30991756435543</v>
      </c>
      <c r="G5" s="59"/>
      <c r="H5" s="59">
        <v>182.3418650951044</v>
      </c>
      <c r="I5" s="59"/>
      <c r="J5" s="59">
        <v>238.32713369607455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s="61" customFormat="1" ht="12.75">
      <c r="A6" s="61" t="s">
        <v>180</v>
      </c>
      <c r="B6" s="61">
        <v>35</v>
      </c>
      <c r="C6" s="61" t="s">
        <v>32</v>
      </c>
      <c r="D6" s="58"/>
      <c r="E6" s="58"/>
      <c r="F6" s="59">
        <v>1.1333333333333333</v>
      </c>
      <c r="G6" s="59"/>
      <c r="H6" s="59">
        <v>1.273770491803279</v>
      </c>
      <c r="I6" s="59"/>
      <c r="J6" s="59">
        <v>1.2983870967742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2" sqref="C2"/>
    </sheetView>
  </sheetViews>
  <sheetFormatPr defaultColWidth="9.140625" defaultRowHeight="12.75"/>
  <cols>
    <col min="1" max="1" width="3.57421875" style="18" hidden="1" customWidth="1"/>
    <col min="2" max="2" width="32.7109375" style="18" customWidth="1"/>
    <col min="3" max="3" width="67.140625" style="18" customWidth="1"/>
    <col min="4" max="16384" width="8.8515625" style="18" customWidth="1"/>
  </cols>
  <sheetData>
    <row r="1" ht="12.75">
      <c r="B1" s="4" t="s">
        <v>74</v>
      </c>
    </row>
    <row r="3" spans="2:3" ht="12.75">
      <c r="B3" s="18" t="s">
        <v>98</v>
      </c>
      <c r="C3" s="30">
        <v>300</v>
      </c>
    </row>
    <row r="4" spans="2:3" ht="12.75">
      <c r="B4" s="18" t="s">
        <v>0</v>
      </c>
      <c r="C4" s="18" t="s">
        <v>173</v>
      </c>
    </row>
    <row r="5" spans="2:3" ht="12.75">
      <c r="B5" s="18" t="s">
        <v>1</v>
      </c>
      <c r="C5" s="18" t="s">
        <v>119</v>
      </c>
    </row>
    <row r="6" ht="12.75">
      <c r="B6" s="18" t="s">
        <v>2</v>
      </c>
    </row>
    <row r="7" spans="2:3" ht="12.75">
      <c r="B7" s="18" t="s">
        <v>3</v>
      </c>
      <c r="C7" s="18" t="s">
        <v>120</v>
      </c>
    </row>
    <row r="8" spans="2:3" ht="12.75">
      <c r="B8" s="18" t="s">
        <v>4</v>
      </c>
      <c r="C8" s="18" t="s">
        <v>121</v>
      </c>
    </row>
    <row r="9" spans="2:3" ht="12.75">
      <c r="B9" s="18" t="s">
        <v>5</v>
      </c>
      <c r="C9" s="18" t="s">
        <v>99</v>
      </c>
    </row>
    <row r="10" spans="2:3" ht="12.75">
      <c r="B10" s="18" t="s">
        <v>6</v>
      </c>
      <c r="C10" s="18" t="s">
        <v>122</v>
      </c>
    </row>
    <row r="11" spans="2:3" ht="12.75">
      <c r="B11" s="18" t="s">
        <v>292</v>
      </c>
      <c r="C11" s="30">
        <v>1</v>
      </c>
    </row>
    <row r="12" spans="2:3" ht="12.75">
      <c r="B12" s="18" t="s">
        <v>271</v>
      </c>
      <c r="C12" s="18" t="s">
        <v>309</v>
      </c>
    </row>
    <row r="13" spans="2:3" ht="12.75">
      <c r="B13" s="18" t="s">
        <v>272</v>
      </c>
      <c r="C13" s="18" t="s">
        <v>100</v>
      </c>
    </row>
    <row r="14" ht="12.75">
      <c r="B14" s="18" t="s">
        <v>50</v>
      </c>
    </row>
    <row r="15" spans="2:3" ht="12.75">
      <c r="B15" s="18" t="s">
        <v>67</v>
      </c>
      <c r="C15" s="30"/>
    </row>
    <row r="16" spans="2:3" ht="12.75">
      <c r="B16" s="18" t="s">
        <v>293</v>
      </c>
      <c r="C16" s="18" t="s">
        <v>123</v>
      </c>
    </row>
    <row r="17" spans="2:3" ht="12.75">
      <c r="B17" s="18" t="s">
        <v>294</v>
      </c>
      <c r="C17" s="18" t="s">
        <v>123</v>
      </c>
    </row>
    <row r="18" spans="2:3" ht="25.5">
      <c r="B18" s="47" t="s">
        <v>7</v>
      </c>
      <c r="C18" s="47" t="s">
        <v>278</v>
      </c>
    </row>
    <row r="19" spans="2:3" ht="12.75">
      <c r="B19" s="18" t="s">
        <v>75</v>
      </c>
      <c r="C19" s="18" t="s">
        <v>125</v>
      </c>
    </row>
    <row r="20" spans="2:3" s="47" customFormat="1" ht="12.75">
      <c r="B20" s="47" t="s">
        <v>70</v>
      </c>
      <c r="C20" s="47" t="s">
        <v>124</v>
      </c>
    </row>
    <row r="21" spans="2:3" ht="12.75">
      <c r="B21" s="18" t="s">
        <v>69</v>
      </c>
      <c r="C21" s="18" t="s">
        <v>105</v>
      </c>
    </row>
    <row r="22" ht="12.75" customHeight="1"/>
    <row r="23" ht="12.75">
      <c r="B23" s="18" t="s">
        <v>8</v>
      </c>
    </row>
    <row r="24" spans="2:3" ht="12.75">
      <c r="B24" s="18" t="s">
        <v>9</v>
      </c>
      <c r="C24" s="31">
        <v>15.582572903772965</v>
      </c>
    </row>
    <row r="25" spans="2:3" ht="12.75">
      <c r="B25" s="18" t="s">
        <v>10</v>
      </c>
      <c r="C25" s="31">
        <v>203.99004528576114</v>
      </c>
    </row>
    <row r="26" spans="2:3" ht="12.75">
      <c r="B26" s="18" t="s">
        <v>71</v>
      </c>
      <c r="C26" s="31">
        <v>4.43290664756536</v>
      </c>
    </row>
    <row r="27" spans="2:3" ht="12.75">
      <c r="B27" s="18" t="s">
        <v>72</v>
      </c>
      <c r="C27" s="31">
        <v>331.6666666666667</v>
      </c>
    </row>
    <row r="28" ht="12.75" customHeight="1"/>
    <row r="29" spans="2:3" ht="12.75">
      <c r="B29" s="18" t="s">
        <v>11</v>
      </c>
      <c r="C29" s="18" t="s">
        <v>118</v>
      </c>
    </row>
    <row r="30" spans="2:3" ht="12.75">
      <c r="B30" s="18" t="s">
        <v>97</v>
      </c>
      <c r="C30" s="18" t="s">
        <v>101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B1">
      <selection activeCell="C2" sqref="C2"/>
    </sheetView>
  </sheetViews>
  <sheetFormatPr defaultColWidth="9.140625" defaultRowHeight="12.75"/>
  <cols>
    <col min="1" max="1" width="5.140625" style="0" hidden="1" customWidth="1"/>
    <col min="2" max="2" width="20.421875" style="0" customWidth="1"/>
    <col min="3" max="3" width="75.8515625" style="27" customWidth="1"/>
  </cols>
  <sheetData>
    <row r="1" ht="12.75">
      <c r="B1" s="4" t="s">
        <v>254</v>
      </c>
    </row>
    <row r="3" spans="1:3" s="18" customFormat="1" ht="12.75">
      <c r="A3" s="18">
        <v>10</v>
      </c>
      <c r="B3" s="4" t="s">
        <v>128</v>
      </c>
      <c r="C3"/>
    </row>
    <row r="4" spans="2:3" s="18" customFormat="1" ht="12.75">
      <c r="B4" s="4"/>
      <c r="C4"/>
    </row>
    <row r="5" spans="2:3" s="47" customFormat="1" ht="25.5">
      <c r="B5" s="47" t="s">
        <v>175</v>
      </c>
      <c r="C5" s="54" t="s">
        <v>140</v>
      </c>
    </row>
    <row r="6" spans="2:3" s="18" customFormat="1" ht="12.75">
      <c r="B6" s="18" t="s">
        <v>176</v>
      </c>
      <c r="C6" t="s">
        <v>141</v>
      </c>
    </row>
    <row r="7" spans="2:3" s="18" customFormat="1" ht="12.75">
      <c r="B7" s="18" t="s">
        <v>177</v>
      </c>
      <c r="C7"/>
    </row>
    <row r="8" spans="2:3" s="18" customFormat="1" ht="12.75">
      <c r="B8" s="18" t="s">
        <v>251</v>
      </c>
      <c r="C8" s="32" t="s">
        <v>291</v>
      </c>
    </row>
    <row r="9" spans="2:3" s="18" customFormat="1" ht="12.75">
      <c r="B9" s="18" t="s">
        <v>290</v>
      </c>
      <c r="C9" s="70">
        <v>36069</v>
      </c>
    </row>
    <row r="10" spans="2:3" s="18" customFormat="1" ht="12.75">
      <c r="B10" s="18" t="s">
        <v>252</v>
      </c>
      <c r="C10" t="s">
        <v>171</v>
      </c>
    </row>
    <row r="11" spans="2:3" s="18" customFormat="1" ht="12.75">
      <c r="B11" s="18" t="s">
        <v>253</v>
      </c>
      <c r="C11" t="s">
        <v>142</v>
      </c>
    </row>
    <row r="12" s="18" customFormat="1" ht="12.75">
      <c r="C12"/>
    </row>
    <row r="13" spans="1:3" s="18" customFormat="1" ht="12.75">
      <c r="A13" s="18">
        <v>11</v>
      </c>
      <c r="B13" s="4" t="s">
        <v>129</v>
      </c>
      <c r="C13" s="27"/>
    </row>
    <row r="14" s="18" customFormat="1" ht="12.75">
      <c r="C14" s="27"/>
    </row>
    <row r="15" spans="2:3" s="47" customFormat="1" ht="25.5">
      <c r="B15" s="47" t="s">
        <v>175</v>
      </c>
      <c r="C15" s="54" t="s">
        <v>140</v>
      </c>
    </row>
    <row r="16" spans="2:3" s="18" customFormat="1" ht="12.75">
      <c r="B16" s="18" t="s">
        <v>176</v>
      </c>
      <c r="C16" t="s">
        <v>141</v>
      </c>
    </row>
    <row r="17" spans="2:3" s="18" customFormat="1" ht="12.75">
      <c r="B17" s="18" t="s">
        <v>177</v>
      </c>
      <c r="C17"/>
    </row>
    <row r="18" spans="2:3" s="18" customFormat="1" ht="12.75">
      <c r="B18" s="18" t="s">
        <v>251</v>
      </c>
      <c r="C18" s="32">
        <v>36083</v>
      </c>
    </row>
    <row r="19" spans="2:3" s="18" customFormat="1" ht="12.75">
      <c r="B19" s="18" t="s">
        <v>290</v>
      </c>
      <c r="C19" s="70">
        <v>36069</v>
      </c>
    </row>
    <row r="20" spans="2:3" s="18" customFormat="1" ht="12.75">
      <c r="B20" s="18" t="s">
        <v>252</v>
      </c>
      <c r="C20" s="53" t="s">
        <v>172</v>
      </c>
    </row>
    <row r="21" spans="2:3" s="18" customFormat="1" ht="12.75">
      <c r="B21" s="18" t="s">
        <v>253</v>
      </c>
      <c r="C21" t="s">
        <v>143</v>
      </c>
    </row>
    <row r="22" s="18" customFormat="1" ht="12.75">
      <c r="C22"/>
    </row>
    <row r="23" spans="1:3" s="18" customFormat="1" ht="12.75">
      <c r="A23" s="18">
        <v>12</v>
      </c>
      <c r="B23" s="4" t="s">
        <v>130</v>
      </c>
      <c r="C23"/>
    </row>
    <row r="24" s="18" customFormat="1" ht="12.75">
      <c r="C24"/>
    </row>
    <row r="25" spans="2:3" s="47" customFormat="1" ht="25.5">
      <c r="B25" s="47" t="s">
        <v>175</v>
      </c>
      <c r="C25" s="54" t="s">
        <v>140</v>
      </c>
    </row>
    <row r="26" spans="2:3" s="18" customFormat="1" ht="12.75">
      <c r="B26" s="18" t="s">
        <v>176</v>
      </c>
      <c r="C26" t="s">
        <v>141</v>
      </c>
    </row>
    <row r="27" spans="2:3" s="18" customFormat="1" ht="12.75">
      <c r="B27" s="18" t="s">
        <v>177</v>
      </c>
      <c r="C27"/>
    </row>
    <row r="28" spans="2:3" s="18" customFormat="1" ht="12.75">
      <c r="B28" s="18" t="s">
        <v>251</v>
      </c>
      <c r="C28" s="53" t="s">
        <v>144</v>
      </c>
    </row>
    <row r="29" spans="2:3" s="18" customFormat="1" ht="12.75">
      <c r="B29" s="18" t="s">
        <v>290</v>
      </c>
      <c r="C29" s="70">
        <v>36069</v>
      </c>
    </row>
    <row r="30" spans="2:3" s="18" customFormat="1" ht="12.75">
      <c r="B30" s="18" t="s">
        <v>252</v>
      </c>
      <c r="C30" t="s">
        <v>115</v>
      </c>
    </row>
    <row r="31" spans="2:3" s="18" customFormat="1" ht="12.75">
      <c r="B31" s="18" t="s">
        <v>253</v>
      </c>
      <c r="C31" t="s">
        <v>163</v>
      </c>
    </row>
    <row r="32" s="18" customFormat="1" ht="12.75">
      <c r="C32"/>
    </row>
    <row r="33" spans="1:3" s="18" customFormat="1" ht="12.75">
      <c r="A33" s="18">
        <v>13</v>
      </c>
      <c r="B33" s="4" t="s">
        <v>153</v>
      </c>
      <c r="C33"/>
    </row>
    <row r="34" s="18" customFormat="1" ht="12.75">
      <c r="C34"/>
    </row>
    <row r="35" spans="2:3" s="47" customFormat="1" ht="25.5">
      <c r="B35" s="47" t="s">
        <v>175</v>
      </c>
      <c r="C35" s="54" t="s">
        <v>140</v>
      </c>
    </row>
    <row r="36" spans="2:3" s="18" customFormat="1" ht="12.75">
      <c r="B36" s="18" t="s">
        <v>176</v>
      </c>
      <c r="C36" t="s">
        <v>141</v>
      </c>
    </row>
    <row r="37" spans="2:3" s="18" customFormat="1" ht="12.75">
      <c r="B37" s="18" t="s">
        <v>177</v>
      </c>
      <c r="C37"/>
    </row>
    <row r="38" spans="2:3" s="18" customFormat="1" ht="12.75">
      <c r="B38" s="18" t="s">
        <v>251</v>
      </c>
      <c r="C38" s="53">
        <v>36084</v>
      </c>
    </row>
    <row r="39" spans="2:3" s="18" customFormat="1" ht="12.75">
      <c r="B39" s="18" t="s">
        <v>290</v>
      </c>
      <c r="C39" s="70">
        <v>36069</v>
      </c>
    </row>
    <row r="40" spans="2:3" s="18" customFormat="1" ht="12.75">
      <c r="B40" s="18" t="s">
        <v>252</v>
      </c>
      <c r="C40" t="s">
        <v>115</v>
      </c>
    </row>
    <row r="41" spans="2:3" s="18" customFormat="1" ht="12.75">
      <c r="B41" s="18" t="s">
        <v>253</v>
      </c>
      <c r="C41" t="s">
        <v>162</v>
      </c>
    </row>
    <row r="42" s="18" customFormat="1" ht="12.75"/>
    <row r="43" s="18" customFormat="1" ht="12.75">
      <c r="A43" s="18" t="s">
        <v>78</v>
      </c>
    </row>
    <row r="44" s="18" customFormat="1" ht="12.75">
      <c r="B44" s="18" t="s">
        <v>155</v>
      </c>
    </row>
    <row r="45" s="18" customFormat="1" ht="12.75">
      <c r="B45" s="18" t="s">
        <v>156</v>
      </c>
    </row>
    <row r="46" s="18" customFormat="1" ht="12.75">
      <c r="B46" s="18" t="s">
        <v>157</v>
      </c>
    </row>
    <row r="48" ht="12.75">
      <c r="B48" s="4" t="s">
        <v>174</v>
      </c>
    </row>
    <row r="50" spans="2:3" ht="25.5">
      <c r="B50" s="56" t="s">
        <v>175</v>
      </c>
      <c r="C50" s="67" t="s">
        <v>261</v>
      </c>
    </row>
    <row r="51" spans="2:3" ht="12.75">
      <c r="B51" t="s">
        <v>176</v>
      </c>
      <c r="C51" s="27" t="s">
        <v>262</v>
      </c>
    </row>
    <row r="52" spans="2:3" ht="12.75">
      <c r="B52" t="s">
        <v>177</v>
      </c>
      <c r="C52" s="27" t="s">
        <v>260</v>
      </c>
    </row>
    <row r="53" spans="1:3" ht="12.75">
      <c r="A53" t="s">
        <v>174</v>
      </c>
      <c r="B53" t="s">
        <v>178</v>
      </c>
      <c r="C53" s="27" t="s">
        <v>263</v>
      </c>
    </row>
    <row r="54" spans="1:3" ht="12.75">
      <c r="A54" t="s">
        <v>174</v>
      </c>
      <c r="B54" s="18" t="s">
        <v>251</v>
      </c>
      <c r="C54" s="27" t="s">
        <v>264</v>
      </c>
    </row>
    <row r="55" spans="2:3" ht="12.75">
      <c r="B55" s="18" t="s">
        <v>290</v>
      </c>
      <c r="C55" s="68">
        <v>33744</v>
      </c>
    </row>
    <row r="57" ht="12.75">
      <c r="B57" s="4" t="s">
        <v>179</v>
      </c>
    </row>
    <row r="59" spans="2:3" ht="25.5">
      <c r="B59" s="56" t="s">
        <v>175</v>
      </c>
      <c r="C59" s="67" t="s">
        <v>261</v>
      </c>
    </row>
    <row r="60" spans="2:3" ht="12.75">
      <c r="B60" t="s">
        <v>176</v>
      </c>
      <c r="C60" s="27" t="s">
        <v>262</v>
      </c>
    </row>
    <row r="61" spans="2:3" ht="12.75">
      <c r="B61" t="s">
        <v>177</v>
      </c>
      <c r="C61" s="27" t="s">
        <v>260</v>
      </c>
    </row>
    <row r="62" spans="1:3" ht="12.75">
      <c r="A62" t="s">
        <v>179</v>
      </c>
      <c r="B62" t="s">
        <v>178</v>
      </c>
      <c r="C62" s="27" t="s">
        <v>266</v>
      </c>
    </row>
    <row r="63" spans="2:3" ht="12.75">
      <c r="B63" s="18" t="s">
        <v>251</v>
      </c>
      <c r="C63" s="27" t="s">
        <v>265</v>
      </c>
    </row>
    <row r="64" spans="2:3" ht="12.75">
      <c r="B64" s="18" t="s">
        <v>290</v>
      </c>
      <c r="C64" s="68">
        <v>33744</v>
      </c>
    </row>
    <row r="66" ht="12.75">
      <c r="B66" s="4" t="s">
        <v>180</v>
      </c>
    </row>
    <row r="68" spans="2:3" ht="38.25">
      <c r="B68" s="56" t="s">
        <v>175</v>
      </c>
      <c r="C68" s="66" t="s">
        <v>259</v>
      </c>
    </row>
    <row r="69" spans="2:3" ht="12.75">
      <c r="B69" t="s">
        <v>176</v>
      </c>
      <c r="C69" s="27" t="s">
        <v>260</v>
      </c>
    </row>
    <row r="70" spans="2:3" ht="12.75">
      <c r="B70" t="s">
        <v>177</v>
      </c>
      <c r="C70" s="27" t="s">
        <v>260</v>
      </c>
    </row>
    <row r="71" spans="1:3" ht="12.75">
      <c r="A71" t="s">
        <v>180</v>
      </c>
      <c r="B71" t="s">
        <v>178</v>
      </c>
      <c r="C71" s="27" t="s">
        <v>181</v>
      </c>
    </row>
    <row r="72" spans="1:3" ht="12.75">
      <c r="A72" t="s">
        <v>180</v>
      </c>
      <c r="B72" s="18" t="s">
        <v>251</v>
      </c>
      <c r="C72" s="27" t="s">
        <v>182</v>
      </c>
    </row>
    <row r="73" spans="2:3" ht="12.75">
      <c r="B73" s="18" t="s">
        <v>290</v>
      </c>
      <c r="C73" s="68">
        <v>34178</v>
      </c>
    </row>
    <row r="75" ht="12.75">
      <c r="B75" s="4" t="s">
        <v>183</v>
      </c>
    </row>
    <row r="77" spans="2:3" ht="25.5">
      <c r="B77" s="56" t="s">
        <v>175</v>
      </c>
      <c r="C77" s="66" t="s">
        <v>267</v>
      </c>
    </row>
    <row r="78" spans="2:3" ht="12.75">
      <c r="B78" t="s">
        <v>176</v>
      </c>
      <c r="C78" s="27" t="s">
        <v>268</v>
      </c>
    </row>
    <row r="79" spans="2:3" ht="12.75">
      <c r="B79" t="s">
        <v>177</v>
      </c>
      <c r="C79" s="27" t="s">
        <v>268</v>
      </c>
    </row>
    <row r="80" spans="1:3" ht="12.75">
      <c r="A80" t="s">
        <v>183</v>
      </c>
      <c r="B80" t="s">
        <v>178</v>
      </c>
      <c r="C80" s="27" t="s">
        <v>184</v>
      </c>
    </row>
    <row r="81" spans="2:3" ht="12.75">
      <c r="B81" s="18" t="s">
        <v>251</v>
      </c>
      <c r="C81" s="53">
        <v>31917</v>
      </c>
    </row>
    <row r="82" spans="2:3" ht="12.75">
      <c r="B82" s="18" t="s">
        <v>290</v>
      </c>
      <c r="C82" s="68">
        <v>31898</v>
      </c>
    </row>
    <row r="84" ht="12.75">
      <c r="B84" s="4" t="s">
        <v>185</v>
      </c>
    </row>
    <row r="86" spans="2:3" ht="25.5">
      <c r="B86" s="56" t="s">
        <v>175</v>
      </c>
      <c r="C86" s="66" t="s">
        <v>267</v>
      </c>
    </row>
    <row r="87" spans="2:3" ht="12.75">
      <c r="B87" t="s">
        <v>176</v>
      </c>
      <c r="C87" s="27" t="s">
        <v>268</v>
      </c>
    </row>
    <row r="88" spans="2:3" ht="12.75">
      <c r="B88" t="s">
        <v>177</v>
      </c>
      <c r="C88" s="27" t="s">
        <v>268</v>
      </c>
    </row>
    <row r="89" spans="1:3" ht="12.75">
      <c r="A89" t="s">
        <v>185</v>
      </c>
      <c r="B89" t="s">
        <v>178</v>
      </c>
      <c r="C89" s="27" t="s">
        <v>64</v>
      </c>
    </row>
    <row r="90" spans="1:3" ht="12.75">
      <c r="A90" t="s">
        <v>185</v>
      </c>
      <c r="B90" s="18" t="s">
        <v>251</v>
      </c>
      <c r="C90" s="27" t="s">
        <v>186</v>
      </c>
    </row>
    <row r="91" spans="2:3" ht="12.75">
      <c r="B91" s="18" t="s">
        <v>290</v>
      </c>
      <c r="C91" s="68">
        <v>31898</v>
      </c>
    </row>
    <row r="93" ht="12.75">
      <c r="B93" s="4" t="s">
        <v>187</v>
      </c>
    </row>
    <row r="95" spans="2:3" ht="25.5">
      <c r="B95" s="56" t="s">
        <v>175</v>
      </c>
      <c r="C95" s="66" t="s">
        <v>267</v>
      </c>
    </row>
    <row r="96" spans="2:3" ht="12.75">
      <c r="B96" t="s">
        <v>176</v>
      </c>
      <c r="C96" s="27" t="s">
        <v>268</v>
      </c>
    </row>
    <row r="97" spans="2:3" ht="12.75">
      <c r="B97" t="s">
        <v>177</v>
      </c>
      <c r="C97" s="27" t="s">
        <v>268</v>
      </c>
    </row>
    <row r="98" spans="1:3" ht="12.75">
      <c r="A98" t="s">
        <v>187</v>
      </c>
      <c r="B98" t="s">
        <v>178</v>
      </c>
      <c r="C98" s="27" t="s">
        <v>184</v>
      </c>
    </row>
    <row r="99" spans="1:3" ht="12.75">
      <c r="A99" t="s">
        <v>187</v>
      </c>
      <c r="B99" s="18" t="s">
        <v>251</v>
      </c>
      <c r="C99" s="27" t="s">
        <v>188</v>
      </c>
    </row>
    <row r="100" spans="2:3" ht="12.75">
      <c r="B100" s="18" t="s">
        <v>290</v>
      </c>
      <c r="C100" s="68">
        <v>31898</v>
      </c>
    </row>
    <row r="102" ht="12.75">
      <c r="B102" s="4" t="s">
        <v>189</v>
      </c>
    </row>
    <row r="104" spans="2:3" ht="25.5">
      <c r="B104" s="56" t="s">
        <v>175</v>
      </c>
      <c r="C104" s="66" t="s">
        <v>267</v>
      </c>
    </row>
    <row r="105" spans="2:3" ht="12.75">
      <c r="B105" t="s">
        <v>176</v>
      </c>
      <c r="C105" s="27" t="s">
        <v>268</v>
      </c>
    </row>
    <row r="106" spans="2:3" ht="12.75">
      <c r="B106" t="s">
        <v>177</v>
      </c>
      <c r="C106" s="27" t="s">
        <v>268</v>
      </c>
    </row>
    <row r="107" spans="1:3" ht="12.75">
      <c r="A107" t="s">
        <v>189</v>
      </c>
      <c r="B107" t="s">
        <v>178</v>
      </c>
      <c r="C107" s="27" t="s">
        <v>270</v>
      </c>
    </row>
    <row r="108" spans="1:3" ht="12.75">
      <c r="A108" t="s">
        <v>189</v>
      </c>
      <c r="B108" s="18" t="s">
        <v>251</v>
      </c>
      <c r="C108" s="27" t="s">
        <v>269</v>
      </c>
    </row>
    <row r="109" spans="1:3" ht="12.75">
      <c r="A109" t="s">
        <v>189</v>
      </c>
      <c r="B109" s="18" t="s">
        <v>290</v>
      </c>
      <c r="C109" s="68">
        <v>31898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3"/>
  <sheetViews>
    <sheetView workbookViewId="0" topLeftCell="B1">
      <selection activeCell="C2" sqref="C2"/>
    </sheetView>
  </sheetViews>
  <sheetFormatPr defaultColWidth="9.140625" defaultRowHeight="12.75"/>
  <cols>
    <col min="1" max="1" width="3.7109375" style="36" hidden="1" customWidth="1"/>
    <col min="2" max="2" width="18.7109375" style="36" customWidth="1"/>
    <col min="3" max="3" width="7.140625" style="36" customWidth="1"/>
    <col min="4" max="4" width="8.8515625" style="34" customWidth="1"/>
    <col min="5" max="5" width="5.421875" style="34" customWidth="1"/>
    <col min="6" max="6" width="3.28125" style="35" customWidth="1"/>
    <col min="7" max="7" width="10.140625" style="36" bestFit="1" customWidth="1"/>
    <col min="8" max="8" width="3.00390625" style="35" customWidth="1"/>
    <col min="9" max="9" width="9.7109375" style="36" customWidth="1"/>
    <col min="10" max="10" width="3.28125" style="35" customWidth="1"/>
    <col min="11" max="11" width="9.421875" style="36" customWidth="1"/>
    <col min="12" max="12" width="2.00390625" style="36" customWidth="1"/>
    <col min="13" max="13" width="8.7109375" style="36" customWidth="1"/>
    <col min="14" max="14" width="3.00390625" style="36" customWidth="1"/>
    <col min="15" max="15" width="9.00390625" style="36" customWidth="1"/>
    <col min="16" max="16" width="8.8515625" style="36" hidden="1" customWidth="1"/>
    <col min="17" max="16384" width="8.8515625" style="36" customWidth="1"/>
  </cols>
  <sheetData>
    <row r="1" spans="2:3" ht="12.75">
      <c r="B1" s="33" t="s">
        <v>273</v>
      </c>
      <c r="C1" s="33"/>
    </row>
    <row r="2" spans="2:14" ht="12.75">
      <c r="B2" s="18"/>
      <c r="C2" s="18"/>
      <c r="G2" s="35"/>
      <c r="I2" s="35"/>
      <c r="K2" s="35"/>
      <c r="L2" s="35"/>
      <c r="M2" s="35"/>
      <c r="N2" s="35"/>
    </row>
    <row r="3" spans="1:15" ht="12.75">
      <c r="A3" s="36">
        <v>10</v>
      </c>
      <c r="B3" s="37" t="s">
        <v>128</v>
      </c>
      <c r="C3" s="34" t="s">
        <v>127</v>
      </c>
      <c r="G3" s="35" t="s">
        <v>106</v>
      </c>
      <c r="I3" s="35" t="s">
        <v>107</v>
      </c>
      <c r="K3" s="35" t="s">
        <v>108</v>
      </c>
      <c r="L3" s="35"/>
      <c r="M3" s="35" t="s">
        <v>190</v>
      </c>
      <c r="N3" s="35"/>
      <c r="O3" s="35" t="s">
        <v>56</v>
      </c>
    </row>
    <row r="4" spans="2:13" ht="12.75">
      <c r="B4" s="37"/>
      <c r="C4" s="34"/>
      <c r="G4" s="34" t="s">
        <v>151</v>
      </c>
      <c r="I4" s="38"/>
      <c r="K4" s="38"/>
      <c r="L4" s="38"/>
      <c r="M4" s="38"/>
    </row>
    <row r="5" spans="2:15" ht="12.75">
      <c r="B5" s="34" t="s">
        <v>18</v>
      </c>
      <c r="C5" s="34" t="s">
        <v>284</v>
      </c>
      <c r="D5" s="34" t="s">
        <v>19</v>
      </c>
      <c r="E5" s="34" t="s">
        <v>15</v>
      </c>
      <c r="F5"/>
      <c r="G5">
        <v>0.0559</v>
      </c>
      <c r="H5"/>
      <c r="I5">
        <v>0.052</v>
      </c>
      <c r="J5"/>
      <c r="K5">
        <v>0.0161</v>
      </c>
      <c r="L5"/>
      <c r="M5">
        <v>0.0216</v>
      </c>
      <c r="O5" s="40">
        <f>AVERAGE(K5,I5,M5)</f>
        <v>0.0299</v>
      </c>
    </row>
    <row r="6" spans="2:13" ht="12.75">
      <c r="B6" s="34"/>
      <c r="C6" s="34"/>
      <c r="F6"/>
      <c r="G6"/>
      <c r="H6"/>
      <c r="I6"/>
      <c r="J6"/>
      <c r="K6"/>
      <c r="L6"/>
      <c r="M6"/>
    </row>
    <row r="7" spans="2:15" ht="12.75">
      <c r="B7" s="34" t="s">
        <v>147</v>
      </c>
      <c r="C7" s="34" t="s">
        <v>284</v>
      </c>
      <c r="D7" s="34" t="s">
        <v>51</v>
      </c>
      <c r="E7" s="34" t="s">
        <v>15</v>
      </c>
      <c r="F7"/>
      <c r="G7">
        <v>651</v>
      </c>
      <c r="H7"/>
      <c r="I7">
        <v>870</v>
      </c>
      <c r="J7"/>
      <c r="K7">
        <v>971</v>
      </c>
      <c r="L7"/>
      <c r="M7"/>
      <c r="O7" s="43">
        <f>AVERAGE(K7,I7,G7)</f>
        <v>830.6666666666666</v>
      </c>
    </row>
    <row r="8" spans="2:15" ht="12.75">
      <c r="B8" s="34" t="s">
        <v>148</v>
      </c>
      <c r="C8" s="34" t="s">
        <v>284</v>
      </c>
      <c r="D8" s="34" t="s">
        <v>51</v>
      </c>
      <c r="E8" s="34" t="s">
        <v>15</v>
      </c>
      <c r="F8"/>
      <c r="G8">
        <v>1550</v>
      </c>
      <c r="H8"/>
      <c r="I8">
        <v>1523</v>
      </c>
      <c r="J8"/>
      <c r="K8">
        <v>1502</v>
      </c>
      <c r="L8"/>
      <c r="M8"/>
      <c r="O8" s="43">
        <f>AVERAGE(K8,I8,G8)</f>
        <v>1525</v>
      </c>
    </row>
    <row r="9" spans="2:13" ht="12.75">
      <c r="B9" s="34"/>
      <c r="C9" s="34"/>
      <c r="F9"/>
      <c r="G9"/>
      <c r="H9"/>
      <c r="I9"/>
      <c r="J9"/>
      <c r="K9"/>
      <c r="L9"/>
      <c r="M9"/>
    </row>
    <row r="10" spans="2:15" ht="12.75">
      <c r="B10" s="34" t="s">
        <v>149</v>
      </c>
      <c r="C10" s="34" t="s">
        <v>284</v>
      </c>
      <c r="D10" s="34" t="s">
        <v>51</v>
      </c>
      <c r="E10" s="34" t="s">
        <v>15</v>
      </c>
      <c r="F10"/>
      <c r="G10">
        <v>9.9</v>
      </c>
      <c r="H10"/>
      <c r="I10">
        <v>13.3</v>
      </c>
      <c r="J10"/>
      <c r="K10">
        <v>12.3</v>
      </c>
      <c r="L10"/>
      <c r="M10"/>
      <c r="O10" s="43">
        <f>AVERAGE(K10,I10,G10)</f>
        <v>11.833333333333334</v>
      </c>
    </row>
    <row r="11" spans="2:15" ht="12.75">
      <c r="B11" s="34" t="s">
        <v>150</v>
      </c>
      <c r="C11" s="34" t="s">
        <v>284</v>
      </c>
      <c r="D11" s="34" t="s">
        <v>51</v>
      </c>
      <c r="E11" s="34" t="s">
        <v>15</v>
      </c>
      <c r="F11"/>
      <c r="G11">
        <v>16</v>
      </c>
      <c r="H11"/>
      <c r="I11">
        <v>17</v>
      </c>
      <c r="J11"/>
      <c r="K11">
        <v>18</v>
      </c>
      <c r="L11"/>
      <c r="M11"/>
      <c r="O11" s="43">
        <f>AVERAGE(K11,I11,G11)</f>
        <v>17</v>
      </c>
    </row>
    <row r="12" spans="2:15" ht="12.75">
      <c r="B12" s="34"/>
      <c r="C12" s="34"/>
      <c r="F12"/>
      <c r="G12"/>
      <c r="H12"/>
      <c r="I12"/>
      <c r="J12"/>
      <c r="K12"/>
      <c r="L12"/>
      <c r="M12"/>
      <c r="O12" s="43"/>
    </row>
    <row r="13" spans="2:13" ht="12.75">
      <c r="B13" s="34" t="s">
        <v>20</v>
      </c>
      <c r="C13" s="34"/>
      <c r="D13" s="34" t="s">
        <v>103</v>
      </c>
      <c r="F13"/>
      <c r="G13">
        <v>1322</v>
      </c>
      <c r="H13"/>
      <c r="I13">
        <v>1959</v>
      </c>
      <c r="J13"/>
      <c r="K13">
        <v>643</v>
      </c>
      <c r="L13"/>
      <c r="M13">
        <v>2358</v>
      </c>
    </row>
    <row r="14" spans="2:14" ht="12.75">
      <c r="B14" s="34" t="s">
        <v>54</v>
      </c>
      <c r="C14" s="34"/>
      <c r="D14" s="34" t="s">
        <v>103</v>
      </c>
      <c r="F14"/>
      <c r="G14">
        <v>6.03</v>
      </c>
      <c r="H14"/>
      <c r="I14">
        <v>7.24</v>
      </c>
      <c r="J14"/>
      <c r="K14">
        <v>12.23</v>
      </c>
      <c r="L14"/>
      <c r="M14">
        <v>9.45</v>
      </c>
      <c r="N14" s="52"/>
    </row>
    <row r="15" spans="2:13" ht="12.75">
      <c r="B15" s="34"/>
      <c r="C15" s="34"/>
      <c r="F15"/>
      <c r="G15"/>
      <c r="H15"/>
      <c r="I15"/>
      <c r="J15"/>
      <c r="K15"/>
      <c r="L15"/>
      <c r="M15"/>
    </row>
    <row r="16" spans="6:14" ht="12.75">
      <c r="F16"/>
      <c r="G16"/>
      <c r="H16"/>
      <c r="I16"/>
      <c r="J16"/>
      <c r="K16"/>
      <c r="L16"/>
      <c r="M16"/>
      <c r="N16" s="41"/>
    </row>
    <row r="17" spans="2:15" ht="12.75">
      <c r="B17" s="34" t="s">
        <v>110</v>
      </c>
      <c r="C17" s="34" t="s">
        <v>145</v>
      </c>
      <c r="F17" s="5"/>
      <c r="G17"/>
      <c r="H17" s="5"/>
      <c r="I17"/>
      <c r="J17" s="5"/>
      <c r="K17"/>
      <c r="L17"/>
      <c r="M17"/>
      <c r="N17"/>
      <c r="O17"/>
    </row>
    <row r="18" spans="2:15" ht="12.75">
      <c r="B18" s="34" t="s">
        <v>111</v>
      </c>
      <c r="C18" s="34"/>
      <c r="D18" s="34" t="s">
        <v>103</v>
      </c>
      <c r="F18"/>
      <c r="G18" s="72">
        <v>140452</v>
      </c>
      <c r="H18" s="72"/>
      <c r="I18" s="72">
        <v>87133</v>
      </c>
      <c r="J18" s="72"/>
      <c r="K18" s="72">
        <v>87060</v>
      </c>
      <c r="L18"/>
      <c r="M18"/>
      <c r="N18"/>
      <c r="O18"/>
    </row>
    <row r="19" spans="2:15" ht="12.75">
      <c r="B19" s="34" t="s">
        <v>112</v>
      </c>
      <c r="C19" s="34" t="s">
        <v>284</v>
      </c>
      <c r="D19" s="34" t="s">
        <v>103</v>
      </c>
      <c r="F19"/>
      <c r="G19">
        <v>0.171</v>
      </c>
      <c r="H19"/>
      <c r="I19">
        <v>0.157</v>
      </c>
      <c r="J19"/>
      <c r="K19">
        <v>0.092</v>
      </c>
      <c r="L19"/>
      <c r="M19"/>
      <c r="N19"/>
      <c r="O19"/>
    </row>
    <row r="20" spans="2:15" ht="12.75">
      <c r="B20" s="34" t="s">
        <v>64</v>
      </c>
      <c r="C20" s="34" t="s">
        <v>284</v>
      </c>
      <c r="D20" s="34" t="s">
        <v>14</v>
      </c>
      <c r="G20" s="2">
        <f>(G18-G19)/G18*100</f>
        <v>99.99987825022072</v>
      </c>
      <c r="I20" s="2">
        <f>(I18-I19)/I18*100</f>
        <v>99.99981981568406</v>
      </c>
      <c r="K20" s="2">
        <f>(K18-K19)/K18*100</f>
        <v>99.99989432575235</v>
      </c>
      <c r="L20" s="2"/>
      <c r="M20" s="2"/>
      <c r="N20"/>
      <c r="O20"/>
    </row>
    <row r="21" spans="2:14" ht="12.75">
      <c r="B21" s="34"/>
      <c r="C21" s="34"/>
      <c r="G21"/>
      <c r="H21" s="5"/>
      <c r="I21"/>
      <c r="J21" s="5"/>
      <c r="K21"/>
      <c r="L21"/>
      <c r="M21"/>
      <c r="N21" s="38"/>
    </row>
    <row r="22" spans="2:15" ht="12.75">
      <c r="B22" s="34" t="s">
        <v>110</v>
      </c>
      <c r="C22" s="34" t="s">
        <v>146</v>
      </c>
      <c r="F22" s="5"/>
      <c r="G22"/>
      <c r="H22" s="5"/>
      <c r="I22"/>
      <c r="J22" s="5"/>
      <c r="K22"/>
      <c r="L22"/>
      <c r="M22"/>
      <c r="N22"/>
      <c r="O22"/>
    </row>
    <row r="23" spans="2:15" ht="12.75">
      <c r="B23" s="34" t="s">
        <v>111</v>
      </c>
      <c r="C23" s="34"/>
      <c r="D23" s="34" t="s">
        <v>103</v>
      </c>
      <c r="F23"/>
      <c r="G23" s="72">
        <v>157818</v>
      </c>
      <c r="H23" s="72"/>
      <c r="I23" s="72">
        <v>157802</v>
      </c>
      <c r="J23" s="72"/>
      <c r="K23" s="72">
        <v>155636</v>
      </c>
      <c r="L23"/>
      <c r="M23"/>
      <c r="N23"/>
      <c r="O23"/>
    </row>
    <row r="24" spans="2:15" ht="12.75">
      <c r="B24" s="34" t="s">
        <v>112</v>
      </c>
      <c r="C24" s="34" t="s">
        <v>284</v>
      </c>
      <c r="D24" s="34" t="s">
        <v>103</v>
      </c>
      <c r="F24"/>
      <c r="G24">
        <v>0.322</v>
      </c>
      <c r="H24"/>
      <c r="I24">
        <v>0.386</v>
      </c>
      <c r="J24"/>
      <c r="K24">
        <v>0.418</v>
      </c>
      <c r="L24"/>
      <c r="M24"/>
      <c r="N24"/>
      <c r="O24"/>
    </row>
    <row r="25" spans="2:15" ht="12.75">
      <c r="B25" s="34" t="s">
        <v>64</v>
      </c>
      <c r="C25" s="34" t="s">
        <v>284</v>
      </c>
      <c r="D25" s="34" t="s">
        <v>103</v>
      </c>
      <c r="G25" s="2">
        <f>(G23-G24)/G23*100</f>
        <v>99.99979596750688</v>
      </c>
      <c r="H25" s="5"/>
      <c r="I25" s="2">
        <f>(I23-I24)/I23*100</f>
        <v>99.99975538966554</v>
      </c>
      <c r="J25" s="5"/>
      <c r="K25" s="2">
        <f>(K23-K24)/K23*100</f>
        <v>99.99973142460613</v>
      </c>
      <c r="L25" s="2"/>
      <c r="M25" s="2"/>
      <c r="N25"/>
      <c r="O25"/>
    </row>
    <row r="26" spans="2:15" ht="12.75">
      <c r="B26" s="34"/>
      <c r="C26" s="34"/>
      <c r="G26" s="2"/>
      <c r="H26" s="5"/>
      <c r="I26" s="2"/>
      <c r="J26" s="5"/>
      <c r="K26" s="2"/>
      <c r="L26" s="2"/>
      <c r="M26" s="2"/>
      <c r="N26"/>
      <c r="O26"/>
    </row>
    <row r="27" spans="2:15" ht="12.75">
      <c r="B27" s="34" t="s">
        <v>110</v>
      </c>
      <c r="C27" s="34" t="s">
        <v>116</v>
      </c>
      <c r="F27" s="5"/>
      <c r="G27"/>
      <c r="H27" s="5"/>
      <c r="I27"/>
      <c r="J27" s="5"/>
      <c r="K27"/>
      <c r="L27"/>
      <c r="M27"/>
      <c r="N27"/>
      <c r="O27"/>
    </row>
    <row r="28" spans="2:15" ht="12.75">
      <c r="B28" s="34" t="s">
        <v>111</v>
      </c>
      <c r="C28" s="34"/>
      <c r="D28" s="34" t="s">
        <v>103</v>
      </c>
      <c r="F28"/>
      <c r="G28" s="72">
        <v>35859649</v>
      </c>
      <c r="H28" s="72"/>
      <c r="I28" s="72">
        <v>151397</v>
      </c>
      <c r="J28" s="72"/>
      <c r="K28" s="72">
        <v>115727</v>
      </c>
      <c r="L28"/>
      <c r="M28"/>
      <c r="N28"/>
      <c r="O28"/>
    </row>
    <row r="29" spans="2:15" ht="12.75">
      <c r="B29" s="34" t="s">
        <v>112</v>
      </c>
      <c r="C29" s="34" t="s">
        <v>284</v>
      </c>
      <c r="D29" s="34" t="s">
        <v>103</v>
      </c>
      <c r="F29"/>
      <c r="G29">
        <v>0.241</v>
      </c>
      <c r="H29"/>
      <c r="I29">
        <v>0.205</v>
      </c>
      <c r="J29"/>
      <c r="K29">
        <v>0.193</v>
      </c>
      <c r="L29"/>
      <c r="M29"/>
      <c r="N29"/>
      <c r="O29"/>
    </row>
    <row r="30" spans="2:15" ht="12.75">
      <c r="B30" s="34" t="s">
        <v>64</v>
      </c>
      <c r="C30" s="34" t="s">
        <v>284</v>
      </c>
      <c r="D30" s="34" t="s">
        <v>103</v>
      </c>
      <c r="G30" s="2">
        <f>(G28-G29)/G28*100</f>
        <v>99.99999932793543</v>
      </c>
      <c r="H30" s="5"/>
      <c r="I30" s="2">
        <f>(I28-I29)/I28*100</f>
        <v>99.99986459441072</v>
      </c>
      <c r="J30" s="5"/>
      <c r="K30" s="2">
        <f>(K28-K29)/K28*100</f>
        <v>99.99983322820086</v>
      </c>
      <c r="L30" s="2"/>
      <c r="M30" s="2"/>
      <c r="N30"/>
      <c r="O30"/>
    </row>
    <row r="31" spans="2:15" ht="12.75">
      <c r="B31" s="34"/>
      <c r="C31" s="34"/>
      <c r="G31" s="2"/>
      <c r="H31" s="5"/>
      <c r="I31" s="2"/>
      <c r="J31" s="5"/>
      <c r="K31" s="2"/>
      <c r="L31" s="2"/>
      <c r="M31" s="2"/>
      <c r="N31"/>
      <c r="O31"/>
    </row>
    <row r="32" spans="2:15" ht="12.75">
      <c r="B32" s="34" t="s">
        <v>110</v>
      </c>
      <c r="C32" s="34" t="s">
        <v>117</v>
      </c>
      <c r="F32" s="5"/>
      <c r="G32"/>
      <c r="H32" s="5"/>
      <c r="I32"/>
      <c r="J32" s="5"/>
      <c r="K32"/>
      <c r="L32"/>
      <c r="M32"/>
      <c r="N32"/>
      <c r="O32"/>
    </row>
    <row r="33" spans="2:15" ht="12.75">
      <c r="B33" s="34" t="s">
        <v>111</v>
      </c>
      <c r="C33" s="34"/>
      <c r="D33" s="34" t="s">
        <v>103</v>
      </c>
      <c r="F33"/>
      <c r="G33" s="72">
        <v>11444</v>
      </c>
      <c r="H33" s="72"/>
      <c r="I33" s="72">
        <v>11725</v>
      </c>
      <c r="J33" s="72"/>
      <c r="K33" s="72">
        <v>11432</v>
      </c>
      <c r="L33"/>
      <c r="M33"/>
      <c r="N33"/>
      <c r="O33"/>
    </row>
    <row r="34" spans="2:15" ht="12.75">
      <c r="B34" s="34" t="s">
        <v>112</v>
      </c>
      <c r="C34" s="34" t="s">
        <v>284</v>
      </c>
      <c r="D34" s="34" t="s">
        <v>103</v>
      </c>
      <c r="F34"/>
      <c r="G34">
        <v>0.457</v>
      </c>
      <c r="H34"/>
      <c r="I34">
        <v>0.354</v>
      </c>
      <c r="J34"/>
      <c r="K34">
        <v>0.319</v>
      </c>
      <c r="L34"/>
      <c r="M34"/>
      <c r="N34"/>
      <c r="O34"/>
    </row>
    <row r="35" spans="2:15" ht="12.75">
      <c r="B35" s="34" t="s">
        <v>64</v>
      </c>
      <c r="C35" s="34" t="s">
        <v>284</v>
      </c>
      <c r="D35" s="34" t="s">
        <v>14</v>
      </c>
      <c r="G35" s="2">
        <f>(G33-G34)/G33*100</f>
        <v>99.9960066410346</v>
      </c>
      <c r="I35" s="2">
        <f>(I33-I34)/I33*100</f>
        <v>99.99698081023455</v>
      </c>
      <c r="K35" s="2">
        <f>(K33-K34)/K33*100</f>
        <v>99.99720958712388</v>
      </c>
      <c r="L35" s="2"/>
      <c r="M35" s="2"/>
      <c r="N35"/>
      <c r="O35"/>
    </row>
    <row r="36" spans="2:15" ht="12.75">
      <c r="B36" s="34"/>
      <c r="C36" s="34"/>
      <c r="G36" s="2"/>
      <c r="H36" s="5"/>
      <c r="I36" s="2"/>
      <c r="J36" s="5"/>
      <c r="K36" s="2"/>
      <c r="L36" s="2"/>
      <c r="M36" s="2"/>
      <c r="N36"/>
      <c r="O36"/>
    </row>
    <row r="37" spans="2:14" ht="12.75">
      <c r="B37" s="34" t="s">
        <v>82</v>
      </c>
      <c r="C37" s="34" t="s">
        <v>79</v>
      </c>
      <c r="D37" s="34" t="s">
        <v>284</v>
      </c>
      <c r="F37"/>
      <c r="G37"/>
      <c r="H37"/>
      <c r="I37"/>
      <c r="J37"/>
      <c r="K37"/>
      <c r="L37"/>
      <c r="M37"/>
      <c r="N37" s="38"/>
    </row>
    <row r="38" spans="2:15" ht="12.75">
      <c r="B38" s="34" t="s">
        <v>77</v>
      </c>
      <c r="C38" s="34"/>
      <c r="D38" s="34" t="s">
        <v>16</v>
      </c>
      <c r="F38"/>
      <c r="G38">
        <v>60422</v>
      </c>
      <c r="H38"/>
      <c r="I38">
        <v>64332</v>
      </c>
      <c r="J38"/>
      <c r="K38">
        <v>73380</v>
      </c>
      <c r="L38"/>
      <c r="M38">
        <v>65998</v>
      </c>
      <c r="N38" s="38"/>
      <c r="O38" s="50">
        <f>AVERAGE(G38,I38,K38)</f>
        <v>66044.66666666667</v>
      </c>
    </row>
    <row r="39" spans="2:15" ht="12.75">
      <c r="B39" s="34" t="s">
        <v>80</v>
      </c>
      <c r="C39" s="34"/>
      <c r="D39" s="34" t="s">
        <v>14</v>
      </c>
      <c r="F39"/>
      <c r="G39">
        <v>6.2</v>
      </c>
      <c r="H39"/>
      <c r="I39">
        <v>6.3</v>
      </c>
      <c r="J39"/>
      <c r="K39">
        <v>6.2</v>
      </c>
      <c r="L39"/>
      <c r="M39">
        <v>6.2</v>
      </c>
      <c r="N39" s="38"/>
      <c r="O39" s="43">
        <f>AVERAGE(G39,I39,K39)</f>
        <v>6.233333333333333</v>
      </c>
    </row>
    <row r="40" spans="2:15" ht="12.75">
      <c r="B40" s="34" t="s">
        <v>81</v>
      </c>
      <c r="C40" s="34"/>
      <c r="D40" s="34" t="s">
        <v>14</v>
      </c>
      <c r="F40"/>
      <c r="G40">
        <v>31.75</v>
      </c>
      <c r="H40"/>
      <c r="I40">
        <v>34.96</v>
      </c>
      <c r="J40"/>
      <c r="K40">
        <v>30.06</v>
      </c>
      <c r="L40"/>
      <c r="M40">
        <v>34.59</v>
      </c>
      <c r="N40" s="38"/>
      <c r="O40" s="43">
        <f>AVERAGE(G40,I40,K40)</f>
        <v>32.25666666666667</v>
      </c>
    </row>
    <row r="41" spans="2:15" ht="12.75">
      <c r="B41" s="34" t="s">
        <v>76</v>
      </c>
      <c r="C41" s="34"/>
      <c r="D41" s="34" t="s">
        <v>17</v>
      </c>
      <c r="F41"/>
      <c r="G41">
        <v>365</v>
      </c>
      <c r="H41"/>
      <c r="I41">
        <v>357</v>
      </c>
      <c r="J41"/>
      <c r="K41">
        <v>380</v>
      </c>
      <c r="L41"/>
      <c r="M41">
        <v>346</v>
      </c>
      <c r="N41" s="38"/>
      <c r="O41" s="43">
        <f>AVERAGE(G41,I41,K41)</f>
        <v>367.3333333333333</v>
      </c>
    </row>
    <row r="42" spans="2:15" ht="12.75">
      <c r="B42" s="34"/>
      <c r="C42" s="34"/>
      <c r="F42"/>
      <c r="G42"/>
      <c r="H42"/>
      <c r="I42"/>
      <c r="J42"/>
      <c r="K42"/>
      <c r="L42"/>
      <c r="M42"/>
      <c r="N42" s="38"/>
      <c r="O42" s="43"/>
    </row>
    <row r="43" spans="2:14" ht="12.75">
      <c r="B43" s="34" t="s">
        <v>82</v>
      </c>
      <c r="C43" s="34" t="s">
        <v>68</v>
      </c>
      <c r="D43" s="34" t="s">
        <v>286</v>
      </c>
      <c r="F43"/>
      <c r="G43"/>
      <c r="H43"/>
      <c r="I43"/>
      <c r="J43"/>
      <c r="K43"/>
      <c r="L43"/>
      <c r="M43"/>
      <c r="N43" s="38"/>
    </row>
    <row r="44" spans="2:15" ht="12.75">
      <c r="B44" s="34" t="s">
        <v>77</v>
      </c>
      <c r="C44" s="34"/>
      <c r="D44" s="34" t="s">
        <v>16</v>
      </c>
      <c r="F44"/>
      <c r="G44">
        <v>61394</v>
      </c>
      <c r="H44"/>
      <c r="I44">
        <v>52117</v>
      </c>
      <c r="J44"/>
      <c r="K44">
        <v>61044</v>
      </c>
      <c r="L44"/>
      <c r="M44"/>
      <c r="N44" s="38"/>
      <c r="O44" s="50">
        <f>AVERAGE(G44,I44,K44)</f>
        <v>58185</v>
      </c>
    </row>
    <row r="45" spans="2:15" ht="12.75">
      <c r="B45" s="34" t="s">
        <v>80</v>
      </c>
      <c r="C45" s="34"/>
      <c r="D45" s="34" t="s">
        <v>14</v>
      </c>
      <c r="F45"/>
      <c r="G45">
        <v>6.2</v>
      </c>
      <c r="H45"/>
      <c r="I45">
        <v>6.3</v>
      </c>
      <c r="J45"/>
      <c r="K45">
        <v>6.2</v>
      </c>
      <c r="L45"/>
      <c r="M45"/>
      <c r="N45" s="38"/>
      <c r="O45" s="43">
        <f>AVERAGE(G45,I45,K45)</f>
        <v>6.233333333333333</v>
      </c>
    </row>
    <row r="46" spans="2:15" ht="12.75">
      <c r="B46" s="34" t="s">
        <v>81</v>
      </c>
      <c r="C46" s="34"/>
      <c r="D46" s="34" t="s">
        <v>14</v>
      </c>
      <c r="F46"/>
      <c r="G46">
        <v>28.9</v>
      </c>
      <c r="H46"/>
      <c r="I46">
        <v>34.9</v>
      </c>
      <c r="J46"/>
      <c r="K46">
        <v>32.1</v>
      </c>
      <c r="L46"/>
      <c r="M46"/>
      <c r="N46" s="38"/>
      <c r="O46" s="43">
        <f>AVERAGE(G46,I46,K46)</f>
        <v>31.96666666666667</v>
      </c>
    </row>
    <row r="47" spans="2:15" ht="12.75">
      <c r="B47" s="34" t="s">
        <v>76</v>
      </c>
      <c r="C47" s="34"/>
      <c r="D47" s="34" t="s">
        <v>17</v>
      </c>
      <c r="F47"/>
      <c r="G47">
        <v>367</v>
      </c>
      <c r="H47"/>
      <c r="I47">
        <v>359</v>
      </c>
      <c r="J47"/>
      <c r="K47">
        <v>373</v>
      </c>
      <c r="L47"/>
      <c r="M47"/>
      <c r="N47" s="38"/>
      <c r="O47" s="43">
        <f>AVERAGE(G47,I47,K47)</f>
        <v>366.3333333333333</v>
      </c>
    </row>
    <row r="48" spans="2:15" ht="12.75">
      <c r="B48" s="34"/>
      <c r="C48" s="34"/>
      <c r="N48" s="38"/>
      <c r="O48" s="43"/>
    </row>
    <row r="49" spans="2:15" ht="12.75">
      <c r="B49" s="34" t="s">
        <v>20</v>
      </c>
      <c r="C49" s="34" t="s">
        <v>284</v>
      </c>
      <c r="D49" s="34" t="s">
        <v>51</v>
      </c>
      <c r="E49" s="34" t="s">
        <v>15</v>
      </c>
      <c r="G49" s="28">
        <f>G13/G$38/60/0.0283/1518*(21-7)/(21-G$39)*1000000</f>
        <v>8.02958724775363</v>
      </c>
      <c r="H49" s="5"/>
      <c r="I49" s="28">
        <f>I13/I$38/60/0.0283/1518*(21-7)/(21-I$39)*1000000</f>
        <v>11.251453409699053</v>
      </c>
      <c r="J49" s="5"/>
      <c r="K49" s="28">
        <f>K13/K$38/60/0.0283/1518*(21-7)/(21-K$39)*1000000</f>
        <v>3.215808126224008</v>
      </c>
      <c r="L49" s="28"/>
      <c r="M49" s="28">
        <f>M13/M$38/60/0.0283/1518*(21-7)/(21-M$39)*1000000</f>
        <v>13.11202862485689</v>
      </c>
      <c r="O49" s="42">
        <f>AVERAGE(I49,K49,M49)</f>
        <v>9.193096720259984</v>
      </c>
    </row>
    <row r="50" spans="2:15" ht="12.75">
      <c r="B50" s="34" t="s">
        <v>54</v>
      </c>
      <c r="C50" s="34" t="s">
        <v>284</v>
      </c>
      <c r="D50" s="34" t="s">
        <v>51</v>
      </c>
      <c r="E50" s="34" t="s">
        <v>15</v>
      </c>
      <c r="G50" s="28">
        <f>G14/G$38/60/0.0283/2953*(21-7)/(21-G$39)*1000000</f>
        <v>0.018827272261856008</v>
      </c>
      <c r="H50" s="5"/>
      <c r="I50" s="28">
        <f>I14/I$38/60/0.0283/2953*(21-7)/(21-I$39)*1000000</f>
        <v>0.02137573619125768</v>
      </c>
      <c r="J50" s="5"/>
      <c r="K50" s="28">
        <f>K14/K$38/60/0.0283/2953*(21-7)/(21-K$39)*1000000</f>
        <v>0.03144227320635334</v>
      </c>
      <c r="L50" s="28"/>
      <c r="M50" s="28">
        <f>M14/M$38/60/0.0283/2953*(21-7)/(21-M$39)*1000000</f>
        <v>0.02701258963605312</v>
      </c>
      <c r="O50" s="42">
        <f>AVERAGE(I50,K50,M50)</f>
        <v>0.026610199677888042</v>
      </c>
    </row>
    <row r="51" spans="2:15" ht="12.75">
      <c r="B51" s="34" t="s">
        <v>288</v>
      </c>
      <c r="C51" s="34" t="s">
        <v>284</v>
      </c>
      <c r="D51" s="34" t="s">
        <v>51</v>
      </c>
      <c r="E51" s="34" t="s">
        <v>15</v>
      </c>
      <c r="G51" s="1">
        <f>G49+2*G50</f>
        <v>8.067241792277342</v>
      </c>
      <c r="H51" s="5"/>
      <c r="I51" s="1">
        <f>I49+2*I50</f>
        <v>11.29420488208157</v>
      </c>
      <c r="J51" s="5"/>
      <c r="K51" s="1">
        <f>K49+2*K50</f>
        <v>3.2786926726367147</v>
      </c>
      <c r="L51" s="1"/>
      <c r="M51" s="1">
        <f>M49+2*M50</f>
        <v>13.166053804128996</v>
      </c>
      <c r="O51" s="42">
        <f>AVERAGE(I51,K51,M51)</f>
        <v>9.24631711961576</v>
      </c>
    </row>
    <row r="52" spans="2:13" ht="12.75">
      <c r="B52" s="34"/>
      <c r="C52" s="34"/>
      <c r="G52"/>
      <c r="H52" s="5"/>
      <c r="I52"/>
      <c r="J52" s="5"/>
      <c r="K52"/>
      <c r="L52"/>
      <c r="M52"/>
    </row>
    <row r="53" spans="1:15" ht="12.75">
      <c r="A53" s="36">
        <v>11</v>
      </c>
      <c r="B53" s="37" t="s">
        <v>129</v>
      </c>
      <c r="C53" s="34"/>
      <c r="D53" s="34" t="s">
        <v>126</v>
      </c>
      <c r="G53" s="35" t="s">
        <v>106</v>
      </c>
      <c r="I53" s="35" t="s">
        <v>107</v>
      </c>
      <c r="K53" s="35" t="s">
        <v>108</v>
      </c>
      <c r="L53" s="35"/>
      <c r="M53" s="35" t="s">
        <v>190</v>
      </c>
      <c r="N53" s="35"/>
      <c r="O53" s="35" t="s">
        <v>56</v>
      </c>
    </row>
    <row r="54" spans="2:14" ht="12.75">
      <c r="B54" s="34"/>
      <c r="C54" s="34"/>
      <c r="D54" s="18"/>
      <c r="E54" s="18"/>
      <c r="F54" s="22"/>
      <c r="G54" s="18"/>
      <c r="H54" s="22"/>
      <c r="I54" s="18"/>
      <c r="J54" s="22"/>
      <c r="K54" s="18"/>
      <c r="L54" s="18"/>
      <c r="M54" s="18"/>
      <c r="N54" s="38"/>
    </row>
    <row r="55" spans="2:15" ht="12.75">
      <c r="B55" s="34" t="s">
        <v>18</v>
      </c>
      <c r="C55" s="34" t="s">
        <v>284</v>
      </c>
      <c r="D55" s="34" t="s">
        <v>19</v>
      </c>
      <c r="E55" s="34" t="s">
        <v>15</v>
      </c>
      <c r="F55"/>
      <c r="G55">
        <v>0.067</v>
      </c>
      <c r="H55"/>
      <c r="I55">
        <v>0.0587</v>
      </c>
      <c r="J55"/>
      <c r="K55">
        <v>0.0361</v>
      </c>
      <c r="L55"/>
      <c r="M55"/>
      <c r="O55" s="40">
        <f>AVERAGE(K55,I55,G55)</f>
        <v>0.05393333333333333</v>
      </c>
    </row>
    <row r="56" spans="2:13" ht="12.75">
      <c r="B56" s="34"/>
      <c r="C56" s="34"/>
      <c r="F56"/>
      <c r="G56"/>
      <c r="H56"/>
      <c r="I56"/>
      <c r="J56"/>
      <c r="K56"/>
      <c r="L56"/>
      <c r="M56"/>
    </row>
    <row r="57" spans="2:15" ht="12.75">
      <c r="B57" s="34" t="s">
        <v>147</v>
      </c>
      <c r="C57" s="34" t="s">
        <v>284</v>
      </c>
      <c r="D57" s="34" t="s">
        <v>51</v>
      </c>
      <c r="E57" s="34" t="s">
        <v>15</v>
      </c>
      <c r="F57"/>
      <c r="G57">
        <v>564</v>
      </c>
      <c r="H57"/>
      <c r="I57">
        <v>67.3</v>
      </c>
      <c r="J57"/>
      <c r="K57">
        <v>186</v>
      </c>
      <c r="L57"/>
      <c r="M57"/>
      <c r="O57" s="43">
        <f>AVERAGE(K57,I57,G57)</f>
        <v>272.43333333333334</v>
      </c>
    </row>
    <row r="58" spans="2:15" ht="12.75">
      <c r="B58" s="34" t="s">
        <v>148</v>
      </c>
      <c r="C58" s="34" t="s">
        <v>284</v>
      </c>
      <c r="D58" s="34" t="s">
        <v>51</v>
      </c>
      <c r="E58" s="34" t="s">
        <v>15</v>
      </c>
      <c r="F58"/>
      <c r="G58">
        <v>1106</v>
      </c>
      <c r="H58"/>
      <c r="I58">
        <v>75.8</v>
      </c>
      <c r="J58"/>
      <c r="K58">
        <v>365</v>
      </c>
      <c r="L58"/>
      <c r="M58"/>
      <c r="O58" s="43">
        <f>AVERAGE(K58,I58,G58)</f>
        <v>515.6</v>
      </c>
    </row>
    <row r="59" spans="2:15" ht="12.75">
      <c r="B59" s="34"/>
      <c r="C59" s="34"/>
      <c r="F59"/>
      <c r="G59"/>
      <c r="H59"/>
      <c r="I59"/>
      <c r="J59"/>
      <c r="K59"/>
      <c r="L59"/>
      <c r="M59"/>
      <c r="O59" s="43"/>
    </row>
    <row r="60" spans="2:15" ht="12.75">
      <c r="B60" s="34" t="s">
        <v>149</v>
      </c>
      <c r="C60" s="34" t="s">
        <v>284</v>
      </c>
      <c r="D60" s="34" t="s">
        <v>51</v>
      </c>
      <c r="E60" s="34" t="s">
        <v>15</v>
      </c>
      <c r="F60"/>
      <c r="G60">
        <v>7.4</v>
      </c>
      <c r="H60"/>
      <c r="I60">
        <v>5.6</v>
      </c>
      <c r="J60"/>
      <c r="K60">
        <v>7.6</v>
      </c>
      <c r="L60"/>
      <c r="M60"/>
      <c r="O60" s="43">
        <f>AVERAGE(K60,I60,G60)</f>
        <v>6.866666666666667</v>
      </c>
    </row>
    <row r="61" spans="2:15" ht="12.75">
      <c r="B61" s="34" t="s">
        <v>150</v>
      </c>
      <c r="C61" s="34" t="s">
        <v>284</v>
      </c>
      <c r="D61" s="34" t="s">
        <v>51</v>
      </c>
      <c r="E61" s="34" t="s">
        <v>15</v>
      </c>
      <c r="F61"/>
      <c r="G61">
        <v>13</v>
      </c>
      <c r="H61"/>
      <c r="I61">
        <v>7</v>
      </c>
      <c r="J61"/>
      <c r="K61">
        <v>9</v>
      </c>
      <c r="L61"/>
      <c r="M61"/>
      <c r="O61" s="43">
        <f>AVERAGE(K61,I61,G61)</f>
        <v>9.666666666666666</v>
      </c>
    </row>
    <row r="62" spans="2:13" ht="12.75">
      <c r="B62" s="34"/>
      <c r="C62" s="34"/>
      <c r="F62"/>
      <c r="G62"/>
      <c r="H62"/>
      <c r="I62"/>
      <c r="J62"/>
      <c r="K62"/>
      <c r="L62"/>
      <c r="M62"/>
    </row>
    <row r="63" spans="2:13" ht="12.75">
      <c r="B63" s="34" t="s">
        <v>20</v>
      </c>
      <c r="C63" s="34"/>
      <c r="D63" s="34" t="s">
        <v>103</v>
      </c>
      <c r="F63"/>
      <c r="G63">
        <v>6534</v>
      </c>
      <c r="H63"/>
      <c r="I63">
        <v>3424</v>
      </c>
      <c r="J63"/>
      <c r="K63">
        <v>6266</v>
      </c>
      <c r="L63"/>
      <c r="M63"/>
    </row>
    <row r="64" spans="2:14" ht="12.75">
      <c r="B64" s="34" t="s">
        <v>54</v>
      </c>
      <c r="C64" s="34"/>
      <c r="D64" s="34" t="s">
        <v>103</v>
      </c>
      <c r="F64"/>
      <c r="G64">
        <v>2.54</v>
      </c>
      <c r="H64" t="s">
        <v>13</v>
      </c>
      <c r="I64">
        <v>9.96</v>
      </c>
      <c r="J64" t="s">
        <v>13</v>
      </c>
      <c r="K64">
        <v>10.7</v>
      </c>
      <c r="L64"/>
      <c r="M64"/>
      <c r="N64" s="52"/>
    </row>
    <row r="65" spans="2:13" ht="12.75">
      <c r="B65" s="34"/>
      <c r="C65" s="34"/>
      <c r="F65"/>
      <c r="G65"/>
      <c r="H65"/>
      <c r="I65"/>
      <c r="J65"/>
      <c r="K65"/>
      <c r="L65"/>
      <c r="M65"/>
    </row>
    <row r="66" spans="2:15" ht="12.75">
      <c r="B66" s="34" t="s">
        <v>20</v>
      </c>
      <c r="C66" s="34" t="s">
        <v>284</v>
      </c>
      <c r="D66" s="34" t="s">
        <v>51</v>
      </c>
      <c r="E66" s="34" t="s">
        <v>15</v>
      </c>
      <c r="F66"/>
      <c r="G66" s="28">
        <f>G63/G$102/60/0.0283/1518*(21-7)/(21-G$103)*1000000</f>
        <v>37.04363641699146</v>
      </c>
      <c r="H66"/>
      <c r="I66" s="28">
        <f>I63/I$102/60/0.0283/1518*(21-7)/(21-I$103)*1000000</f>
        <v>21.289183140172312</v>
      </c>
      <c r="J66"/>
      <c r="K66" s="28">
        <f>K63/K$102/60/0.0283/1518*(21-7)/(21-K$103)*1000000</f>
        <v>39.560067740740294</v>
      </c>
      <c r="L66"/>
      <c r="M66"/>
      <c r="O66" s="42">
        <f>AVERAGE(G66:K66)</f>
        <v>32.63096243263469</v>
      </c>
    </row>
    <row r="67" spans="2:15" ht="12.75">
      <c r="B67" s="34" t="s">
        <v>54</v>
      </c>
      <c r="C67" s="34" t="s">
        <v>284</v>
      </c>
      <c r="D67" s="34" t="s">
        <v>51</v>
      </c>
      <c r="E67" s="34" t="s">
        <v>15</v>
      </c>
      <c r="F67"/>
      <c r="G67" s="28">
        <f>G64/G$102/60/0.0283/2953*(21-7)/(21-G$103)*1000000</f>
        <v>0.007402467750586257</v>
      </c>
      <c r="H67"/>
      <c r="I67" s="28">
        <f>I64/I$102/60/0.0283/2953*(21-7)/(21-I$103)*1000000</f>
        <v>0.03183412410351193</v>
      </c>
      <c r="J67"/>
      <c r="K67" s="28">
        <f>K64/K$102/60/0.0283/2953*(21-7)/(21-K$103)*1000000</f>
        <v>0.03472631803379815</v>
      </c>
      <c r="L67"/>
      <c r="M67"/>
      <c r="O67" s="42">
        <f>AVERAGE(G67:K67)</f>
        <v>0.024654303295965446</v>
      </c>
    </row>
    <row r="68" spans="2:15" ht="12.75">
      <c r="B68" s="34" t="s">
        <v>288</v>
      </c>
      <c r="C68" s="34" t="s">
        <v>284</v>
      </c>
      <c r="D68" s="34" t="s">
        <v>51</v>
      </c>
      <c r="E68" s="34" t="s">
        <v>15</v>
      </c>
      <c r="F68"/>
      <c r="G68" s="28">
        <f>G66+2*G67</f>
        <v>37.058441352492636</v>
      </c>
      <c r="H68"/>
      <c r="I68" s="28">
        <f>I66+2*I67</f>
        <v>21.352851388379335</v>
      </c>
      <c r="J68"/>
      <c r="K68" s="28">
        <f>K66+2*K67</f>
        <v>39.62952037680789</v>
      </c>
      <c r="L68"/>
      <c r="M68"/>
      <c r="O68" s="42">
        <f>AVERAGE(G68:K68)</f>
        <v>32.68027103922662</v>
      </c>
    </row>
    <row r="69" spans="2:15" ht="12.75">
      <c r="B69" s="34"/>
      <c r="C69" s="34"/>
      <c r="G69"/>
      <c r="H69"/>
      <c r="I69"/>
      <c r="J69"/>
      <c r="K69"/>
      <c r="L69"/>
      <c r="M69"/>
      <c r="N69" s="38"/>
      <c r="O69" s="43"/>
    </row>
    <row r="70" spans="2:13" ht="12.75">
      <c r="B70" s="34" t="s">
        <v>289</v>
      </c>
      <c r="C70" s="34"/>
      <c r="D70" s="34" t="s">
        <v>55</v>
      </c>
      <c r="E70" s="34" t="s">
        <v>12</v>
      </c>
      <c r="F70"/>
      <c r="G70">
        <v>4.51</v>
      </c>
      <c r="H70"/>
      <c r="I70">
        <v>2.67</v>
      </c>
      <c r="J70"/>
      <c r="K70">
        <v>4.31</v>
      </c>
      <c r="L70"/>
      <c r="M70"/>
    </row>
    <row r="71" spans="2:14" ht="12.75">
      <c r="B71" s="36" t="s">
        <v>83</v>
      </c>
      <c r="C71" s="34"/>
      <c r="D71" s="34" t="s">
        <v>55</v>
      </c>
      <c r="E71" s="34" t="s">
        <v>12</v>
      </c>
      <c r="F71"/>
      <c r="G71">
        <v>2.02</v>
      </c>
      <c r="H71"/>
      <c r="I71">
        <v>4.19</v>
      </c>
      <c r="J71"/>
      <c r="K71">
        <v>6.82</v>
      </c>
      <c r="L71"/>
      <c r="M71"/>
      <c r="N71" s="35"/>
    </row>
    <row r="72" spans="2:15" ht="12.75">
      <c r="B72" s="36" t="s">
        <v>84</v>
      </c>
      <c r="D72" s="34" t="s">
        <v>55</v>
      </c>
      <c r="E72" s="34" t="s">
        <v>12</v>
      </c>
      <c r="F72"/>
      <c r="G72">
        <v>39.8</v>
      </c>
      <c r="H72"/>
      <c r="I72">
        <v>36.1</v>
      </c>
      <c r="J72"/>
      <c r="K72">
        <v>45.6</v>
      </c>
      <c r="L72"/>
      <c r="M72"/>
      <c r="N72" s="39"/>
      <c r="O72" s="40"/>
    </row>
    <row r="73" spans="2:15" ht="12.75">
      <c r="B73" s="36" t="s">
        <v>85</v>
      </c>
      <c r="D73" s="34" t="s">
        <v>55</v>
      </c>
      <c r="E73" s="34" t="s">
        <v>12</v>
      </c>
      <c r="F73"/>
      <c r="G73">
        <v>0.318</v>
      </c>
      <c r="H73"/>
      <c r="I73">
        <v>0.169</v>
      </c>
      <c r="J73"/>
      <c r="K73">
        <v>0.141</v>
      </c>
      <c r="L73"/>
      <c r="M73"/>
      <c r="N73" s="39"/>
      <c r="O73" s="40"/>
    </row>
    <row r="74" spans="2:15" ht="12.75">
      <c r="B74" s="36" t="s">
        <v>90</v>
      </c>
      <c r="D74" s="34" t="s">
        <v>55</v>
      </c>
      <c r="E74" s="34" t="s">
        <v>12</v>
      </c>
      <c r="F74"/>
      <c r="G74">
        <v>73.3</v>
      </c>
      <c r="H74"/>
      <c r="I74">
        <v>43.9</v>
      </c>
      <c r="J74"/>
      <c r="K74">
        <v>57.3</v>
      </c>
      <c r="L74"/>
      <c r="M74"/>
      <c r="N74" s="41"/>
      <c r="O74" s="42"/>
    </row>
    <row r="75" spans="2:15" ht="12.75">
      <c r="B75" s="36" t="s">
        <v>92</v>
      </c>
      <c r="D75" s="34" t="s">
        <v>55</v>
      </c>
      <c r="E75" s="34" t="s">
        <v>12</v>
      </c>
      <c r="F75"/>
      <c r="G75">
        <v>12.4</v>
      </c>
      <c r="H75"/>
      <c r="I75">
        <v>7.4</v>
      </c>
      <c r="J75"/>
      <c r="K75">
        <v>12.6</v>
      </c>
      <c r="L75"/>
      <c r="M75"/>
      <c r="N75" s="41"/>
      <c r="O75" s="42"/>
    </row>
    <row r="76" spans="2:15" ht="12.75">
      <c r="B76" s="36" t="s">
        <v>88</v>
      </c>
      <c r="D76" s="34" t="s">
        <v>55</v>
      </c>
      <c r="E76" s="34" t="s">
        <v>12</v>
      </c>
      <c r="F76"/>
      <c r="G76">
        <v>1009</v>
      </c>
      <c r="H76"/>
      <c r="I76">
        <v>690</v>
      </c>
      <c r="J76"/>
      <c r="K76">
        <v>757</v>
      </c>
      <c r="L76"/>
      <c r="M76"/>
      <c r="N76" s="41"/>
      <c r="O76" s="42"/>
    </row>
    <row r="77" spans="2:15" ht="12.75">
      <c r="B77" s="36" t="s">
        <v>95</v>
      </c>
      <c r="D77" s="34" t="s">
        <v>55</v>
      </c>
      <c r="E77" s="34" t="s">
        <v>12</v>
      </c>
      <c r="F77"/>
      <c r="G77">
        <v>64.4</v>
      </c>
      <c r="H77"/>
      <c r="I77">
        <v>66.9</v>
      </c>
      <c r="J77"/>
      <c r="K77">
        <v>115</v>
      </c>
      <c r="L77"/>
      <c r="M77"/>
      <c r="N77" s="41"/>
      <c r="O77" s="42"/>
    </row>
    <row r="78" spans="2:15" ht="12.75">
      <c r="B78" s="36" t="s">
        <v>89</v>
      </c>
      <c r="D78" s="34" t="s">
        <v>55</v>
      </c>
      <c r="E78" s="34" t="s">
        <v>12</v>
      </c>
      <c r="F78"/>
      <c r="G78">
        <v>16.6</v>
      </c>
      <c r="H78"/>
      <c r="I78">
        <v>4.81</v>
      </c>
      <c r="J78"/>
      <c r="K78">
        <v>11.8</v>
      </c>
      <c r="L78"/>
      <c r="M78"/>
      <c r="N78" s="41"/>
      <c r="O78" s="42"/>
    </row>
    <row r="79" spans="2:15" ht="12.75">
      <c r="B79" s="36" t="s">
        <v>114</v>
      </c>
      <c r="D79" s="34" t="s">
        <v>55</v>
      </c>
      <c r="E79" s="34" t="s">
        <v>12</v>
      </c>
      <c r="F79"/>
      <c r="G79">
        <v>22</v>
      </c>
      <c r="H79"/>
      <c r="I79">
        <v>1.59</v>
      </c>
      <c r="J79"/>
      <c r="K79">
        <v>12.9</v>
      </c>
      <c r="L79"/>
      <c r="M79"/>
      <c r="N79" s="41"/>
      <c r="O79" s="42"/>
    </row>
    <row r="80" spans="2:15" ht="12.75">
      <c r="B80" s="36" t="s">
        <v>91</v>
      </c>
      <c r="D80" s="34" t="s">
        <v>55</v>
      </c>
      <c r="E80" s="34" t="s">
        <v>12</v>
      </c>
      <c r="F80"/>
      <c r="G80">
        <v>2.37</v>
      </c>
      <c r="H80"/>
      <c r="I80">
        <v>1.02</v>
      </c>
      <c r="J80"/>
      <c r="K80">
        <v>3</v>
      </c>
      <c r="L80"/>
      <c r="M80"/>
      <c r="N80" s="41"/>
      <c r="O80" s="42"/>
    </row>
    <row r="81" spans="2:14" ht="12.75">
      <c r="B81" s="36" t="s">
        <v>86</v>
      </c>
      <c r="D81" s="34" t="s">
        <v>55</v>
      </c>
      <c r="E81" s="34" t="s">
        <v>12</v>
      </c>
      <c r="F81"/>
      <c r="G81">
        <v>5.71</v>
      </c>
      <c r="H81"/>
      <c r="I81">
        <v>5.18</v>
      </c>
      <c r="J81"/>
      <c r="K81">
        <v>4.45</v>
      </c>
      <c r="L81"/>
      <c r="M81"/>
      <c r="N81" s="41"/>
    </row>
    <row r="82" spans="2:14" ht="12.75">
      <c r="B82" s="59" t="s">
        <v>194</v>
      </c>
      <c r="D82" s="34" t="s">
        <v>55</v>
      </c>
      <c r="E82" s="34" t="s">
        <v>12</v>
      </c>
      <c r="F82"/>
      <c r="G82">
        <v>0.209</v>
      </c>
      <c r="H82"/>
      <c r="I82">
        <v>0.201</v>
      </c>
      <c r="J82"/>
      <c r="K82">
        <v>0.301</v>
      </c>
      <c r="L82"/>
      <c r="M82"/>
      <c r="N82" s="41"/>
    </row>
    <row r="83" spans="6:14" ht="12.75">
      <c r="F83"/>
      <c r="G83"/>
      <c r="H83"/>
      <c r="I83"/>
      <c r="J83"/>
      <c r="K83"/>
      <c r="L83"/>
      <c r="M83"/>
      <c r="N83" s="41"/>
    </row>
    <row r="84" spans="2:15" ht="12.75">
      <c r="B84" s="34" t="s">
        <v>289</v>
      </c>
      <c r="C84" s="34" t="s">
        <v>286</v>
      </c>
      <c r="D84" s="34" t="s">
        <v>55</v>
      </c>
      <c r="E84" s="34" t="s">
        <v>15</v>
      </c>
      <c r="F84"/>
      <c r="G84" s="1">
        <f aca="true" t="shared" si="0" ref="G84:G96">G70*(21-7)/(21-G$109)</f>
        <v>5.011111111111111</v>
      </c>
      <c r="H84" s="1"/>
      <c r="I84" s="1">
        <f aca="true" t="shared" si="1" ref="I84:I96">I70*(21-7)/(21-I$109)</f>
        <v>3.2224137931034478</v>
      </c>
      <c r="J84" s="1"/>
      <c r="K84" s="1">
        <f aca="true" t="shared" si="2" ref="K84:K96">K70*(21-7)/(21-K$109)</f>
        <v>5.028333333333333</v>
      </c>
      <c r="L84"/>
      <c r="M84"/>
      <c r="O84" s="42">
        <f aca="true" t="shared" si="3" ref="O84:O96">AVERAGE(K84,I84,G84)</f>
        <v>4.420619412515964</v>
      </c>
    </row>
    <row r="85" spans="2:15" ht="12.75">
      <c r="B85" s="36" t="s">
        <v>83</v>
      </c>
      <c r="C85" s="34" t="s">
        <v>286</v>
      </c>
      <c r="D85" s="34" t="s">
        <v>55</v>
      </c>
      <c r="E85" s="34" t="s">
        <v>15</v>
      </c>
      <c r="F85"/>
      <c r="G85" s="1">
        <f t="shared" si="0"/>
        <v>2.2444444444444445</v>
      </c>
      <c r="H85" s="1"/>
      <c r="I85" s="1">
        <f t="shared" si="1"/>
        <v>5.056896551724138</v>
      </c>
      <c r="J85" s="1"/>
      <c r="K85" s="1">
        <f t="shared" si="2"/>
        <v>7.956666666666667</v>
      </c>
      <c r="L85"/>
      <c r="M85"/>
      <c r="N85" s="35"/>
      <c r="O85" s="42">
        <f t="shared" si="3"/>
        <v>5.086002554278417</v>
      </c>
    </row>
    <row r="86" spans="2:15" ht="12.75">
      <c r="B86" s="36" t="s">
        <v>84</v>
      </c>
      <c r="C86" s="34" t="s">
        <v>286</v>
      </c>
      <c r="D86" s="34" t="s">
        <v>55</v>
      </c>
      <c r="E86" s="34" t="s">
        <v>15</v>
      </c>
      <c r="F86"/>
      <c r="G86" s="1">
        <f t="shared" si="0"/>
        <v>44.22222222222222</v>
      </c>
      <c r="H86" s="1"/>
      <c r="I86" s="1">
        <f t="shared" si="1"/>
        <v>43.56896551724138</v>
      </c>
      <c r="J86" s="1"/>
      <c r="K86" s="1">
        <f t="shared" si="2"/>
        <v>53.199999999999996</v>
      </c>
      <c r="L86"/>
      <c r="M86"/>
      <c r="N86" s="39"/>
      <c r="O86" s="42">
        <f t="shared" si="3"/>
        <v>46.997062579821204</v>
      </c>
    </row>
    <row r="87" spans="2:15" ht="12.75">
      <c r="B87" s="36" t="s">
        <v>85</v>
      </c>
      <c r="C87" s="34" t="s">
        <v>286</v>
      </c>
      <c r="D87" s="34" t="s">
        <v>55</v>
      </c>
      <c r="E87" s="34" t="s">
        <v>15</v>
      </c>
      <c r="F87"/>
      <c r="G87" s="1">
        <f t="shared" si="0"/>
        <v>0.35333333333333333</v>
      </c>
      <c r="H87" s="1"/>
      <c r="I87" s="1">
        <f t="shared" si="1"/>
        <v>0.20396551724137932</v>
      </c>
      <c r="J87" s="1"/>
      <c r="K87" s="1">
        <f t="shared" si="2"/>
        <v>0.16449999999999998</v>
      </c>
      <c r="L87"/>
      <c r="M87"/>
      <c r="N87" s="39"/>
      <c r="O87" s="42">
        <f t="shared" si="3"/>
        <v>0.24059961685823752</v>
      </c>
    </row>
    <row r="88" spans="2:15" ht="12.75">
      <c r="B88" s="36" t="s">
        <v>90</v>
      </c>
      <c r="C88" s="34" t="s">
        <v>286</v>
      </c>
      <c r="D88" s="34" t="s">
        <v>55</v>
      </c>
      <c r="E88" s="34" t="s">
        <v>15</v>
      </c>
      <c r="F88"/>
      <c r="G88" s="1">
        <f t="shared" si="0"/>
        <v>81.44444444444446</v>
      </c>
      <c r="H88" s="1"/>
      <c r="I88" s="1">
        <f t="shared" si="1"/>
        <v>52.98275862068966</v>
      </c>
      <c r="J88" s="1"/>
      <c r="K88" s="1">
        <f t="shared" si="2"/>
        <v>66.85</v>
      </c>
      <c r="L88"/>
      <c r="M88"/>
      <c r="N88" s="41"/>
      <c r="O88" s="42">
        <f t="shared" si="3"/>
        <v>67.09240102171137</v>
      </c>
    </row>
    <row r="89" spans="2:15" ht="12.75">
      <c r="B89" s="36" t="s">
        <v>92</v>
      </c>
      <c r="C89" s="34" t="s">
        <v>286</v>
      </c>
      <c r="D89" s="34" t="s">
        <v>55</v>
      </c>
      <c r="E89" s="34" t="s">
        <v>15</v>
      </c>
      <c r="F89"/>
      <c r="G89" s="1">
        <f t="shared" si="0"/>
        <v>13.777777777777779</v>
      </c>
      <c r="H89" s="1"/>
      <c r="I89" s="1">
        <f t="shared" si="1"/>
        <v>8.931034482758621</v>
      </c>
      <c r="J89" s="1"/>
      <c r="K89" s="1">
        <f t="shared" si="2"/>
        <v>14.700000000000001</v>
      </c>
      <c r="L89"/>
      <c r="M89"/>
      <c r="N89" s="41"/>
      <c r="O89" s="42">
        <f t="shared" si="3"/>
        <v>12.469604086845466</v>
      </c>
    </row>
    <row r="90" spans="2:15" ht="12.75">
      <c r="B90" s="36" t="s">
        <v>88</v>
      </c>
      <c r="C90" s="34" t="s">
        <v>286</v>
      </c>
      <c r="D90" s="34" t="s">
        <v>55</v>
      </c>
      <c r="E90" s="34" t="s">
        <v>15</v>
      </c>
      <c r="F90"/>
      <c r="G90" s="1">
        <f t="shared" si="0"/>
        <v>1121.111111111111</v>
      </c>
      <c r="H90" s="1"/>
      <c r="I90" s="1">
        <f t="shared" si="1"/>
        <v>832.7586206896552</v>
      </c>
      <c r="J90" s="1"/>
      <c r="K90" s="1">
        <f t="shared" si="2"/>
        <v>883.1666666666666</v>
      </c>
      <c r="L90"/>
      <c r="M90"/>
      <c r="N90" s="41"/>
      <c r="O90" s="42">
        <f t="shared" si="3"/>
        <v>945.6787994891444</v>
      </c>
    </row>
    <row r="91" spans="2:15" ht="12.75">
      <c r="B91" s="36" t="s">
        <v>95</v>
      </c>
      <c r="C91" s="34" t="s">
        <v>286</v>
      </c>
      <c r="D91" s="34" t="s">
        <v>55</v>
      </c>
      <c r="E91" s="34" t="s">
        <v>15</v>
      </c>
      <c r="F91"/>
      <c r="G91" s="1">
        <f t="shared" si="0"/>
        <v>71.55555555555557</v>
      </c>
      <c r="H91" s="1"/>
      <c r="I91" s="1">
        <f t="shared" si="1"/>
        <v>80.74137931034484</v>
      </c>
      <c r="J91" s="1"/>
      <c r="K91" s="1">
        <f t="shared" si="2"/>
        <v>134.16666666666666</v>
      </c>
      <c r="L91"/>
      <c r="M91"/>
      <c r="N91" s="41"/>
      <c r="O91" s="42">
        <f t="shared" si="3"/>
        <v>95.48786717752235</v>
      </c>
    </row>
    <row r="92" spans="2:15" ht="12.75">
      <c r="B92" s="36" t="s">
        <v>89</v>
      </c>
      <c r="C92" s="34" t="s">
        <v>286</v>
      </c>
      <c r="D92" s="34" t="s">
        <v>55</v>
      </c>
      <c r="E92" s="34" t="s">
        <v>15</v>
      </c>
      <c r="F92"/>
      <c r="G92" s="1">
        <f t="shared" si="0"/>
        <v>18.444444444444446</v>
      </c>
      <c r="H92" s="1"/>
      <c r="I92" s="1">
        <f t="shared" si="1"/>
        <v>5.805172413793103</v>
      </c>
      <c r="J92" s="1"/>
      <c r="K92" s="1">
        <f t="shared" si="2"/>
        <v>13.766666666666667</v>
      </c>
      <c r="L92"/>
      <c r="M92"/>
      <c r="N92" s="41"/>
      <c r="O92" s="42">
        <f t="shared" si="3"/>
        <v>12.672094508301406</v>
      </c>
    </row>
    <row r="93" spans="2:15" ht="12.75">
      <c r="B93" s="36" t="s">
        <v>114</v>
      </c>
      <c r="C93" s="34" t="s">
        <v>286</v>
      </c>
      <c r="D93" s="34" t="s">
        <v>55</v>
      </c>
      <c r="E93" s="34" t="s">
        <v>15</v>
      </c>
      <c r="F93"/>
      <c r="G93" s="1">
        <f t="shared" si="0"/>
        <v>24.444444444444446</v>
      </c>
      <c r="H93" s="1"/>
      <c r="I93" s="1">
        <f t="shared" si="1"/>
        <v>1.9189655172413795</v>
      </c>
      <c r="J93" s="1"/>
      <c r="K93" s="1">
        <f t="shared" si="2"/>
        <v>15.049999999999999</v>
      </c>
      <c r="L93"/>
      <c r="M93"/>
      <c r="N93" s="41"/>
      <c r="O93" s="42">
        <f t="shared" si="3"/>
        <v>13.80446998722861</v>
      </c>
    </row>
    <row r="94" spans="2:15" ht="12.75">
      <c r="B94" s="36" t="s">
        <v>91</v>
      </c>
      <c r="C94" s="34" t="s">
        <v>286</v>
      </c>
      <c r="D94" s="34" t="s">
        <v>55</v>
      </c>
      <c r="E94" s="34" t="s">
        <v>15</v>
      </c>
      <c r="F94"/>
      <c r="G94" s="1">
        <f t="shared" si="0"/>
        <v>2.6333333333333333</v>
      </c>
      <c r="H94" s="1"/>
      <c r="I94" s="1">
        <f t="shared" si="1"/>
        <v>1.2310344827586208</v>
      </c>
      <c r="J94" s="1"/>
      <c r="K94" s="1">
        <f t="shared" si="2"/>
        <v>3.5</v>
      </c>
      <c r="L94"/>
      <c r="M94"/>
      <c r="N94" s="41"/>
      <c r="O94" s="42">
        <f t="shared" si="3"/>
        <v>2.4547892720306517</v>
      </c>
    </row>
    <row r="95" spans="2:15" ht="12.75">
      <c r="B95" s="36" t="s">
        <v>86</v>
      </c>
      <c r="C95" s="34" t="s">
        <v>286</v>
      </c>
      <c r="D95" s="34" t="s">
        <v>55</v>
      </c>
      <c r="E95" s="34" t="s">
        <v>15</v>
      </c>
      <c r="F95"/>
      <c r="G95" s="1">
        <f t="shared" si="0"/>
        <v>6.344444444444444</v>
      </c>
      <c r="H95" s="1"/>
      <c r="I95" s="1">
        <f t="shared" si="1"/>
        <v>6.251724137931034</v>
      </c>
      <c r="J95" s="1"/>
      <c r="K95" s="1">
        <f t="shared" si="2"/>
        <v>5.191666666666667</v>
      </c>
      <c r="L95"/>
      <c r="M95"/>
      <c r="N95" s="41"/>
      <c r="O95" s="42">
        <f t="shared" si="3"/>
        <v>5.929278416347382</v>
      </c>
    </row>
    <row r="96" spans="2:15" ht="12.75">
      <c r="B96" s="59" t="s">
        <v>194</v>
      </c>
      <c r="C96" s="34" t="s">
        <v>286</v>
      </c>
      <c r="D96" s="34" t="s">
        <v>55</v>
      </c>
      <c r="E96" s="34" t="s">
        <v>15</v>
      </c>
      <c r="F96"/>
      <c r="G96" s="1">
        <f t="shared" si="0"/>
        <v>0.23222222222222222</v>
      </c>
      <c r="H96" s="1"/>
      <c r="I96" s="1">
        <f t="shared" si="1"/>
        <v>0.24258620689655175</v>
      </c>
      <c r="J96" s="1"/>
      <c r="K96" s="1">
        <f t="shared" si="2"/>
        <v>0.3511666666666666</v>
      </c>
      <c r="L96"/>
      <c r="M96"/>
      <c r="N96" s="41"/>
      <c r="O96" s="42">
        <f t="shared" si="3"/>
        <v>0.2753250319284802</v>
      </c>
    </row>
    <row r="97" spans="6:14" ht="12.75">
      <c r="F97"/>
      <c r="G97"/>
      <c r="H97"/>
      <c r="I97"/>
      <c r="J97"/>
      <c r="K97"/>
      <c r="L97"/>
      <c r="M97"/>
      <c r="N97" s="41"/>
    </row>
    <row r="98" spans="2:15" ht="12.75">
      <c r="B98" s="36" t="s">
        <v>61</v>
      </c>
      <c r="C98" s="34" t="s">
        <v>286</v>
      </c>
      <c r="D98" s="34" t="s">
        <v>55</v>
      </c>
      <c r="E98" s="34" t="s">
        <v>15</v>
      </c>
      <c r="F98"/>
      <c r="G98" s="1">
        <f>G88+G90</f>
        <v>1202.5555555555557</v>
      </c>
      <c r="H98"/>
      <c r="I98" s="1">
        <f>I88+I90</f>
        <v>885.7413793103449</v>
      </c>
      <c r="J98"/>
      <c r="K98" s="1">
        <f>K88+K90</f>
        <v>950.0166666666667</v>
      </c>
      <c r="L98"/>
      <c r="M98"/>
      <c r="N98" s="41"/>
      <c r="O98" s="42">
        <f>AVERAGE(K98,I98,G98)</f>
        <v>1012.7712005108557</v>
      </c>
    </row>
    <row r="99" spans="2:15" ht="12.75">
      <c r="B99" s="36" t="s">
        <v>62</v>
      </c>
      <c r="C99" s="34" t="s">
        <v>286</v>
      </c>
      <c r="D99" s="34" t="s">
        <v>55</v>
      </c>
      <c r="E99" s="34" t="s">
        <v>15</v>
      </c>
      <c r="F99"/>
      <c r="G99" s="28">
        <f>G85+G87+G89</f>
        <v>16.375555555555557</v>
      </c>
      <c r="H99"/>
      <c r="I99" s="28">
        <f>I85+I87+I89</f>
        <v>14.191896551724138</v>
      </c>
      <c r="J99"/>
      <c r="K99" s="28">
        <f>K85+K87+K89</f>
        <v>22.82116666666667</v>
      </c>
      <c r="L99" s="28"/>
      <c r="M99" s="28"/>
      <c r="N99" s="41"/>
      <c r="O99" s="42">
        <f>AVERAGE(K99,I99,G99)</f>
        <v>17.796206257982124</v>
      </c>
    </row>
    <row r="100" spans="2:15" ht="12.75">
      <c r="B100" s="34"/>
      <c r="C100" s="34"/>
      <c r="F100"/>
      <c r="G100"/>
      <c r="H100"/>
      <c r="I100"/>
      <c r="J100"/>
      <c r="K100"/>
      <c r="L100"/>
      <c r="M100"/>
      <c r="O100" s="43"/>
    </row>
    <row r="101" spans="2:14" ht="12.75">
      <c r="B101" s="34" t="s">
        <v>82</v>
      </c>
      <c r="C101" s="34" t="s">
        <v>79</v>
      </c>
      <c r="D101" s="34" t="s">
        <v>284</v>
      </c>
      <c r="G101" s="38"/>
      <c r="I101" s="38"/>
      <c r="K101" s="38"/>
      <c r="L101" s="38"/>
      <c r="M101" s="38"/>
      <c r="N101" s="38"/>
    </row>
    <row r="102" spans="2:15" ht="12.75">
      <c r="B102" s="34" t="s">
        <v>77</v>
      </c>
      <c r="C102" s="34"/>
      <c r="D102" s="34" t="s">
        <v>16</v>
      </c>
      <c r="F102"/>
      <c r="G102">
        <v>76035</v>
      </c>
      <c r="H102"/>
      <c r="I102">
        <v>75307</v>
      </c>
      <c r="J102"/>
      <c r="K102">
        <v>71692</v>
      </c>
      <c r="L102"/>
      <c r="M102"/>
      <c r="N102" s="38"/>
      <c r="O102" s="43">
        <f>AVERAGE(G102,I102,K102)</f>
        <v>74344.66666666667</v>
      </c>
    </row>
    <row r="103" spans="2:15" ht="12.75">
      <c r="B103" s="34" t="s">
        <v>80</v>
      </c>
      <c r="C103" s="34"/>
      <c r="D103" s="34" t="s">
        <v>14</v>
      </c>
      <c r="F103"/>
      <c r="G103">
        <v>8.4</v>
      </c>
      <c r="H103"/>
      <c r="I103">
        <v>9.4</v>
      </c>
      <c r="J103"/>
      <c r="K103">
        <v>9</v>
      </c>
      <c r="L103"/>
      <c r="M103"/>
      <c r="N103" s="35"/>
      <c r="O103" s="43">
        <f>AVERAGE(G103,I103,K103)</f>
        <v>8.933333333333334</v>
      </c>
    </row>
    <row r="104" spans="2:15" ht="12.75">
      <c r="B104" s="34" t="s">
        <v>81</v>
      </c>
      <c r="C104" s="34"/>
      <c r="D104" s="34" t="s">
        <v>14</v>
      </c>
      <c r="F104"/>
      <c r="G104">
        <v>30.57</v>
      </c>
      <c r="H104"/>
      <c r="I104">
        <v>30.79</v>
      </c>
      <c r="J104"/>
      <c r="K104">
        <v>31.97</v>
      </c>
      <c r="L104"/>
      <c r="M104"/>
      <c r="N104" s="35"/>
      <c r="O104" s="43">
        <f>AVERAGE(G104,I104,K104)</f>
        <v>31.11</v>
      </c>
    </row>
    <row r="105" spans="2:15" ht="12.75">
      <c r="B105" s="34" t="s">
        <v>76</v>
      </c>
      <c r="C105" s="34"/>
      <c r="D105" s="34" t="s">
        <v>17</v>
      </c>
      <c r="F105"/>
      <c r="G105">
        <v>381</v>
      </c>
      <c r="H105"/>
      <c r="I105">
        <v>383</v>
      </c>
      <c r="J105"/>
      <c r="K105">
        <v>387</v>
      </c>
      <c r="L105"/>
      <c r="M105"/>
      <c r="O105" s="43">
        <f>AVERAGE(G105,I105,K105)</f>
        <v>383.6666666666667</v>
      </c>
    </row>
    <row r="106" spans="2:15" ht="12.75">
      <c r="B106" s="34"/>
      <c r="C106" s="34"/>
      <c r="G106"/>
      <c r="H106" s="5"/>
      <c r="I106"/>
      <c r="J106" s="5"/>
      <c r="K106"/>
      <c r="L106"/>
      <c r="M106"/>
      <c r="N106" s="38"/>
      <c r="O106" s="43"/>
    </row>
    <row r="107" spans="2:14" ht="12.75">
      <c r="B107" s="34" t="s">
        <v>82</v>
      </c>
      <c r="C107" s="34" t="s">
        <v>102</v>
      </c>
      <c r="D107" s="34" t="s">
        <v>286</v>
      </c>
      <c r="G107" s="38"/>
      <c r="I107" s="38"/>
      <c r="K107" s="38"/>
      <c r="L107" s="38"/>
      <c r="M107" s="38"/>
      <c r="N107" s="38"/>
    </row>
    <row r="108" spans="2:15" ht="12.75">
      <c r="B108" s="34" t="s">
        <v>77</v>
      </c>
      <c r="C108" s="34"/>
      <c r="D108" s="34" t="s">
        <v>16</v>
      </c>
      <c r="F108"/>
      <c r="G108">
        <v>79712</v>
      </c>
      <c r="H108"/>
      <c r="I108">
        <v>80412</v>
      </c>
      <c r="J108"/>
      <c r="K108">
        <v>79916</v>
      </c>
      <c r="L108"/>
      <c r="M108"/>
      <c r="N108" s="38"/>
      <c r="O108" s="43">
        <f>AVERAGE(G108,I108,K108)</f>
        <v>80013.33333333333</v>
      </c>
    </row>
    <row r="109" spans="2:15" ht="12.75">
      <c r="B109" s="34" t="s">
        <v>80</v>
      </c>
      <c r="C109" s="34"/>
      <c r="D109" s="34" t="s">
        <v>14</v>
      </c>
      <c r="F109"/>
      <c r="G109">
        <v>8.4</v>
      </c>
      <c r="H109"/>
      <c r="I109">
        <v>9.4</v>
      </c>
      <c r="J109"/>
      <c r="K109">
        <v>9</v>
      </c>
      <c r="L109"/>
      <c r="M109"/>
      <c r="N109" s="35"/>
      <c r="O109" s="43">
        <f>AVERAGE(G109,I109,K109)</f>
        <v>8.933333333333334</v>
      </c>
    </row>
    <row r="110" spans="2:15" ht="12.75">
      <c r="B110" s="34" t="s">
        <v>81</v>
      </c>
      <c r="C110" s="34"/>
      <c r="D110" s="34" t="s">
        <v>14</v>
      </c>
      <c r="F110"/>
      <c r="G110">
        <v>30.66</v>
      </c>
      <c r="H110"/>
      <c r="I110">
        <v>31.24</v>
      </c>
      <c r="J110"/>
      <c r="K110">
        <v>32.35</v>
      </c>
      <c r="L110"/>
      <c r="M110"/>
      <c r="N110" s="35"/>
      <c r="O110" s="43">
        <f>AVERAGE(G110,I110,K110)</f>
        <v>31.416666666666668</v>
      </c>
    </row>
    <row r="111" spans="2:15" ht="12.75">
      <c r="B111" s="34" t="s">
        <v>76</v>
      </c>
      <c r="C111" s="34"/>
      <c r="D111" s="34" t="s">
        <v>17</v>
      </c>
      <c r="F111"/>
      <c r="G111">
        <v>383</v>
      </c>
      <c r="H111"/>
      <c r="I111">
        <v>376</v>
      </c>
      <c r="J111"/>
      <c r="K111">
        <v>371</v>
      </c>
      <c r="L111"/>
      <c r="M111"/>
      <c r="O111" s="43">
        <f>AVERAGE(G111,I111,K111)</f>
        <v>376.6666666666667</v>
      </c>
    </row>
    <row r="112" spans="2:14" ht="12.75">
      <c r="B112" s="34"/>
      <c r="C112" s="34"/>
      <c r="F112"/>
      <c r="G112"/>
      <c r="H112"/>
      <c r="I112"/>
      <c r="J112"/>
      <c r="K112"/>
      <c r="L112"/>
      <c r="M112"/>
      <c r="N112" s="38"/>
    </row>
    <row r="113" spans="2:14" ht="12.75">
      <c r="B113" s="34" t="s">
        <v>82</v>
      </c>
      <c r="C113" s="34" t="s">
        <v>160</v>
      </c>
      <c r="D113" s="34" t="s">
        <v>287</v>
      </c>
      <c r="F113"/>
      <c r="G113"/>
      <c r="H113"/>
      <c r="I113"/>
      <c r="J113"/>
      <c r="K113"/>
      <c r="L113"/>
      <c r="M113"/>
      <c r="N113" s="38"/>
    </row>
    <row r="114" spans="2:15" ht="12.75">
      <c r="B114" s="34" t="s">
        <v>77</v>
      </c>
      <c r="C114" s="34"/>
      <c r="D114" s="34" t="s">
        <v>16</v>
      </c>
      <c r="F114"/>
      <c r="G114">
        <v>77711</v>
      </c>
      <c r="H114"/>
      <c r="I114">
        <v>82086</v>
      </c>
      <c r="J114"/>
      <c r="K114">
        <v>79422</v>
      </c>
      <c r="L114"/>
      <c r="M114"/>
      <c r="N114" s="38"/>
      <c r="O114" s="43">
        <f>AVERAGE(G114,I114,K114)</f>
        <v>79739.66666666667</v>
      </c>
    </row>
    <row r="115" spans="2:15" ht="12.75">
      <c r="B115" s="34" t="s">
        <v>80</v>
      </c>
      <c r="C115" s="34"/>
      <c r="D115" s="34" t="s">
        <v>14</v>
      </c>
      <c r="F115"/>
      <c r="G115">
        <v>8.4</v>
      </c>
      <c r="H115"/>
      <c r="I115">
        <v>9.4</v>
      </c>
      <c r="J115"/>
      <c r="K115">
        <v>9</v>
      </c>
      <c r="L115"/>
      <c r="M115"/>
      <c r="N115" s="35"/>
      <c r="O115" s="43">
        <f>AVERAGE(G115,I115,K115)</f>
        <v>8.933333333333334</v>
      </c>
    </row>
    <row r="116" spans="2:15" ht="12.75">
      <c r="B116" s="34" t="s">
        <v>81</v>
      </c>
      <c r="C116" s="34"/>
      <c r="D116" s="34" t="s">
        <v>14</v>
      </c>
      <c r="F116"/>
      <c r="G116">
        <v>31.01</v>
      </c>
      <c r="H116"/>
      <c r="I116">
        <v>30.39</v>
      </c>
      <c r="J116"/>
      <c r="K116">
        <v>31.28</v>
      </c>
      <c r="L116"/>
      <c r="M116"/>
      <c r="N116" s="35"/>
      <c r="O116" s="43">
        <f>AVERAGE(G116,I116,K116)</f>
        <v>30.893333333333334</v>
      </c>
    </row>
    <row r="117" spans="2:15" ht="12.75">
      <c r="B117" s="34" t="s">
        <v>76</v>
      </c>
      <c r="C117" s="34"/>
      <c r="D117" s="34" t="s">
        <v>17</v>
      </c>
      <c r="F117"/>
      <c r="G117">
        <v>387</v>
      </c>
      <c r="H117"/>
      <c r="I117">
        <v>387</v>
      </c>
      <c r="J117"/>
      <c r="K117">
        <v>383</v>
      </c>
      <c r="L117"/>
      <c r="M117"/>
      <c r="O117" s="43">
        <f>AVERAGE(G117,I117,K117)</f>
        <v>385.6666666666667</v>
      </c>
    </row>
    <row r="118" ht="12.75">
      <c r="N118" s="38"/>
    </row>
    <row r="119" spans="1:15" ht="12.75">
      <c r="A119" s="36">
        <v>12</v>
      </c>
      <c r="B119" s="37" t="s">
        <v>130</v>
      </c>
      <c r="C119" s="34" t="s">
        <v>161</v>
      </c>
      <c r="G119" s="35" t="s">
        <v>106</v>
      </c>
      <c r="I119" s="35" t="s">
        <v>107</v>
      </c>
      <c r="K119" s="35" t="s">
        <v>108</v>
      </c>
      <c r="L119" s="35"/>
      <c r="M119" s="35" t="s">
        <v>190</v>
      </c>
      <c r="N119" s="35"/>
      <c r="O119" s="35" t="s">
        <v>56</v>
      </c>
    </row>
    <row r="121" spans="2:15" ht="12.75">
      <c r="B121" s="34" t="s">
        <v>18</v>
      </c>
      <c r="C121" s="34" t="s">
        <v>284</v>
      </c>
      <c r="D121" s="34" t="s">
        <v>19</v>
      </c>
      <c r="E121" s="34" t="s">
        <v>15</v>
      </c>
      <c r="F121"/>
      <c r="G121">
        <v>0.005</v>
      </c>
      <c r="H121"/>
      <c r="I121">
        <v>0.008</v>
      </c>
      <c r="J121"/>
      <c r="K121">
        <v>0.01</v>
      </c>
      <c r="L121"/>
      <c r="M121"/>
      <c r="O121" s="40">
        <f>AVERAGE(K121,I121,G121)</f>
        <v>0.007666666666666668</v>
      </c>
    </row>
    <row r="122" spans="2:13" ht="12.75">
      <c r="B122" s="34"/>
      <c r="C122" s="34"/>
      <c r="F122"/>
      <c r="G122"/>
      <c r="H122"/>
      <c r="I122"/>
      <c r="J122"/>
      <c r="K122"/>
      <c r="L122"/>
      <c r="M122"/>
    </row>
    <row r="123" spans="2:15" ht="12.75">
      <c r="B123" s="34" t="s">
        <v>147</v>
      </c>
      <c r="C123" s="34" t="s">
        <v>284</v>
      </c>
      <c r="D123" s="34" t="s">
        <v>51</v>
      </c>
      <c r="E123" s="34" t="s">
        <v>15</v>
      </c>
      <c r="F123"/>
      <c r="G123">
        <v>774</v>
      </c>
      <c r="H123"/>
      <c r="I123">
        <v>433</v>
      </c>
      <c r="J123"/>
      <c r="K123">
        <v>362</v>
      </c>
      <c r="L123"/>
      <c r="M123"/>
      <c r="O123" s="43">
        <f>AVERAGE(K123,I123,G123)</f>
        <v>523</v>
      </c>
    </row>
    <row r="124" spans="2:15" ht="12.75">
      <c r="B124" s="34" t="s">
        <v>148</v>
      </c>
      <c r="C124" s="34" t="s">
        <v>284</v>
      </c>
      <c r="D124" s="34" t="s">
        <v>51</v>
      </c>
      <c r="E124" s="34" t="s">
        <v>15</v>
      </c>
      <c r="F124"/>
      <c r="G124">
        <v>1103</v>
      </c>
      <c r="H124"/>
      <c r="I124">
        <v>1119</v>
      </c>
      <c r="J124"/>
      <c r="K124">
        <v>872</v>
      </c>
      <c r="L124"/>
      <c r="M124"/>
      <c r="O124" s="43">
        <f>AVERAGE(K124,I124,G124)</f>
        <v>1031.3333333333333</v>
      </c>
    </row>
    <row r="125" spans="2:13" ht="12.75">
      <c r="B125" s="34"/>
      <c r="C125" s="34"/>
      <c r="F125"/>
      <c r="G125"/>
      <c r="H125"/>
      <c r="I125"/>
      <c r="J125"/>
      <c r="K125"/>
      <c r="L125"/>
      <c r="M125"/>
    </row>
    <row r="126" spans="2:15" ht="12.75">
      <c r="B126" s="34" t="s">
        <v>149</v>
      </c>
      <c r="C126" s="34" t="s">
        <v>284</v>
      </c>
      <c r="D126" s="34" t="s">
        <v>51</v>
      </c>
      <c r="E126" s="34" t="s">
        <v>15</v>
      </c>
      <c r="F126"/>
      <c r="G126">
        <v>13.6</v>
      </c>
      <c r="H126"/>
      <c r="I126">
        <v>10.1</v>
      </c>
      <c r="J126"/>
      <c r="K126">
        <v>9.6</v>
      </c>
      <c r="L126"/>
      <c r="M126"/>
      <c r="O126" s="43">
        <f>AVERAGE(K126,I126,G126)</f>
        <v>11.1</v>
      </c>
    </row>
    <row r="127" spans="2:15" ht="12.75">
      <c r="B127" s="34" t="s">
        <v>150</v>
      </c>
      <c r="C127" s="34" t="s">
        <v>284</v>
      </c>
      <c r="D127" s="34" t="s">
        <v>51</v>
      </c>
      <c r="E127" s="34" t="s">
        <v>15</v>
      </c>
      <c r="F127"/>
      <c r="G127">
        <v>18</v>
      </c>
      <c r="H127"/>
      <c r="I127">
        <v>16</v>
      </c>
      <c r="J127"/>
      <c r="K127">
        <v>12</v>
      </c>
      <c r="L127"/>
      <c r="M127"/>
      <c r="O127" s="43">
        <f>AVERAGE(K127,I127,G127)</f>
        <v>15.333333333333334</v>
      </c>
    </row>
    <row r="128" spans="2:15" ht="12.75">
      <c r="B128" s="34"/>
      <c r="C128" s="34"/>
      <c r="F128"/>
      <c r="G128"/>
      <c r="H128"/>
      <c r="I128"/>
      <c r="J128"/>
      <c r="K128"/>
      <c r="L128"/>
      <c r="M128"/>
      <c r="O128" s="43"/>
    </row>
    <row r="129" spans="2:13" ht="12.75">
      <c r="B129" s="34" t="s">
        <v>20</v>
      </c>
      <c r="C129" s="34"/>
      <c r="D129" s="34" t="s">
        <v>103</v>
      </c>
      <c r="F129"/>
      <c r="G129">
        <v>5531</v>
      </c>
      <c r="H129"/>
      <c r="I129">
        <v>898</v>
      </c>
      <c r="J129"/>
      <c r="K129">
        <v>6089</v>
      </c>
      <c r="L129"/>
      <c r="M129"/>
    </row>
    <row r="130" spans="2:13" ht="12.75">
      <c r="B130" s="34" t="s">
        <v>54</v>
      </c>
      <c r="C130" s="34"/>
      <c r="D130" s="34" t="s">
        <v>103</v>
      </c>
      <c r="F130"/>
      <c r="G130">
        <v>0.106</v>
      </c>
      <c r="H130"/>
      <c r="I130">
        <v>0.294</v>
      </c>
      <c r="J130"/>
      <c r="K130">
        <v>0.125</v>
      </c>
      <c r="L130"/>
      <c r="M130"/>
    </row>
    <row r="131" spans="2:13" ht="12.75">
      <c r="B131" s="34"/>
      <c r="C131" s="34"/>
      <c r="F131"/>
      <c r="G131"/>
      <c r="H131"/>
      <c r="I131"/>
      <c r="J131"/>
      <c r="K131"/>
      <c r="L131"/>
      <c r="M131"/>
    </row>
    <row r="132" spans="2:15" ht="12.75">
      <c r="B132" s="34" t="s">
        <v>20</v>
      </c>
      <c r="C132" s="34" t="s">
        <v>284</v>
      </c>
      <c r="D132" s="34" t="s">
        <v>51</v>
      </c>
      <c r="E132" s="34" t="s">
        <v>15</v>
      </c>
      <c r="F132"/>
      <c r="G132" s="28">
        <f>G129/G$137/60/0.0283/1518*(21-7)/(21-G$138)*1000000</f>
        <v>29.87822870229795</v>
      </c>
      <c r="H132"/>
      <c r="I132" s="28">
        <f>I129/I$137/60/0.0283/1518*(21-7)/(21-I$138)*1000000</f>
        <v>5.302188861393337</v>
      </c>
      <c r="J132"/>
      <c r="K132" s="28">
        <f>K129/K$137/60/0.0283/1518*(21-7)/(21-K$138)*1000000</f>
        <v>34.71992489025002</v>
      </c>
      <c r="L132"/>
      <c r="M132"/>
      <c r="O132" s="42">
        <f>AVERAGE(G132:K132)</f>
        <v>23.300114151313768</v>
      </c>
    </row>
    <row r="133" spans="2:15" ht="12.75">
      <c r="B133" s="34" t="s">
        <v>54</v>
      </c>
      <c r="C133" s="34" t="s">
        <v>284</v>
      </c>
      <c r="D133" s="34" t="s">
        <v>51</v>
      </c>
      <c r="E133" s="34" t="s">
        <v>15</v>
      </c>
      <c r="F133"/>
      <c r="G133" s="28">
        <f>G130/G$137/60/0.0283/2953*(21-7)/(21-G$138)*1000000</f>
        <v>0.000294350907178127</v>
      </c>
      <c r="H133"/>
      <c r="I133" s="28">
        <f>I130/I$137/60/0.0283/2953*(21-7)/(21-I$138)*1000000</f>
        <v>0.0008923485275737689</v>
      </c>
      <c r="J133"/>
      <c r="K133" s="28">
        <f>K130/K$137/60/0.0283/2953*(21-7)/(21-K$138)*1000000</f>
        <v>0.0003663963516187803</v>
      </c>
      <c r="L133"/>
      <c r="M133"/>
      <c r="O133" s="42">
        <f>AVERAGE(G133:K133)</f>
        <v>0.000517698595456892</v>
      </c>
    </row>
    <row r="134" spans="2:15" ht="12.75">
      <c r="B134" s="34" t="s">
        <v>288</v>
      </c>
      <c r="C134" s="34" t="s">
        <v>284</v>
      </c>
      <c r="D134" s="34" t="s">
        <v>51</v>
      </c>
      <c r="E134" s="34" t="s">
        <v>15</v>
      </c>
      <c r="F134"/>
      <c r="G134" s="28">
        <f>G132+2*G133</f>
        <v>29.878817404112304</v>
      </c>
      <c r="H134"/>
      <c r="I134" s="28">
        <f>I132+2*I133</f>
        <v>5.303973558448485</v>
      </c>
      <c r="J134"/>
      <c r="K134" s="28">
        <f>K132+2*K133</f>
        <v>34.72065768295326</v>
      </c>
      <c r="L134"/>
      <c r="M134"/>
      <c r="O134" s="42">
        <f>AVERAGE(G134:K134)</f>
        <v>23.301149548504682</v>
      </c>
    </row>
    <row r="135" spans="2:13" ht="12.75">
      <c r="B135" s="34"/>
      <c r="C135" s="34"/>
      <c r="F135"/>
      <c r="G135"/>
      <c r="H135"/>
      <c r="I135"/>
      <c r="J135"/>
      <c r="K135"/>
      <c r="L135"/>
      <c r="M135"/>
    </row>
    <row r="136" spans="2:14" ht="12.75">
      <c r="B136" s="34" t="s">
        <v>82</v>
      </c>
      <c r="C136" s="34" t="s">
        <v>79</v>
      </c>
      <c r="D136" s="34" t="s">
        <v>284</v>
      </c>
      <c r="F136"/>
      <c r="G136"/>
      <c r="H136"/>
      <c r="I136"/>
      <c r="J136"/>
      <c r="K136"/>
      <c r="L136"/>
      <c r="M136"/>
      <c r="N136" s="38"/>
    </row>
    <row r="137" spans="2:15" ht="12.75">
      <c r="B137" s="34" t="s">
        <v>77</v>
      </c>
      <c r="C137" s="34"/>
      <c r="D137" s="34" t="s">
        <v>16</v>
      </c>
      <c r="F137"/>
      <c r="G137">
        <v>71819</v>
      </c>
      <c r="H137"/>
      <c r="I137">
        <v>65241</v>
      </c>
      <c r="J137"/>
      <c r="K137">
        <v>66149</v>
      </c>
      <c r="L137"/>
      <c r="M137"/>
      <c r="N137" s="38"/>
      <c r="O137" s="50">
        <f>AVERAGE(G137,I137,K137)</f>
        <v>67736.33333333333</v>
      </c>
    </row>
    <row r="138" spans="2:15" ht="12.75">
      <c r="B138" s="34" t="s">
        <v>80</v>
      </c>
      <c r="C138" s="34"/>
      <c r="D138" s="34" t="s">
        <v>14</v>
      </c>
      <c r="F138"/>
      <c r="G138">
        <v>7</v>
      </c>
      <c r="H138"/>
      <c r="I138">
        <v>6.9</v>
      </c>
      <c r="J138"/>
      <c r="K138">
        <v>6.6</v>
      </c>
      <c r="L138"/>
      <c r="M138"/>
      <c r="N138" s="38"/>
      <c r="O138" s="43">
        <f>AVERAGE(G138,I138,K138)</f>
        <v>6.833333333333333</v>
      </c>
    </row>
    <row r="139" spans="2:15" ht="12.75">
      <c r="B139" s="34" t="s">
        <v>81</v>
      </c>
      <c r="C139" s="34"/>
      <c r="D139" s="34" t="s">
        <v>14</v>
      </c>
      <c r="F139"/>
      <c r="G139">
        <v>32.1</v>
      </c>
      <c r="H139"/>
      <c r="I139">
        <v>33.9</v>
      </c>
      <c r="J139"/>
      <c r="K139">
        <v>30.7</v>
      </c>
      <c r="L139"/>
      <c r="M139"/>
      <c r="N139" s="38"/>
      <c r="O139" s="43">
        <f>AVERAGE(G139,I139,K139)</f>
        <v>32.233333333333334</v>
      </c>
    </row>
    <row r="140" spans="2:15" ht="12.75">
      <c r="B140" s="34" t="s">
        <v>76</v>
      </c>
      <c r="C140" s="34"/>
      <c r="D140" s="34" t="s">
        <v>17</v>
      </c>
      <c r="F140"/>
      <c r="G140">
        <v>369</v>
      </c>
      <c r="H140"/>
      <c r="I140">
        <v>373</v>
      </c>
      <c r="J140"/>
      <c r="K140">
        <v>387</v>
      </c>
      <c r="L140"/>
      <c r="M140"/>
      <c r="N140" s="38"/>
      <c r="O140" s="43">
        <f>AVERAGE(G140,I140,K140)</f>
        <v>376.3333333333333</v>
      </c>
    </row>
    <row r="141" spans="2:15" ht="12.75">
      <c r="B141" s="34"/>
      <c r="C141" s="34"/>
      <c r="F141"/>
      <c r="G141"/>
      <c r="H141"/>
      <c r="I141"/>
      <c r="J141"/>
      <c r="K141"/>
      <c r="L141"/>
      <c r="M141"/>
      <c r="N141" s="38"/>
      <c r="O141" s="43"/>
    </row>
    <row r="142" spans="2:14" ht="12.75">
      <c r="B142" s="34" t="s">
        <v>82</v>
      </c>
      <c r="C142" s="34" t="s">
        <v>68</v>
      </c>
      <c r="D142" s="34" t="s">
        <v>286</v>
      </c>
      <c r="F142"/>
      <c r="G142"/>
      <c r="H142"/>
      <c r="I142"/>
      <c r="J142"/>
      <c r="K142"/>
      <c r="L142"/>
      <c r="M142"/>
      <c r="N142" s="38"/>
    </row>
    <row r="143" spans="2:15" ht="12.75">
      <c r="B143" s="34" t="s">
        <v>77</v>
      </c>
      <c r="C143" s="34"/>
      <c r="D143" s="34" t="s">
        <v>16</v>
      </c>
      <c r="F143"/>
      <c r="G143">
        <v>58130</v>
      </c>
      <c r="H143"/>
      <c r="I143">
        <v>58016</v>
      </c>
      <c r="J143"/>
      <c r="K143">
        <v>62125</v>
      </c>
      <c r="L143"/>
      <c r="M143"/>
      <c r="N143" s="38"/>
      <c r="O143" s="50">
        <f>AVERAGE(G143,I143,K143)</f>
        <v>59423.666666666664</v>
      </c>
    </row>
    <row r="144" spans="2:15" ht="12.75">
      <c r="B144" s="34" t="s">
        <v>80</v>
      </c>
      <c r="C144" s="34"/>
      <c r="D144" s="34" t="s">
        <v>14</v>
      </c>
      <c r="F144"/>
      <c r="G144">
        <v>7</v>
      </c>
      <c r="H144"/>
      <c r="I144">
        <v>6.9</v>
      </c>
      <c r="J144"/>
      <c r="K144">
        <v>6.6</v>
      </c>
      <c r="L144"/>
      <c r="M144"/>
      <c r="N144" s="38"/>
      <c r="O144" s="43">
        <f>AVERAGE(G144,I144,K144)</f>
        <v>6.833333333333333</v>
      </c>
    </row>
    <row r="145" spans="2:15" ht="12.75">
      <c r="B145" s="34" t="s">
        <v>81</v>
      </c>
      <c r="C145" s="34"/>
      <c r="D145" s="34" t="s">
        <v>14</v>
      </c>
      <c r="F145"/>
      <c r="G145">
        <v>34.52</v>
      </c>
      <c r="H145"/>
      <c r="I145">
        <v>33.31</v>
      </c>
      <c r="J145"/>
      <c r="K145">
        <v>342</v>
      </c>
      <c r="L145"/>
      <c r="M145"/>
      <c r="N145" s="38"/>
      <c r="O145" s="43">
        <f>AVERAGE(G145,I145,K145)</f>
        <v>136.61</v>
      </c>
    </row>
    <row r="146" spans="2:15" ht="12.75">
      <c r="B146" s="34" t="s">
        <v>76</v>
      </c>
      <c r="C146" s="34"/>
      <c r="D146" s="34" t="s">
        <v>17</v>
      </c>
      <c r="F146"/>
      <c r="G146">
        <v>374</v>
      </c>
      <c r="H146"/>
      <c r="I146">
        <v>375</v>
      </c>
      <c r="J146"/>
      <c r="K146">
        <v>390</v>
      </c>
      <c r="L146"/>
      <c r="M146"/>
      <c r="N146" s="38"/>
      <c r="O146" s="43">
        <f>AVERAGE(G146,I146,K146)</f>
        <v>379.6666666666667</v>
      </c>
    </row>
    <row r="149" spans="1:15" ht="12.75">
      <c r="A149" s="36">
        <v>13</v>
      </c>
      <c r="B149" s="37" t="s">
        <v>153</v>
      </c>
      <c r="C149" s="34" t="s">
        <v>164</v>
      </c>
      <c r="G149" s="35" t="s">
        <v>106</v>
      </c>
      <c r="I149" s="35" t="s">
        <v>107</v>
      </c>
      <c r="K149" s="35" t="s">
        <v>108</v>
      </c>
      <c r="L149" s="35"/>
      <c r="M149" s="35" t="s">
        <v>190</v>
      </c>
      <c r="N149" s="35"/>
      <c r="O149" s="35" t="s">
        <v>56</v>
      </c>
    </row>
    <row r="151" spans="2:15" ht="12.75">
      <c r="B151" s="34" t="s">
        <v>18</v>
      </c>
      <c r="C151" s="34" t="s">
        <v>284</v>
      </c>
      <c r="D151" s="34" t="s">
        <v>19</v>
      </c>
      <c r="E151" s="34" t="s">
        <v>15</v>
      </c>
      <c r="F151"/>
      <c r="G151">
        <v>0.0398</v>
      </c>
      <c r="H151"/>
      <c r="I151">
        <v>0.0371</v>
      </c>
      <c r="J151"/>
      <c r="K151">
        <v>0.0561</v>
      </c>
      <c r="L151"/>
      <c r="M151"/>
      <c r="O151" s="40">
        <f>AVERAGE(K151,I151,G151)</f>
        <v>0.044333333333333336</v>
      </c>
    </row>
    <row r="152" spans="2:13" ht="12.75">
      <c r="B152" s="34"/>
      <c r="C152" s="34"/>
      <c r="F152"/>
      <c r="G152"/>
      <c r="H152"/>
      <c r="I152"/>
      <c r="J152"/>
      <c r="K152"/>
      <c r="L152"/>
      <c r="M152"/>
    </row>
    <row r="153" spans="2:15" ht="12.75">
      <c r="B153" s="34" t="s">
        <v>147</v>
      </c>
      <c r="C153" s="34" t="s">
        <v>284</v>
      </c>
      <c r="D153" s="34" t="s">
        <v>51</v>
      </c>
      <c r="E153" s="34" t="s">
        <v>15</v>
      </c>
      <c r="F153"/>
      <c r="G153">
        <v>212</v>
      </c>
      <c r="H153"/>
      <c r="I153">
        <v>661</v>
      </c>
      <c r="J153"/>
      <c r="K153">
        <v>141</v>
      </c>
      <c r="L153"/>
      <c r="M153"/>
      <c r="O153" s="43">
        <f>AVERAGE(K153,I153,G153)</f>
        <v>338</v>
      </c>
    </row>
    <row r="154" spans="2:15" ht="12.75">
      <c r="B154" s="34" t="s">
        <v>148</v>
      </c>
      <c r="C154" s="34" t="s">
        <v>284</v>
      </c>
      <c r="D154" s="34" t="s">
        <v>51</v>
      </c>
      <c r="E154" s="34" t="s">
        <v>15</v>
      </c>
      <c r="F154"/>
      <c r="G154">
        <v>869</v>
      </c>
      <c r="H154"/>
      <c r="I154">
        <v>1350</v>
      </c>
      <c r="J154"/>
      <c r="K154">
        <v>496.7</v>
      </c>
      <c r="L154"/>
      <c r="M154"/>
      <c r="O154" s="43">
        <f>AVERAGE(K154,I154,G154)</f>
        <v>905.2333333333332</v>
      </c>
    </row>
    <row r="155" spans="2:13" ht="12.75">
      <c r="B155" s="34"/>
      <c r="C155" s="34"/>
      <c r="F155"/>
      <c r="G155"/>
      <c r="H155"/>
      <c r="I155"/>
      <c r="J155"/>
      <c r="K155"/>
      <c r="L155"/>
      <c r="M155"/>
    </row>
    <row r="156" spans="2:15" ht="12.75">
      <c r="B156" s="34" t="s">
        <v>149</v>
      </c>
      <c r="C156" s="34" t="s">
        <v>284</v>
      </c>
      <c r="D156" s="34" t="s">
        <v>51</v>
      </c>
      <c r="E156" s="34" t="s">
        <v>15</v>
      </c>
      <c r="F156"/>
      <c r="G156">
        <v>5.3</v>
      </c>
      <c r="H156"/>
      <c r="I156">
        <v>6.8</v>
      </c>
      <c r="J156"/>
      <c r="K156">
        <v>6.2</v>
      </c>
      <c r="L156"/>
      <c r="M156"/>
      <c r="O156" s="43">
        <f>AVERAGE(K156,I156,G156)</f>
        <v>6.1000000000000005</v>
      </c>
    </row>
    <row r="157" spans="2:15" ht="12.75">
      <c r="B157" s="34" t="s">
        <v>150</v>
      </c>
      <c r="C157" s="34" t="s">
        <v>284</v>
      </c>
      <c r="D157" s="34" t="s">
        <v>51</v>
      </c>
      <c r="E157" s="34" t="s">
        <v>15</v>
      </c>
      <c r="F157"/>
      <c r="G157">
        <v>6</v>
      </c>
      <c r="H157"/>
      <c r="I157">
        <v>9</v>
      </c>
      <c r="J157"/>
      <c r="K157">
        <v>9</v>
      </c>
      <c r="L157"/>
      <c r="M157"/>
      <c r="O157" s="43">
        <f>AVERAGE(K157,I157,G157)</f>
        <v>8</v>
      </c>
    </row>
    <row r="158" spans="2:15" ht="12.75">
      <c r="B158" s="34"/>
      <c r="C158" s="34"/>
      <c r="F158"/>
      <c r="G158"/>
      <c r="H158"/>
      <c r="I158"/>
      <c r="J158"/>
      <c r="K158"/>
      <c r="L158"/>
      <c r="M158"/>
      <c r="O158" s="43"/>
    </row>
    <row r="159" spans="2:13" ht="12.75">
      <c r="B159" s="34" t="s">
        <v>20</v>
      </c>
      <c r="C159" s="34"/>
      <c r="D159" s="34" t="s">
        <v>103</v>
      </c>
      <c r="F159"/>
      <c r="G159">
        <v>2092</v>
      </c>
      <c r="H159"/>
      <c r="I159">
        <v>6411</v>
      </c>
      <c r="J159"/>
      <c r="K159">
        <v>1334</v>
      </c>
      <c r="L159"/>
      <c r="M159"/>
    </row>
    <row r="160" spans="2:13" ht="12.75">
      <c r="B160" s="34" t="s">
        <v>54</v>
      </c>
      <c r="C160" s="34"/>
      <c r="D160" s="34" t="s">
        <v>103</v>
      </c>
      <c r="F160"/>
      <c r="G160">
        <v>11.1</v>
      </c>
      <c r="H160"/>
      <c r="I160">
        <v>154</v>
      </c>
      <c r="J160"/>
      <c r="K160">
        <v>8.97</v>
      </c>
      <c r="L160"/>
      <c r="M160"/>
    </row>
    <row r="161" spans="2:13" ht="12.75">
      <c r="B161" s="34"/>
      <c r="C161" s="34"/>
      <c r="F161"/>
      <c r="G161"/>
      <c r="H161"/>
      <c r="I161"/>
      <c r="J161"/>
      <c r="K161"/>
      <c r="L161"/>
      <c r="M161"/>
    </row>
    <row r="162" spans="2:15" ht="12.75">
      <c r="B162" s="34" t="s">
        <v>20</v>
      </c>
      <c r="C162" s="34" t="s">
        <v>284</v>
      </c>
      <c r="D162" s="34" t="s">
        <v>51</v>
      </c>
      <c r="E162" s="34" t="s">
        <v>15</v>
      </c>
      <c r="F162"/>
      <c r="G162" s="28">
        <f>G159/G198/60/0.0283/1518*(21-7)/(21-G$199)*1000000</f>
        <v>11.600022638843917</v>
      </c>
      <c r="H162"/>
      <c r="I162" s="28">
        <f>I159/I198/60/0.0283/1518*(21-7)/(21-I$199)*1000000</f>
        <v>39.95074123201738</v>
      </c>
      <c r="J162"/>
      <c r="K162" s="28">
        <f>K159/K198/60/0.0283/1518*(21-7)/(21-K$199)*1000000</f>
        <v>8.988932415752782</v>
      </c>
      <c r="L162"/>
      <c r="M162"/>
      <c r="O162" s="42">
        <f>AVERAGE(G162:K162)</f>
        <v>20.17989876220469</v>
      </c>
    </row>
    <row r="163" spans="2:15" ht="12.75">
      <c r="B163" s="34" t="s">
        <v>54</v>
      </c>
      <c r="C163" s="34" t="s">
        <v>284</v>
      </c>
      <c r="D163" s="34" t="s">
        <v>51</v>
      </c>
      <c r="E163" s="34" t="s">
        <v>15</v>
      </c>
      <c r="F163"/>
      <c r="G163" s="28">
        <f>G160/G198/60/0.0283/2953*(21-7)/(21-G199)*1000000</f>
        <v>0.03163941609433583</v>
      </c>
      <c r="H163"/>
      <c r="I163" s="28">
        <f>I160/I198/60/0.0283/2953*(21-7)/(21-I199)*1000000</f>
        <v>0.4933193039039987</v>
      </c>
      <c r="J163"/>
      <c r="K163" s="28">
        <f>K160/K198/60/0.0283/2953*(21-7)/(21-K199)*1000000</f>
        <v>0.031070844195697913</v>
      </c>
      <c r="L163"/>
      <c r="M163"/>
      <c r="O163" s="42">
        <f>AVERAGE(G163:K163)</f>
        <v>0.1853431880646775</v>
      </c>
    </row>
    <row r="164" spans="2:15" ht="12.75">
      <c r="B164" s="34" t="s">
        <v>288</v>
      </c>
      <c r="C164" s="34" t="s">
        <v>284</v>
      </c>
      <c r="D164" s="34" t="s">
        <v>51</v>
      </c>
      <c r="E164" s="34" t="s">
        <v>15</v>
      </c>
      <c r="F164"/>
      <c r="G164" s="28">
        <f>G162+2*G163</f>
        <v>11.66330147103259</v>
      </c>
      <c r="H164"/>
      <c r="I164" s="28">
        <f>I162+2*I163</f>
        <v>40.937379839825375</v>
      </c>
      <c r="J164"/>
      <c r="K164" s="28">
        <f>K162+2*K163</f>
        <v>9.051074104144178</v>
      </c>
      <c r="L164"/>
      <c r="M164"/>
      <c r="O164" s="42">
        <f>AVERAGE(G164:K164)</f>
        <v>20.550585138334046</v>
      </c>
    </row>
    <row r="165" spans="2:13" ht="12.75">
      <c r="B165" s="34"/>
      <c r="C165" s="34"/>
      <c r="F165"/>
      <c r="G165"/>
      <c r="H165"/>
      <c r="I165"/>
      <c r="J165"/>
      <c r="K165"/>
      <c r="L165"/>
      <c r="M165"/>
    </row>
    <row r="166" spans="2:13" ht="12.75">
      <c r="B166" s="34" t="s">
        <v>289</v>
      </c>
      <c r="C166" s="34"/>
      <c r="D166" s="34" t="s">
        <v>55</v>
      </c>
      <c r="E166" s="34" t="s">
        <v>12</v>
      </c>
      <c r="F166"/>
      <c r="G166">
        <v>2.67</v>
      </c>
      <c r="H166"/>
      <c r="I166">
        <v>3.66</v>
      </c>
      <c r="J166"/>
      <c r="K166">
        <v>3.63</v>
      </c>
      <c r="L166"/>
      <c r="M166"/>
    </row>
    <row r="167" spans="2:14" ht="12.75">
      <c r="B167" s="36" t="s">
        <v>83</v>
      </c>
      <c r="C167" s="34"/>
      <c r="D167" s="34" t="s">
        <v>55</v>
      </c>
      <c r="E167" s="34" t="s">
        <v>12</v>
      </c>
      <c r="F167"/>
      <c r="G167">
        <v>1.7</v>
      </c>
      <c r="H167"/>
      <c r="I167">
        <v>1.42</v>
      </c>
      <c r="J167"/>
      <c r="K167">
        <v>1.78</v>
      </c>
      <c r="L167"/>
      <c r="M167"/>
      <c r="N167" s="35"/>
    </row>
    <row r="168" spans="2:15" ht="12.75">
      <c r="B168" s="36" t="s">
        <v>84</v>
      </c>
      <c r="D168" s="34" t="s">
        <v>55</v>
      </c>
      <c r="E168" s="34" t="s">
        <v>12</v>
      </c>
      <c r="F168"/>
      <c r="G168">
        <v>27.5</v>
      </c>
      <c r="H168"/>
      <c r="I168">
        <v>30.3</v>
      </c>
      <c r="J168"/>
      <c r="K168">
        <v>55.3</v>
      </c>
      <c r="L168"/>
      <c r="M168"/>
      <c r="N168" s="39"/>
      <c r="O168" s="40"/>
    </row>
    <row r="169" spans="2:15" ht="12.75">
      <c r="B169" s="36" t="s">
        <v>85</v>
      </c>
      <c r="D169" s="34" t="s">
        <v>55</v>
      </c>
      <c r="E169" s="34" t="s">
        <v>12</v>
      </c>
      <c r="F169" t="s">
        <v>13</v>
      </c>
      <c r="G169">
        <v>0.0782</v>
      </c>
      <c r="H169" t="s">
        <v>13</v>
      </c>
      <c r="I169">
        <v>0.0791</v>
      </c>
      <c r="J169" t="s">
        <v>13</v>
      </c>
      <c r="K169">
        <v>0.0806</v>
      </c>
      <c r="L169"/>
      <c r="M169"/>
      <c r="N169" s="39"/>
      <c r="O169" s="40"/>
    </row>
    <row r="170" spans="2:15" ht="12.75">
      <c r="B170" s="36" t="s">
        <v>90</v>
      </c>
      <c r="D170" s="34" t="s">
        <v>55</v>
      </c>
      <c r="E170" s="34" t="s">
        <v>12</v>
      </c>
      <c r="F170"/>
      <c r="G170">
        <v>28.1</v>
      </c>
      <c r="H170"/>
      <c r="I170">
        <v>23.4</v>
      </c>
      <c r="J170"/>
      <c r="K170">
        <v>30.2</v>
      </c>
      <c r="L170"/>
      <c r="M170"/>
      <c r="N170" s="41"/>
      <c r="O170" s="42"/>
    </row>
    <row r="171" spans="2:15" ht="12.75">
      <c r="B171" s="36" t="s">
        <v>92</v>
      </c>
      <c r="D171" s="34" t="s">
        <v>55</v>
      </c>
      <c r="E171" s="34" t="s">
        <v>12</v>
      </c>
      <c r="F171"/>
      <c r="G171">
        <v>7.58</v>
      </c>
      <c r="H171"/>
      <c r="I171">
        <v>9.4</v>
      </c>
      <c r="J171"/>
      <c r="K171">
        <v>9.32</v>
      </c>
      <c r="L171"/>
      <c r="M171"/>
      <c r="N171" s="41"/>
      <c r="O171" s="42"/>
    </row>
    <row r="172" spans="2:15" ht="12.75">
      <c r="B172" s="36" t="s">
        <v>88</v>
      </c>
      <c r="D172" s="34" t="s">
        <v>55</v>
      </c>
      <c r="E172" s="34" t="s">
        <v>12</v>
      </c>
      <c r="F172"/>
      <c r="G172">
        <v>393</v>
      </c>
      <c r="H172"/>
      <c r="I172">
        <v>357</v>
      </c>
      <c r="J172"/>
      <c r="K172">
        <v>500</v>
      </c>
      <c r="L172"/>
      <c r="M172"/>
      <c r="N172" s="41"/>
      <c r="O172" s="42"/>
    </row>
    <row r="173" spans="2:15" ht="12.75">
      <c r="B173" s="36" t="s">
        <v>95</v>
      </c>
      <c r="D173" s="34" t="s">
        <v>55</v>
      </c>
      <c r="E173" s="34" t="s">
        <v>12</v>
      </c>
      <c r="F173"/>
      <c r="G173">
        <v>41.1</v>
      </c>
      <c r="H173"/>
      <c r="I173">
        <v>32.1</v>
      </c>
      <c r="J173"/>
      <c r="K173">
        <v>35</v>
      </c>
      <c r="L173"/>
      <c r="M173"/>
      <c r="N173" s="41"/>
      <c r="O173" s="42"/>
    </row>
    <row r="174" spans="2:15" ht="12.75">
      <c r="B174" s="36" t="s">
        <v>89</v>
      </c>
      <c r="D174" s="34" t="s">
        <v>55</v>
      </c>
      <c r="E174" s="34" t="s">
        <v>12</v>
      </c>
      <c r="F174"/>
      <c r="G174">
        <v>6.25</v>
      </c>
      <c r="H174"/>
      <c r="I174">
        <v>10.5</v>
      </c>
      <c r="J174"/>
      <c r="K174">
        <v>8.9</v>
      </c>
      <c r="L174"/>
      <c r="M174"/>
      <c r="N174" s="41"/>
      <c r="O174" s="42"/>
    </row>
    <row r="175" spans="2:15" ht="12.75">
      <c r="B175" s="36" t="s">
        <v>114</v>
      </c>
      <c r="D175" s="34" t="s">
        <v>55</v>
      </c>
      <c r="E175" s="34" t="s">
        <v>12</v>
      </c>
      <c r="F175"/>
      <c r="G175">
        <v>22.7</v>
      </c>
      <c r="H175"/>
      <c r="I175">
        <v>19.2</v>
      </c>
      <c r="J175"/>
      <c r="K175">
        <v>11</v>
      </c>
      <c r="L175"/>
      <c r="M175"/>
      <c r="N175" s="41"/>
      <c r="O175" s="42"/>
    </row>
    <row r="176" spans="2:15" ht="12.75">
      <c r="B176" s="36" t="s">
        <v>91</v>
      </c>
      <c r="D176" s="34" t="s">
        <v>55</v>
      </c>
      <c r="E176" s="34" t="s">
        <v>12</v>
      </c>
      <c r="F176"/>
      <c r="G176">
        <v>1.66</v>
      </c>
      <c r="H176"/>
      <c r="I176">
        <v>1.14</v>
      </c>
      <c r="J176"/>
      <c r="K176">
        <v>0.946</v>
      </c>
      <c r="L176"/>
      <c r="M176"/>
      <c r="N176" s="41"/>
      <c r="O176" s="42"/>
    </row>
    <row r="177" spans="2:14" ht="12.75">
      <c r="B177" s="36" t="s">
        <v>86</v>
      </c>
      <c r="D177" s="34" t="s">
        <v>55</v>
      </c>
      <c r="E177" s="34" t="s">
        <v>12</v>
      </c>
      <c r="F177"/>
      <c r="G177">
        <v>2.45</v>
      </c>
      <c r="H177"/>
      <c r="I177">
        <v>2.72</v>
      </c>
      <c r="J177"/>
      <c r="K177">
        <v>6.02</v>
      </c>
      <c r="L177"/>
      <c r="M177"/>
      <c r="N177" s="41"/>
    </row>
    <row r="178" spans="2:14" ht="12.75">
      <c r="B178" s="59" t="s">
        <v>194</v>
      </c>
      <c r="D178" s="34" t="s">
        <v>55</v>
      </c>
      <c r="E178" s="34" t="s">
        <v>12</v>
      </c>
      <c r="F178" t="s">
        <v>13</v>
      </c>
      <c r="G178">
        <v>0.315</v>
      </c>
      <c r="H178"/>
      <c r="I178">
        <v>0.148</v>
      </c>
      <c r="J178"/>
      <c r="K178">
        <v>0.221</v>
      </c>
      <c r="L178"/>
      <c r="M178"/>
      <c r="N178" s="41"/>
    </row>
    <row r="179" spans="6:14" ht="12.75">
      <c r="F179"/>
      <c r="G179"/>
      <c r="H179"/>
      <c r="I179"/>
      <c r="J179"/>
      <c r="K179"/>
      <c r="L179"/>
      <c r="M179"/>
      <c r="N179" s="41"/>
    </row>
    <row r="180" spans="2:15" ht="12.75">
      <c r="B180" s="34" t="s">
        <v>289</v>
      </c>
      <c r="C180" s="34" t="s">
        <v>286</v>
      </c>
      <c r="D180" s="34" t="s">
        <v>55</v>
      </c>
      <c r="E180" s="34" t="s">
        <v>15</v>
      </c>
      <c r="F180"/>
      <c r="G180" s="1">
        <f>G166*(21-7)/(21-G$205)</f>
        <v>2.943307086614173</v>
      </c>
      <c r="H180" s="1"/>
      <c r="I180" s="1">
        <f>I166*(21-7)/(21-I$205)</f>
        <v>4.2</v>
      </c>
      <c r="J180" s="1"/>
      <c r="K180" s="1">
        <f aca="true" t="shared" si="4" ref="K180:K192">K166*(21-7)/(21-K$205)</f>
        <v>4.62</v>
      </c>
      <c r="L180"/>
      <c r="M180"/>
      <c r="O180" s="42">
        <f aca="true" t="shared" si="5" ref="O180:O186">AVERAGE(G180,I180,K180)</f>
        <v>3.9211023622047243</v>
      </c>
    </row>
    <row r="181" spans="2:15" ht="12.75">
      <c r="B181" s="36" t="s">
        <v>83</v>
      </c>
      <c r="C181" s="34" t="s">
        <v>286</v>
      </c>
      <c r="D181" s="34" t="s">
        <v>55</v>
      </c>
      <c r="E181" s="34" t="s">
        <v>15</v>
      </c>
      <c r="F181"/>
      <c r="G181" s="1">
        <f aca="true" t="shared" si="6" ref="G181:I192">G167*(21-7)/(21-G$205)</f>
        <v>1.8740157480314963</v>
      </c>
      <c r="H181" s="1"/>
      <c r="I181" s="1">
        <f t="shared" si="6"/>
        <v>1.6295081967213114</v>
      </c>
      <c r="J181" s="1"/>
      <c r="K181" s="1">
        <f t="shared" si="4"/>
        <v>2.2654545454545456</v>
      </c>
      <c r="L181"/>
      <c r="M181"/>
      <c r="N181" s="35"/>
      <c r="O181" s="42">
        <f t="shared" si="5"/>
        <v>1.922992830069118</v>
      </c>
    </row>
    <row r="182" spans="2:15" ht="12.75">
      <c r="B182" s="36" t="s">
        <v>84</v>
      </c>
      <c r="C182" s="34" t="s">
        <v>286</v>
      </c>
      <c r="D182" s="34" t="s">
        <v>55</v>
      </c>
      <c r="E182" s="34" t="s">
        <v>15</v>
      </c>
      <c r="F182"/>
      <c r="G182" s="1">
        <f t="shared" si="6"/>
        <v>30.314960629921263</v>
      </c>
      <c r="H182" s="1"/>
      <c r="I182" s="1">
        <f t="shared" si="6"/>
        <v>34.77049180327869</v>
      </c>
      <c r="J182" s="1"/>
      <c r="K182" s="1">
        <f t="shared" si="4"/>
        <v>70.38181818181818</v>
      </c>
      <c r="L182"/>
      <c r="M182"/>
      <c r="N182" s="39"/>
      <c r="O182" s="42">
        <f t="shared" si="5"/>
        <v>45.15575687167271</v>
      </c>
    </row>
    <row r="183" spans="2:15" ht="12.75">
      <c r="B183" s="36" t="s">
        <v>85</v>
      </c>
      <c r="C183" s="34" t="s">
        <v>286</v>
      </c>
      <c r="D183" s="34" t="s">
        <v>55</v>
      </c>
      <c r="E183" s="34" t="s">
        <v>15</v>
      </c>
      <c r="F183" t="s">
        <v>13</v>
      </c>
      <c r="G183" s="1">
        <f t="shared" si="6"/>
        <v>0.08620472440944882</v>
      </c>
      <c r="H183" s="1" t="s">
        <v>13</v>
      </c>
      <c r="I183" s="1">
        <f t="shared" si="6"/>
        <v>0.0907704918032787</v>
      </c>
      <c r="J183" s="1" t="s">
        <v>13</v>
      </c>
      <c r="K183" s="1">
        <f t="shared" si="4"/>
        <v>0.10258181818181819</v>
      </c>
      <c r="L183"/>
      <c r="M183"/>
      <c r="N183" s="71">
        <v>100</v>
      </c>
      <c r="O183" s="42">
        <f t="shared" si="5"/>
        <v>0.09318567813151524</v>
      </c>
    </row>
    <row r="184" spans="2:15" ht="12.75">
      <c r="B184" s="36" t="s">
        <v>90</v>
      </c>
      <c r="C184" s="34" t="s">
        <v>286</v>
      </c>
      <c r="D184" s="34" t="s">
        <v>55</v>
      </c>
      <c r="E184" s="34" t="s">
        <v>15</v>
      </c>
      <c r="F184"/>
      <c r="G184" s="1">
        <f t="shared" si="6"/>
        <v>30.97637795275591</v>
      </c>
      <c r="H184" s="1"/>
      <c r="I184" s="1">
        <f t="shared" si="6"/>
        <v>26.852459016393443</v>
      </c>
      <c r="J184" s="1"/>
      <c r="K184" s="1">
        <f t="shared" si="4"/>
        <v>38.43636363636364</v>
      </c>
      <c r="L184"/>
      <c r="M184"/>
      <c r="N184" s="41"/>
      <c r="O184" s="42">
        <f t="shared" si="5"/>
        <v>32.088400201837665</v>
      </c>
    </row>
    <row r="185" spans="2:15" ht="12.75">
      <c r="B185" s="36" t="s">
        <v>92</v>
      </c>
      <c r="C185" s="34" t="s">
        <v>286</v>
      </c>
      <c r="D185" s="34" t="s">
        <v>55</v>
      </c>
      <c r="E185" s="34" t="s">
        <v>15</v>
      </c>
      <c r="F185"/>
      <c r="G185" s="1">
        <f t="shared" si="6"/>
        <v>8.355905511811024</v>
      </c>
      <c r="H185" s="1"/>
      <c r="I185" s="1">
        <f t="shared" si="6"/>
        <v>10.78688524590164</v>
      </c>
      <c r="J185" s="1"/>
      <c r="K185" s="1">
        <f t="shared" si="4"/>
        <v>11.861818181818183</v>
      </c>
      <c r="L185"/>
      <c r="M185"/>
      <c r="N185" s="41"/>
      <c r="O185" s="42">
        <f t="shared" si="5"/>
        <v>10.334869646510283</v>
      </c>
    </row>
    <row r="186" spans="2:15" ht="12.75">
      <c r="B186" s="36" t="s">
        <v>88</v>
      </c>
      <c r="C186" s="34" t="s">
        <v>286</v>
      </c>
      <c r="D186" s="34" t="s">
        <v>55</v>
      </c>
      <c r="E186" s="34" t="s">
        <v>15</v>
      </c>
      <c r="F186"/>
      <c r="G186" s="1">
        <f t="shared" si="6"/>
        <v>433.2283464566929</v>
      </c>
      <c r="H186" s="1"/>
      <c r="I186" s="1">
        <f t="shared" si="6"/>
        <v>409.672131147541</v>
      </c>
      <c r="J186" s="1"/>
      <c r="K186" s="1">
        <f t="shared" si="4"/>
        <v>636.3636363636364</v>
      </c>
      <c r="L186"/>
      <c r="M186"/>
      <c r="N186" s="41"/>
      <c r="O186" s="42">
        <f t="shared" si="5"/>
        <v>493.0880379892901</v>
      </c>
    </row>
    <row r="187" spans="2:15" ht="12.75">
      <c r="B187" s="36" t="s">
        <v>95</v>
      </c>
      <c r="C187" s="34" t="s">
        <v>286</v>
      </c>
      <c r="D187" s="34" t="s">
        <v>55</v>
      </c>
      <c r="E187" s="34" t="s">
        <v>15</v>
      </c>
      <c r="F187"/>
      <c r="G187" s="1">
        <f t="shared" si="6"/>
        <v>45.30708661417323</v>
      </c>
      <c r="H187" s="1"/>
      <c r="I187" s="1">
        <f t="shared" si="6"/>
        <v>36.8360655737705</v>
      </c>
      <c r="J187" s="1"/>
      <c r="K187" s="1">
        <f t="shared" si="4"/>
        <v>44.54545454545455</v>
      </c>
      <c r="L187"/>
      <c r="M187"/>
      <c r="N187" s="41"/>
      <c r="O187" s="42">
        <f aca="true" t="shared" si="7" ref="O187:O192">AVERAGE(G187,I187,K187)</f>
        <v>42.229535577799425</v>
      </c>
    </row>
    <row r="188" spans="2:15" ht="12.75">
      <c r="B188" s="36" t="s">
        <v>89</v>
      </c>
      <c r="C188" s="34" t="s">
        <v>286</v>
      </c>
      <c r="D188" s="34" t="s">
        <v>55</v>
      </c>
      <c r="E188" s="34" t="s">
        <v>15</v>
      </c>
      <c r="F188"/>
      <c r="G188" s="1">
        <f t="shared" si="6"/>
        <v>6.889763779527559</v>
      </c>
      <c r="H188" s="1"/>
      <c r="I188" s="1">
        <f t="shared" si="6"/>
        <v>12.049180327868854</v>
      </c>
      <c r="J188" s="1"/>
      <c r="K188" s="1">
        <f t="shared" si="4"/>
        <v>11.327272727272728</v>
      </c>
      <c r="L188"/>
      <c r="M188"/>
      <c r="N188" s="41"/>
      <c r="O188" s="42">
        <f t="shared" si="7"/>
        <v>10.088738944889714</v>
      </c>
    </row>
    <row r="189" spans="2:15" ht="12.75">
      <c r="B189" s="36" t="s">
        <v>114</v>
      </c>
      <c r="C189" s="34" t="s">
        <v>286</v>
      </c>
      <c r="D189" s="34" t="s">
        <v>55</v>
      </c>
      <c r="E189" s="34" t="s">
        <v>15</v>
      </c>
      <c r="F189"/>
      <c r="G189" s="1">
        <f t="shared" si="6"/>
        <v>25.023622047244096</v>
      </c>
      <c r="H189" s="1"/>
      <c r="I189" s="1">
        <f t="shared" si="6"/>
        <v>22.032786885245905</v>
      </c>
      <c r="J189" s="1"/>
      <c r="K189" s="1">
        <f t="shared" si="4"/>
        <v>14</v>
      </c>
      <c r="L189"/>
      <c r="M189"/>
      <c r="N189" s="41"/>
      <c r="O189" s="42">
        <f t="shared" si="7"/>
        <v>20.35213631083</v>
      </c>
    </row>
    <row r="190" spans="2:15" ht="12.75">
      <c r="B190" s="36" t="s">
        <v>91</v>
      </c>
      <c r="C190" s="34" t="s">
        <v>286</v>
      </c>
      <c r="D190" s="34" t="s">
        <v>55</v>
      </c>
      <c r="E190" s="34" t="s">
        <v>15</v>
      </c>
      <c r="F190"/>
      <c r="G190" s="1">
        <f t="shared" si="6"/>
        <v>1.8299212598425196</v>
      </c>
      <c r="H190" s="1"/>
      <c r="I190" s="1">
        <f t="shared" si="6"/>
        <v>1.3081967213114754</v>
      </c>
      <c r="J190" s="1"/>
      <c r="K190" s="1">
        <f t="shared" si="4"/>
        <v>1.204</v>
      </c>
      <c r="L190"/>
      <c r="M190"/>
      <c r="N190" s="41"/>
      <c r="O190" s="42">
        <f t="shared" si="7"/>
        <v>1.4473726603846648</v>
      </c>
    </row>
    <row r="191" spans="2:15" ht="12.75">
      <c r="B191" s="36" t="s">
        <v>86</v>
      </c>
      <c r="C191" s="34" t="s">
        <v>286</v>
      </c>
      <c r="D191" s="34" t="s">
        <v>55</v>
      </c>
      <c r="E191" s="34" t="s">
        <v>15</v>
      </c>
      <c r="F191"/>
      <c r="G191" s="1">
        <f t="shared" si="6"/>
        <v>2.7007874015748037</v>
      </c>
      <c r="H191" s="1"/>
      <c r="I191" s="1">
        <f t="shared" si="6"/>
        <v>3.1213114754098368</v>
      </c>
      <c r="J191" s="1"/>
      <c r="K191" s="1">
        <f t="shared" si="4"/>
        <v>7.661818181818182</v>
      </c>
      <c r="L191"/>
      <c r="M191"/>
      <c r="N191" s="41"/>
      <c r="O191" s="42">
        <f t="shared" si="7"/>
        <v>4.494639019600941</v>
      </c>
    </row>
    <row r="192" spans="2:15" ht="12.75">
      <c r="B192" s="59" t="s">
        <v>194</v>
      </c>
      <c r="C192" s="34" t="s">
        <v>286</v>
      </c>
      <c r="D192" s="34" t="s">
        <v>55</v>
      </c>
      <c r="E192" s="34" t="s">
        <v>15</v>
      </c>
      <c r="F192" s="34" t="s">
        <v>13</v>
      </c>
      <c r="G192" s="1">
        <f t="shared" si="6"/>
        <v>0.347244094488189</v>
      </c>
      <c r="H192" s="1"/>
      <c r="I192" s="1">
        <f t="shared" si="6"/>
        <v>0.1698360655737705</v>
      </c>
      <c r="J192" s="1"/>
      <c r="K192" s="1">
        <f t="shared" si="4"/>
        <v>0.2812727272727273</v>
      </c>
      <c r="L192"/>
      <c r="M192"/>
      <c r="N192" s="41"/>
      <c r="O192" s="42">
        <f t="shared" si="7"/>
        <v>0.2661176291115623</v>
      </c>
    </row>
    <row r="193" spans="6:14" ht="12.75">
      <c r="F193"/>
      <c r="G193"/>
      <c r="H193"/>
      <c r="I193"/>
      <c r="J193"/>
      <c r="K193"/>
      <c r="L193"/>
      <c r="M193"/>
      <c r="N193" s="41"/>
    </row>
    <row r="194" spans="2:15" ht="12.75">
      <c r="B194" s="36" t="s">
        <v>61</v>
      </c>
      <c r="C194" s="34" t="s">
        <v>286</v>
      </c>
      <c r="D194" s="34" t="s">
        <v>55</v>
      </c>
      <c r="E194" s="34" t="s">
        <v>15</v>
      </c>
      <c r="F194"/>
      <c r="G194" s="1">
        <f>G184+G186</f>
        <v>464.20472440944883</v>
      </c>
      <c r="H194"/>
      <c r="I194" s="1">
        <f>I184+I186</f>
        <v>436.5245901639344</v>
      </c>
      <c r="J194"/>
      <c r="K194" s="1">
        <f>K184+K186</f>
        <v>674.8</v>
      </c>
      <c r="L194"/>
      <c r="M194"/>
      <c r="N194" s="41"/>
      <c r="O194" s="42">
        <f>AVERAGE(K194,I194,G194)</f>
        <v>525.1764381911277</v>
      </c>
    </row>
    <row r="195" spans="2:15" ht="12.75">
      <c r="B195" s="36" t="s">
        <v>62</v>
      </c>
      <c r="C195" s="34" t="s">
        <v>286</v>
      </c>
      <c r="D195" s="34" t="s">
        <v>55</v>
      </c>
      <c r="E195" s="34" t="s">
        <v>15</v>
      </c>
      <c r="F195"/>
      <c r="G195" s="28">
        <f>G181+G183+G185</f>
        <v>10.316125984251968</v>
      </c>
      <c r="H195"/>
      <c r="I195" s="28">
        <f>I181+I183+I185</f>
        <v>12.50716393442623</v>
      </c>
      <c r="J195"/>
      <c r="K195" s="28">
        <f>K181+K183+K185</f>
        <v>14.229854545454547</v>
      </c>
      <c r="L195" s="28"/>
      <c r="M195" s="28"/>
      <c r="N195" s="41"/>
      <c r="O195" s="42">
        <f>AVERAGE(K195,I195,G195)</f>
        <v>12.351048154710915</v>
      </c>
    </row>
    <row r="196" spans="6:15" ht="12.75">
      <c r="F196"/>
      <c r="G196" s="28"/>
      <c r="H196"/>
      <c r="I196" s="28"/>
      <c r="J196"/>
      <c r="K196" s="28"/>
      <c r="L196" s="28"/>
      <c r="M196" s="28"/>
      <c r="N196" s="41"/>
      <c r="O196" s="42"/>
    </row>
    <row r="197" spans="2:14" ht="12.75">
      <c r="B197" s="34" t="s">
        <v>82</v>
      </c>
      <c r="C197" s="34" t="s">
        <v>79</v>
      </c>
      <c r="D197" s="34" t="s">
        <v>284</v>
      </c>
      <c r="F197"/>
      <c r="G197"/>
      <c r="H197"/>
      <c r="I197"/>
      <c r="J197"/>
      <c r="K197"/>
      <c r="L197"/>
      <c r="M197"/>
      <c r="N197" s="38"/>
    </row>
    <row r="198" spans="2:15" ht="12.75">
      <c r="B198" s="34" t="s">
        <v>77</v>
      </c>
      <c r="C198" s="34"/>
      <c r="D198" s="34" t="s">
        <v>16</v>
      </c>
      <c r="F198"/>
      <c r="G198">
        <v>77129</v>
      </c>
      <c r="H198"/>
      <c r="I198">
        <v>71443</v>
      </c>
      <c r="J198"/>
      <c r="K198">
        <v>73278</v>
      </c>
      <c r="L198"/>
      <c r="M198"/>
      <c r="N198" s="38"/>
      <c r="O198" s="50">
        <f>AVERAGE(G198,I198,K198)</f>
        <v>73950</v>
      </c>
    </row>
    <row r="199" spans="2:15" ht="12.75">
      <c r="B199" s="34" t="s">
        <v>80</v>
      </c>
      <c r="C199" s="34"/>
      <c r="D199" s="34" t="s">
        <v>14</v>
      </c>
      <c r="F199"/>
      <c r="G199">
        <v>8.3</v>
      </c>
      <c r="H199"/>
      <c r="I199">
        <v>8.8</v>
      </c>
      <c r="J199"/>
      <c r="K199">
        <v>10</v>
      </c>
      <c r="L199"/>
      <c r="M199"/>
      <c r="N199" s="38"/>
      <c r="O199" s="43">
        <f>AVERAGE(G199,I199,K199)</f>
        <v>9.033333333333333</v>
      </c>
    </row>
    <row r="200" spans="2:15" ht="12.75">
      <c r="B200" s="34" t="s">
        <v>81</v>
      </c>
      <c r="C200" s="34"/>
      <c r="D200" s="34" t="s">
        <v>14</v>
      </c>
      <c r="F200"/>
      <c r="G200">
        <v>30.55</v>
      </c>
      <c r="H200"/>
      <c r="I200">
        <v>30.31</v>
      </c>
      <c r="J200"/>
      <c r="K200">
        <v>30.13</v>
      </c>
      <c r="L200"/>
      <c r="M200"/>
      <c r="N200" s="38"/>
      <c r="O200" s="43">
        <f>AVERAGE(G200,I200,K200)</f>
        <v>30.33</v>
      </c>
    </row>
    <row r="201" spans="2:15" ht="12.75">
      <c r="B201" s="34" t="s">
        <v>76</v>
      </c>
      <c r="C201" s="34"/>
      <c r="D201" s="34" t="s">
        <v>17</v>
      </c>
      <c r="F201"/>
      <c r="G201">
        <v>356</v>
      </c>
      <c r="H201"/>
      <c r="I201">
        <v>349</v>
      </c>
      <c r="J201"/>
      <c r="K201">
        <v>387</v>
      </c>
      <c r="L201"/>
      <c r="M201"/>
      <c r="N201" s="38"/>
      <c r="O201" s="43">
        <f>AVERAGE(G201,I201,K201)</f>
        <v>364</v>
      </c>
    </row>
    <row r="202" spans="2:15" ht="12.75">
      <c r="B202" s="34"/>
      <c r="C202" s="34"/>
      <c r="F202"/>
      <c r="G202"/>
      <c r="H202"/>
      <c r="I202"/>
      <c r="J202"/>
      <c r="K202"/>
      <c r="L202"/>
      <c r="M202"/>
      <c r="N202" s="38"/>
      <c r="O202" s="43"/>
    </row>
    <row r="203" spans="2:14" ht="12.75">
      <c r="B203" s="34" t="s">
        <v>82</v>
      </c>
      <c r="C203" s="34" t="s">
        <v>102</v>
      </c>
      <c r="D203" s="34" t="s">
        <v>286</v>
      </c>
      <c r="F203"/>
      <c r="G203"/>
      <c r="H203"/>
      <c r="I203"/>
      <c r="J203"/>
      <c r="K203"/>
      <c r="L203"/>
      <c r="M203"/>
      <c r="N203" s="38"/>
    </row>
    <row r="204" spans="2:15" ht="12.75">
      <c r="B204" s="34" t="s">
        <v>77</v>
      </c>
      <c r="C204" s="34"/>
      <c r="D204" s="34" t="s">
        <v>16</v>
      </c>
      <c r="F204"/>
      <c r="G204">
        <v>80546</v>
      </c>
      <c r="H204"/>
      <c r="I204">
        <v>77571</v>
      </c>
      <c r="J204"/>
      <c r="K204">
        <v>79928</v>
      </c>
      <c r="L204"/>
      <c r="M204"/>
      <c r="N204" s="38"/>
      <c r="O204" s="50">
        <f>AVERAGE(G204,I204,K204)</f>
        <v>79348.33333333333</v>
      </c>
    </row>
    <row r="205" spans="2:15" ht="12.75">
      <c r="B205" s="34" t="s">
        <v>80</v>
      </c>
      <c r="C205" s="34"/>
      <c r="D205" s="34" t="s">
        <v>14</v>
      </c>
      <c r="F205"/>
      <c r="G205">
        <v>8.3</v>
      </c>
      <c r="H205"/>
      <c r="I205">
        <v>8.8</v>
      </c>
      <c r="J205"/>
      <c r="K205">
        <v>10</v>
      </c>
      <c r="L205"/>
      <c r="M205"/>
      <c r="N205" s="38"/>
      <c r="O205" s="43">
        <f>AVERAGE(G205,I205,K205)</f>
        <v>9.033333333333333</v>
      </c>
    </row>
    <row r="206" spans="2:15" ht="12.75">
      <c r="B206" s="34" t="s">
        <v>81</v>
      </c>
      <c r="C206" s="34"/>
      <c r="D206" s="34" t="s">
        <v>14</v>
      </c>
      <c r="F206"/>
      <c r="G206">
        <v>31.45</v>
      </c>
      <c r="H206"/>
      <c r="I206">
        <v>31.93</v>
      </c>
      <c r="J206"/>
      <c r="K206">
        <v>31.89</v>
      </c>
      <c r="L206"/>
      <c r="M206"/>
      <c r="N206" s="38"/>
      <c r="O206" s="43">
        <f>AVERAGE(G206,I206,K206)</f>
        <v>31.756666666666664</v>
      </c>
    </row>
    <row r="207" spans="2:15" ht="12.75">
      <c r="B207" s="34" t="s">
        <v>76</v>
      </c>
      <c r="C207" s="34"/>
      <c r="D207" s="34" t="s">
        <v>17</v>
      </c>
      <c r="F207"/>
      <c r="G207">
        <v>351</v>
      </c>
      <c r="H207"/>
      <c r="I207">
        <v>346</v>
      </c>
      <c r="J207"/>
      <c r="K207">
        <v>349</v>
      </c>
      <c r="L207"/>
      <c r="M207"/>
      <c r="N207" s="38"/>
      <c r="O207" s="43">
        <f>AVERAGE(G207,I207,K207)</f>
        <v>348.6666666666667</v>
      </c>
    </row>
    <row r="208" spans="2:15" ht="12.75">
      <c r="B208" s="34"/>
      <c r="C208" s="34"/>
      <c r="F208"/>
      <c r="G208"/>
      <c r="H208"/>
      <c r="I208"/>
      <c r="J208"/>
      <c r="K208"/>
      <c r="L208"/>
      <c r="M208"/>
      <c r="N208" s="38"/>
      <c r="O208" s="43"/>
    </row>
    <row r="209" spans="2:14" ht="12.75">
      <c r="B209" s="34" t="s">
        <v>82</v>
      </c>
      <c r="C209" s="34" t="s">
        <v>68</v>
      </c>
      <c r="D209" s="34" t="s">
        <v>287</v>
      </c>
      <c r="F209"/>
      <c r="G209"/>
      <c r="H209"/>
      <c r="I209"/>
      <c r="J209"/>
      <c r="K209"/>
      <c r="L209"/>
      <c r="M209"/>
      <c r="N209" s="38"/>
    </row>
    <row r="210" spans="2:15" ht="12.75">
      <c r="B210" s="34" t="s">
        <v>77</v>
      </c>
      <c r="C210" s="34"/>
      <c r="D210" s="34" t="s">
        <v>16</v>
      </c>
      <c r="F210"/>
      <c r="G210">
        <v>77153</v>
      </c>
      <c r="H210"/>
      <c r="I210">
        <v>82257</v>
      </c>
      <c r="J210"/>
      <c r="K210">
        <v>77781</v>
      </c>
      <c r="L210"/>
      <c r="M210"/>
      <c r="N210" s="38"/>
      <c r="O210" s="50">
        <f>AVERAGE(G210,I210,K210)</f>
        <v>79063.66666666667</v>
      </c>
    </row>
    <row r="211" spans="2:15" ht="12.75">
      <c r="B211" s="34" t="s">
        <v>80</v>
      </c>
      <c r="C211" s="34"/>
      <c r="D211" s="34" t="s">
        <v>14</v>
      </c>
      <c r="F211"/>
      <c r="G211">
        <v>8.3</v>
      </c>
      <c r="H211"/>
      <c r="I211">
        <v>8.8</v>
      </c>
      <c r="J211"/>
      <c r="K211">
        <v>10</v>
      </c>
      <c r="L211"/>
      <c r="M211"/>
      <c r="N211" s="38"/>
      <c r="O211" s="43">
        <f>AVERAGE(G211,I211,K211)</f>
        <v>9.033333333333333</v>
      </c>
    </row>
    <row r="212" spans="2:15" ht="12.75">
      <c r="B212" s="34" t="s">
        <v>81</v>
      </c>
      <c r="C212" s="34"/>
      <c r="D212" s="34" t="s">
        <v>14</v>
      </c>
      <c r="F212"/>
      <c r="G212">
        <v>31.51</v>
      </c>
      <c r="H212"/>
      <c r="I212">
        <v>31.82</v>
      </c>
      <c r="J212"/>
      <c r="K212">
        <v>32.34</v>
      </c>
      <c r="L212"/>
      <c r="M212"/>
      <c r="N212" s="38"/>
      <c r="O212" s="43">
        <f>AVERAGE(G212,I212,K212)</f>
        <v>31.89</v>
      </c>
    </row>
    <row r="213" spans="2:15" ht="12.75">
      <c r="B213" s="34" t="s">
        <v>76</v>
      </c>
      <c r="C213" s="34"/>
      <c r="D213" s="34" t="s">
        <v>17</v>
      </c>
      <c r="F213"/>
      <c r="G213">
        <v>356</v>
      </c>
      <c r="H213"/>
      <c r="I213">
        <v>352</v>
      </c>
      <c r="J213"/>
      <c r="K213">
        <v>353</v>
      </c>
      <c r="L213"/>
      <c r="M213"/>
      <c r="N213" s="38"/>
      <c r="O213" s="43">
        <f>AVERAGE(G213,I213,K213)</f>
        <v>353.6666666666667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0"/>
  <sheetViews>
    <sheetView workbookViewId="0" topLeftCell="B1">
      <selection activeCell="C2" sqref="C2"/>
    </sheetView>
  </sheetViews>
  <sheetFormatPr defaultColWidth="9.140625" defaultRowHeight="12.75"/>
  <cols>
    <col min="1" max="1" width="3.140625" style="29" hidden="1" customWidth="1"/>
    <col min="2" max="2" width="18.421875" style="0" customWidth="1"/>
    <col min="3" max="3" width="7.8515625" style="0" customWidth="1"/>
    <col min="5" max="5" width="5.00390625" style="0" customWidth="1"/>
    <col min="6" max="6" width="3.57421875" style="5" customWidth="1"/>
    <col min="8" max="8" width="3.00390625" style="77" bestFit="1" customWidth="1"/>
    <col min="10" max="10" width="3.00390625" style="77" bestFit="1" customWidth="1"/>
    <col min="12" max="12" width="2.28125" style="0" customWidth="1"/>
    <col min="14" max="14" width="3.8515625" style="5" customWidth="1"/>
    <col min="16" max="16" width="8.00390625" style="0" customWidth="1"/>
  </cols>
  <sheetData>
    <row r="1" ht="12.75">
      <c r="B1" s="4" t="s">
        <v>274</v>
      </c>
    </row>
    <row r="2" ht="12.75">
      <c r="B2" s="4"/>
    </row>
    <row r="4" spans="1:15" ht="12.75">
      <c r="A4" s="29">
        <v>1</v>
      </c>
      <c r="B4" s="4" t="s">
        <v>174</v>
      </c>
      <c r="G4" s="5" t="s">
        <v>106</v>
      </c>
      <c r="I4" s="5" t="s">
        <v>107</v>
      </c>
      <c r="K4" s="5" t="s">
        <v>108</v>
      </c>
      <c r="L4" s="5"/>
      <c r="M4" s="5" t="s">
        <v>190</v>
      </c>
      <c r="O4" s="5" t="s">
        <v>56</v>
      </c>
    </row>
    <row r="6" spans="1:61" s="57" customFormat="1" ht="12.75">
      <c r="A6" s="65"/>
      <c r="B6" s="57" t="s">
        <v>18</v>
      </c>
      <c r="C6" s="57" t="s">
        <v>284</v>
      </c>
      <c r="D6" s="57" t="s">
        <v>19</v>
      </c>
      <c r="E6" s="57" t="s">
        <v>15</v>
      </c>
      <c r="F6" s="75" t="s">
        <v>191</v>
      </c>
      <c r="G6" s="57">
        <v>0.08300082336</v>
      </c>
      <c r="H6" s="78" t="s">
        <v>191</v>
      </c>
      <c r="I6" s="57">
        <v>0.075000744</v>
      </c>
      <c r="J6" s="78" t="s">
        <v>191</v>
      </c>
      <c r="K6" s="57">
        <v>0.06800067456</v>
      </c>
      <c r="L6" s="58" t="s">
        <v>191</v>
      </c>
      <c r="M6" s="57">
        <v>0.05700056544</v>
      </c>
      <c r="N6" s="75" t="s">
        <v>191</v>
      </c>
      <c r="O6" s="57">
        <f>AVERAGE(G6,I6,K6,M6)</f>
        <v>0.07075070184</v>
      </c>
      <c r="P6"/>
      <c r="R6"/>
      <c r="S6"/>
      <c r="T6"/>
      <c r="U6"/>
      <c r="V6"/>
      <c r="W6"/>
      <c r="X6"/>
      <c r="Z6"/>
      <c r="AB6"/>
      <c r="AD6"/>
      <c r="AF6"/>
      <c r="BI6"/>
    </row>
    <row r="7" spans="1:61" s="59" customFormat="1" ht="12.75">
      <c r="A7" s="65"/>
      <c r="B7" s="59" t="s">
        <v>148</v>
      </c>
      <c r="C7" s="57" t="s">
        <v>284</v>
      </c>
      <c r="D7" s="59" t="s">
        <v>51</v>
      </c>
      <c r="E7" s="57" t="s">
        <v>15</v>
      </c>
      <c r="F7" s="75" t="s">
        <v>191</v>
      </c>
      <c r="G7" s="60">
        <v>757</v>
      </c>
      <c r="H7" s="79" t="s">
        <v>191</v>
      </c>
      <c r="I7" s="60">
        <v>557</v>
      </c>
      <c r="J7" s="79" t="s">
        <v>191</v>
      </c>
      <c r="K7" s="60">
        <v>556</v>
      </c>
      <c r="L7" s="60" t="s">
        <v>191</v>
      </c>
      <c r="M7" s="60">
        <v>621</v>
      </c>
      <c r="N7" s="75" t="s">
        <v>191</v>
      </c>
      <c r="O7" s="60">
        <f aca="true" t="shared" si="0" ref="O7:O12">AVERAGE(G7,I7,K7,M7)</f>
        <v>622.75</v>
      </c>
      <c r="P7"/>
      <c r="R7"/>
      <c r="S7"/>
      <c r="T7"/>
      <c r="U7"/>
      <c r="V7"/>
      <c r="W7"/>
      <c r="X7"/>
      <c r="Z7"/>
      <c r="AB7"/>
      <c r="AD7"/>
      <c r="AF7"/>
      <c r="BI7"/>
    </row>
    <row r="8" spans="1:61" s="59" customFormat="1" ht="12.75">
      <c r="A8" s="65"/>
      <c r="B8" s="59" t="s">
        <v>147</v>
      </c>
      <c r="C8" s="57" t="s">
        <v>284</v>
      </c>
      <c r="D8" s="59" t="s">
        <v>51</v>
      </c>
      <c r="E8" s="57" t="s">
        <v>15</v>
      </c>
      <c r="F8" s="75" t="s">
        <v>191</v>
      </c>
      <c r="G8" s="60">
        <v>595</v>
      </c>
      <c r="H8" s="79" t="s">
        <v>191</v>
      </c>
      <c r="I8" s="60">
        <v>234</v>
      </c>
      <c r="J8" s="79" t="s">
        <v>191</v>
      </c>
      <c r="K8" s="60">
        <v>353</v>
      </c>
      <c r="L8" s="60" t="s">
        <v>191</v>
      </c>
      <c r="M8" s="60">
        <v>333</v>
      </c>
      <c r="N8" s="75" t="s">
        <v>191</v>
      </c>
      <c r="O8" s="60">
        <f t="shared" si="0"/>
        <v>378.75</v>
      </c>
      <c r="P8"/>
      <c r="R8"/>
      <c r="S8"/>
      <c r="T8"/>
      <c r="U8"/>
      <c r="V8"/>
      <c r="W8"/>
      <c r="X8"/>
      <c r="Z8"/>
      <c r="AB8"/>
      <c r="AD8"/>
      <c r="AF8"/>
      <c r="BI8"/>
    </row>
    <row r="9" spans="1:61" s="59" customFormat="1" ht="12.75">
      <c r="A9" s="65"/>
      <c r="B9" s="59" t="s">
        <v>150</v>
      </c>
      <c r="C9" s="57" t="s">
        <v>284</v>
      </c>
      <c r="D9" s="59" t="s">
        <v>51</v>
      </c>
      <c r="E9" s="57" t="s">
        <v>15</v>
      </c>
      <c r="F9" s="75" t="s">
        <v>191</v>
      </c>
      <c r="G9" s="60">
        <v>19.2</v>
      </c>
      <c r="H9" s="79" t="s">
        <v>191</v>
      </c>
      <c r="I9" s="60">
        <v>19.1</v>
      </c>
      <c r="J9" s="79" t="s">
        <v>191</v>
      </c>
      <c r="K9" s="60">
        <v>18.9</v>
      </c>
      <c r="L9" s="60" t="s">
        <v>191</v>
      </c>
      <c r="M9" s="60">
        <v>18.9</v>
      </c>
      <c r="N9" s="75" t="s">
        <v>191</v>
      </c>
      <c r="O9" s="60">
        <f t="shared" si="0"/>
        <v>19.025</v>
      </c>
      <c r="P9"/>
      <c r="R9"/>
      <c r="S9"/>
      <c r="T9"/>
      <c r="U9"/>
      <c r="V9"/>
      <c r="W9"/>
      <c r="X9"/>
      <c r="Z9"/>
      <c r="AB9"/>
      <c r="AD9"/>
      <c r="AF9"/>
      <c r="BI9"/>
    </row>
    <row r="10" spans="1:61" s="59" customFormat="1" ht="12.75">
      <c r="A10" s="65"/>
      <c r="B10" s="59" t="s">
        <v>149</v>
      </c>
      <c r="C10" s="57" t="s">
        <v>284</v>
      </c>
      <c r="D10" s="59" t="s">
        <v>51</v>
      </c>
      <c r="E10" s="57" t="s">
        <v>15</v>
      </c>
      <c r="F10" s="75" t="s">
        <v>191</v>
      </c>
      <c r="G10" s="60">
        <v>16.4</v>
      </c>
      <c r="H10" s="79" t="s">
        <v>191</v>
      </c>
      <c r="I10" s="60">
        <v>14</v>
      </c>
      <c r="J10" s="79" t="s">
        <v>191</v>
      </c>
      <c r="K10" s="60">
        <v>15.9</v>
      </c>
      <c r="L10" s="60" t="s">
        <v>191</v>
      </c>
      <c r="M10" s="60">
        <v>16.9</v>
      </c>
      <c r="N10" s="75" t="s">
        <v>191</v>
      </c>
      <c r="O10" s="60">
        <f t="shared" si="0"/>
        <v>15.799999999999999</v>
      </c>
      <c r="P10"/>
      <c r="R10"/>
      <c r="S10"/>
      <c r="T10"/>
      <c r="U10"/>
      <c r="V10"/>
      <c r="W10"/>
      <c r="X10"/>
      <c r="Z10"/>
      <c r="AB10"/>
      <c r="AD10"/>
      <c r="AF10"/>
      <c r="BI10"/>
    </row>
    <row r="11" spans="1:61" s="59" customFormat="1" ht="12.75">
      <c r="A11" s="65"/>
      <c r="B11" s="59" t="s">
        <v>20</v>
      </c>
      <c r="C11" s="57" t="s">
        <v>284</v>
      </c>
      <c r="D11" s="59" t="s">
        <v>51</v>
      </c>
      <c r="E11" s="57" t="s">
        <v>15</v>
      </c>
      <c r="F11" s="75" t="s">
        <v>191</v>
      </c>
      <c r="G11" s="60">
        <v>35.234442422836</v>
      </c>
      <c r="H11" s="79" t="s">
        <v>191</v>
      </c>
      <c r="I11" s="60">
        <v>23.416575635985</v>
      </c>
      <c r="J11" s="79" t="s">
        <v>191</v>
      </c>
      <c r="K11" s="60">
        <v>31.371193825557</v>
      </c>
      <c r="L11" s="60" t="s">
        <v>191</v>
      </c>
      <c r="M11" s="60">
        <v>42.3525305980653</v>
      </c>
      <c r="N11" s="75" t="s">
        <v>191</v>
      </c>
      <c r="O11" s="60">
        <f t="shared" si="0"/>
        <v>33.09368562061083</v>
      </c>
      <c r="P11"/>
      <c r="R11"/>
      <c r="S11"/>
      <c r="T11"/>
      <c r="U11"/>
      <c r="V11"/>
      <c r="W11"/>
      <c r="X11"/>
      <c r="Z11"/>
      <c r="AB11"/>
      <c r="AD11"/>
      <c r="AF11"/>
      <c r="BI11"/>
    </row>
    <row r="12" spans="1:61" s="59" customFormat="1" ht="12.75">
      <c r="A12" s="65"/>
      <c r="B12" s="59" t="s">
        <v>54</v>
      </c>
      <c r="C12" s="57" t="s">
        <v>284</v>
      </c>
      <c r="D12" s="59" t="s">
        <v>51</v>
      </c>
      <c r="E12" s="57" t="s">
        <v>15</v>
      </c>
      <c r="F12" s="75" t="s">
        <v>191</v>
      </c>
      <c r="G12" s="60">
        <v>0.15571105221719847</v>
      </c>
      <c r="H12" s="79" t="s">
        <v>191</v>
      </c>
      <c r="I12" s="60">
        <v>0.17714630600379</v>
      </c>
      <c r="J12" s="79" t="s">
        <v>191</v>
      </c>
      <c r="K12" s="60">
        <v>0.40778587609907796</v>
      </c>
      <c r="L12" s="60" t="s">
        <v>191</v>
      </c>
      <c r="M12" s="60">
        <v>0.6631330559199454</v>
      </c>
      <c r="N12" s="75" t="s">
        <v>191</v>
      </c>
      <c r="O12" s="60">
        <f t="shared" si="0"/>
        <v>0.35094407256000293</v>
      </c>
      <c r="P12"/>
      <c r="R12"/>
      <c r="S12"/>
      <c r="T12"/>
      <c r="U12"/>
      <c r="V12"/>
      <c r="W12"/>
      <c r="X12"/>
      <c r="Z12"/>
      <c r="AB12"/>
      <c r="AD12"/>
      <c r="AF12"/>
      <c r="BI12"/>
    </row>
    <row r="13" spans="1:61" s="59" customFormat="1" ht="12.75">
      <c r="A13" s="65"/>
      <c r="B13" s="59" t="s">
        <v>285</v>
      </c>
      <c r="C13" s="57" t="s">
        <v>284</v>
      </c>
      <c r="D13" s="59" t="s">
        <v>51</v>
      </c>
      <c r="E13" s="57" t="s">
        <v>15</v>
      </c>
      <c r="F13" s="75"/>
      <c r="G13" s="60">
        <f>G11+2*G12</f>
        <v>35.545864527270396</v>
      </c>
      <c r="H13" s="79"/>
      <c r="I13" s="60">
        <f>I11+2*I12</f>
        <v>23.77086824799258</v>
      </c>
      <c r="J13" s="79"/>
      <c r="K13" s="60">
        <f>K11+2*K12</f>
        <v>32.18676557775515</v>
      </c>
      <c r="L13" s="60"/>
      <c r="M13" s="60">
        <f>M11+2*M12</f>
        <v>43.67879670990519</v>
      </c>
      <c r="N13" s="75"/>
      <c r="O13" s="60">
        <f>AVERAGE(G13,I13,K13,M13)</f>
        <v>33.79557376573083</v>
      </c>
      <c r="P13"/>
      <c r="R13"/>
      <c r="S13"/>
      <c r="T13"/>
      <c r="U13"/>
      <c r="V13"/>
      <c r="W13"/>
      <c r="X13"/>
      <c r="Z13"/>
      <c r="AB13"/>
      <c r="AD13"/>
      <c r="AF13"/>
      <c r="BI13"/>
    </row>
    <row r="14" spans="1:61" s="59" customFormat="1" ht="12.75">
      <c r="A14" s="65"/>
      <c r="F14" s="75"/>
      <c r="H14" s="78"/>
      <c r="J14" s="78"/>
      <c r="L14" s="58"/>
      <c r="N14" s="75"/>
      <c r="O14" s="60"/>
      <c r="P14"/>
      <c r="R14"/>
      <c r="S14"/>
      <c r="T14"/>
      <c r="U14"/>
      <c r="V14"/>
      <c r="W14"/>
      <c r="X14"/>
      <c r="Z14"/>
      <c r="AB14"/>
      <c r="AD14"/>
      <c r="AF14"/>
      <c r="BI14"/>
    </row>
    <row r="15" spans="1:61" s="61" customFormat="1" ht="12.75">
      <c r="A15" s="65"/>
      <c r="B15" s="61" t="s">
        <v>255</v>
      </c>
      <c r="C15" s="61" t="s">
        <v>286</v>
      </c>
      <c r="D15" s="61" t="s">
        <v>14</v>
      </c>
      <c r="F15" s="69"/>
      <c r="G15" s="58">
        <v>99.999</v>
      </c>
      <c r="H15" s="78"/>
      <c r="I15" s="58">
        <v>99.998</v>
      </c>
      <c r="J15" s="78"/>
      <c r="K15" s="58">
        <v>99.996</v>
      </c>
      <c r="L15" s="58"/>
      <c r="M15" s="58">
        <v>99.999</v>
      </c>
      <c r="N15" s="75"/>
      <c r="O15" s="58"/>
      <c r="P15"/>
      <c r="Q15" s="58"/>
      <c r="R15"/>
      <c r="S15"/>
      <c r="T15"/>
      <c r="U15"/>
      <c r="V15"/>
      <c r="W15"/>
      <c r="X15"/>
      <c r="Y15" s="58"/>
      <c r="Z15"/>
      <c r="AA15" s="58"/>
      <c r="AB15"/>
      <c r="AC15" s="58"/>
      <c r="AD15"/>
      <c r="AE15" s="58"/>
      <c r="AF15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I15"/>
    </row>
    <row r="16" spans="1:61" s="61" customFormat="1" ht="12.75">
      <c r="A16" s="65"/>
      <c r="B16" s="61" t="s">
        <v>256</v>
      </c>
      <c r="C16" s="61" t="s">
        <v>286</v>
      </c>
      <c r="D16" s="61" t="s">
        <v>14</v>
      </c>
      <c r="F16" s="69"/>
      <c r="G16" s="58">
        <v>99.998</v>
      </c>
      <c r="H16" s="78"/>
      <c r="I16" s="58">
        <v>99.994</v>
      </c>
      <c r="J16" s="78"/>
      <c r="K16" s="58">
        <v>99.991</v>
      </c>
      <c r="L16" s="58"/>
      <c r="M16" s="58">
        <v>99.998</v>
      </c>
      <c r="N16" s="75"/>
      <c r="O16" s="58"/>
      <c r="P16"/>
      <c r="Q16" s="58"/>
      <c r="R16"/>
      <c r="S16"/>
      <c r="T16"/>
      <c r="U16"/>
      <c r="V16"/>
      <c r="W16"/>
      <c r="X16"/>
      <c r="Y16" s="58"/>
      <c r="Z16"/>
      <c r="AA16" s="58"/>
      <c r="AB16"/>
      <c r="AC16" s="58"/>
      <c r="AD16"/>
      <c r="AE16" s="58"/>
      <c r="AF16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I16"/>
    </row>
    <row r="17" spans="1:61" s="61" customFormat="1" ht="12.75">
      <c r="A17" s="65"/>
      <c r="B17" s="61" t="s">
        <v>116</v>
      </c>
      <c r="C17" s="61" t="s">
        <v>286</v>
      </c>
      <c r="D17" s="61" t="s">
        <v>14</v>
      </c>
      <c r="F17" s="69"/>
      <c r="G17" s="58">
        <v>99.999</v>
      </c>
      <c r="H17" s="78"/>
      <c r="I17" s="58">
        <v>99.998</v>
      </c>
      <c r="J17" s="78"/>
      <c r="K17" s="58">
        <v>99.998</v>
      </c>
      <c r="L17" s="58"/>
      <c r="M17" s="58">
        <v>99.999</v>
      </c>
      <c r="N17" s="75"/>
      <c r="O17" s="58"/>
      <c r="P17"/>
      <c r="Q17" s="58"/>
      <c r="R17"/>
      <c r="S17"/>
      <c r="T17"/>
      <c r="U17"/>
      <c r="V17"/>
      <c r="W17"/>
      <c r="X17"/>
      <c r="Y17" s="58"/>
      <c r="Z17"/>
      <c r="AA17" s="58"/>
      <c r="AB17"/>
      <c r="AC17" s="58"/>
      <c r="AD17"/>
      <c r="AE17" s="58"/>
      <c r="AF17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I17"/>
    </row>
    <row r="18" spans="1:61" s="61" customFormat="1" ht="12.75">
      <c r="A18" s="65"/>
      <c r="B18" s="61" t="s">
        <v>257</v>
      </c>
      <c r="C18" s="61" t="s">
        <v>286</v>
      </c>
      <c r="D18" s="61" t="s">
        <v>14</v>
      </c>
      <c r="F18" s="69"/>
      <c r="G18" s="58">
        <v>99.999</v>
      </c>
      <c r="H18" s="78"/>
      <c r="I18" s="58">
        <v>99.999</v>
      </c>
      <c r="J18" s="78"/>
      <c r="K18" s="58">
        <v>99.999</v>
      </c>
      <c r="L18" s="58"/>
      <c r="M18" s="58">
        <v>99.999</v>
      </c>
      <c r="N18" s="75"/>
      <c r="O18" s="58"/>
      <c r="P18"/>
      <c r="Q18" s="58"/>
      <c r="R18"/>
      <c r="S18"/>
      <c r="T18"/>
      <c r="U18"/>
      <c r="V18"/>
      <c r="W18"/>
      <c r="X18"/>
      <c r="Y18" s="58"/>
      <c r="Z18"/>
      <c r="AA18" s="58"/>
      <c r="AB18"/>
      <c r="AC18" s="58"/>
      <c r="AD18"/>
      <c r="AE18" s="58"/>
      <c r="AF1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I18"/>
    </row>
    <row r="19" spans="1:61" s="59" customFormat="1" ht="12.75">
      <c r="A19" s="65"/>
      <c r="F19" s="75"/>
      <c r="H19" s="78"/>
      <c r="J19" s="78"/>
      <c r="L19" s="58"/>
      <c r="N19" s="75"/>
      <c r="P19"/>
      <c r="R19"/>
      <c r="S19"/>
      <c r="T19"/>
      <c r="U19"/>
      <c r="V19"/>
      <c r="W19"/>
      <c r="X19"/>
      <c r="Z19"/>
      <c r="AB19"/>
      <c r="AD19"/>
      <c r="AF19"/>
      <c r="BI19"/>
    </row>
    <row r="20" spans="1:61" s="59" customFormat="1" ht="12.75">
      <c r="A20" s="65"/>
      <c r="B20" s="59" t="s">
        <v>82</v>
      </c>
      <c r="C20" s="61" t="s">
        <v>192</v>
      </c>
      <c r="D20" s="59" t="s">
        <v>284</v>
      </c>
      <c r="F20" s="75"/>
      <c r="H20" s="78"/>
      <c r="J20" s="78"/>
      <c r="L20" s="58"/>
      <c r="N20" s="75"/>
      <c r="P20"/>
      <c r="R20"/>
      <c r="S20"/>
      <c r="T20"/>
      <c r="U20"/>
      <c r="V20"/>
      <c r="W20"/>
      <c r="X20"/>
      <c r="Z20"/>
      <c r="AB20"/>
      <c r="AD20"/>
      <c r="AF20"/>
      <c r="BI20"/>
    </row>
    <row r="21" spans="1:61" s="61" customFormat="1" ht="12.75">
      <c r="A21" s="65"/>
      <c r="B21" s="34" t="s">
        <v>77</v>
      </c>
      <c r="C21" s="34"/>
      <c r="D21" s="34" t="s">
        <v>16</v>
      </c>
      <c r="F21" s="69"/>
      <c r="G21" s="58">
        <v>96208</v>
      </c>
      <c r="H21" s="78"/>
      <c r="I21" s="58">
        <v>85919</v>
      </c>
      <c r="J21" s="78"/>
      <c r="K21" s="58">
        <v>80671</v>
      </c>
      <c r="L21" s="58"/>
      <c r="M21" s="58">
        <v>81873</v>
      </c>
      <c r="N21" s="75"/>
      <c r="O21" s="58"/>
      <c r="P21"/>
      <c r="Q21" s="58"/>
      <c r="R21"/>
      <c r="S21"/>
      <c r="T21"/>
      <c r="U21"/>
      <c r="V21"/>
      <c r="W21"/>
      <c r="X21"/>
      <c r="Y21" s="58"/>
      <c r="Z21"/>
      <c r="AA21" s="58"/>
      <c r="AB21"/>
      <c r="AC21" s="58"/>
      <c r="AD21"/>
      <c r="AE21" s="58"/>
      <c r="AF21"/>
      <c r="AG21" s="58"/>
      <c r="AH21" s="58"/>
      <c r="AI21" s="58"/>
      <c r="AJ21" s="58"/>
      <c r="AK21" s="58"/>
      <c r="AL21" s="58"/>
      <c r="AM21" s="58"/>
      <c r="AN21" s="58"/>
      <c r="AO21" s="58"/>
      <c r="BI21"/>
    </row>
    <row r="22" spans="1:61" s="61" customFormat="1" ht="12.75">
      <c r="A22" s="65"/>
      <c r="B22" s="34" t="s">
        <v>80</v>
      </c>
      <c r="C22" s="34"/>
      <c r="D22" s="34" t="s">
        <v>14</v>
      </c>
      <c r="F22" s="69"/>
      <c r="G22" s="58">
        <v>11.5</v>
      </c>
      <c r="H22" s="78"/>
      <c r="I22" s="58">
        <v>11.9</v>
      </c>
      <c r="J22" s="78"/>
      <c r="K22" s="58">
        <v>12</v>
      </c>
      <c r="L22" s="58"/>
      <c r="M22" s="58">
        <v>12.2</v>
      </c>
      <c r="N22" s="75"/>
      <c r="O22" s="58"/>
      <c r="P22"/>
      <c r="Q22" s="58"/>
      <c r="R22"/>
      <c r="S22"/>
      <c r="T22"/>
      <c r="U22"/>
      <c r="V22"/>
      <c r="W22"/>
      <c r="X22"/>
      <c r="Y22" s="58"/>
      <c r="Z22"/>
      <c r="AA22" s="58"/>
      <c r="AB22"/>
      <c r="AC22" s="58"/>
      <c r="AD22"/>
      <c r="AE22" s="58"/>
      <c r="AF22"/>
      <c r="AG22" s="58"/>
      <c r="AH22" s="58"/>
      <c r="AI22" s="58"/>
      <c r="AJ22" s="58"/>
      <c r="AK22" s="58"/>
      <c r="AL22" s="58"/>
      <c r="AM22" s="58"/>
      <c r="AN22" s="58"/>
      <c r="AO22" s="58"/>
      <c r="BI22"/>
    </row>
    <row r="23" spans="1:61" s="61" customFormat="1" ht="12.75">
      <c r="A23" s="65"/>
      <c r="B23" s="34" t="s">
        <v>81</v>
      </c>
      <c r="C23" s="34"/>
      <c r="D23" s="34" t="s">
        <v>14</v>
      </c>
      <c r="F23" s="69"/>
      <c r="G23" s="58">
        <v>19.9</v>
      </c>
      <c r="H23" s="78"/>
      <c r="I23" s="58">
        <v>22.3</v>
      </c>
      <c r="J23" s="78"/>
      <c r="K23" s="58">
        <v>24</v>
      </c>
      <c r="L23" s="58"/>
      <c r="M23" s="58">
        <v>23.8</v>
      </c>
      <c r="N23" s="75"/>
      <c r="O23" s="58"/>
      <c r="P23"/>
      <c r="Q23" s="58"/>
      <c r="R23"/>
      <c r="S23"/>
      <c r="T23"/>
      <c r="U23"/>
      <c r="V23"/>
      <c r="W23"/>
      <c r="X23"/>
      <c r="Y23" s="58"/>
      <c r="Z23"/>
      <c r="AA23" s="58"/>
      <c r="AB23"/>
      <c r="AC23" s="58"/>
      <c r="AD23"/>
      <c r="AE23" s="58"/>
      <c r="AF23"/>
      <c r="AG23" s="58"/>
      <c r="AH23" s="58"/>
      <c r="AI23" s="58"/>
      <c r="AJ23" s="58"/>
      <c r="AK23" s="58"/>
      <c r="AL23" s="58"/>
      <c r="AM23" s="58"/>
      <c r="AN23" s="58"/>
      <c r="AO23" s="58"/>
      <c r="BI23"/>
    </row>
    <row r="24" spans="1:61" s="61" customFormat="1" ht="12.75">
      <c r="A24" s="65"/>
      <c r="B24" s="34" t="s">
        <v>76</v>
      </c>
      <c r="C24" s="34"/>
      <c r="D24" s="34" t="s">
        <v>17</v>
      </c>
      <c r="F24" s="69"/>
      <c r="G24" s="58">
        <v>301</v>
      </c>
      <c r="H24" s="78"/>
      <c r="I24" s="58">
        <v>291</v>
      </c>
      <c r="J24" s="78"/>
      <c r="K24" s="58">
        <v>296</v>
      </c>
      <c r="L24" s="58"/>
      <c r="M24" s="58">
        <v>302</v>
      </c>
      <c r="N24" s="75"/>
      <c r="O24" s="58"/>
      <c r="P24"/>
      <c r="Q24" s="58"/>
      <c r="R24"/>
      <c r="S24"/>
      <c r="T24"/>
      <c r="U24"/>
      <c r="V24"/>
      <c r="W24"/>
      <c r="X24"/>
      <c r="Y24" s="58"/>
      <c r="Z24"/>
      <c r="AA24" s="58"/>
      <c r="AB24"/>
      <c r="AC24" s="58"/>
      <c r="AD24"/>
      <c r="AE24" s="58"/>
      <c r="AF24"/>
      <c r="AG24" s="58"/>
      <c r="AH24" s="58"/>
      <c r="AI24" s="58"/>
      <c r="AJ24" s="58"/>
      <c r="AK24" s="58"/>
      <c r="AL24" s="58"/>
      <c r="AM24" s="58"/>
      <c r="AN24" s="58"/>
      <c r="AO24" s="58"/>
      <c r="BI24"/>
    </row>
    <row r="25" spans="1:61" s="61" customFormat="1" ht="12.75">
      <c r="A25" s="65"/>
      <c r="F25" s="69"/>
      <c r="G25" s="58"/>
      <c r="H25" s="78"/>
      <c r="I25" s="58"/>
      <c r="J25" s="78"/>
      <c r="K25" s="58"/>
      <c r="L25" s="58"/>
      <c r="M25" s="58"/>
      <c r="N25" s="75"/>
      <c r="O25" s="58"/>
      <c r="P25"/>
      <c r="Q25" s="58"/>
      <c r="R25"/>
      <c r="S25"/>
      <c r="T25"/>
      <c r="U25"/>
      <c r="V25"/>
      <c r="W25"/>
      <c r="X25"/>
      <c r="Y25" s="58"/>
      <c r="Z25"/>
      <c r="AA25" s="58"/>
      <c r="AB25"/>
      <c r="AC25" s="58"/>
      <c r="AD25"/>
      <c r="AE25" s="58"/>
      <c r="AF25"/>
      <c r="AG25" s="58"/>
      <c r="AH25" s="58"/>
      <c r="AI25" s="58"/>
      <c r="AJ25" s="58"/>
      <c r="AK25" s="58"/>
      <c r="AL25" s="58"/>
      <c r="AM25" s="58"/>
      <c r="AN25" s="58"/>
      <c r="AO25" s="58"/>
      <c r="BI25"/>
    </row>
    <row r="26" spans="1:61" s="61" customFormat="1" ht="12.75">
      <c r="A26" s="65"/>
      <c r="B26" s="59" t="s">
        <v>82</v>
      </c>
      <c r="C26" s="61" t="s">
        <v>193</v>
      </c>
      <c r="D26" s="61" t="s">
        <v>286</v>
      </c>
      <c r="F26" s="69"/>
      <c r="G26" s="58"/>
      <c r="H26" s="78"/>
      <c r="I26" s="58"/>
      <c r="J26" s="78"/>
      <c r="K26" s="58"/>
      <c r="L26" s="58"/>
      <c r="M26" s="58"/>
      <c r="N26" s="75"/>
      <c r="O26" s="58"/>
      <c r="P26"/>
      <c r="Q26" s="58"/>
      <c r="R26"/>
      <c r="S26"/>
      <c r="T26"/>
      <c r="U26"/>
      <c r="V26"/>
      <c r="W26"/>
      <c r="X26"/>
      <c r="Y26" s="58"/>
      <c r="Z26"/>
      <c r="AA26" s="58"/>
      <c r="AB26"/>
      <c r="AC26" s="58"/>
      <c r="AD26"/>
      <c r="AE26" s="58"/>
      <c r="AF26"/>
      <c r="AG26" s="58"/>
      <c r="AH26" s="58"/>
      <c r="AI26" s="58"/>
      <c r="AJ26" s="58"/>
      <c r="AK26" s="58"/>
      <c r="AL26" s="58"/>
      <c r="AM26" s="58"/>
      <c r="AN26" s="58"/>
      <c r="AO26" s="58"/>
      <c r="BI26"/>
    </row>
    <row r="27" spans="1:61" s="61" customFormat="1" ht="12.75">
      <c r="A27" s="65"/>
      <c r="B27" s="34" t="s">
        <v>77</v>
      </c>
      <c r="C27" s="34"/>
      <c r="D27" s="34" t="s">
        <v>16</v>
      </c>
      <c r="F27" s="69"/>
      <c r="G27" s="58">
        <v>82924</v>
      </c>
      <c r="H27" s="78"/>
      <c r="I27" s="58">
        <v>100618</v>
      </c>
      <c r="J27" s="78"/>
      <c r="K27" s="58">
        <v>86309</v>
      </c>
      <c r="L27" s="58"/>
      <c r="M27" s="58">
        <v>89298</v>
      </c>
      <c r="N27" s="75"/>
      <c r="O27" s="58"/>
      <c r="P27"/>
      <c r="Q27" s="58"/>
      <c r="R27"/>
      <c r="S27"/>
      <c r="T27"/>
      <c r="U27"/>
      <c r="V27"/>
      <c r="W27"/>
      <c r="X27"/>
      <c r="Y27" s="58"/>
      <c r="Z27"/>
      <c r="AA27" s="58"/>
      <c r="AB27"/>
      <c r="AC27" s="58"/>
      <c r="AD27"/>
      <c r="AE27" s="58"/>
      <c r="AF27"/>
      <c r="AG27" s="58"/>
      <c r="AH27" s="58"/>
      <c r="AI27" s="58"/>
      <c r="AJ27" s="58"/>
      <c r="AK27" s="58"/>
      <c r="AL27" s="58"/>
      <c r="AM27" s="58"/>
      <c r="AN27" s="58"/>
      <c r="AO27" s="58"/>
      <c r="BI27"/>
    </row>
    <row r="28" spans="1:61" s="61" customFormat="1" ht="12.75">
      <c r="A28" s="65"/>
      <c r="B28" s="34" t="s">
        <v>80</v>
      </c>
      <c r="C28" s="34"/>
      <c r="D28" s="34" t="s">
        <v>14</v>
      </c>
      <c r="F28" s="69"/>
      <c r="G28" s="58">
        <v>11.5</v>
      </c>
      <c r="H28" s="78"/>
      <c r="I28" s="58">
        <v>11.9</v>
      </c>
      <c r="J28" s="78"/>
      <c r="K28" s="58">
        <v>12</v>
      </c>
      <c r="L28" s="58"/>
      <c r="M28" s="58">
        <v>12.2</v>
      </c>
      <c r="N28" s="75"/>
      <c r="O28" s="58"/>
      <c r="P28"/>
      <c r="Q28" s="58"/>
      <c r="R28"/>
      <c r="S28"/>
      <c r="T28"/>
      <c r="U28"/>
      <c r="V28"/>
      <c r="W28"/>
      <c r="X28"/>
      <c r="Y28" s="58"/>
      <c r="Z28"/>
      <c r="AA28" s="58"/>
      <c r="AB28"/>
      <c r="AC28" s="58"/>
      <c r="AD28"/>
      <c r="AE28" s="58"/>
      <c r="AF28"/>
      <c r="AG28" s="58"/>
      <c r="AH28" s="58"/>
      <c r="AI28" s="58"/>
      <c r="AJ28" s="58"/>
      <c r="AK28" s="58"/>
      <c r="AL28" s="58"/>
      <c r="AM28" s="58"/>
      <c r="AN28" s="58"/>
      <c r="AO28" s="58"/>
      <c r="BI28"/>
    </row>
    <row r="29" spans="1:61" s="61" customFormat="1" ht="12.75">
      <c r="A29" s="65"/>
      <c r="B29" s="34" t="s">
        <v>81</v>
      </c>
      <c r="C29" s="34"/>
      <c r="D29" s="34" t="s">
        <v>14</v>
      </c>
      <c r="F29" s="69"/>
      <c r="G29" s="58">
        <v>23.16</v>
      </c>
      <c r="H29" s="78"/>
      <c r="I29" s="58">
        <v>23.43</v>
      </c>
      <c r="J29" s="78"/>
      <c r="K29" s="58">
        <v>24.4</v>
      </c>
      <c r="L29" s="58"/>
      <c r="M29" s="58">
        <v>23.92</v>
      </c>
      <c r="N29" s="75"/>
      <c r="O29" s="58"/>
      <c r="P29"/>
      <c r="Q29" s="58"/>
      <c r="R29"/>
      <c r="S29"/>
      <c r="T29"/>
      <c r="U29"/>
      <c r="V29"/>
      <c r="W29"/>
      <c r="X29"/>
      <c r="Y29" s="58"/>
      <c r="Z29"/>
      <c r="AA29" s="58"/>
      <c r="AB29"/>
      <c r="AC29" s="58"/>
      <c r="AD29"/>
      <c r="AE29" s="58"/>
      <c r="AF29"/>
      <c r="AG29" s="58"/>
      <c r="AH29" s="58"/>
      <c r="AI29" s="58"/>
      <c r="AJ29" s="58"/>
      <c r="AK29" s="58"/>
      <c r="AL29" s="58"/>
      <c r="AM29" s="58"/>
      <c r="AN29" s="58"/>
      <c r="AO29" s="58"/>
      <c r="BI29"/>
    </row>
    <row r="30" spans="1:61" s="61" customFormat="1" ht="12.75">
      <c r="A30" s="65"/>
      <c r="B30" s="34" t="s">
        <v>76</v>
      </c>
      <c r="C30" s="34"/>
      <c r="D30" s="34" t="s">
        <v>17</v>
      </c>
      <c r="F30" s="69"/>
      <c r="G30" s="58">
        <v>296</v>
      </c>
      <c r="H30" s="78"/>
      <c r="I30" s="58">
        <v>290</v>
      </c>
      <c r="J30" s="78"/>
      <c r="K30" s="58">
        <v>290</v>
      </c>
      <c r="L30" s="58"/>
      <c r="M30" s="58">
        <v>292</v>
      </c>
      <c r="N30" s="75"/>
      <c r="O30" s="58"/>
      <c r="P30"/>
      <c r="Q30" s="58"/>
      <c r="R30"/>
      <c r="S30"/>
      <c r="T30"/>
      <c r="U30"/>
      <c r="V30"/>
      <c r="W30"/>
      <c r="X30"/>
      <c r="Y30" s="58"/>
      <c r="Z30"/>
      <c r="AA30" s="58"/>
      <c r="AB30"/>
      <c r="AC30" s="58"/>
      <c r="AD30"/>
      <c r="AE30" s="58"/>
      <c r="AF30"/>
      <c r="AG30" s="58"/>
      <c r="AH30" s="58"/>
      <c r="AI30" s="58"/>
      <c r="AJ30" s="58"/>
      <c r="AK30" s="58"/>
      <c r="AL30" s="58"/>
      <c r="AM30" s="58"/>
      <c r="AN30" s="58"/>
      <c r="AO30" s="58"/>
      <c r="BI30"/>
    </row>
    <row r="31" spans="1:61" s="59" customFormat="1" ht="12.75">
      <c r="A31" s="65"/>
      <c r="F31" s="75"/>
      <c r="H31" s="78"/>
      <c r="J31" s="78"/>
      <c r="L31" s="58"/>
      <c r="N31" s="75"/>
      <c r="P31"/>
      <c r="R31"/>
      <c r="S31"/>
      <c r="T31"/>
      <c r="U31"/>
      <c r="V31"/>
      <c r="W31"/>
      <c r="X31"/>
      <c r="Z31"/>
      <c r="AB31"/>
      <c r="AD31"/>
      <c r="AF31"/>
      <c r="BI31"/>
    </row>
    <row r="32" spans="1:61" s="59" customFormat="1" ht="12.75">
      <c r="A32" s="65">
        <v>2</v>
      </c>
      <c r="B32" s="62" t="s">
        <v>179</v>
      </c>
      <c r="F32" s="75"/>
      <c r="G32" s="5" t="s">
        <v>106</v>
      </c>
      <c r="H32" s="77"/>
      <c r="I32" s="5" t="s">
        <v>107</v>
      </c>
      <c r="J32" s="77"/>
      <c r="K32" s="5" t="s">
        <v>108</v>
      </c>
      <c r="L32" s="5"/>
      <c r="M32" s="5" t="s">
        <v>190</v>
      </c>
      <c r="N32" s="5"/>
      <c r="O32" s="5" t="s">
        <v>56</v>
      </c>
      <c r="P32"/>
      <c r="R32"/>
      <c r="S32"/>
      <c r="T32"/>
      <c r="U32"/>
      <c r="V32"/>
      <c r="W32"/>
      <c r="X32"/>
      <c r="Z32"/>
      <c r="AB32"/>
      <c r="AD32"/>
      <c r="AF32"/>
      <c r="BI32"/>
    </row>
    <row r="33" spans="1:61" s="59" customFormat="1" ht="12.75">
      <c r="A33" s="65"/>
      <c r="F33" s="75"/>
      <c r="H33" s="78"/>
      <c r="J33" s="78"/>
      <c r="L33" s="58"/>
      <c r="N33" s="75"/>
      <c r="P33"/>
      <c r="R33"/>
      <c r="S33"/>
      <c r="T33"/>
      <c r="U33"/>
      <c r="V33"/>
      <c r="W33"/>
      <c r="X33"/>
      <c r="Z33"/>
      <c r="AB33"/>
      <c r="AD33"/>
      <c r="AF33"/>
      <c r="BI33"/>
    </row>
    <row r="34" spans="1:61" s="59" customFormat="1" ht="12.75">
      <c r="A34" s="65"/>
      <c r="B34" s="59" t="s">
        <v>148</v>
      </c>
      <c r="C34" s="59" t="s">
        <v>284</v>
      </c>
      <c r="D34" s="59" t="s">
        <v>51</v>
      </c>
      <c r="E34" s="59" t="s">
        <v>15</v>
      </c>
      <c r="F34" s="75" t="s">
        <v>191</v>
      </c>
      <c r="G34" s="60">
        <v>296</v>
      </c>
      <c r="H34" s="79" t="s">
        <v>191</v>
      </c>
      <c r="I34" s="60">
        <v>73</v>
      </c>
      <c r="J34" s="79" t="s">
        <v>191</v>
      </c>
      <c r="K34" s="60">
        <v>156</v>
      </c>
      <c r="L34" s="60" t="s">
        <v>191</v>
      </c>
      <c r="M34" s="60">
        <v>154</v>
      </c>
      <c r="N34" s="82" t="s">
        <v>191</v>
      </c>
      <c r="O34" s="60">
        <f aca="true" t="shared" si="1" ref="O34:O44">AVERAGE(G34,I34,K34,M34)</f>
        <v>169.75</v>
      </c>
      <c r="P34"/>
      <c r="R34"/>
      <c r="S34"/>
      <c r="T34"/>
      <c r="U34"/>
      <c r="V34"/>
      <c r="W34"/>
      <c r="X34"/>
      <c r="Z34"/>
      <c r="AB34"/>
      <c r="AD34"/>
      <c r="AF34"/>
      <c r="BI34"/>
    </row>
    <row r="35" spans="1:61" s="59" customFormat="1" ht="12.75">
      <c r="A35" s="65"/>
      <c r="B35" s="59" t="s">
        <v>147</v>
      </c>
      <c r="C35" s="59" t="s">
        <v>284</v>
      </c>
      <c r="D35" s="59" t="s">
        <v>51</v>
      </c>
      <c r="E35" s="59" t="s">
        <v>15</v>
      </c>
      <c r="F35" s="75" t="s">
        <v>191</v>
      </c>
      <c r="G35" s="60">
        <v>186</v>
      </c>
      <c r="H35" s="79" t="s">
        <v>191</v>
      </c>
      <c r="I35" s="60">
        <v>56</v>
      </c>
      <c r="J35" s="79" t="s">
        <v>191</v>
      </c>
      <c r="K35" s="60">
        <v>70</v>
      </c>
      <c r="L35" s="60" t="s">
        <v>191</v>
      </c>
      <c r="M35" s="60">
        <v>79</v>
      </c>
      <c r="N35" s="82" t="s">
        <v>191</v>
      </c>
      <c r="O35" s="60">
        <f t="shared" si="1"/>
        <v>97.75</v>
      </c>
      <c r="P35"/>
      <c r="R35"/>
      <c r="S35"/>
      <c r="T35"/>
      <c r="U35"/>
      <c r="V35"/>
      <c r="W35"/>
      <c r="X35"/>
      <c r="Z35"/>
      <c r="AB35"/>
      <c r="AD35"/>
      <c r="AF35"/>
      <c r="BI35"/>
    </row>
    <row r="36" spans="1:61" s="59" customFormat="1" ht="12.75">
      <c r="A36" s="65"/>
      <c r="B36" s="59" t="s">
        <v>150</v>
      </c>
      <c r="C36" s="59" t="s">
        <v>284</v>
      </c>
      <c r="D36" s="59" t="s">
        <v>51</v>
      </c>
      <c r="E36" s="59" t="s">
        <v>15</v>
      </c>
      <c r="F36" s="75" t="s">
        <v>191</v>
      </c>
      <c r="G36" s="60">
        <v>18.9</v>
      </c>
      <c r="H36" s="79" t="s">
        <v>191</v>
      </c>
      <c r="I36" s="60">
        <v>18.9</v>
      </c>
      <c r="J36" s="79" t="s">
        <v>191</v>
      </c>
      <c r="K36" s="60">
        <v>19.6</v>
      </c>
      <c r="L36" s="60" t="s">
        <v>191</v>
      </c>
      <c r="M36" s="60">
        <v>19.8</v>
      </c>
      <c r="N36" s="82" t="s">
        <v>191</v>
      </c>
      <c r="O36" s="60">
        <f t="shared" si="1"/>
        <v>19.3</v>
      </c>
      <c r="P36"/>
      <c r="R36"/>
      <c r="S36"/>
      <c r="T36"/>
      <c r="U36"/>
      <c r="V36"/>
      <c r="W36"/>
      <c r="X36"/>
      <c r="Z36"/>
      <c r="AB36"/>
      <c r="AD36"/>
      <c r="AF36"/>
      <c r="BI36"/>
    </row>
    <row r="37" spans="1:61" s="59" customFormat="1" ht="12.75">
      <c r="A37" s="65"/>
      <c r="B37" s="59" t="s">
        <v>149</v>
      </c>
      <c r="C37" s="59" t="s">
        <v>284</v>
      </c>
      <c r="D37" s="59" t="s">
        <v>51</v>
      </c>
      <c r="E37" s="59" t="s">
        <v>15</v>
      </c>
      <c r="F37" s="75" t="s">
        <v>191</v>
      </c>
      <c r="G37" s="60">
        <v>17.2</v>
      </c>
      <c r="H37" s="79" t="s">
        <v>191</v>
      </c>
      <c r="I37" s="60">
        <v>16.4</v>
      </c>
      <c r="J37" s="79" t="s">
        <v>191</v>
      </c>
      <c r="K37" s="60">
        <v>17.9</v>
      </c>
      <c r="L37" s="60" t="s">
        <v>191</v>
      </c>
      <c r="M37" s="60">
        <v>16.7</v>
      </c>
      <c r="N37" s="82" t="s">
        <v>191</v>
      </c>
      <c r="O37" s="60">
        <f t="shared" si="1"/>
        <v>17.049999999999997</v>
      </c>
      <c r="P37"/>
      <c r="R37"/>
      <c r="S37"/>
      <c r="T37"/>
      <c r="U37"/>
      <c r="V37"/>
      <c r="W37"/>
      <c r="X37"/>
      <c r="Z37"/>
      <c r="AB37"/>
      <c r="AD37"/>
      <c r="AF37"/>
      <c r="BI37"/>
    </row>
    <row r="38" spans="1:61" s="59" customFormat="1" ht="12.75">
      <c r="A38" s="65"/>
      <c r="B38" s="59" t="s">
        <v>87</v>
      </c>
      <c r="C38" s="59" t="s">
        <v>284</v>
      </c>
      <c r="D38" s="59" t="s">
        <v>55</v>
      </c>
      <c r="E38" s="59" t="s">
        <v>15</v>
      </c>
      <c r="F38" s="75" t="s">
        <v>191</v>
      </c>
      <c r="G38" s="60">
        <v>88.61308739194989</v>
      </c>
      <c r="H38" s="79" t="s">
        <v>191</v>
      </c>
      <c r="I38" s="60">
        <v>39.58136438325116</v>
      </c>
      <c r="J38" s="79" t="s">
        <v>191</v>
      </c>
      <c r="K38" s="60">
        <v>10.100925145722819</v>
      </c>
      <c r="L38" s="60" t="s">
        <v>191</v>
      </c>
      <c r="M38" s="60">
        <v>13.410248721793</v>
      </c>
      <c r="N38" s="82" t="s">
        <v>191</v>
      </c>
      <c r="O38" s="60">
        <f t="shared" si="1"/>
        <v>37.92640641067922</v>
      </c>
      <c r="P38"/>
      <c r="R38"/>
      <c r="S38"/>
      <c r="T38"/>
      <c r="U38"/>
      <c r="V38"/>
      <c r="W38"/>
      <c r="X38"/>
      <c r="Z38"/>
      <c r="AB38"/>
      <c r="AD38"/>
      <c r="AF38"/>
      <c r="BI38"/>
    </row>
    <row r="39" spans="1:61" s="59" customFormat="1" ht="12.75">
      <c r="A39" s="65"/>
      <c r="B39" s="59" t="s">
        <v>83</v>
      </c>
      <c r="C39" s="59" t="s">
        <v>284</v>
      </c>
      <c r="D39" s="59" t="s">
        <v>55</v>
      </c>
      <c r="E39" s="59" t="s">
        <v>15</v>
      </c>
      <c r="F39" s="75" t="s">
        <v>191</v>
      </c>
      <c r="G39" s="60">
        <v>53.918016137959</v>
      </c>
      <c r="H39" s="79" t="s">
        <v>191</v>
      </c>
      <c r="I39" s="60">
        <v>33.32902147430449</v>
      </c>
      <c r="J39" s="79" t="s">
        <v>191</v>
      </c>
      <c r="K39" s="60">
        <v>15.522063870720842</v>
      </c>
      <c r="L39" s="60" t="s">
        <v>191</v>
      </c>
      <c r="M39" s="60">
        <v>16.810704647676165</v>
      </c>
      <c r="N39" s="82" t="s">
        <v>191</v>
      </c>
      <c r="O39" s="60">
        <f t="shared" si="1"/>
        <v>29.89495153266512</v>
      </c>
      <c r="P39"/>
      <c r="R39"/>
      <c r="S39"/>
      <c r="T39"/>
      <c r="U39"/>
      <c r="V39"/>
      <c r="W39"/>
      <c r="X39"/>
      <c r="Z39"/>
      <c r="AB39"/>
      <c r="AD39"/>
      <c r="AF39"/>
      <c r="BI39"/>
    </row>
    <row r="40" spans="1:61" s="59" customFormat="1" ht="12.75">
      <c r="A40" s="65"/>
      <c r="B40" s="59" t="s">
        <v>85</v>
      </c>
      <c r="C40" s="59" t="s">
        <v>284</v>
      </c>
      <c r="D40" s="59" t="s">
        <v>55</v>
      </c>
      <c r="E40" s="59" t="s">
        <v>15</v>
      </c>
      <c r="F40" s="75" t="s">
        <v>191</v>
      </c>
      <c r="G40" s="60">
        <v>8.251800730678932</v>
      </c>
      <c r="H40" s="79" t="s">
        <v>191</v>
      </c>
      <c r="I40" s="60">
        <v>0.11092866451357</v>
      </c>
      <c r="J40" s="79" t="s">
        <v>191</v>
      </c>
      <c r="K40" s="60">
        <v>0.10193594183757</v>
      </c>
      <c r="L40" s="60" t="s">
        <v>191</v>
      </c>
      <c r="M40" s="60">
        <v>0.10536623995694462</v>
      </c>
      <c r="N40" s="82" t="s">
        <v>191</v>
      </c>
      <c r="O40" s="60">
        <f t="shared" si="1"/>
        <v>2.1425078942467546</v>
      </c>
      <c r="P40"/>
      <c r="R40"/>
      <c r="S40"/>
      <c r="T40"/>
      <c r="U40"/>
      <c r="V40"/>
      <c r="W40"/>
      <c r="X40"/>
      <c r="Z40"/>
      <c r="AB40"/>
      <c r="AD40"/>
      <c r="AF40"/>
      <c r="BI40"/>
    </row>
    <row r="41" spans="1:61" s="59" customFormat="1" ht="12.75">
      <c r="A41" s="65"/>
      <c r="B41" s="59" t="s">
        <v>90</v>
      </c>
      <c r="C41" s="59" t="s">
        <v>284</v>
      </c>
      <c r="D41" s="59" t="s">
        <v>55</v>
      </c>
      <c r="E41" s="59" t="s">
        <v>15</v>
      </c>
      <c r="F41" s="75" t="s">
        <v>191</v>
      </c>
      <c r="G41" s="60">
        <v>51.1049022525002</v>
      </c>
      <c r="H41" s="79" t="s">
        <v>191</v>
      </c>
      <c r="I41" s="60">
        <v>24.555572553685764</v>
      </c>
      <c r="J41" s="79" t="s">
        <v>191</v>
      </c>
      <c r="K41" s="60">
        <v>7.969537270937269</v>
      </c>
      <c r="L41" s="60" t="s">
        <v>191</v>
      </c>
      <c r="M41" s="60">
        <v>5.603568215892055</v>
      </c>
      <c r="N41" s="82" t="s">
        <v>191</v>
      </c>
      <c r="O41" s="60">
        <f t="shared" si="1"/>
        <v>22.30839507325382</v>
      </c>
      <c r="P41"/>
      <c r="R41"/>
      <c r="S41"/>
      <c r="T41"/>
      <c r="U41"/>
      <c r="V41"/>
      <c r="W41"/>
      <c r="X41"/>
      <c r="Z41"/>
      <c r="AB41"/>
      <c r="AD41"/>
      <c r="AF41"/>
      <c r="BI41"/>
    </row>
    <row r="42" spans="1:61" s="59" customFormat="1" ht="12.75">
      <c r="A42" s="65"/>
      <c r="B42" s="59" t="s">
        <v>92</v>
      </c>
      <c r="C42" s="59" t="s">
        <v>284</v>
      </c>
      <c r="D42" s="59" t="s">
        <v>55</v>
      </c>
      <c r="E42" s="59" t="s">
        <v>15</v>
      </c>
      <c r="F42" s="75" t="s">
        <v>191</v>
      </c>
      <c r="G42" s="60">
        <v>43.603265224610254</v>
      </c>
      <c r="H42" s="79" t="s">
        <v>191</v>
      </c>
      <c r="I42" s="60">
        <v>31.564247266134</v>
      </c>
      <c r="J42" s="79" t="s">
        <v>191</v>
      </c>
      <c r="K42" s="60">
        <v>12.278647539525444</v>
      </c>
      <c r="L42" s="60" t="s">
        <v>191</v>
      </c>
      <c r="M42" s="60">
        <v>37.69237765732518</v>
      </c>
      <c r="N42" s="82" t="s">
        <v>191</v>
      </c>
      <c r="O42" s="60">
        <f t="shared" si="1"/>
        <v>31.284634421898723</v>
      </c>
      <c r="P42"/>
      <c r="R42"/>
      <c r="S42"/>
      <c r="T42"/>
      <c r="U42"/>
      <c r="V42"/>
      <c r="W42"/>
      <c r="X42"/>
      <c r="Z42"/>
      <c r="AB42"/>
      <c r="AD42"/>
      <c r="AF42"/>
      <c r="BI42"/>
    </row>
    <row r="43" spans="1:61" s="59" customFormat="1" ht="12.75">
      <c r="A43" s="65"/>
      <c r="B43" s="59" t="s">
        <v>194</v>
      </c>
      <c r="C43" s="59" t="s">
        <v>286</v>
      </c>
      <c r="D43" s="59" t="s">
        <v>55</v>
      </c>
      <c r="E43" s="59" t="s">
        <v>15</v>
      </c>
      <c r="F43" s="75" t="s">
        <v>191</v>
      </c>
      <c r="G43" s="60">
        <v>6.74881420714168</v>
      </c>
      <c r="H43" s="79" t="s">
        <v>191</v>
      </c>
      <c r="I43" s="60">
        <v>12.788469434440364</v>
      </c>
      <c r="J43" s="79" t="s">
        <v>191</v>
      </c>
      <c r="K43" s="60">
        <v>4.933051515930673</v>
      </c>
      <c r="L43" s="60" t="s">
        <v>191</v>
      </c>
      <c r="M43" s="60">
        <v>1.613100967682732</v>
      </c>
      <c r="N43" s="82" t="s">
        <v>191</v>
      </c>
      <c r="O43" s="60">
        <f t="shared" si="1"/>
        <v>6.520859031298862</v>
      </c>
      <c r="P43"/>
      <c r="R43"/>
      <c r="S43"/>
      <c r="T43"/>
      <c r="U43"/>
      <c r="V43"/>
      <c r="W43"/>
      <c r="X43"/>
      <c r="Z43"/>
      <c r="AB43"/>
      <c r="AD43"/>
      <c r="AF43"/>
      <c r="BI43"/>
    </row>
    <row r="44" spans="1:61" s="59" customFormat="1" ht="12.75">
      <c r="A44" s="65"/>
      <c r="B44" s="59" t="s">
        <v>88</v>
      </c>
      <c r="C44" s="59" t="s">
        <v>284</v>
      </c>
      <c r="D44" s="59" t="s">
        <v>55</v>
      </c>
      <c r="E44" s="59" t="s">
        <v>15</v>
      </c>
      <c r="F44" s="75" t="s">
        <v>191</v>
      </c>
      <c r="G44" s="74">
        <v>4735.408373855523</v>
      </c>
      <c r="H44" s="80" t="s">
        <v>191</v>
      </c>
      <c r="I44" s="74">
        <v>2944.651821632953</v>
      </c>
      <c r="J44" s="80" t="s">
        <v>191</v>
      </c>
      <c r="K44" s="74">
        <v>857.1886018159273</v>
      </c>
      <c r="L44" s="74" t="s">
        <v>191</v>
      </c>
      <c r="M44" s="74">
        <v>665.72306154615</v>
      </c>
      <c r="N44" s="83" t="s">
        <v>191</v>
      </c>
      <c r="O44" s="74">
        <f t="shared" si="1"/>
        <v>2300.7429647126382</v>
      </c>
      <c r="P44"/>
      <c r="R44"/>
      <c r="S44"/>
      <c r="T44"/>
      <c r="U44"/>
      <c r="V44"/>
      <c r="W44"/>
      <c r="X44"/>
      <c r="Z44"/>
      <c r="AB44"/>
      <c r="AD44"/>
      <c r="AF44"/>
      <c r="BI44"/>
    </row>
    <row r="45" spans="1:61" s="59" customFormat="1" ht="12.75">
      <c r="A45" s="65"/>
      <c r="B45" s="59" t="s">
        <v>61</v>
      </c>
      <c r="C45" s="59" t="s">
        <v>284</v>
      </c>
      <c r="D45" s="59" t="s">
        <v>55</v>
      </c>
      <c r="E45" s="59" t="s">
        <v>15</v>
      </c>
      <c r="F45" s="75"/>
      <c r="G45" s="74">
        <f>G41+G44</f>
        <v>4786.513276108023</v>
      </c>
      <c r="H45" s="80"/>
      <c r="I45" s="74">
        <f>I41+I44</f>
        <v>2969.207394186639</v>
      </c>
      <c r="J45" s="80"/>
      <c r="K45" s="74">
        <f>K41+K44</f>
        <v>865.1581390868646</v>
      </c>
      <c r="L45" s="74"/>
      <c r="M45" s="74">
        <f>M41+M44</f>
        <v>671.3266297620421</v>
      </c>
      <c r="N45" s="83"/>
      <c r="O45" s="74">
        <f>AVERAGE(G45,I45,K45,M45)</f>
        <v>2323.0513597858926</v>
      </c>
      <c r="P45"/>
      <c r="R45"/>
      <c r="S45"/>
      <c r="T45"/>
      <c r="U45"/>
      <c r="V45"/>
      <c r="W45"/>
      <c r="X45"/>
      <c r="Z45"/>
      <c r="AB45"/>
      <c r="AD45"/>
      <c r="AF45"/>
      <c r="BI45"/>
    </row>
    <row r="46" spans="1:61" s="59" customFormat="1" ht="12.75">
      <c r="A46" s="65"/>
      <c r="B46" s="59" t="s">
        <v>62</v>
      </c>
      <c r="C46" s="59" t="s">
        <v>284</v>
      </c>
      <c r="D46" s="59" t="s">
        <v>55</v>
      </c>
      <c r="E46" s="59" t="s">
        <v>15</v>
      </c>
      <c r="F46" s="75"/>
      <c r="G46" s="74">
        <f>G39+G40+G42</f>
        <v>105.77308209324818</v>
      </c>
      <c r="H46" s="80"/>
      <c r="I46" s="74">
        <f>I39+I40+I42</f>
        <v>65.00419740495207</v>
      </c>
      <c r="J46" s="80"/>
      <c r="K46" s="74">
        <f>K39+K40+K42</f>
        <v>27.902647352083857</v>
      </c>
      <c r="L46" s="74"/>
      <c r="M46" s="74">
        <f>M39+M40+M42</f>
        <v>54.60844854495829</v>
      </c>
      <c r="N46" s="83"/>
      <c r="O46" s="74">
        <f>AVERAGE(G46,I46,K46,M46)</f>
        <v>63.322093848810596</v>
      </c>
      <c r="P46"/>
      <c r="R46"/>
      <c r="S46"/>
      <c r="T46"/>
      <c r="U46"/>
      <c r="V46"/>
      <c r="W46"/>
      <c r="X46"/>
      <c r="Z46"/>
      <c r="AB46"/>
      <c r="AD46"/>
      <c r="AF46"/>
      <c r="BI46"/>
    </row>
    <row r="47" spans="1:61" s="61" customFormat="1" ht="12.75">
      <c r="A47" s="65"/>
      <c r="F47" s="69"/>
      <c r="G47" s="58"/>
      <c r="H47" s="78"/>
      <c r="I47" s="58"/>
      <c r="J47" s="78"/>
      <c r="K47" s="58"/>
      <c r="L47" s="58"/>
      <c r="M47" s="58"/>
      <c r="N47" s="75"/>
      <c r="O47" s="58"/>
      <c r="P47"/>
      <c r="Q47" s="58"/>
      <c r="R47"/>
      <c r="S47"/>
      <c r="T47"/>
      <c r="U47"/>
      <c r="V47"/>
      <c r="W47"/>
      <c r="X47"/>
      <c r="Y47" s="58"/>
      <c r="Z47"/>
      <c r="AA47" s="58"/>
      <c r="AB47"/>
      <c r="AC47" s="58"/>
      <c r="AD47"/>
      <c r="AE47" s="58"/>
      <c r="AF47"/>
      <c r="AG47" s="58"/>
      <c r="AH47" s="58"/>
      <c r="AI47" s="58"/>
      <c r="AJ47" s="58"/>
      <c r="AK47" s="58"/>
      <c r="AL47" s="58"/>
      <c r="AM47" s="58"/>
      <c r="AN47" s="58"/>
      <c r="AO47" s="58"/>
      <c r="BI47"/>
    </row>
    <row r="48" spans="1:61" s="61" customFormat="1" ht="12.75">
      <c r="A48" s="65"/>
      <c r="B48" s="59" t="s">
        <v>82</v>
      </c>
      <c r="C48" s="61" t="s">
        <v>102</v>
      </c>
      <c r="D48" s="59" t="s">
        <v>284</v>
      </c>
      <c r="F48" s="69"/>
      <c r="G48" s="58"/>
      <c r="H48" s="78"/>
      <c r="I48" s="58"/>
      <c r="J48" s="78"/>
      <c r="K48" s="58"/>
      <c r="L48" s="58"/>
      <c r="M48" s="58"/>
      <c r="N48" s="75"/>
      <c r="O48" s="58"/>
      <c r="P48"/>
      <c r="Q48" s="58"/>
      <c r="R48"/>
      <c r="S48"/>
      <c r="T48"/>
      <c r="U48"/>
      <c r="V48"/>
      <c r="W48"/>
      <c r="X48"/>
      <c r="Y48" s="58"/>
      <c r="Z48"/>
      <c r="AA48" s="58"/>
      <c r="AB48"/>
      <c r="AC48" s="58"/>
      <c r="AD48"/>
      <c r="AE48" s="58"/>
      <c r="AF48"/>
      <c r="AG48" s="58"/>
      <c r="AH48" s="58"/>
      <c r="AI48" s="58"/>
      <c r="AJ48" s="58"/>
      <c r="AK48" s="58"/>
      <c r="AL48" s="58"/>
      <c r="AM48" s="58"/>
      <c r="AN48" s="58"/>
      <c r="AO48" s="58"/>
      <c r="BI48"/>
    </row>
    <row r="49" spans="1:61" s="61" customFormat="1" ht="12.75">
      <c r="A49" s="65"/>
      <c r="B49" s="34" t="s">
        <v>77</v>
      </c>
      <c r="C49" s="34"/>
      <c r="D49" s="34" t="s">
        <v>16</v>
      </c>
      <c r="F49" s="69"/>
      <c r="G49" s="58">
        <v>84806</v>
      </c>
      <c r="H49" s="78"/>
      <c r="I49" s="58">
        <v>88245</v>
      </c>
      <c r="J49" s="78"/>
      <c r="K49" s="58">
        <v>88643</v>
      </c>
      <c r="L49" s="58"/>
      <c r="M49" s="58">
        <v>89700</v>
      </c>
      <c r="N49" s="75"/>
      <c r="O49" s="58"/>
      <c r="P49"/>
      <c r="Q49" s="58"/>
      <c r="R49"/>
      <c r="S49"/>
      <c r="T49"/>
      <c r="U49"/>
      <c r="V49"/>
      <c r="W49"/>
      <c r="X49"/>
      <c r="Y49" s="58"/>
      <c r="Z49"/>
      <c r="AA49" s="58"/>
      <c r="AB49"/>
      <c r="AC49" s="58"/>
      <c r="AD49"/>
      <c r="AE49" s="58"/>
      <c r="AF49"/>
      <c r="AG49" s="58"/>
      <c r="AH49" s="58"/>
      <c r="AI49" s="58"/>
      <c r="AJ49" s="58"/>
      <c r="AK49" s="58"/>
      <c r="AL49" s="58"/>
      <c r="AM49" s="58"/>
      <c r="AN49" s="58"/>
      <c r="AO49" s="58"/>
      <c r="BI49"/>
    </row>
    <row r="50" spans="1:61" s="61" customFormat="1" ht="12.75">
      <c r="A50" s="65"/>
      <c r="B50" s="34" t="s">
        <v>80</v>
      </c>
      <c r="C50" s="34"/>
      <c r="D50" s="34" t="s">
        <v>14</v>
      </c>
      <c r="F50" s="69"/>
      <c r="G50" s="58">
        <v>11.6</v>
      </c>
      <c r="H50" s="78"/>
      <c r="I50" s="58">
        <v>12.6</v>
      </c>
      <c r="J50" s="78"/>
      <c r="K50" s="58">
        <v>11.9</v>
      </c>
      <c r="L50" s="58"/>
      <c r="M50" s="58">
        <v>12.3</v>
      </c>
      <c r="N50" s="75"/>
      <c r="O50" s="58"/>
      <c r="P50"/>
      <c r="Q50" s="58"/>
      <c r="R50"/>
      <c r="S50"/>
      <c r="T50"/>
      <c r="U50"/>
      <c r="V50"/>
      <c r="W50"/>
      <c r="X50"/>
      <c r="Y50" s="58"/>
      <c r="Z50"/>
      <c r="AA50" s="58"/>
      <c r="AB50"/>
      <c r="AC50" s="58"/>
      <c r="AD50"/>
      <c r="AE50" s="58"/>
      <c r="AF50"/>
      <c r="AG50" s="58"/>
      <c r="AH50" s="58"/>
      <c r="AI50" s="58"/>
      <c r="AJ50" s="58"/>
      <c r="AK50" s="58"/>
      <c r="AL50" s="58"/>
      <c r="AM50" s="58"/>
      <c r="AN50" s="58"/>
      <c r="AO50" s="58"/>
      <c r="BI50"/>
    </row>
    <row r="51" spans="1:61" s="61" customFormat="1" ht="12.75">
      <c r="A51" s="65"/>
      <c r="B51" s="34" t="s">
        <v>81</v>
      </c>
      <c r="C51" s="34"/>
      <c r="D51" s="34" t="s">
        <v>14</v>
      </c>
      <c r="F51" s="69"/>
      <c r="G51" s="58">
        <v>24.46</v>
      </c>
      <c r="H51" s="78"/>
      <c r="I51" s="58">
        <v>23.08</v>
      </c>
      <c r="J51" s="78"/>
      <c r="K51" s="58">
        <v>20.12</v>
      </c>
      <c r="L51" s="58"/>
      <c r="M51" s="58">
        <v>23.47</v>
      </c>
      <c r="N51" s="75"/>
      <c r="O51" s="58"/>
      <c r="P51"/>
      <c r="Q51" s="58"/>
      <c r="R51"/>
      <c r="S51"/>
      <c r="T51"/>
      <c r="U51"/>
      <c r="V51"/>
      <c r="W51"/>
      <c r="X51"/>
      <c r="Y51" s="58"/>
      <c r="Z51"/>
      <c r="AA51" s="58"/>
      <c r="AB51"/>
      <c r="AC51" s="58"/>
      <c r="AD51"/>
      <c r="AE51" s="58"/>
      <c r="AF51"/>
      <c r="AG51" s="58"/>
      <c r="AH51" s="58"/>
      <c r="AI51" s="58"/>
      <c r="AJ51" s="58"/>
      <c r="AK51" s="58"/>
      <c r="AL51" s="58"/>
      <c r="AM51" s="58"/>
      <c r="AN51" s="58"/>
      <c r="AO51" s="58"/>
      <c r="BI51"/>
    </row>
    <row r="52" spans="1:61" s="61" customFormat="1" ht="12.75">
      <c r="A52" s="65"/>
      <c r="B52" s="34" t="s">
        <v>76</v>
      </c>
      <c r="C52" s="34"/>
      <c r="D52" s="34" t="s">
        <v>17</v>
      </c>
      <c r="F52" s="69"/>
      <c r="G52" s="58">
        <v>331</v>
      </c>
      <c r="H52" s="78"/>
      <c r="I52" s="58">
        <v>324</v>
      </c>
      <c r="J52" s="78"/>
      <c r="K52" s="58">
        <v>336</v>
      </c>
      <c r="L52" s="58"/>
      <c r="M52" s="58">
        <v>334</v>
      </c>
      <c r="N52" s="75"/>
      <c r="O52" s="58"/>
      <c r="P52"/>
      <c r="Q52" s="58"/>
      <c r="R52"/>
      <c r="S52"/>
      <c r="T52"/>
      <c r="U52"/>
      <c r="V52"/>
      <c r="W52"/>
      <c r="X52"/>
      <c r="Y52" s="58"/>
      <c r="Z52"/>
      <c r="AA52" s="58"/>
      <c r="AB52"/>
      <c r="AC52" s="58"/>
      <c r="AD52"/>
      <c r="AE52" s="58"/>
      <c r="AF52"/>
      <c r="AG52" s="58"/>
      <c r="AH52" s="58"/>
      <c r="AI52" s="58"/>
      <c r="AJ52" s="58"/>
      <c r="AK52" s="58"/>
      <c r="AL52" s="58"/>
      <c r="AM52" s="58"/>
      <c r="AN52" s="58"/>
      <c r="AO52" s="58"/>
      <c r="BI52"/>
    </row>
    <row r="53" spans="1:61" s="59" customFormat="1" ht="12.75">
      <c r="A53" s="65"/>
      <c r="F53" s="75"/>
      <c r="H53" s="78"/>
      <c r="J53" s="78"/>
      <c r="L53" s="58"/>
      <c r="N53" s="75"/>
      <c r="P53"/>
      <c r="R53"/>
      <c r="S53"/>
      <c r="T53"/>
      <c r="U53"/>
      <c r="V53"/>
      <c r="W53"/>
      <c r="X53"/>
      <c r="Z53"/>
      <c r="AB53"/>
      <c r="AD53"/>
      <c r="AF53"/>
      <c r="BI53"/>
    </row>
    <row r="54" spans="1:61" s="59" customFormat="1" ht="12.75">
      <c r="A54" s="65"/>
      <c r="B54" s="59" t="s">
        <v>82</v>
      </c>
      <c r="C54" s="61" t="s">
        <v>195</v>
      </c>
      <c r="D54" s="59" t="s">
        <v>286</v>
      </c>
      <c r="F54" s="75"/>
      <c r="H54" s="78"/>
      <c r="J54" s="78"/>
      <c r="L54" s="58"/>
      <c r="N54" s="75"/>
      <c r="P54"/>
      <c r="R54"/>
      <c r="S54"/>
      <c r="T54"/>
      <c r="U54"/>
      <c r="V54"/>
      <c r="W54"/>
      <c r="X54"/>
      <c r="Z54"/>
      <c r="AB54"/>
      <c r="AD54"/>
      <c r="AF54"/>
      <c r="BI54"/>
    </row>
    <row r="55" spans="1:61" s="61" customFormat="1" ht="12.75">
      <c r="A55" s="65"/>
      <c r="B55" s="34" t="s">
        <v>77</v>
      </c>
      <c r="C55" s="34"/>
      <c r="D55" s="34" t="s">
        <v>16</v>
      </c>
      <c r="F55" s="69"/>
      <c r="G55" s="58">
        <v>72467</v>
      </c>
      <c r="H55" s="78"/>
      <c r="I55" s="58">
        <v>85243</v>
      </c>
      <c r="J55" s="78"/>
      <c r="K55" s="58">
        <v>88255</v>
      </c>
      <c r="L55" s="58"/>
      <c r="M55" s="58">
        <v>82294</v>
      </c>
      <c r="N55" s="75"/>
      <c r="O55" s="58"/>
      <c r="P55"/>
      <c r="Q55" s="58"/>
      <c r="R55"/>
      <c r="S55"/>
      <c r="T55"/>
      <c r="U55"/>
      <c r="V55"/>
      <c r="W55"/>
      <c r="X55"/>
      <c r="Y55" s="58"/>
      <c r="Z55"/>
      <c r="AA55" s="58"/>
      <c r="AB55"/>
      <c r="AC55" s="58"/>
      <c r="AD55"/>
      <c r="AE55" s="58"/>
      <c r="AF55"/>
      <c r="AG55" s="58"/>
      <c r="AH55" s="58"/>
      <c r="AI55" s="58"/>
      <c r="AJ55" s="58"/>
      <c r="AK55" s="58"/>
      <c r="AL55" s="58"/>
      <c r="AM55" s="58"/>
      <c r="AN55" s="58"/>
      <c r="AO55" s="58"/>
      <c r="BI55"/>
    </row>
    <row r="56" spans="1:61" s="61" customFormat="1" ht="12.75">
      <c r="A56" s="65"/>
      <c r="B56" s="34" t="s">
        <v>80</v>
      </c>
      <c r="C56" s="34"/>
      <c r="D56" s="34" t="s">
        <v>14</v>
      </c>
      <c r="F56" s="69"/>
      <c r="G56" s="58">
        <v>11.6</v>
      </c>
      <c r="H56" s="78"/>
      <c r="I56" s="58">
        <v>12.6</v>
      </c>
      <c r="J56" s="78"/>
      <c r="K56" s="58">
        <v>11.9</v>
      </c>
      <c r="L56" s="58"/>
      <c r="M56" s="58">
        <v>12.3</v>
      </c>
      <c r="N56" s="75"/>
      <c r="O56" s="58"/>
      <c r="P56"/>
      <c r="Q56" s="58"/>
      <c r="R56"/>
      <c r="S56"/>
      <c r="T56"/>
      <c r="U56"/>
      <c r="V56"/>
      <c r="W56"/>
      <c r="X56"/>
      <c r="Y56" s="58"/>
      <c r="Z56"/>
      <c r="AA56" s="58"/>
      <c r="AB56"/>
      <c r="AC56" s="58"/>
      <c r="AD56"/>
      <c r="AE56" s="58"/>
      <c r="AF56"/>
      <c r="AG56" s="58"/>
      <c r="AH56" s="58"/>
      <c r="AI56" s="58"/>
      <c r="AJ56" s="58"/>
      <c r="AK56" s="58"/>
      <c r="AL56" s="58"/>
      <c r="AM56" s="58"/>
      <c r="AN56" s="58"/>
      <c r="AO56" s="58"/>
      <c r="BI56"/>
    </row>
    <row r="57" spans="1:61" s="61" customFormat="1" ht="12.75">
      <c r="A57" s="65"/>
      <c r="B57" s="34" t="s">
        <v>81</v>
      </c>
      <c r="C57" s="34"/>
      <c r="D57" s="34" t="s">
        <v>14</v>
      </c>
      <c r="F57" s="69"/>
      <c r="G57" s="58">
        <v>23.5</v>
      </c>
      <c r="H57" s="78"/>
      <c r="I57" s="58">
        <v>23.81</v>
      </c>
      <c r="J57" s="78"/>
      <c r="K57" s="58">
        <v>21.17</v>
      </c>
      <c r="L57" s="58"/>
      <c r="M57" s="58">
        <v>22.78</v>
      </c>
      <c r="N57" s="75"/>
      <c r="O57" s="58"/>
      <c r="P57"/>
      <c r="Q57" s="58"/>
      <c r="R57"/>
      <c r="S57"/>
      <c r="T57"/>
      <c r="U57"/>
      <c r="V57"/>
      <c r="W57"/>
      <c r="X57"/>
      <c r="Y57" s="58"/>
      <c r="Z57"/>
      <c r="AA57" s="58"/>
      <c r="AB57"/>
      <c r="AC57" s="58"/>
      <c r="AD57"/>
      <c r="AE57" s="58"/>
      <c r="AF57"/>
      <c r="AG57" s="58"/>
      <c r="AH57" s="58"/>
      <c r="AI57" s="58"/>
      <c r="AJ57" s="58"/>
      <c r="AK57" s="58"/>
      <c r="AL57" s="58"/>
      <c r="AM57" s="58"/>
      <c r="AN57" s="58"/>
      <c r="AO57" s="58"/>
      <c r="BI57"/>
    </row>
    <row r="58" spans="1:61" s="61" customFormat="1" ht="12.75">
      <c r="A58" s="65"/>
      <c r="B58" s="34" t="s">
        <v>76</v>
      </c>
      <c r="C58" s="34"/>
      <c r="D58" s="34" t="s">
        <v>17</v>
      </c>
      <c r="F58" s="69"/>
      <c r="G58" s="58">
        <v>330</v>
      </c>
      <c r="H58" s="78"/>
      <c r="I58" s="58">
        <v>324</v>
      </c>
      <c r="J58" s="78"/>
      <c r="K58" s="58">
        <v>333</v>
      </c>
      <c r="L58" s="58"/>
      <c r="M58" s="58">
        <v>333</v>
      </c>
      <c r="N58" s="75"/>
      <c r="O58" s="58"/>
      <c r="P58"/>
      <c r="Q58" s="58"/>
      <c r="R58"/>
      <c r="S58"/>
      <c r="T58"/>
      <c r="U58"/>
      <c r="V58"/>
      <c r="W58"/>
      <c r="X58"/>
      <c r="Y58" s="58"/>
      <c r="Z58"/>
      <c r="AA58" s="58"/>
      <c r="AB58"/>
      <c r="AC58" s="58"/>
      <c r="AD58"/>
      <c r="AE58" s="58"/>
      <c r="AF58"/>
      <c r="AG58" s="58"/>
      <c r="AH58" s="58"/>
      <c r="AI58" s="58"/>
      <c r="AJ58" s="58"/>
      <c r="AK58" s="58"/>
      <c r="AL58" s="58"/>
      <c r="AM58" s="58"/>
      <c r="AN58" s="58"/>
      <c r="AO58" s="58"/>
      <c r="BI58"/>
    </row>
    <row r="59" spans="1:61" s="61" customFormat="1" ht="12.75">
      <c r="A59" s="65"/>
      <c r="F59" s="69"/>
      <c r="G59" s="58"/>
      <c r="H59" s="78"/>
      <c r="I59" s="58"/>
      <c r="J59" s="78"/>
      <c r="K59" s="58"/>
      <c r="L59" s="58"/>
      <c r="M59" s="58"/>
      <c r="N59" s="75"/>
      <c r="O59" s="58"/>
      <c r="P59"/>
      <c r="Q59" s="58"/>
      <c r="R59"/>
      <c r="S59"/>
      <c r="T59"/>
      <c r="U59"/>
      <c r="V59"/>
      <c r="W59"/>
      <c r="X59"/>
      <c r="Y59" s="58"/>
      <c r="Z59"/>
      <c r="AA59" s="58"/>
      <c r="AB59"/>
      <c r="AC59" s="58"/>
      <c r="AD59"/>
      <c r="AE59" s="58"/>
      <c r="AF59"/>
      <c r="AG59" s="58"/>
      <c r="AH59" s="58"/>
      <c r="AI59" s="58"/>
      <c r="AJ59" s="58"/>
      <c r="AK59" s="58"/>
      <c r="AL59" s="58"/>
      <c r="AM59" s="58"/>
      <c r="AN59" s="58"/>
      <c r="AO59" s="58"/>
      <c r="BI59"/>
    </row>
    <row r="60" spans="1:61" s="61" customFormat="1" ht="12.75">
      <c r="A60" s="65"/>
      <c r="B60" s="59" t="s">
        <v>82</v>
      </c>
      <c r="C60" s="61" t="s">
        <v>196</v>
      </c>
      <c r="D60" s="61" t="s">
        <v>287</v>
      </c>
      <c r="F60" s="69"/>
      <c r="G60" s="58"/>
      <c r="H60" s="78"/>
      <c r="I60" s="58"/>
      <c r="J60" s="78"/>
      <c r="K60" s="58"/>
      <c r="L60" s="58"/>
      <c r="M60" s="58"/>
      <c r="N60" s="75"/>
      <c r="O60" s="58"/>
      <c r="P60"/>
      <c r="Q60" s="58"/>
      <c r="R60"/>
      <c r="S60"/>
      <c r="T60"/>
      <c r="U60"/>
      <c r="V60"/>
      <c r="W60"/>
      <c r="X60"/>
      <c r="Y60" s="58"/>
      <c r="Z60"/>
      <c r="AA60" s="58"/>
      <c r="AB60"/>
      <c r="AC60" s="58"/>
      <c r="AD60"/>
      <c r="AE60" s="58"/>
      <c r="AF60"/>
      <c r="AG60" s="58"/>
      <c r="AH60" s="58"/>
      <c r="AI60" s="58"/>
      <c r="AJ60" s="58"/>
      <c r="AK60" s="58"/>
      <c r="AL60" s="58"/>
      <c r="AM60" s="58"/>
      <c r="AN60" s="58"/>
      <c r="AO60" s="58"/>
      <c r="BI60"/>
    </row>
    <row r="61" spans="1:61" s="61" customFormat="1" ht="12.75">
      <c r="A61" s="65"/>
      <c r="B61" s="34" t="s">
        <v>77</v>
      </c>
      <c r="C61" s="34"/>
      <c r="D61" s="34" t="s">
        <v>16</v>
      </c>
      <c r="F61" s="69"/>
      <c r="G61" s="58">
        <v>83772</v>
      </c>
      <c r="H61" s="78"/>
      <c r="I61" s="58">
        <v>88761</v>
      </c>
      <c r="J61" s="78"/>
      <c r="K61" s="58">
        <v>89173</v>
      </c>
      <c r="L61" s="58"/>
      <c r="M61" s="58">
        <v>85692</v>
      </c>
      <c r="N61" s="75"/>
      <c r="O61" s="58"/>
      <c r="P61"/>
      <c r="Q61" s="58"/>
      <c r="R61"/>
      <c r="S61"/>
      <c r="T61"/>
      <c r="U61"/>
      <c r="V61"/>
      <c r="W61"/>
      <c r="X61"/>
      <c r="Y61" s="58"/>
      <c r="Z61"/>
      <c r="AA61" s="58"/>
      <c r="AB61"/>
      <c r="AC61" s="58"/>
      <c r="AD61"/>
      <c r="AE61" s="58"/>
      <c r="AF61"/>
      <c r="AG61" s="58"/>
      <c r="AH61" s="58"/>
      <c r="AI61" s="58"/>
      <c r="AJ61" s="58"/>
      <c r="AK61" s="58"/>
      <c r="AL61" s="58"/>
      <c r="AM61" s="58"/>
      <c r="AN61" s="58"/>
      <c r="AO61" s="58"/>
      <c r="BI61"/>
    </row>
    <row r="62" spans="1:61" s="61" customFormat="1" ht="12.75">
      <c r="A62" s="65"/>
      <c r="B62" s="34" t="s">
        <v>80</v>
      </c>
      <c r="C62" s="34"/>
      <c r="D62" s="34" t="s">
        <v>14</v>
      </c>
      <c r="F62" s="69"/>
      <c r="G62" s="58">
        <v>11.6</v>
      </c>
      <c r="H62" s="78"/>
      <c r="I62" s="58">
        <v>12.6</v>
      </c>
      <c r="J62" s="78"/>
      <c r="K62" s="58">
        <v>11.9</v>
      </c>
      <c r="L62" s="58"/>
      <c r="M62" s="58">
        <v>12.3</v>
      </c>
      <c r="N62" s="75"/>
      <c r="O62" s="58"/>
      <c r="P62"/>
      <c r="Q62" s="58"/>
      <c r="R62"/>
      <c r="S62"/>
      <c r="T62"/>
      <c r="U62"/>
      <c r="V62"/>
      <c r="W62"/>
      <c r="X62"/>
      <c r="Y62" s="58"/>
      <c r="Z62"/>
      <c r="AA62" s="58"/>
      <c r="AB62"/>
      <c r="AC62" s="58"/>
      <c r="AD62"/>
      <c r="AE62" s="58"/>
      <c r="AF62"/>
      <c r="AG62" s="58"/>
      <c r="AH62" s="58"/>
      <c r="AI62" s="58"/>
      <c r="AJ62" s="58"/>
      <c r="AK62" s="58"/>
      <c r="AL62" s="58"/>
      <c r="AM62" s="58"/>
      <c r="AN62" s="58"/>
      <c r="AO62" s="58"/>
      <c r="BI62"/>
    </row>
    <row r="63" spans="1:61" s="61" customFormat="1" ht="12.75">
      <c r="A63" s="65"/>
      <c r="B63" s="34" t="s">
        <v>81</v>
      </c>
      <c r="C63" s="34"/>
      <c r="D63" s="34" t="s">
        <v>14</v>
      </c>
      <c r="F63" s="69"/>
      <c r="G63" s="58">
        <v>20.44</v>
      </c>
      <c r="H63" s="78"/>
      <c r="I63" s="58">
        <v>23.99</v>
      </c>
      <c r="J63" s="78"/>
      <c r="K63" s="58">
        <v>24.3</v>
      </c>
      <c r="L63" s="58"/>
      <c r="M63" s="58">
        <v>23.7</v>
      </c>
      <c r="N63" s="75"/>
      <c r="O63" s="58"/>
      <c r="P63"/>
      <c r="Q63" s="58"/>
      <c r="R63"/>
      <c r="S63"/>
      <c r="T63"/>
      <c r="U63"/>
      <c r="V63"/>
      <c r="W63"/>
      <c r="X63"/>
      <c r="Y63" s="58"/>
      <c r="Z63"/>
      <c r="AA63" s="58"/>
      <c r="AB63"/>
      <c r="AC63" s="58"/>
      <c r="AD63"/>
      <c r="AE63" s="58"/>
      <c r="AF63"/>
      <c r="AG63" s="58"/>
      <c r="AH63" s="58"/>
      <c r="AI63" s="58"/>
      <c r="AJ63" s="58"/>
      <c r="AK63" s="58"/>
      <c r="AL63" s="58"/>
      <c r="AM63" s="58"/>
      <c r="AN63" s="58"/>
      <c r="AO63" s="58"/>
      <c r="BI63"/>
    </row>
    <row r="64" spans="1:61" s="61" customFormat="1" ht="12.75">
      <c r="A64" s="65"/>
      <c r="B64" s="34" t="s">
        <v>76</v>
      </c>
      <c r="C64" s="34"/>
      <c r="D64" s="34" t="s">
        <v>17</v>
      </c>
      <c r="F64" s="69"/>
      <c r="G64" s="58">
        <v>334</v>
      </c>
      <c r="H64" s="78"/>
      <c r="I64" s="58">
        <v>328</v>
      </c>
      <c r="J64" s="78"/>
      <c r="K64" s="58">
        <v>336</v>
      </c>
      <c r="L64" s="58"/>
      <c r="M64" s="58">
        <v>337</v>
      </c>
      <c r="N64" s="75"/>
      <c r="O64" s="58"/>
      <c r="P64"/>
      <c r="Q64" s="58"/>
      <c r="R64"/>
      <c r="S64"/>
      <c r="T64"/>
      <c r="U64"/>
      <c r="V64"/>
      <c r="W64"/>
      <c r="X64"/>
      <c r="Y64" s="58"/>
      <c r="Z64"/>
      <c r="AA64" s="58"/>
      <c r="AB64"/>
      <c r="AC64" s="58"/>
      <c r="AD64"/>
      <c r="AE64" s="58"/>
      <c r="AF64"/>
      <c r="AG64" s="58"/>
      <c r="AH64" s="58"/>
      <c r="AI64" s="58"/>
      <c r="AJ64" s="58"/>
      <c r="AK64" s="58"/>
      <c r="AL64" s="58"/>
      <c r="AM64" s="58"/>
      <c r="AN64" s="58"/>
      <c r="AO64" s="58"/>
      <c r="BI64"/>
    </row>
    <row r="65" spans="1:61" s="59" customFormat="1" ht="12.75">
      <c r="A65" s="65"/>
      <c r="F65" s="75"/>
      <c r="H65" s="78"/>
      <c r="J65" s="78"/>
      <c r="L65" s="58"/>
      <c r="N65" s="75"/>
      <c r="P65"/>
      <c r="R65"/>
      <c r="S65"/>
      <c r="T65"/>
      <c r="U65"/>
      <c r="V65"/>
      <c r="W65"/>
      <c r="X65"/>
      <c r="Z65"/>
      <c r="AB65"/>
      <c r="AD65"/>
      <c r="AF65"/>
      <c r="BI65"/>
    </row>
    <row r="66" spans="1:61" s="59" customFormat="1" ht="12.75">
      <c r="A66" s="65"/>
      <c r="B66" s="62" t="s">
        <v>180</v>
      </c>
      <c r="F66" s="75"/>
      <c r="G66" s="5" t="s">
        <v>106</v>
      </c>
      <c r="H66" s="77"/>
      <c r="I66" s="5" t="s">
        <v>107</v>
      </c>
      <c r="J66" s="77"/>
      <c r="K66" s="5" t="s">
        <v>108</v>
      </c>
      <c r="L66" s="5"/>
      <c r="M66" s="5" t="s">
        <v>190</v>
      </c>
      <c r="N66" s="5"/>
      <c r="O66" s="5" t="s">
        <v>56</v>
      </c>
      <c r="P66"/>
      <c r="R66"/>
      <c r="S66"/>
      <c r="T66"/>
      <c r="U66"/>
      <c r="V66"/>
      <c r="W66"/>
      <c r="X66"/>
      <c r="Z66"/>
      <c r="AB66"/>
      <c r="AD66"/>
      <c r="AF66"/>
      <c r="BI66"/>
    </row>
    <row r="67" spans="1:61" s="59" customFormat="1" ht="12.75">
      <c r="A67" s="65"/>
      <c r="F67" s="75"/>
      <c r="H67" s="78"/>
      <c r="J67" s="78"/>
      <c r="L67" s="58"/>
      <c r="N67" s="75"/>
      <c r="P67"/>
      <c r="R67"/>
      <c r="S67"/>
      <c r="T67"/>
      <c r="U67"/>
      <c r="V67"/>
      <c r="W67"/>
      <c r="X67"/>
      <c r="Z67"/>
      <c r="AB67"/>
      <c r="AD67"/>
      <c r="AF67"/>
      <c r="BI67"/>
    </row>
    <row r="68" spans="1:61" s="57" customFormat="1" ht="12.75">
      <c r="A68" s="65"/>
      <c r="B68" s="57" t="s">
        <v>18</v>
      </c>
      <c r="C68" s="57" t="s">
        <v>284</v>
      </c>
      <c r="D68" s="57" t="s">
        <v>19</v>
      </c>
      <c r="F68" s="75" t="s">
        <v>191</v>
      </c>
      <c r="G68" s="57">
        <v>0.01200011904</v>
      </c>
      <c r="H68" s="78" t="s">
        <v>191</v>
      </c>
      <c r="I68" s="57">
        <v>0.0150001488</v>
      </c>
      <c r="J68" s="78" t="s">
        <v>191</v>
      </c>
      <c r="K68" s="57">
        <v>0.01200011904</v>
      </c>
      <c r="L68" s="58" t="s">
        <v>191</v>
      </c>
      <c r="N68" s="75" t="s">
        <v>191</v>
      </c>
      <c r="O68" s="57">
        <f>AVERAGE(G68,I68,K68,M68)</f>
        <v>0.013000128960000001</v>
      </c>
      <c r="P68"/>
      <c r="R68"/>
      <c r="S68"/>
      <c r="T68"/>
      <c r="U68"/>
      <c r="V68"/>
      <c r="W68"/>
      <c r="X68"/>
      <c r="Z68"/>
      <c r="AB68"/>
      <c r="AD68"/>
      <c r="AF68"/>
      <c r="BI68"/>
    </row>
    <row r="69" spans="1:61" s="61" customFormat="1" ht="12.75">
      <c r="A69" s="65"/>
      <c r="F69" s="69"/>
      <c r="G69" s="58"/>
      <c r="H69" s="78"/>
      <c r="I69" s="58"/>
      <c r="J69" s="78"/>
      <c r="K69" s="58"/>
      <c r="L69" s="58"/>
      <c r="M69" s="58"/>
      <c r="N69" s="75"/>
      <c r="O69" s="58"/>
      <c r="P69"/>
      <c r="Q69" s="58"/>
      <c r="R69"/>
      <c r="S69"/>
      <c r="T69"/>
      <c r="U69"/>
      <c r="V69"/>
      <c r="W69"/>
      <c r="X69"/>
      <c r="Y69" s="58"/>
      <c r="Z69"/>
      <c r="AA69" s="58"/>
      <c r="AB69"/>
      <c r="AC69" s="58"/>
      <c r="AD69"/>
      <c r="AE69" s="58"/>
      <c r="AF69"/>
      <c r="AG69" s="58"/>
      <c r="AH69" s="58"/>
      <c r="AI69" s="58"/>
      <c r="AJ69" s="58"/>
      <c r="AK69" s="58"/>
      <c r="AL69" s="58"/>
      <c r="AM69" s="58"/>
      <c r="AN69" s="58"/>
      <c r="AO69" s="58"/>
      <c r="BI69"/>
    </row>
    <row r="70" spans="1:61" s="61" customFormat="1" ht="12.75">
      <c r="A70" s="65"/>
      <c r="B70" s="59" t="s">
        <v>82</v>
      </c>
      <c r="C70" s="61" t="s">
        <v>197</v>
      </c>
      <c r="D70" s="61" t="s">
        <v>284</v>
      </c>
      <c r="F70" s="69"/>
      <c r="G70" s="58"/>
      <c r="H70" s="78"/>
      <c r="I70" s="58"/>
      <c r="J70" s="78"/>
      <c r="K70" s="58"/>
      <c r="L70" s="58"/>
      <c r="M70" s="58"/>
      <c r="N70" s="75"/>
      <c r="O70" s="58"/>
      <c r="P70"/>
      <c r="Q70" s="58"/>
      <c r="R70"/>
      <c r="S70"/>
      <c r="T70"/>
      <c r="U70"/>
      <c r="V70"/>
      <c r="W70"/>
      <c r="X70"/>
      <c r="Y70" s="58"/>
      <c r="Z70"/>
      <c r="AA70" s="58"/>
      <c r="AB70"/>
      <c r="AC70" s="58"/>
      <c r="AD70"/>
      <c r="AE70" s="58"/>
      <c r="AF70"/>
      <c r="AG70" s="58"/>
      <c r="AH70" s="58"/>
      <c r="AI70" s="58"/>
      <c r="AJ70" s="58"/>
      <c r="AK70" s="58"/>
      <c r="AL70" s="58"/>
      <c r="AM70" s="58"/>
      <c r="AN70" s="58"/>
      <c r="AO70" s="58"/>
      <c r="BI70"/>
    </row>
    <row r="71" spans="1:61" s="61" customFormat="1" ht="12.75">
      <c r="A71" s="65"/>
      <c r="B71" s="34" t="s">
        <v>77</v>
      </c>
      <c r="C71" s="34"/>
      <c r="D71" s="34" t="s">
        <v>16</v>
      </c>
      <c r="F71" s="69"/>
      <c r="G71" s="58">
        <v>68627</v>
      </c>
      <c r="H71" s="78"/>
      <c r="I71" s="58">
        <v>69812</v>
      </c>
      <c r="J71" s="78"/>
      <c r="K71" s="58">
        <v>65504</v>
      </c>
      <c r="L71" s="58"/>
      <c r="M71" s="58"/>
      <c r="N71" s="75"/>
      <c r="O71" s="58"/>
      <c r="P71"/>
      <c r="Q71" s="58"/>
      <c r="R71"/>
      <c r="S71"/>
      <c r="T71"/>
      <c r="U71"/>
      <c r="V71"/>
      <c r="W71"/>
      <c r="X71"/>
      <c r="Y71" s="58"/>
      <c r="Z71"/>
      <c r="AA71" s="58"/>
      <c r="AB71"/>
      <c r="AC71" s="58"/>
      <c r="AD71"/>
      <c r="AE71" s="58"/>
      <c r="AF71"/>
      <c r="AG71" s="58"/>
      <c r="AH71" s="58"/>
      <c r="AI71" s="58"/>
      <c r="AJ71" s="58"/>
      <c r="AK71" s="58"/>
      <c r="AL71" s="58"/>
      <c r="AM71" s="58"/>
      <c r="AN71" s="58"/>
      <c r="AO71" s="58"/>
      <c r="BI71"/>
    </row>
    <row r="72" spans="1:61" s="61" customFormat="1" ht="12.75">
      <c r="A72" s="65"/>
      <c r="B72" s="34" t="s">
        <v>80</v>
      </c>
      <c r="C72" s="34"/>
      <c r="D72" s="34" t="s">
        <v>14</v>
      </c>
      <c r="F72" s="69"/>
      <c r="G72" s="58">
        <v>8.9</v>
      </c>
      <c r="H72" s="78"/>
      <c r="I72" s="58">
        <v>9.1</v>
      </c>
      <c r="J72" s="78"/>
      <c r="K72" s="58">
        <v>9.5</v>
      </c>
      <c r="L72" s="58"/>
      <c r="M72" s="58"/>
      <c r="N72" s="75"/>
      <c r="O72" s="58"/>
      <c r="P72"/>
      <c r="Q72" s="58"/>
      <c r="R72"/>
      <c r="S72"/>
      <c r="T72"/>
      <c r="U72"/>
      <c r="V72"/>
      <c r="W72"/>
      <c r="X72"/>
      <c r="Y72" s="58"/>
      <c r="Z72"/>
      <c r="AA72" s="58"/>
      <c r="AB72"/>
      <c r="AC72" s="58"/>
      <c r="AD72"/>
      <c r="AE72" s="58"/>
      <c r="AF72"/>
      <c r="AG72" s="58"/>
      <c r="AH72" s="58"/>
      <c r="AI72" s="58"/>
      <c r="AJ72" s="58"/>
      <c r="AK72" s="58"/>
      <c r="AL72" s="58"/>
      <c r="AM72" s="58"/>
      <c r="AN72" s="58"/>
      <c r="AO72" s="58"/>
      <c r="BI72"/>
    </row>
    <row r="73" spans="1:61" s="61" customFormat="1" ht="12.75">
      <c r="A73" s="65"/>
      <c r="B73" s="34" t="s">
        <v>81</v>
      </c>
      <c r="C73" s="34"/>
      <c r="D73" s="34" t="s">
        <v>14</v>
      </c>
      <c r="F73" s="69"/>
      <c r="G73" s="58">
        <v>30.99</v>
      </c>
      <c r="H73" s="78"/>
      <c r="I73" s="58">
        <v>31.48</v>
      </c>
      <c r="J73" s="78"/>
      <c r="K73" s="58">
        <v>31.93</v>
      </c>
      <c r="L73" s="58"/>
      <c r="M73" s="58"/>
      <c r="N73" s="75"/>
      <c r="O73" s="58"/>
      <c r="P73"/>
      <c r="Q73" s="58"/>
      <c r="R73"/>
      <c r="S73"/>
      <c r="T73"/>
      <c r="U73"/>
      <c r="V73"/>
      <c r="W73"/>
      <c r="X73"/>
      <c r="Y73" s="58"/>
      <c r="Z73"/>
      <c r="AA73" s="58"/>
      <c r="AB73"/>
      <c r="AC73" s="58"/>
      <c r="AD73"/>
      <c r="AE73" s="58"/>
      <c r="AF73"/>
      <c r="AG73" s="58"/>
      <c r="AH73" s="58"/>
      <c r="AI73" s="58"/>
      <c r="AJ73" s="58"/>
      <c r="AK73" s="58"/>
      <c r="AL73" s="58"/>
      <c r="AM73" s="58"/>
      <c r="AN73" s="58"/>
      <c r="AO73" s="58"/>
      <c r="BI73"/>
    </row>
    <row r="74" spans="1:61" s="61" customFormat="1" ht="12.75">
      <c r="A74" s="65"/>
      <c r="B74" s="34" t="s">
        <v>76</v>
      </c>
      <c r="C74" s="34"/>
      <c r="D74" s="34" t="s">
        <v>17</v>
      </c>
      <c r="F74" s="69"/>
      <c r="G74" s="58">
        <v>392</v>
      </c>
      <c r="H74" s="78"/>
      <c r="I74" s="58">
        <v>388</v>
      </c>
      <c r="J74" s="78"/>
      <c r="K74" s="58">
        <v>396</v>
      </c>
      <c r="L74" s="58"/>
      <c r="M74" s="58"/>
      <c r="N74" s="75"/>
      <c r="O74" s="58"/>
      <c r="P74"/>
      <c r="Q74" s="58"/>
      <c r="R74"/>
      <c r="S74"/>
      <c r="T74"/>
      <c r="U74"/>
      <c r="V74"/>
      <c r="W74"/>
      <c r="X74"/>
      <c r="Y74" s="58"/>
      <c r="Z74"/>
      <c r="AA74" s="58"/>
      <c r="AB74"/>
      <c r="AC74" s="58"/>
      <c r="AD74"/>
      <c r="AE74" s="58"/>
      <c r="AF74"/>
      <c r="AG74" s="58"/>
      <c r="AH74" s="58"/>
      <c r="AI74" s="58"/>
      <c r="AJ74" s="58"/>
      <c r="AK74" s="58"/>
      <c r="AL74" s="58"/>
      <c r="AM74" s="58"/>
      <c r="AN74" s="58"/>
      <c r="AO74" s="58"/>
      <c r="BI74"/>
    </row>
    <row r="75" spans="1:61" s="57" customFormat="1" ht="12.75">
      <c r="A75" s="65"/>
      <c r="F75" s="75"/>
      <c r="H75" s="78"/>
      <c r="J75" s="78"/>
      <c r="L75" s="58"/>
      <c r="N75" s="75"/>
      <c r="P75"/>
      <c r="R75"/>
      <c r="S75"/>
      <c r="T75"/>
      <c r="U75"/>
      <c r="V75"/>
      <c r="W75"/>
      <c r="X75"/>
      <c r="Z75"/>
      <c r="AB75"/>
      <c r="AD75"/>
      <c r="AF75"/>
      <c r="BI75"/>
    </row>
    <row r="76" spans="1:61" s="57" customFormat="1" ht="12.75">
      <c r="A76" s="65"/>
      <c r="B76" s="59" t="s">
        <v>82</v>
      </c>
      <c r="C76" s="61" t="s">
        <v>196</v>
      </c>
      <c r="D76" s="57" t="s">
        <v>286</v>
      </c>
      <c r="F76" s="75"/>
      <c r="H76" s="78"/>
      <c r="J76" s="78"/>
      <c r="L76" s="58"/>
      <c r="N76" s="75"/>
      <c r="P76"/>
      <c r="R76"/>
      <c r="S76"/>
      <c r="T76"/>
      <c r="U76"/>
      <c r="V76"/>
      <c r="W76"/>
      <c r="X76"/>
      <c r="Z76"/>
      <c r="AB76"/>
      <c r="AD76"/>
      <c r="AF76"/>
      <c r="BI76"/>
    </row>
    <row r="77" spans="1:61" s="61" customFormat="1" ht="12.75">
      <c r="A77" s="65"/>
      <c r="B77" s="34" t="s">
        <v>77</v>
      </c>
      <c r="C77" s="34"/>
      <c r="D77" s="34" t="s">
        <v>16</v>
      </c>
      <c r="F77" s="69"/>
      <c r="G77" s="58">
        <v>65855</v>
      </c>
      <c r="H77" s="78"/>
      <c r="I77" s="58">
        <v>67833</v>
      </c>
      <c r="J77" s="78"/>
      <c r="K77" s="58">
        <v>65366</v>
      </c>
      <c r="L77" s="58"/>
      <c r="N77" s="69"/>
      <c r="P77"/>
      <c r="R77"/>
      <c r="S77"/>
      <c r="T77"/>
      <c r="U77"/>
      <c r="V77"/>
      <c r="W77"/>
      <c r="X77"/>
      <c r="Y77" s="58"/>
      <c r="Z77"/>
      <c r="AA77" s="58"/>
      <c r="AB77"/>
      <c r="AC77" s="58"/>
      <c r="AD77"/>
      <c r="AE77" s="58"/>
      <c r="AF77"/>
      <c r="AG77" s="58"/>
      <c r="AH77" s="58"/>
      <c r="AI77" s="58"/>
      <c r="AJ77" s="58"/>
      <c r="AK77" s="58"/>
      <c r="AL77" s="58"/>
      <c r="AM77" s="58"/>
      <c r="AN77" s="58"/>
      <c r="AO77" s="58"/>
      <c r="BI77"/>
    </row>
    <row r="78" spans="1:61" s="61" customFormat="1" ht="12.75">
      <c r="A78" s="65"/>
      <c r="B78" s="34" t="s">
        <v>80</v>
      </c>
      <c r="C78" s="34"/>
      <c r="D78" s="34" t="s">
        <v>14</v>
      </c>
      <c r="F78" s="69"/>
      <c r="G78" s="58">
        <v>8.4</v>
      </c>
      <c r="H78" s="78"/>
      <c r="I78" s="58">
        <v>8.8</v>
      </c>
      <c r="J78" s="78"/>
      <c r="K78" s="58">
        <v>8.6</v>
      </c>
      <c r="L78" s="58"/>
      <c r="N78" s="69"/>
      <c r="P78"/>
      <c r="R78"/>
      <c r="S78"/>
      <c r="T78"/>
      <c r="U78"/>
      <c r="V78"/>
      <c r="W78"/>
      <c r="X78"/>
      <c r="Y78" s="58"/>
      <c r="Z78"/>
      <c r="AA78" s="58"/>
      <c r="AB78"/>
      <c r="AC78" s="58"/>
      <c r="AD78"/>
      <c r="AE78" s="58"/>
      <c r="AF78"/>
      <c r="AG78" s="58"/>
      <c r="AH78" s="58"/>
      <c r="AI78" s="58"/>
      <c r="AJ78" s="58"/>
      <c r="AK78" s="58"/>
      <c r="AL78" s="58"/>
      <c r="AM78" s="58"/>
      <c r="AN78" s="58"/>
      <c r="AO78" s="58"/>
      <c r="BI78"/>
    </row>
    <row r="79" spans="1:61" s="61" customFormat="1" ht="12.75">
      <c r="A79" s="65"/>
      <c r="B79" s="34" t="s">
        <v>81</v>
      </c>
      <c r="C79" s="34"/>
      <c r="D79" s="34" t="s">
        <v>14</v>
      </c>
      <c r="F79" s="69"/>
      <c r="G79" s="58">
        <v>31.1</v>
      </c>
      <c r="H79" s="78"/>
      <c r="I79" s="58">
        <v>31.6</v>
      </c>
      <c r="J79" s="78"/>
      <c r="K79" s="58">
        <v>32</v>
      </c>
      <c r="L79" s="58"/>
      <c r="N79" s="69"/>
      <c r="P79"/>
      <c r="R79"/>
      <c r="S79"/>
      <c r="T79"/>
      <c r="U79"/>
      <c r="V79"/>
      <c r="W79"/>
      <c r="X79"/>
      <c r="Y79" s="58"/>
      <c r="Z79"/>
      <c r="AA79" s="58"/>
      <c r="AB79"/>
      <c r="AC79" s="58"/>
      <c r="AD79"/>
      <c r="AE79" s="58"/>
      <c r="AF79"/>
      <c r="AG79" s="58"/>
      <c r="AH79" s="58"/>
      <c r="AI79" s="58"/>
      <c r="AJ79" s="58"/>
      <c r="AK79" s="58"/>
      <c r="AL79" s="58"/>
      <c r="AM79" s="58"/>
      <c r="AN79" s="58"/>
      <c r="AO79" s="58"/>
      <c r="BI79"/>
    </row>
    <row r="80" spans="1:61" s="61" customFormat="1" ht="12.75">
      <c r="A80" s="65"/>
      <c r="B80" s="34" t="s">
        <v>76</v>
      </c>
      <c r="C80" s="34"/>
      <c r="D80" s="34" t="s">
        <v>17</v>
      </c>
      <c r="F80" s="69"/>
      <c r="G80" s="58">
        <v>385</v>
      </c>
      <c r="H80" s="78"/>
      <c r="I80" s="58">
        <v>392</v>
      </c>
      <c r="J80" s="78"/>
      <c r="K80" s="58">
        <v>386</v>
      </c>
      <c r="L80" s="58"/>
      <c r="N80" s="69"/>
      <c r="P80"/>
      <c r="R80"/>
      <c r="S80"/>
      <c r="T80"/>
      <c r="U80"/>
      <c r="V80"/>
      <c r="W80"/>
      <c r="X80"/>
      <c r="Y80" s="58"/>
      <c r="Z80"/>
      <c r="AA80" s="58"/>
      <c r="AB80"/>
      <c r="AC80" s="58"/>
      <c r="AD80"/>
      <c r="AE80" s="58"/>
      <c r="AF80"/>
      <c r="AG80" s="58"/>
      <c r="AH80" s="58"/>
      <c r="AI80" s="58"/>
      <c r="AJ80" s="58"/>
      <c r="AK80" s="58"/>
      <c r="AL80" s="58"/>
      <c r="AM80" s="58"/>
      <c r="AN80" s="58"/>
      <c r="AO80" s="58"/>
      <c r="BI80"/>
    </row>
    <row r="81" spans="1:61" s="61" customFormat="1" ht="12.75">
      <c r="A81" s="65"/>
      <c r="F81" s="69"/>
      <c r="G81" s="58"/>
      <c r="H81" s="78"/>
      <c r="I81" s="58"/>
      <c r="J81" s="78"/>
      <c r="K81" s="58"/>
      <c r="L81" s="58"/>
      <c r="M81" s="58"/>
      <c r="N81" s="75"/>
      <c r="O81" s="58"/>
      <c r="P81"/>
      <c r="Q81" s="58"/>
      <c r="R81"/>
      <c r="S81"/>
      <c r="T81"/>
      <c r="U81"/>
      <c r="V81"/>
      <c r="W81"/>
      <c r="X81"/>
      <c r="Y81" s="58"/>
      <c r="Z81"/>
      <c r="AA81" s="58"/>
      <c r="AB81"/>
      <c r="AC81" s="58"/>
      <c r="AD81"/>
      <c r="AE81" s="58"/>
      <c r="AF81"/>
      <c r="AG81" s="58"/>
      <c r="AH81" s="58"/>
      <c r="AI81" s="58"/>
      <c r="AJ81" s="58"/>
      <c r="AK81" s="58"/>
      <c r="AL81" s="58"/>
      <c r="AM81" s="58"/>
      <c r="AN81" s="58"/>
      <c r="AO81" s="58"/>
      <c r="BI81"/>
    </row>
    <row r="82" spans="1:61" s="61" customFormat="1" ht="12.75">
      <c r="A82" s="65"/>
      <c r="B82" s="33" t="s">
        <v>185</v>
      </c>
      <c r="F82" s="69"/>
      <c r="G82" s="5" t="s">
        <v>106</v>
      </c>
      <c r="H82" s="77"/>
      <c r="I82" s="5" t="s">
        <v>107</v>
      </c>
      <c r="J82" s="77"/>
      <c r="K82" s="5" t="s">
        <v>108</v>
      </c>
      <c r="L82" s="5"/>
      <c r="M82" s="5" t="s">
        <v>190</v>
      </c>
      <c r="N82" s="5"/>
      <c r="O82" s="5" t="s">
        <v>56</v>
      </c>
      <c r="P82"/>
      <c r="Q82" s="58"/>
      <c r="R82"/>
      <c r="S82"/>
      <c r="T82"/>
      <c r="U82"/>
      <c r="V82"/>
      <c r="W82"/>
      <c r="X82"/>
      <c r="Y82" s="58"/>
      <c r="Z82"/>
      <c r="AA82" s="58"/>
      <c r="AB82"/>
      <c r="AC82" s="58"/>
      <c r="AD82"/>
      <c r="AE82" s="58"/>
      <c r="AF82"/>
      <c r="AG82" s="58"/>
      <c r="AH82" s="58"/>
      <c r="AI82" s="58"/>
      <c r="AJ82" s="58"/>
      <c r="AK82" s="58"/>
      <c r="AL82" s="58"/>
      <c r="AM82" s="58"/>
      <c r="AN82" s="58"/>
      <c r="AO82" s="58"/>
      <c r="BI82"/>
    </row>
    <row r="83" spans="1:61" s="61" customFormat="1" ht="12.75">
      <c r="A83" s="65"/>
      <c r="F83" s="69"/>
      <c r="G83" s="58"/>
      <c r="H83" s="78"/>
      <c r="I83" s="58"/>
      <c r="J83" s="78"/>
      <c r="K83" s="58"/>
      <c r="L83" s="58"/>
      <c r="M83" s="58"/>
      <c r="N83" s="75"/>
      <c r="O83" s="58"/>
      <c r="P83"/>
      <c r="Q83" s="58"/>
      <c r="R83"/>
      <c r="S83"/>
      <c r="T83"/>
      <c r="U83"/>
      <c r="V83"/>
      <c r="W83"/>
      <c r="X83"/>
      <c r="Y83" s="58"/>
      <c r="Z83"/>
      <c r="AA83" s="58"/>
      <c r="AB83"/>
      <c r="AC83" s="58"/>
      <c r="AD83"/>
      <c r="AE83" s="58"/>
      <c r="AF83"/>
      <c r="AG83" s="58"/>
      <c r="AH83" s="58"/>
      <c r="AI83" s="58"/>
      <c r="AJ83" s="58"/>
      <c r="AK83" s="58"/>
      <c r="AL83" s="58"/>
      <c r="AM83" s="58"/>
      <c r="AN83" s="58"/>
      <c r="AO83" s="58"/>
      <c r="BI83"/>
    </row>
    <row r="84" spans="1:61" s="61" customFormat="1" ht="12.75">
      <c r="A84" s="65"/>
      <c r="B84" s="61" t="s">
        <v>255</v>
      </c>
      <c r="C84" s="61" t="s">
        <v>64</v>
      </c>
      <c r="D84" s="61" t="s">
        <v>14</v>
      </c>
      <c r="F84" s="69"/>
      <c r="G84" s="58">
        <v>99.9992</v>
      </c>
      <c r="H84" s="78"/>
      <c r="I84" s="58">
        <v>99.9999</v>
      </c>
      <c r="J84" s="78"/>
      <c r="K84" s="58">
        <v>99.9993</v>
      </c>
      <c r="L84" s="58"/>
      <c r="M84" s="58">
        <v>99.9993</v>
      </c>
      <c r="N84" s="75"/>
      <c r="O84" s="58"/>
      <c r="P84"/>
      <c r="Q84" s="58"/>
      <c r="R84"/>
      <c r="S84"/>
      <c r="T84"/>
      <c r="U84"/>
      <c r="V84"/>
      <c r="W84"/>
      <c r="X84"/>
      <c r="Y84" s="58"/>
      <c r="Z84"/>
      <c r="AA84" s="58"/>
      <c r="AB84"/>
      <c r="AC84" s="58"/>
      <c r="AD84"/>
      <c r="AE84" s="58"/>
      <c r="AF84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I84"/>
    </row>
    <row r="85" spans="1:61" s="61" customFormat="1" ht="12.75">
      <c r="A85" s="65"/>
      <c r="B85" s="61" t="s">
        <v>146</v>
      </c>
      <c r="C85" s="61" t="s">
        <v>64</v>
      </c>
      <c r="D85" s="61" t="s">
        <v>14</v>
      </c>
      <c r="F85" s="69"/>
      <c r="G85" s="58">
        <v>99.9999</v>
      </c>
      <c r="H85" s="78"/>
      <c r="I85" s="58">
        <v>99.9999</v>
      </c>
      <c r="J85" s="78"/>
      <c r="K85" s="58">
        <v>99.9999</v>
      </c>
      <c r="L85" s="58"/>
      <c r="M85" s="58">
        <v>99.9999</v>
      </c>
      <c r="N85" s="75"/>
      <c r="O85" s="58"/>
      <c r="P85"/>
      <c r="Q85" s="58"/>
      <c r="R85"/>
      <c r="S85"/>
      <c r="T85"/>
      <c r="U85"/>
      <c r="V85"/>
      <c r="W85"/>
      <c r="X85"/>
      <c r="Y85" s="58"/>
      <c r="Z85"/>
      <c r="AA85" s="58"/>
      <c r="AB85"/>
      <c r="AC85" s="58"/>
      <c r="AD85"/>
      <c r="AE85" s="58"/>
      <c r="AF85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I85"/>
    </row>
    <row r="86" spans="1:61" s="61" customFormat="1" ht="12.75">
      <c r="A86" s="65"/>
      <c r="B86" s="61" t="s">
        <v>258</v>
      </c>
      <c r="C86" s="61" t="s">
        <v>64</v>
      </c>
      <c r="D86" s="61" t="s">
        <v>14</v>
      </c>
      <c r="F86" s="69"/>
      <c r="G86" s="58">
        <v>99.9999</v>
      </c>
      <c r="H86" s="78"/>
      <c r="I86" s="58">
        <v>99.9999</v>
      </c>
      <c r="J86" s="78"/>
      <c r="K86" s="58">
        <v>99.9999</v>
      </c>
      <c r="L86" s="58"/>
      <c r="M86" s="58">
        <v>99.9999</v>
      </c>
      <c r="N86" s="75"/>
      <c r="O86" s="58"/>
      <c r="P86"/>
      <c r="Q86" s="58"/>
      <c r="R86"/>
      <c r="S86"/>
      <c r="T86"/>
      <c r="U86"/>
      <c r="V86"/>
      <c r="W86"/>
      <c r="X86"/>
      <c r="Y86" s="58"/>
      <c r="Z86"/>
      <c r="AA86" s="58"/>
      <c r="AB86"/>
      <c r="AC86" s="58"/>
      <c r="AD86"/>
      <c r="AE86" s="58"/>
      <c r="AF86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I86"/>
    </row>
    <row r="87" spans="1:61" s="57" customFormat="1" ht="12.75">
      <c r="A87" s="65"/>
      <c r="F87" s="75"/>
      <c r="H87" s="78"/>
      <c r="J87" s="78"/>
      <c r="L87" s="58"/>
      <c r="N87" s="75"/>
      <c r="P87"/>
      <c r="R87"/>
      <c r="S87"/>
      <c r="T87"/>
      <c r="U87"/>
      <c r="V87"/>
      <c r="W87"/>
      <c r="X87"/>
      <c r="Z87"/>
      <c r="AB87"/>
      <c r="AD87"/>
      <c r="AF87"/>
      <c r="BI87"/>
    </row>
    <row r="88" spans="1:61" s="57" customFormat="1" ht="12.75">
      <c r="A88" s="65">
        <v>6</v>
      </c>
      <c r="B88" s="63" t="s">
        <v>187</v>
      </c>
      <c r="F88" s="75"/>
      <c r="G88" s="5" t="s">
        <v>106</v>
      </c>
      <c r="H88" s="77"/>
      <c r="I88" s="5" t="s">
        <v>107</v>
      </c>
      <c r="J88" s="77"/>
      <c r="K88" s="5" t="s">
        <v>108</v>
      </c>
      <c r="L88" s="5"/>
      <c r="M88" s="5" t="s">
        <v>190</v>
      </c>
      <c r="N88" s="5"/>
      <c r="O88" s="5" t="s">
        <v>56</v>
      </c>
      <c r="P88"/>
      <c r="R88"/>
      <c r="S88"/>
      <c r="T88"/>
      <c r="U88"/>
      <c r="V88"/>
      <c r="W88"/>
      <c r="X88"/>
      <c r="Z88"/>
      <c r="AB88"/>
      <c r="AD88"/>
      <c r="AF88"/>
      <c r="BI88"/>
    </row>
    <row r="89" spans="1:61" s="57" customFormat="1" ht="12.75">
      <c r="A89" s="65"/>
      <c r="F89" s="75"/>
      <c r="H89" s="78"/>
      <c r="J89" s="78"/>
      <c r="L89" s="58"/>
      <c r="N89" s="75"/>
      <c r="P89"/>
      <c r="R89"/>
      <c r="S89"/>
      <c r="T89"/>
      <c r="U89"/>
      <c r="V89"/>
      <c r="W89"/>
      <c r="X89"/>
      <c r="Z89"/>
      <c r="AB89"/>
      <c r="AD89"/>
      <c r="AF89"/>
      <c r="BI89"/>
    </row>
    <row r="90" spans="1:61" s="57" customFormat="1" ht="12.75">
      <c r="A90" s="65"/>
      <c r="B90" s="57" t="s">
        <v>18</v>
      </c>
      <c r="C90" s="57" t="s">
        <v>284</v>
      </c>
      <c r="D90" s="57" t="s">
        <v>19</v>
      </c>
      <c r="E90" s="57" t="s">
        <v>15</v>
      </c>
      <c r="F90" s="75" t="s">
        <v>191</v>
      </c>
      <c r="G90" s="57">
        <v>0.022521962546087</v>
      </c>
      <c r="H90" s="78" t="s">
        <v>191</v>
      </c>
      <c r="I90" s="57">
        <v>0.016828449764848485</v>
      </c>
      <c r="J90" s="78" t="s">
        <v>191</v>
      </c>
      <c r="K90" s="57">
        <v>0.030234342474893615</v>
      </c>
      <c r="L90" s="58" t="s">
        <v>191</v>
      </c>
      <c r="N90" s="75" t="s">
        <v>191</v>
      </c>
      <c r="O90" s="64">
        <f>AVERAGE(G90,I90,K90,M90)</f>
        <v>0.02319491826194303</v>
      </c>
      <c r="P90"/>
      <c r="R90"/>
      <c r="S90"/>
      <c r="T90"/>
      <c r="U90"/>
      <c r="V90"/>
      <c r="W90"/>
      <c r="X90"/>
      <c r="Z90"/>
      <c r="AB90"/>
      <c r="AD90"/>
      <c r="AF90"/>
      <c r="BI90"/>
    </row>
    <row r="91" spans="1:61" s="59" customFormat="1" ht="12.75">
      <c r="A91" s="65"/>
      <c r="B91" s="59" t="s">
        <v>147</v>
      </c>
      <c r="C91" s="57" t="s">
        <v>284</v>
      </c>
      <c r="D91" s="59" t="s">
        <v>51</v>
      </c>
      <c r="E91" s="57" t="s">
        <v>15</v>
      </c>
      <c r="F91" s="75" t="s">
        <v>191</v>
      </c>
      <c r="G91" s="59">
        <v>96.3529411764706</v>
      </c>
      <c r="H91" s="78" t="s">
        <v>191</v>
      </c>
      <c r="I91" s="59">
        <v>91.96330275229356</v>
      </c>
      <c r="J91" s="78" t="s">
        <v>191</v>
      </c>
      <c r="K91" s="59">
        <v>89.48453608247424</v>
      </c>
      <c r="L91" s="58" t="s">
        <v>191</v>
      </c>
      <c r="N91" s="75" t="s">
        <v>191</v>
      </c>
      <c r="O91" s="59">
        <f>AVERAGE(G91,I91,K91)</f>
        <v>92.60026000374613</v>
      </c>
      <c r="P91"/>
      <c r="R91"/>
      <c r="S91"/>
      <c r="T91"/>
      <c r="U91"/>
      <c r="V91"/>
      <c r="W91"/>
      <c r="X91"/>
      <c r="Z91"/>
      <c r="AB91"/>
      <c r="AD91"/>
      <c r="AF91"/>
      <c r="BI91"/>
    </row>
    <row r="92" spans="1:61" s="59" customFormat="1" ht="12.75">
      <c r="A92" s="65"/>
      <c r="B92" s="59" t="s">
        <v>20</v>
      </c>
      <c r="C92" s="57" t="s">
        <v>284</v>
      </c>
      <c r="D92" s="59" t="s">
        <v>51</v>
      </c>
      <c r="E92" s="57" t="s">
        <v>15</v>
      </c>
      <c r="F92" s="75" t="s">
        <v>191</v>
      </c>
      <c r="G92" s="59">
        <v>8.0635140146491</v>
      </c>
      <c r="H92" s="78" t="s">
        <v>191</v>
      </c>
      <c r="I92" s="59">
        <v>9.09908796458239</v>
      </c>
      <c r="J92" s="78" t="s">
        <v>191</v>
      </c>
      <c r="K92" s="59">
        <v>7.824304601934888</v>
      </c>
      <c r="L92" s="58" t="s">
        <v>191</v>
      </c>
      <c r="N92" s="75" t="s">
        <v>191</v>
      </c>
      <c r="O92" s="60">
        <f>AVERAGE(G92,I92,K92,M92)</f>
        <v>8.328968860388793</v>
      </c>
      <c r="P92"/>
      <c r="R92"/>
      <c r="S92"/>
      <c r="T92"/>
      <c r="U92"/>
      <c r="V92"/>
      <c r="W92"/>
      <c r="X92"/>
      <c r="Z92"/>
      <c r="AB92"/>
      <c r="AD92"/>
      <c r="AF92"/>
      <c r="BI92"/>
    </row>
    <row r="93" spans="1:61" s="59" customFormat="1" ht="12.75">
      <c r="A93" s="65"/>
      <c r="B93" s="59" t="s">
        <v>83</v>
      </c>
      <c r="C93" s="57" t="s">
        <v>284</v>
      </c>
      <c r="D93" s="59" t="s">
        <v>55</v>
      </c>
      <c r="E93" s="57" t="s">
        <v>15</v>
      </c>
      <c r="F93" s="75" t="s">
        <v>13</v>
      </c>
      <c r="G93" s="59">
        <v>2.8742111801242234</v>
      </c>
      <c r="H93" s="78" t="s">
        <v>13</v>
      </c>
      <c r="I93" s="59">
        <v>2.6557517241379314</v>
      </c>
      <c r="J93" s="78" t="s">
        <v>13</v>
      </c>
      <c r="K93" s="59">
        <v>5.036455319148936</v>
      </c>
      <c r="L93" s="58" t="s">
        <v>191</v>
      </c>
      <c r="N93" s="75">
        <v>100</v>
      </c>
      <c r="O93" s="59">
        <f aca="true" t="shared" si="2" ref="O93:O99">AVERAGE(G93,I93,K93)</f>
        <v>3.522139407803697</v>
      </c>
      <c r="P93"/>
      <c r="R93"/>
      <c r="S93"/>
      <c r="T93"/>
      <c r="U93"/>
      <c r="V93"/>
      <c r="W93"/>
      <c r="X93"/>
      <c r="Z93"/>
      <c r="AB93"/>
      <c r="AD93"/>
      <c r="AF93"/>
      <c r="BI93"/>
    </row>
    <row r="94" spans="1:61" s="59" customFormat="1" ht="12.75">
      <c r="A94" s="65"/>
      <c r="B94" s="59" t="s">
        <v>90</v>
      </c>
      <c r="C94" s="57" t="s">
        <v>284</v>
      </c>
      <c r="D94" s="59" t="s">
        <v>55</v>
      </c>
      <c r="E94" s="57" t="s">
        <v>15</v>
      </c>
      <c r="F94" s="75" t="s">
        <v>191</v>
      </c>
      <c r="G94" s="59">
        <v>18.958739130434786</v>
      </c>
      <c r="H94" s="78" t="s">
        <v>191</v>
      </c>
      <c r="I94" s="59">
        <v>10.07623448275862</v>
      </c>
      <c r="J94" s="78" t="s">
        <v>191</v>
      </c>
      <c r="K94" s="59">
        <v>15.109365957446807</v>
      </c>
      <c r="L94" s="58" t="s">
        <v>191</v>
      </c>
      <c r="N94" s="75" t="s">
        <v>191</v>
      </c>
      <c r="O94" s="59">
        <f t="shared" si="2"/>
        <v>14.714779856880071</v>
      </c>
      <c r="P94"/>
      <c r="R94"/>
      <c r="S94"/>
      <c r="T94"/>
      <c r="U94"/>
      <c r="V94"/>
      <c r="W94"/>
      <c r="X94"/>
      <c r="Z94"/>
      <c r="AB94"/>
      <c r="AD94"/>
      <c r="AF94"/>
      <c r="BI94"/>
    </row>
    <row r="95" spans="1:61" s="59" customFormat="1" ht="12.75">
      <c r="A95" s="65"/>
      <c r="B95" s="59" t="s">
        <v>92</v>
      </c>
      <c r="C95" s="57" t="s">
        <v>284</v>
      </c>
      <c r="D95" s="59" t="s">
        <v>55</v>
      </c>
      <c r="E95" s="57" t="s">
        <v>15</v>
      </c>
      <c r="F95" s="75" t="s">
        <v>191</v>
      </c>
      <c r="G95" s="59">
        <v>60.524254658385</v>
      </c>
      <c r="H95" s="78" t="s">
        <v>191</v>
      </c>
      <c r="I95" s="59">
        <v>7.029931034482759</v>
      </c>
      <c r="J95" s="78" t="s">
        <v>191</v>
      </c>
      <c r="K95" s="59">
        <v>43.472561702127656</v>
      </c>
      <c r="L95" s="58" t="s">
        <v>191</v>
      </c>
      <c r="N95" s="75" t="s">
        <v>191</v>
      </c>
      <c r="O95" s="59">
        <f t="shared" si="2"/>
        <v>37.008915798331806</v>
      </c>
      <c r="P95"/>
      <c r="R95"/>
      <c r="S95"/>
      <c r="T95"/>
      <c r="U95"/>
      <c r="V95"/>
      <c r="W95"/>
      <c r="X95"/>
      <c r="Z95"/>
      <c r="AB95"/>
      <c r="AD95"/>
      <c r="AF95"/>
      <c r="BI95"/>
    </row>
    <row r="96" spans="1:61" s="59" customFormat="1" ht="12.75">
      <c r="A96" s="65"/>
      <c r="B96" s="59" t="s">
        <v>88</v>
      </c>
      <c r="C96" s="57" t="s">
        <v>284</v>
      </c>
      <c r="D96" s="59" t="s">
        <v>55</v>
      </c>
      <c r="E96" s="57" t="s">
        <v>15</v>
      </c>
      <c r="F96" s="75" t="s">
        <v>191</v>
      </c>
      <c r="G96" s="59">
        <v>76.27714285714286</v>
      </c>
      <c r="H96" s="78" t="s">
        <v>191</v>
      </c>
      <c r="I96" s="59">
        <v>58.84312643678161</v>
      </c>
      <c r="J96" s="78" t="s">
        <v>191</v>
      </c>
      <c r="K96" s="59">
        <v>83.49912765957446</v>
      </c>
      <c r="L96" s="58" t="s">
        <v>191</v>
      </c>
      <c r="N96" s="75" t="s">
        <v>191</v>
      </c>
      <c r="O96" s="59">
        <f t="shared" si="2"/>
        <v>72.87313231783298</v>
      </c>
      <c r="P96"/>
      <c r="R96"/>
      <c r="S96"/>
      <c r="T96"/>
      <c r="U96"/>
      <c r="V96"/>
      <c r="W96"/>
      <c r="X96"/>
      <c r="Z96"/>
      <c r="AB96"/>
      <c r="AD96"/>
      <c r="AF96"/>
      <c r="BI96"/>
    </row>
    <row r="97" spans="1:61" s="59" customFormat="1" ht="12.75">
      <c r="A97" s="65"/>
      <c r="B97" s="59" t="s">
        <v>89</v>
      </c>
      <c r="C97" s="57" t="s">
        <v>284</v>
      </c>
      <c r="D97" s="59" t="s">
        <v>55</v>
      </c>
      <c r="E97" s="57" t="s">
        <v>15</v>
      </c>
      <c r="F97" s="75" t="s">
        <v>191</v>
      </c>
      <c r="G97" s="59">
        <v>108.33565217391303</v>
      </c>
      <c r="H97" s="78" t="s">
        <v>13</v>
      </c>
      <c r="I97" s="59">
        <v>1.7288422988505745</v>
      </c>
      <c r="J97" s="78" t="s">
        <v>191</v>
      </c>
      <c r="K97" s="59">
        <v>46.388404255319145</v>
      </c>
      <c r="L97" s="58" t="s">
        <v>191</v>
      </c>
      <c r="N97" s="75" t="s">
        <v>191</v>
      </c>
      <c r="O97" s="59">
        <f t="shared" si="2"/>
        <v>52.150966242694246</v>
      </c>
      <c r="P97"/>
      <c r="R97"/>
      <c r="S97"/>
      <c r="T97"/>
      <c r="U97"/>
      <c r="V97"/>
      <c r="W97"/>
      <c r="X97"/>
      <c r="Z97"/>
      <c r="AB97"/>
      <c r="AD97"/>
      <c r="AF97"/>
      <c r="BI97"/>
    </row>
    <row r="98" spans="1:61" s="59" customFormat="1" ht="12.75">
      <c r="A98" s="65"/>
      <c r="B98" s="59" t="s">
        <v>61</v>
      </c>
      <c r="C98" s="57" t="s">
        <v>284</v>
      </c>
      <c r="D98" s="59" t="s">
        <v>55</v>
      </c>
      <c r="E98" s="57" t="s">
        <v>15</v>
      </c>
      <c r="F98" s="75"/>
      <c r="G98" s="59">
        <f>G94+G96</f>
        <v>95.23588198757764</v>
      </c>
      <c r="H98" s="78"/>
      <c r="I98" s="59">
        <f>I94+I96</f>
        <v>68.91936091954022</v>
      </c>
      <c r="J98" s="78"/>
      <c r="K98" s="59">
        <f>K94+K96</f>
        <v>98.60849361702127</v>
      </c>
      <c r="L98" s="58"/>
      <c r="N98" s="75"/>
      <c r="O98" s="59">
        <f t="shared" si="2"/>
        <v>87.58791217471304</v>
      </c>
      <c r="P98"/>
      <c r="R98"/>
      <c r="S98"/>
      <c r="T98"/>
      <c r="U98"/>
      <c r="V98"/>
      <c r="W98"/>
      <c r="X98"/>
      <c r="Z98"/>
      <c r="AB98"/>
      <c r="AD98"/>
      <c r="AF98"/>
      <c r="BI98"/>
    </row>
    <row r="99" spans="1:61" s="59" customFormat="1" ht="12.75">
      <c r="A99" s="65"/>
      <c r="B99" s="59" t="s">
        <v>62</v>
      </c>
      <c r="C99" s="57" t="s">
        <v>284</v>
      </c>
      <c r="D99" s="59" t="s">
        <v>55</v>
      </c>
      <c r="E99" s="57" t="s">
        <v>15</v>
      </c>
      <c r="F99" s="76">
        <f>G93/G99*100</f>
        <v>4.533565823888411</v>
      </c>
      <c r="G99" s="59">
        <f>G93+G95</f>
        <v>63.39846583850922</v>
      </c>
      <c r="H99" s="81">
        <f>I93/I99*100</f>
        <v>27.41935483870968</v>
      </c>
      <c r="I99" s="59">
        <f>I93+I95</f>
        <v>9.68568275862069</v>
      </c>
      <c r="J99" s="81">
        <f>K93/K99*100</f>
        <v>10.382513661202186</v>
      </c>
      <c r="K99" s="59">
        <f>K93+K95</f>
        <v>48.50901702127659</v>
      </c>
      <c r="L99" s="58"/>
      <c r="N99" s="76">
        <f>O93/O99*100</f>
        <v>8.689977080267388</v>
      </c>
      <c r="O99" s="59">
        <f t="shared" si="2"/>
        <v>40.5310552061355</v>
      </c>
      <c r="P99" s="59" t="s">
        <v>275</v>
      </c>
      <c r="S99"/>
      <c r="T99"/>
      <c r="U99"/>
      <c r="V99"/>
      <c r="W99"/>
      <c r="X99"/>
      <c r="Z99"/>
      <c r="AB99"/>
      <c r="AD99"/>
      <c r="AF99"/>
      <c r="BI99"/>
    </row>
    <row r="100" spans="1:61" s="59" customFormat="1" ht="12.75">
      <c r="A100" s="65"/>
      <c r="F100" s="75"/>
      <c r="H100" s="78"/>
      <c r="J100" s="78"/>
      <c r="L100" s="58"/>
      <c r="N100" s="75"/>
      <c r="P100"/>
      <c r="R100"/>
      <c r="S100"/>
      <c r="T100"/>
      <c r="U100"/>
      <c r="V100"/>
      <c r="W100"/>
      <c r="X100"/>
      <c r="Z100"/>
      <c r="AB100"/>
      <c r="AD100"/>
      <c r="AF100"/>
      <c r="BI100"/>
    </row>
    <row r="101" spans="1:61" s="59" customFormat="1" ht="12.75">
      <c r="A101" s="65"/>
      <c r="B101" s="59" t="s">
        <v>82</v>
      </c>
      <c r="C101" s="61" t="s">
        <v>102</v>
      </c>
      <c r="D101" s="59" t="s">
        <v>284</v>
      </c>
      <c r="F101" s="75"/>
      <c r="H101" s="78"/>
      <c r="J101" s="78"/>
      <c r="L101" s="58"/>
      <c r="N101" s="75"/>
      <c r="P101"/>
      <c r="R101"/>
      <c r="S101"/>
      <c r="T101"/>
      <c r="U101"/>
      <c r="V101"/>
      <c r="W101"/>
      <c r="X101"/>
      <c r="Z101"/>
      <c r="AB101"/>
      <c r="AD101"/>
      <c r="AF101"/>
      <c r="BI101"/>
    </row>
    <row r="102" spans="1:61" s="61" customFormat="1" ht="12.75">
      <c r="A102" s="65"/>
      <c r="B102" s="34" t="s">
        <v>77</v>
      </c>
      <c r="C102" s="34"/>
      <c r="D102" s="34" t="s">
        <v>16</v>
      </c>
      <c r="F102" s="69"/>
      <c r="G102" s="58">
        <v>147000</v>
      </c>
      <c r="H102" s="78"/>
      <c r="I102" s="58">
        <v>145000</v>
      </c>
      <c r="J102" s="78"/>
      <c r="K102" s="58">
        <v>150000</v>
      </c>
      <c r="L102" s="58"/>
      <c r="M102" s="58"/>
      <c r="N102" s="75"/>
      <c r="O102" s="58"/>
      <c r="P102"/>
      <c r="Q102" s="58"/>
      <c r="R102"/>
      <c r="S102"/>
      <c r="T102"/>
      <c r="U102"/>
      <c r="V102"/>
      <c r="W102"/>
      <c r="X102"/>
      <c r="Y102" s="58"/>
      <c r="Z102"/>
      <c r="AA102" s="58"/>
      <c r="AB102"/>
      <c r="AC102" s="58"/>
      <c r="AD102"/>
      <c r="AE102" s="58"/>
      <c r="AF102"/>
      <c r="AG102" s="58"/>
      <c r="AH102" s="58"/>
      <c r="AI102" s="58"/>
      <c r="AJ102" s="58"/>
      <c r="AK102" s="58"/>
      <c r="AL102" s="58"/>
      <c r="AM102" s="58"/>
      <c r="AN102" s="58"/>
      <c r="AO102" s="58"/>
      <c r="BI102"/>
    </row>
    <row r="103" spans="1:61" s="61" customFormat="1" ht="12.75">
      <c r="A103" s="65"/>
      <c r="B103" s="34" t="s">
        <v>80</v>
      </c>
      <c r="C103" s="34"/>
      <c r="D103" s="34" t="s">
        <v>14</v>
      </c>
      <c r="F103" s="69"/>
      <c r="G103" s="58">
        <v>11.8</v>
      </c>
      <c r="H103" s="78"/>
      <c r="I103" s="58">
        <v>11.1</v>
      </c>
      <c r="J103" s="78"/>
      <c r="K103" s="58">
        <v>11.6</v>
      </c>
      <c r="L103" s="58"/>
      <c r="M103" s="58"/>
      <c r="N103" s="75"/>
      <c r="O103" s="58"/>
      <c r="P103"/>
      <c r="Q103" s="58"/>
      <c r="R103"/>
      <c r="S103"/>
      <c r="T103"/>
      <c r="U103"/>
      <c r="V103"/>
      <c r="W103"/>
      <c r="X103"/>
      <c r="Y103" s="58"/>
      <c r="Z103"/>
      <c r="AA103" s="58"/>
      <c r="AB103"/>
      <c r="AC103" s="58"/>
      <c r="AD103"/>
      <c r="AE103" s="58"/>
      <c r="AF103"/>
      <c r="AG103" s="58"/>
      <c r="AH103" s="58"/>
      <c r="AI103" s="58"/>
      <c r="AJ103" s="58"/>
      <c r="AK103" s="58"/>
      <c r="AL103" s="58"/>
      <c r="AM103" s="58"/>
      <c r="AN103" s="58"/>
      <c r="AO103" s="58"/>
      <c r="BI103"/>
    </row>
    <row r="104" spans="1:61" s="61" customFormat="1" ht="12.75">
      <c r="A104" s="65"/>
      <c r="B104" s="34" t="s">
        <v>81</v>
      </c>
      <c r="C104" s="34"/>
      <c r="D104" s="34" t="s">
        <v>14</v>
      </c>
      <c r="F104" s="69"/>
      <c r="G104" s="58">
        <v>21.2</v>
      </c>
      <c r="H104" s="78"/>
      <c r="I104" s="58">
        <v>22.5</v>
      </c>
      <c r="J104" s="78"/>
      <c r="K104" s="58">
        <v>22.9</v>
      </c>
      <c r="L104" s="58"/>
      <c r="M104" s="58"/>
      <c r="N104" s="75"/>
      <c r="O104" s="58"/>
      <c r="P104"/>
      <c r="Q104" s="58"/>
      <c r="R104"/>
      <c r="S104"/>
      <c r="T104"/>
      <c r="U104"/>
      <c r="V104"/>
      <c r="W104"/>
      <c r="X104"/>
      <c r="Y104" s="58"/>
      <c r="Z104"/>
      <c r="AA104" s="58"/>
      <c r="AB104"/>
      <c r="AC104" s="58"/>
      <c r="AD104"/>
      <c r="AE104" s="58"/>
      <c r="AF104"/>
      <c r="AG104" s="58"/>
      <c r="AH104" s="58"/>
      <c r="AI104" s="58"/>
      <c r="AJ104" s="58"/>
      <c r="AK104" s="58"/>
      <c r="AL104" s="58"/>
      <c r="AM104" s="58"/>
      <c r="AN104" s="58"/>
      <c r="AO104" s="58"/>
      <c r="BI104"/>
    </row>
    <row r="105" spans="1:61" s="61" customFormat="1" ht="12.75">
      <c r="A105" s="65"/>
      <c r="B105" s="34" t="s">
        <v>76</v>
      </c>
      <c r="C105" s="34"/>
      <c r="D105" s="34" t="s">
        <v>17</v>
      </c>
      <c r="F105" s="69"/>
      <c r="G105" s="58">
        <v>273</v>
      </c>
      <c r="H105" s="78"/>
      <c r="I105" s="58">
        <v>259</v>
      </c>
      <c r="J105" s="78"/>
      <c r="K105" s="58">
        <v>258</v>
      </c>
      <c r="L105" s="58"/>
      <c r="M105" s="58"/>
      <c r="N105" s="75"/>
      <c r="O105" s="58"/>
      <c r="P105"/>
      <c r="Q105" s="58"/>
      <c r="R105"/>
      <c r="S105"/>
      <c r="T105"/>
      <c r="U105"/>
      <c r="V105"/>
      <c r="W105"/>
      <c r="X105"/>
      <c r="Y105" s="58"/>
      <c r="Z105"/>
      <c r="AA105" s="58"/>
      <c r="AB105"/>
      <c r="AC105" s="58"/>
      <c r="AD105"/>
      <c r="AE105" s="58"/>
      <c r="AF105"/>
      <c r="AG105" s="58"/>
      <c r="AH105" s="58"/>
      <c r="AI105" s="58"/>
      <c r="AJ105" s="58"/>
      <c r="AK105" s="58"/>
      <c r="AL105" s="58"/>
      <c r="AM105" s="58"/>
      <c r="AN105" s="58"/>
      <c r="AO105" s="58"/>
      <c r="BI105"/>
    </row>
    <row r="106" spans="1:61" s="59" customFormat="1" ht="12.75">
      <c r="A106" s="65"/>
      <c r="F106" s="75"/>
      <c r="H106" s="78"/>
      <c r="J106" s="78"/>
      <c r="L106" s="58"/>
      <c r="N106" s="75"/>
      <c r="P106"/>
      <c r="R106"/>
      <c r="S106"/>
      <c r="T106"/>
      <c r="U106"/>
      <c r="V106"/>
      <c r="W106"/>
      <c r="X106"/>
      <c r="Z106"/>
      <c r="AB106"/>
      <c r="AD106"/>
      <c r="AF106"/>
      <c r="BI106"/>
    </row>
    <row r="107" spans="1:61" s="59" customFormat="1" ht="12.75">
      <c r="A107" s="65">
        <v>7</v>
      </c>
      <c r="B107" s="62" t="s">
        <v>189</v>
      </c>
      <c r="F107" s="75"/>
      <c r="G107" s="5" t="s">
        <v>106</v>
      </c>
      <c r="H107" s="77"/>
      <c r="I107" s="5" t="s">
        <v>107</v>
      </c>
      <c r="J107" s="77"/>
      <c r="K107" s="5" t="s">
        <v>108</v>
      </c>
      <c r="L107" s="5"/>
      <c r="M107" s="5" t="s">
        <v>190</v>
      </c>
      <c r="N107" s="5"/>
      <c r="O107" s="5" t="s">
        <v>56</v>
      </c>
      <c r="P107"/>
      <c r="R107"/>
      <c r="S107"/>
      <c r="T107"/>
      <c r="U107"/>
      <c r="V107"/>
      <c r="W107"/>
      <c r="X107"/>
      <c r="Z107"/>
      <c r="AB107"/>
      <c r="AD107"/>
      <c r="AF107"/>
      <c r="BI107"/>
    </row>
    <row r="108" spans="1:61" s="59" customFormat="1" ht="12.75">
      <c r="A108" s="65"/>
      <c r="F108" s="75"/>
      <c r="H108" s="78"/>
      <c r="J108" s="78"/>
      <c r="L108" s="58"/>
      <c r="N108" s="75"/>
      <c r="P108"/>
      <c r="R108"/>
      <c r="S108"/>
      <c r="T108"/>
      <c r="U108"/>
      <c r="V108"/>
      <c r="W108"/>
      <c r="X108"/>
      <c r="Z108"/>
      <c r="AB108"/>
      <c r="AD108"/>
      <c r="AF108"/>
      <c r="BI108"/>
    </row>
    <row r="109" spans="1:61" s="57" customFormat="1" ht="12.75">
      <c r="A109" s="65"/>
      <c r="B109" s="57" t="s">
        <v>18</v>
      </c>
      <c r="C109" s="57" t="s">
        <v>284</v>
      </c>
      <c r="D109" s="57" t="s">
        <v>19</v>
      </c>
      <c r="E109" s="57" t="s">
        <v>15</v>
      </c>
      <c r="F109" s="75" t="s">
        <v>191</v>
      </c>
      <c r="G109" s="57">
        <v>0.055533884224</v>
      </c>
      <c r="H109" s="78" t="s">
        <v>191</v>
      </c>
      <c r="I109" s="57">
        <v>0.04382652171130435</v>
      </c>
      <c r="J109" s="78" t="s">
        <v>191</v>
      </c>
      <c r="K109" s="57">
        <v>0.033326417551304346</v>
      </c>
      <c r="L109" s="58" t="s">
        <v>191</v>
      </c>
      <c r="N109" s="75" t="s">
        <v>191</v>
      </c>
      <c r="O109" s="57">
        <f>AVERAGE(G109,I109,K109,M109)</f>
        <v>0.044228941162202905</v>
      </c>
      <c r="P109"/>
      <c r="R109"/>
      <c r="S109"/>
      <c r="T109"/>
      <c r="U109"/>
      <c r="V109"/>
      <c r="W109"/>
      <c r="X109"/>
      <c r="Z109"/>
      <c r="AB109"/>
      <c r="AD109"/>
      <c r="AF109"/>
      <c r="BI109"/>
    </row>
    <row r="110" spans="1:61" s="59" customFormat="1" ht="12.75">
      <c r="A110" s="65"/>
      <c r="B110" s="59" t="s">
        <v>147</v>
      </c>
      <c r="C110" s="57" t="s">
        <v>284</v>
      </c>
      <c r="D110" s="59" t="s">
        <v>51</v>
      </c>
      <c r="E110" s="57" t="s">
        <v>15</v>
      </c>
      <c r="F110" s="75" t="s">
        <v>191</v>
      </c>
      <c r="G110" s="59">
        <v>87.42857142857142</v>
      </c>
      <c r="H110" s="78" t="s">
        <v>191</v>
      </c>
      <c r="I110" s="59">
        <v>82.4</v>
      </c>
      <c r="J110" s="78" t="s">
        <v>191</v>
      </c>
      <c r="K110" s="59">
        <v>88.52525252525251</v>
      </c>
      <c r="L110" s="58" t="s">
        <v>191</v>
      </c>
      <c r="N110" s="75" t="s">
        <v>191</v>
      </c>
      <c r="O110" s="59">
        <f aca="true" t="shared" si="3" ref="O110:O116">AVERAGE(G110,I110,K110)</f>
        <v>86.11794131794132</v>
      </c>
      <c r="P110"/>
      <c r="R110"/>
      <c r="S110"/>
      <c r="T110"/>
      <c r="U110"/>
      <c r="V110"/>
      <c r="W110"/>
      <c r="X110"/>
      <c r="Z110"/>
      <c r="AB110"/>
      <c r="AD110"/>
      <c r="AF110"/>
      <c r="BI110"/>
    </row>
    <row r="111" spans="1:61" s="59" customFormat="1" ht="12.75">
      <c r="A111" s="65"/>
      <c r="B111" s="59" t="s">
        <v>20</v>
      </c>
      <c r="C111" s="57" t="s">
        <v>284</v>
      </c>
      <c r="D111" s="59" t="s">
        <v>51</v>
      </c>
      <c r="E111" s="57" t="s">
        <v>15</v>
      </c>
      <c r="F111" s="75" t="s">
        <v>191</v>
      </c>
      <c r="G111" s="59">
        <v>17.168373267761453</v>
      </c>
      <c r="H111" s="78" t="s">
        <v>191</v>
      </c>
      <c r="I111" s="59">
        <v>17.831885278109723</v>
      </c>
      <c r="J111" s="78" t="s">
        <v>191</v>
      </c>
      <c r="K111" s="59">
        <v>15.274599404892438</v>
      </c>
      <c r="L111" s="58" t="s">
        <v>191</v>
      </c>
      <c r="N111" s="75" t="s">
        <v>191</v>
      </c>
      <c r="O111" s="59">
        <f t="shared" si="3"/>
        <v>16.75828598358787</v>
      </c>
      <c r="P111"/>
      <c r="R111"/>
      <c r="S111"/>
      <c r="T111"/>
      <c r="U111"/>
      <c r="V111"/>
      <c r="W111"/>
      <c r="X111"/>
      <c r="Z111"/>
      <c r="AB111"/>
      <c r="AD111"/>
      <c r="AF111"/>
      <c r="BI111"/>
    </row>
    <row r="112" spans="1:61" s="59" customFormat="1" ht="12.75">
      <c r="A112" s="65"/>
      <c r="B112" s="59" t="s">
        <v>83</v>
      </c>
      <c r="C112" s="57" t="s">
        <v>286</v>
      </c>
      <c r="D112" s="59" t="s">
        <v>55</v>
      </c>
      <c r="E112" s="57" t="s">
        <v>15</v>
      </c>
      <c r="F112" s="75" t="s">
        <v>13</v>
      </c>
      <c r="G112" s="59">
        <v>5.736333812949641</v>
      </c>
      <c r="H112" s="78" t="s">
        <v>13</v>
      </c>
      <c r="I112" s="59">
        <v>4.864413329519452</v>
      </c>
      <c r="J112" s="78" t="s">
        <v>13</v>
      </c>
      <c r="K112" s="59">
        <v>2.909690658049354</v>
      </c>
      <c r="L112" s="58" t="s">
        <v>191</v>
      </c>
      <c r="N112" s="75">
        <v>100</v>
      </c>
      <c r="O112" s="59">
        <f t="shared" si="3"/>
        <v>4.503479266839482</v>
      </c>
      <c r="P112"/>
      <c r="R112"/>
      <c r="S112"/>
      <c r="T112"/>
      <c r="U112"/>
      <c r="V112"/>
      <c r="W112"/>
      <c r="X112"/>
      <c r="Z112"/>
      <c r="AB112"/>
      <c r="AD112"/>
      <c r="AF112"/>
      <c r="BI112"/>
    </row>
    <row r="113" spans="1:61" s="59" customFormat="1" ht="12.75">
      <c r="A113" s="65"/>
      <c r="B113" s="59" t="s">
        <v>90</v>
      </c>
      <c r="C113" s="57" t="s">
        <v>286</v>
      </c>
      <c r="D113" s="59" t="s">
        <v>55</v>
      </c>
      <c r="E113" s="57" t="s">
        <v>15</v>
      </c>
      <c r="F113" s="75" t="s">
        <v>191</v>
      </c>
      <c r="G113" s="59">
        <v>13.115888249400479</v>
      </c>
      <c r="H113" s="78" t="s">
        <v>191</v>
      </c>
      <c r="I113" s="59">
        <v>11.893757866132724</v>
      </c>
      <c r="J113" s="78" t="s">
        <v>191</v>
      </c>
      <c r="K113" s="59">
        <v>11.583862808460633</v>
      </c>
      <c r="L113" s="58" t="s">
        <v>191</v>
      </c>
      <c r="N113" s="75" t="s">
        <v>191</v>
      </c>
      <c r="O113" s="59">
        <f t="shared" si="3"/>
        <v>12.197836307997946</v>
      </c>
      <c r="P113"/>
      <c r="R113"/>
      <c r="S113"/>
      <c r="T113"/>
      <c r="U113"/>
      <c r="V113"/>
      <c r="W113"/>
      <c r="X113"/>
      <c r="Z113"/>
      <c r="AB113"/>
      <c r="AD113"/>
      <c r="AF113"/>
      <c r="BI113"/>
    </row>
    <row r="114" spans="1:61" s="59" customFormat="1" ht="12.75">
      <c r="A114" s="65"/>
      <c r="B114" s="59" t="s">
        <v>92</v>
      </c>
      <c r="C114" s="57" t="s">
        <v>286</v>
      </c>
      <c r="D114" s="59" t="s">
        <v>55</v>
      </c>
      <c r="E114" s="57" t="s">
        <v>15</v>
      </c>
      <c r="F114" s="75" t="s">
        <v>191</v>
      </c>
      <c r="G114" s="59">
        <v>18.583331414868105</v>
      </c>
      <c r="H114" s="78" t="s">
        <v>191</v>
      </c>
      <c r="I114" s="59">
        <v>30.202126716247143</v>
      </c>
      <c r="J114" s="78" t="s">
        <v>191</v>
      </c>
      <c r="K114" s="59">
        <v>14.905302144535842</v>
      </c>
      <c r="L114" s="58" t="s">
        <v>191</v>
      </c>
      <c r="N114" s="75" t="s">
        <v>191</v>
      </c>
      <c r="O114" s="59">
        <f t="shared" si="3"/>
        <v>21.23025342521703</v>
      </c>
      <c r="P114"/>
      <c r="R114"/>
      <c r="S114"/>
      <c r="T114"/>
      <c r="U114"/>
      <c r="V114"/>
      <c r="W114"/>
      <c r="X114"/>
      <c r="Z114"/>
      <c r="AB114"/>
      <c r="AD114"/>
      <c r="AF114"/>
      <c r="BI114"/>
    </row>
    <row r="115" spans="1:61" s="59" customFormat="1" ht="12.75">
      <c r="A115" s="65"/>
      <c r="B115" s="59" t="s">
        <v>88</v>
      </c>
      <c r="C115" s="57" t="s">
        <v>286</v>
      </c>
      <c r="D115" s="59" t="s">
        <v>55</v>
      </c>
      <c r="E115" s="57" t="s">
        <v>15</v>
      </c>
      <c r="F115" s="75" t="s">
        <v>191</v>
      </c>
      <c r="G115" s="59">
        <v>287.11545803357313</v>
      </c>
      <c r="H115" s="78" t="s">
        <v>191</v>
      </c>
      <c r="I115" s="59">
        <v>26.72754576659039</v>
      </c>
      <c r="J115" s="78" t="s">
        <v>191</v>
      </c>
      <c r="K115" s="59">
        <v>307.43901292597</v>
      </c>
      <c r="L115" s="58" t="s">
        <v>191</v>
      </c>
      <c r="N115" s="75" t="s">
        <v>191</v>
      </c>
      <c r="O115" s="59">
        <f t="shared" si="3"/>
        <v>207.09400557537785</v>
      </c>
      <c r="P115"/>
      <c r="R115"/>
      <c r="S115"/>
      <c r="T115"/>
      <c r="U115"/>
      <c r="V115"/>
      <c r="W115"/>
      <c r="X115"/>
      <c r="Z115"/>
      <c r="AB115"/>
      <c r="AD115"/>
      <c r="AF115"/>
      <c r="BI115"/>
    </row>
    <row r="116" spans="1:61" s="59" customFormat="1" ht="12.75">
      <c r="A116" s="65"/>
      <c r="B116" s="59" t="s">
        <v>89</v>
      </c>
      <c r="C116" s="57" t="s">
        <v>286</v>
      </c>
      <c r="D116" s="59" t="s">
        <v>55</v>
      </c>
      <c r="E116" s="57" t="s">
        <v>15</v>
      </c>
      <c r="F116" s="75" t="s">
        <v>191</v>
      </c>
      <c r="G116" s="59">
        <v>73.19800959232614</v>
      </c>
      <c r="H116" s="78" t="s">
        <v>191</v>
      </c>
      <c r="I116" s="59">
        <v>9.56846138443936</v>
      </c>
      <c r="J116" s="78" t="s">
        <v>191</v>
      </c>
      <c r="K116" s="59">
        <v>8.48202276733255</v>
      </c>
      <c r="L116" s="58" t="s">
        <v>191</v>
      </c>
      <c r="N116" s="75" t="s">
        <v>191</v>
      </c>
      <c r="O116" s="59">
        <f t="shared" si="3"/>
        <v>30.41616458136602</v>
      </c>
      <c r="P116"/>
      <c r="R116"/>
      <c r="S116"/>
      <c r="T116"/>
      <c r="U116"/>
      <c r="V116"/>
      <c r="W116"/>
      <c r="X116"/>
      <c r="Z116"/>
      <c r="AB116"/>
      <c r="AD116"/>
      <c r="AF116"/>
      <c r="BI116"/>
    </row>
    <row r="117" spans="1:61" s="59" customFormat="1" ht="12.75">
      <c r="A117" s="65"/>
      <c r="B117" s="59" t="s">
        <v>61</v>
      </c>
      <c r="C117" s="57" t="s">
        <v>286</v>
      </c>
      <c r="D117" s="59" t="s">
        <v>55</v>
      </c>
      <c r="E117" s="57" t="s">
        <v>15</v>
      </c>
      <c r="F117" s="75"/>
      <c r="G117" s="59">
        <f>G113+G115</f>
        <v>300.2313462829736</v>
      </c>
      <c r="H117" s="78"/>
      <c r="I117" s="59">
        <f>I113+I115</f>
        <v>38.62130363272311</v>
      </c>
      <c r="J117" s="78"/>
      <c r="K117" s="59">
        <f>K113+K115</f>
        <v>319.02287573443067</v>
      </c>
      <c r="L117" s="58"/>
      <c r="N117" s="75"/>
      <c r="O117" s="59">
        <f>AVERAGE(G117,I117,K117)</f>
        <v>219.2918418833758</v>
      </c>
      <c r="P117"/>
      <c r="R117"/>
      <c r="S117"/>
      <c r="T117"/>
      <c r="U117"/>
      <c r="V117"/>
      <c r="W117"/>
      <c r="X117"/>
      <c r="Z117"/>
      <c r="AB117"/>
      <c r="AD117"/>
      <c r="AF117"/>
      <c r="BI117"/>
    </row>
    <row r="118" spans="1:61" s="59" customFormat="1" ht="12.75">
      <c r="A118" s="65"/>
      <c r="B118" s="59" t="s">
        <v>62</v>
      </c>
      <c r="C118" s="57" t="s">
        <v>286</v>
      </c>
      <c r="D118" s="59" t="s">
        <v>55</v>
      </c>
      <c r="E118" s="57" t="s">
        <v>15</v>
      </c>
      <c r="F118" s="75">
        <f>G112/G118*100</f>
        <v>23.587223587223587</v>
      </c>
      <c r="G118" s="59">
        <f>G112+G114</f>
        <v>24.319665227817747</v>
      </c>
      <c r="H118" s="78">
        <f>I112/I118*100</f>
        <v>13.871951219512196</v>
      </c>
      <c r="I118" s="59">
        <f>I112+I114</f>
        <v>35.066540045766594</v>
      </c>
      <c r="J118" s="78">
        <f>K112/K118*100</f>
        <v>16.332819722650232</v>
      </c>
      <c r="K118" s="59">
        <f>K112+K114</f>
        <v>17.814992802585195</v>
      </c>
      <c r="L118" s="58"/>
      <c r="N118" s="75">
        <f>O112/O118*100</f>
        <v>17.50029550990718</v>
      </c>
      <c r="O118" s="59">
        <f>AVERAGE(G118,I118,K118)</f>
        <v>25.73373269205651</v>
      </c>
      <c r="P118"/>
      <c r="R118"/>
      <c r="S118"/>
      <c r="T118"/>
      <c r="U118"/>
      <c r="V118"/>
      <c r="W118"/>
      <c r="X118"/>
      <c r="Z118"/>
      <c r="AB118"/>
      <c r="AD118"/>
      <c r="AF118"/>
      <c r="BI118"/>
    </row>
    <row r="119" spans="1:61" s="61" customFormat="1" ht="12.75">
      <c r="A119" s="65"/>
      <c r="F119" s="69"/>
      <c r="G119" s="58"/>
      <c r="H119" s="78"/>
      <c r="I119" s="58"/>
      <c r="J119" s="78"/>
      <c r="K119" s="58"/>
      <c r="L119" s="58"/>
      <c r="M119" s="58"/>
      <c r="N119" s="75"/>
      <c r="O119" s="58"/>
      <c r="P119"/>
      <c r="Q119" s="58"/>
      <c r="R119"/>
      <c r="S119"/>
      <c r="T119"/>
      <c r="U119"/>
      <c r="V119"/>
      <c r="W119"/>
      <c r="X119"/>
      <c r="Y119" s="58"/>
      <c r="Z119"/>
      <c r="AA119" s="58"/>
      <c r="AB119"/>
      <c r="AC119" s="58"/>
      <c r="AD119"/>
      <c r="AE119" s="58"/>
      <c r="AF119"/>
      <c r="AG119" s="58"/>
      <c r="AH119" s="58"/>
      <c r="AI119" s="58"/>
      <c r="AJ119" s="58"/>
      <c r="AK119" s="58"/>
      <c r="AL119" s="58"/>
      <c r="AM119" s="58"/>
      <c r="AN119" s="58"/>
      <c r="AO119" s="58"/>
      <c r="BI119"/>
    </row>
    <row r="120" spans="1:61" s="61" customFormat="1" ht="12.75">
      <c r="A120" s="65"/>
      <c r="B120" s="59" t="s">
        <v>82</v>
      </c>
      <c r="C120" s="61" t="s">
        <v>20</v>
      </c>
      <c r="D120" s="61" t="s">
        <v>284</v>
      </c>
      <c r="F120" s="69"/>
      <c r="G120" s="58"/>
      <c r="H120" s="78"/>
      <c r="I120" s="58"/>
      <c r="J120" s="78"/>
      <c r="K120" s="58"/>
      <c r="L120" s="58"/>
      <c r="M120" s="58"/>
      <c r="N120" s="75"/>
      <c r="O120" s="58"/>
      <c r="P120"/>
      <c r="Q120" s="58"/>
      <c r="R120"/>
      <c r="S120"/>
      <c r="T120"/>
      <c r="U120"/>
      <c r="V120"/>
      <c r="W120"/>
      <c r="X120"/>
      <c r="Y120" s="58"/>
      <c r="Z120"/>
      <c r="AA120" s="58"/>
      <c r="AB120"/>
      <c r="AC120" s="58"/>
      <c r="AD120"/>
      <c r="AE120" s="58"/>
      <c r="AF120"/>
      <c r="AG120" s="58"/>
      <c r="AH120" s="58"/>
      <c r="AI120" s="58"/>
      <c r="AJ120" s="58"/>
      <c r="AK120" s="58"/>
      <c r="AL120" s="58"/>
      <c r="AM120" s="58"/>
      <c r="AN120" s="58"/>
      <c r="AO120" s="58"/>
      <c r="BI120"/>
    </row>
    <row r="121" spans="1:61" s="61" customFormat="1" ht="12.75">
      <c r="A121" s="65"/>
      <c r="B121" s="18" t="s">
        <v>77</v>
      </c>
      <c r="C121" s="18"/>
      <c r="D121" s="18" t="s">
        <v>16</v>
      </c>
      <c r="F121" s="69"/>
      <c r="G121" s="58">
        <v>139000</v>
      </c>
      <c r="H121" s="78"/>
      <c r="I121" s="58">
        <v>152000</v>
      </c>
      <c r="J121" s="78"/>
      <c r="K121" s="58">
        <v>148000</v>
      </c>
      <c r="L121" s="58"/>
      <c r="M121" s="58"/>
      <c r="N121" s="75"/>
      <c r="O121" s="58"/>
      <c r="P121"/>
      <c r="Q121" s="58"/>
      <c r="R121"/>
      <c r="S121"/>
      <c r="T121"/>
      <c r="U121"/>
      <c r="V121"/>
      <c r="W121"/>
      <c r="X121"/>
      <c r="Y121" s="58"/>
      <c r="Z121"/>
      <c r="AA121" s="58"/>
      <c r="AB121"/>
      <c r="AC121" s="58"/>
      <c r="AD121"/>
      <c r="AE121" s="58"/>
      <c r="AF121"/>
      <c r="AG121" s="58"/>
      <c r="AH121" s="58"/>
      <c r="AI121" s="58"/>
      <c r="AJ121" s="58"/>
      <c r="AK121" s="58"/>
      <c r="AL121" s="58"/>
      <c r="AM121" s="58"/>
      <c r="AN121" s="58"/>
      <c r="AO121" s="58"/>
      <c r="BI121"/>
    </row>
    <row r="122" spans="1:61" s="61" customFormat="1" ht="12.75">
      <c r="A122" s="65"/>
      <c r="B122" s="18" t="s">
        <v>80</v>
      </c>
      <c r="C122" s="18"/>
      <c r="D122" s="18" t="s">
        <v>14</v>
      </c>
      <c r="F122" s="69"/>
      <c r="G122" s="58">
        <v>11.2</v>
      </c>
      <c r="H122" s="78"/>
      <c r="I122" s="58">
        <v>10.5</v>
      </c>
      <c r="J122" s="78"/>
      <c r="K122" s="58">
        <v>11.1</v>
      </c>
      <c r="L122" s="58"/>
      <c r="M122" s="58"/>
      <c r="N122" s="75"/>
      <c r="O122" s="58"/>
      <c r="P122"/>
      <c r="Q122" s="58"/>
      <c r="R122"/>
      <c r="S122"/>
      <c r="T122"/>
      <c r="U122"/>
      <c r="V122"/>
      <c r="W122"/>
      <c r="X122"/>
      <c r="Y122" s="58"/>
      <c r="Z122"/>
      <c r="AA122" s="58"/>
      <c r="AB122"/>
      <c r="AC122" s="58"/>
      <c r="AD122"/>
      <c r="AE122" s="58"/>
      <c r="AF122"/>
      <c r="AG122" s="58"/>
      <c r="AH122" s="58"/>
      <c r="AI122" s="58"/>
      <c r="AJ122" s="58"/>
      <c r="AK122" s="58"/>
      <c r="AL122" s="58"/>
      <c r="AM122" s="58"/>
      <c r="AN122" s="58"/>
      <c r="AO122" s="58"/>
      <c r="BI122"/>
    </row>
    <row r="123" spans="1:61" s="61" customFormat="1" ht="12.75">
      <c r="A123" s="65"/>
      <c r="B123" s="18" t="s">
        <v>81</v>
      </c>
      <c r="C123" s="18"/>
      <c r="D123" s="18" t="s">
        <v>14</v>
      </c>
      <c r="F123" s="69"/>
      <c r="G123" s="58">
        <v>0</v>
      </c>
      <c r="H123" s="78"/>
      <c r="I123" s="58">
        <v>0</v>
      </c>
      <c r="J123" s="78"/>
      <c r="K123" s="58">
        <v>0</v>
      </c>
      <c r="L123" s="58"/>
      <c r="M123" s="58"/>
      <c r="N123" s="75"/>
      <c r="O123" s="58"/>
      <c r="P123"/>
      <c r="Q123" s="58"/>
      <c r="R123"/>
      <c r="S123"/>
      <c r="T123"/>
      <c r="U123"/>
      <c r="V123"/>
      <c r="W123"/>
      <c r="X123"/>
      <c r="Y123" s="58"/>
      <c r="Z123"/>
      <c r="AA123" s="58"/>
      <c r="AB123"/>
      <c r="AC123" s="58"/>
      <c r="AD123"/>
      <c r="AE123" s="58"/>
      <c r="AF123"/>
      <c r="AG123" s="58"/>
      <c r="AH123" s="58"/>
      <c r="AI123" s="58"/>
      <c r="AJ123" s="58"/>
      <c r="AK123" s="58"/>
      <c r="AL123" s="58"/>
      <c r="AM123" s="58"/>
      <c r="AN123" s="58"/>
      <c r="AO123" s="58"/>
      <c r="BI123"/>
    </row>
    <row r="124" spans="1:61" s="61" customFormat="1" ht="12.75">
      <c r="A124" s="65"/>
      <c r="B124" s="18" t="s">
        <v>76</v>
      </c>
      <c r="C124" s="18"/>
      <c r="D124" s="18" t="s">
        <v>17</v>
      </c>
      <c r="F124" s="69"/>
      <c r="G124" s="58">
        <v>279.3</v>
      </c>
      <c r="H124" s="78"/>
      <c r="I124" s="58">
        <v>277.9</v>
      </c>
      <c r="J124" s="78"/>
      <c r="K124" s="58">
        <v>278</v>
      </c>
      <c r="L124" s="58"/>
      <c r="M124" s="58"/>
      <c r="N124" s="75"/>
      <c r="O124" s="58"/>
      <c r="P124"/>
      <c r="Q124" s="58"/>
      <c r="R124"/>
      <c r="S124"/>
      <c r="T124"/>
      <c r="U124"/>
      <c r="V124"/>
      <c r="W124"/>
      <c r="X124"/>
      <c r="Y124" s="58"/>
      <c r="Z124"/>
      <c r="AA124" s="58"/>
      <c r="AB124"/>
      <c r="AC124" s="58"/>
      <c r="AD124"/>
      <c r="AE124" s="58"/>
      <c r="AF124"/>
      <c r="AG124" s="58"/>
      <c r="AH124" s="58"/>
      <c r="AI124" s="58"/>
      <c r="AJ124" s="58"/>
      <c r="AK124" s="58"/>
      <c r="AL124" s="58"/>
      <c r="AM124" s="58"/>
      <c r="AN124" s="58"/>
      <c r="AO124" s="58"/>
      <c r="BI124"/>
    </row>
    <row r="126" spans="2:4" ht="12.75">
      <c r="B126" s="59" t="s">
        <v>82</v>
      </c>
      <c r="C126" s="61" t="s">
        <v>102</v>
      </c>
      <c r="D126" s="59" t="s">
        <v>286</v>
      </c>
    </row>
    <row r="127" spans="1:61" s="61" customFormat="1" ht="12.75">
      <c r="A127" s="65"/>
      <c r="B127" s="18" t="s">
        <v>77</v>
      </c>
      <c r="C127" s="18"/>
      <c r="D127" s="18" t="s">
        <v>16</v>
      </c>
      <c r="F127" s="69"/>
      <c r="G127" s="58">
        <v>139000</v>
      </c>
      <c r="H127" s="78"/>
      <c r="I127" s="58">
        <v>152000</v>
      </c>
      <c r="J127" s="78"/>
      <c r="K127" s="58">
        <v>148000</v>
      </c>
      <c r="L127" s="58"/>
      <c r="M127" s="58"/>
      <c r="N127" s="75"/>
      <c r="O127" s="58"/>
      <c r="P127"/>
      <c r="Q127" s="58"/>
      <c r="R127"/>
      <c r="S127"/>
      <c r="T127"/>
      <c r="U127"/>
      <c r="V127"/>
      <c r="W127"/>
      <c r="X127"/>
      <c r="Y127" s="58"/>
      <c r="Z127"/>
      <c r="AA127" s="58"/>
      <c r="AB127"/>
      <c r="AC127" s="58"/>
      <c r="AD127"/>
      <c r="AE127" s="58"/>
      <c r="AF127"/>
      <c r="AG127" s="58"/>
      <c r="AH127" s="58"/>
      <c r="AI127" s="58"/>
      <c r="AJ127" s="58"/>
      <c r="AK127" s="58"/>
      <c r="AL127" s="58"/>
      <c r="AM127" s="58"/>
      <c r="AN127" s="58"/>
      <c r="AO127" s="58"/>
      <c r="BI127"/>
    </row>
    <row r="128" spans="1:61" s="61" customFormat="1" ht="12.75">
      <c r="A128" s="65"/>
      <c r="B128" s="18" t="s">
        <v>80</v>
      </c>
      <c r="C128" s="18"/>
      <c r="D128" s="18" t="s">
        <v>14</v>
      </c>
      <c r="F128" s="69"/>
      <c r="G128" s="58">
        <v>12</v>
      </c>
      <c r="H128" s="78"/>
      <c r="I128" s="58">
        <v>11.8</v>
      </c>
      <c r="J128" s="78"/>
      <c r="K128" s="58">
        <v>11.8</v>
      </c>
      <c r="L128" s="58"/>
      <c r="M128" s="58"/>
      <c r="N128" s="75"/>
      <c r="O128" s="58"/>
      <c r="P128"/>
      <c r="Q128" s="58"/>
      <c r="R128"/>
      <c r="S128"/>
      <c r="T128"/>
      <c r="U128"/>
      <c r="V128"/>
      <c r="W128"/>
      <c r="X128"/>
      <c r="Y128" s="58"/>
      <c r="Z128"/>
      <c r="AA128" s="58"/>
      <c r="AB128"/>
      <c r="AC128" s="58"/>
      <c r="AD128"/>
      <c r="AE128" s="58"/>
      <c r="AF128"/>
      <c r="AG128" s="58"/>
      <c r="AH128" s="58"/>
      <c r="AI128" s="58"/>
      <c r="AJ128" s="58"/>
      <c r="AK128" s="58"/>
      <c r="AL128" s="58"/>
      <c r="AM128" s="58"/>
      <c r="AN128" s="58"/>
      <c r="AO128" s="58"/>
      <c r="BI128"/>
    </row>
    <row r="129" spans="1:61" s="61" customFormat="1" ht="12.75">
      <c r="A129" s="65"/>
      <c r="B129" s="18" t="s">
        <v>81</v>
      </c>
      <c r="C129" s="18"/>
      <c r="D129" s="18" t="s">
        <v>14</v>
      </c>
      <c r="F129" s="69"/>
      <c r="G129" s="58">
        <v>24.9</v>
      </c>
      <c r="H129" s="78"/>
      <c r="I129" s="58">
        <v>24.7</v>
      </c>
      <c r="J129" s="78"/>
      <c r="K129" s="58">
        <v>23.7</v>
      </c>
      <c r="L129" s="58"/>
      <c r="M129" s="58"/>
      <c r="N129" s="75"/>
      <c r="O129" s="58"/>
      <c r="P129"/>
      <c r="Q129" s="58"/>
      <c r="R129"/>
      <c r="S129"/>
      <c r="T129"/>
      <c r="U129"/>
      <c r="V129"/>
      <c r="W129"/>
      <c r="X129"/>
      <c r="Y129" s="58"/>
      <c r="Z129"/>
      <c r="AA129" s="58"/>
      <c r="AB129"/>
      <c r="AC129" s="58"/>
      <c r="AD129"/>
      <c r="AE129" s="58"/>
      <c r="AF129"/>
      <c r="AG129" s="58"/>
      <c r="AH129" s="58"/>
      <c r="AI129" s="58"/>
      <c r="AJ129" s="58"/>
      <c r="AK129" s="58"/>
      <c r="AL129" s="58"/>
      <c r="AM129" s="58"/>
      <c r="AN129" s="58"/>
      <c r="AO129" s="58"/>
      <c r="BI129"/>
    </row>
    <row r="130" spans="1:61" s="61" customFormat="1" ht="15" customHeight="1">
      <c r="A130" s="65"/>
      <c r="B130" s="18" t="s">
        <v>76</v>
      </c>
      <c r="C130" s="18"/>
      <c r="D130" s="18" t="s">
        <v>17</v>
      </c>
      <c r="F130" s="69"/>
      <c r="G130" s="58">
        <v>275</v>
      </c>
      <c r="H130" s="78"/>
      <c r="I130" s="58">
        <v>274</v>
      </c>
      <c r="J130" s="78"/>
      <c r="K130" s="58">
        <v>273</v>
      </c>
      <c r="L130" s="58"/>
      <c r="M130" s="58"/>
      <c r="N130" s="75"/>
      <c r="O130" s="58"/>
      <c r="P130"/>
      <c r="Q130" s="58"/>
      <c r="R130"/>
      <c r="S130"/>
      <c r="T130"/>
      <c r="U130"/>
      <c r="V130"/>
      <c r="W130"/>
      <c r="X130"/>
      <c r="Y130" s="58"/>
      <c r="Z130"/>
      <c r="AA130" s="58"/>
      <c r="AB130"/>
      <c r="AC130" s="58"/>
      <c r="AD130"/>
      <c r="AE130" s="58"/>
      <c r="AF130"/>
      <c r="AG130" s="58"/>
      <c r="AH130" s="58"/>
      <c r="AI130" s="58"/>
      <c r="AJ130" s="58"/>
      <c r="AK130" s="58"/>
      <c r="AL130" s="58"/>
      <c r="AM130" s="58"/>
      <c r="AN130" s="58"/>
      <c r="AO130" s="58"/>
      <c r="BI130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96"/>
  <sheetViews>
    <sheetView workbookViewId="0" topLeftCell="B1">
      <selection activeCell="C2" sqref="C2"/>
    </sheetView>
  </sheetViews>
  <sheetFormatPr defaultColWidth="9.140625" defaultRowHeight="12.75"/>
  <cols>
    <col min="1" max="1" width="0.13671875" style="6" hidden="1" customWidth="1"/>
    <col min="2" max="2" width="20.7109375" style="11" customWidth="1"/>
    <col min="3" max="3" width="4.57421875" style="11" customWidth="1"/>
    <col min="4" max="4" width="9.421875" style="11" customWidth="1"/>
    <col min="5" max="5" width="2.8515625" style="7" customWidth="1"/>
    <col min="6" max="6" width="10.140625" style="7" customWidth="1"/>
    <col min="7" max="7" width="3.00390625" style="7" customWidth="1"/>
    <col min="8" max="8" width="8.8515625" style="7" customWidth="1"/>
    <col min="9" max="9" width="2.28125" style="7" customWidth="1"/>
    <col min="10" max="10" width="9.8515625" style="7" customWidth="1"/>
    <col min="11" max="11" width="2.421875" style="7" customWidth="1"/>
    <col min="12" max="12" width="8.57421875" style="45" customWidth="1"/>
    <col min="13" max="13" width="1.421875" style="45" customWidth="1"/>
    <col min="14" max="14" width="10.8515625" style="7" customWidth="1"/>
    <col min="15" max="15" width="1.57421875" style="7" customWidth="1"/>
    <col min="16" max="16" width="12.57421875" style="7" customWidth="1"/>
    <col min="17" max="17" width="1.8515625" style="7" customWidth="1"/>
    <col min="18" max="18" width="10.00390625" style="7" customWidth="1"/>
    <col min="19" max="19" width="2.7109375" style="7" customWidth="1"/>
    <col min="20" max="20" width="13.00390625" style="45" customWidth="1"/>
    <col min="21" max="21" width="2.8515625" style="45" customWidth="1"/>
    <col min="22" max="22" width="10.28125" style="7" customWidth="1"/>
    <col min="23" max="23" width="2.421875" style="7" customWidth="1"/>
    <col min="24" max="24" width="12.28125" style="7" customWidth="1"/>
    <col min="25" max="25" width="3.57421875" style="7" customWidth="1"/>
    <col min="26" max="26" width="12.00390625" style="7" customWidth="1"/>
    <col min="27" max="27" width="2.00390625" style="7" customWidth="1"/>
    <col min="28" max="28" width="13.28125" style="6" customWidth="1"/>
    <col min="29" max="29" width="2.57421875" style="6" customWidth="1"/>
    <col min="30" max="30" width="12.28125" style="7" customWidth="1"/>
    <col min="31" max="31" width="2.7109375" style="7" customWidth="1"/>
    <col min="32" max="32" width="11.140625" style="7" customWidth="1"/>
    <col min="33" max="33" width="2.57421875" style="7" customWidth="1"/>
    <col min="34" max="34" width="12.00390625" style="7" customWidth="1"/>
    <col min="35" max="35" width="2.7109375" style="7" customWidth="1"/>
    <col min="36" max="36" width="12.28125" style="6" customWidth="1"/>
    <col min="37" max="37" width="3.28125" style="6" customWidth="1"/>
    <col min="38" max="38" width="10.57421875" style="6" customWidth="1"/>
    <col min="39" max="39" width="3.28125" style="6" customWidth="1"/>
    <col min="40" max="40" width="10.57421875" style="6" customWidth="1"/>
    <col min="41" max="41" width="2.7109375" style="6" customWidth="1"/>
    <col min="42" max="42" width="10.57421875" style="6" customWidth="1"/>
    <col min="43" max="43" width="3.140625" style="6" customWidth="1"/>
    <col min="44" max="44" width="11.28125" style="6" customWidth="1"/>
    <col min="45" max="45" width="2.8515625" style="6" customWidth="1"/>
    <col min="46" max="46" width="10.7109375" style="7" customWidth="1"/>
    <col min="47" max="47" width="2.28125" style="7" customWidth="1"/>
    <col min="48" max="48" width="10.7109375" style="7" customWidth="1"/>
    <col min="49" max="49" width="1.8515625" style="7" customWidth="1"/>
    <col min="50" max="50" width="10.00390625" style="7" customWidth="1"/>
    <col min="51" max="51" width="1.8515625" style="7" customWidth="1"/>
    <col min="52" max="52" width="10.8515625" style="6" customWidth="1"/>
    <col min="53" max="53" width="2.8515625" style="6" customWidth="1"/>
    <col min="54" max="54" width="9.7109375" style="6" customWidth="1"/>
    <col min="55" max="55" width="2.57421875" style="6" customWidth="1"/>
    <col min="56" max="56" width="9.7109375" style="6" customWidth="1"/>
    <col min="57" max="57" width="2.57421875" style="6" customWidth="1"/>
    <col min="58" max="58" width="9.7109375" style="6" customWidth="1"/>
    <col min="59" max="59" width="2.140625" style="6" customWidth="1"/>
    <col min="60" max="60" width="10.421875" style="6" customWidth="1"/>
    <col min="61" max="16384" width="8.8515625" style="6" customWidth="1"/>
  </cols>
  <sheetData>
    <row r="1" spans="2:3" ht="12.75">
      <c r="B1" s="44" t="s">
        <v>276</v>
      </c>
      <c r="C1" s="44"/>
    </row>
    <row r="3" spans="1:60" ht="12.75">
      <c r="A3" s="6" t="s">
        <v>94</v>
      </c>
      <c r="B3" s="44" t="s">
        <v>128</v>
      </c>
      <c r="F3" s="7" t="s">
        <v>106</v>
      </c>
      <c r="H3" s="7" t="s">
        <v>107</v>
      </c>
      <c r="J3" s="7" t="s">
        <v>108</v>
      </c>
      <c r="L3" s="45" t="s">
        <v>56</v>
      </c>
      <c r="N3" s="7" t="s">
        <v>106</v>
      </c>
      <c r="P3" s="7" t="s">
        <v>107</v>
      </c>
      <c r="R3" s="7" t="s">
        <v>108</v>
      </c>
      <c r="T3" s="45" t="s">
        <v>56</v>
      </c>
      <c r="V3" s="7" t="s">
        <v>106</v>
      </c>
      <c r="X3" s="7" t="s">
        <v>107</v>
      </c>
      <c r="Z3" s="7" t="s">
        <v>108</v>
      </c>
      <c r="AB3" s="7" t="s">
        <v>56</v>
      </c>
      <c r="AD3" s="7" t="s">
        <v>106</v>
      </c>
      <c r="AF3" s="7" t="s">
        <v>107</v>
      </c>
      <c r="AH3" s="7" t="s">
        <v>108</v>
      </c>
      <c r="AJ3" s="7" t="s">
        <v>56</v>
      </c>
      <c r="AL3" s="7" t="s">
        <v>106</v>
      </c>
      <c r="AM3" s="7"/>
      <c r="AN3" s="7" t="s">
        <v>107</v>
      </c>
      <c r="AO3" s="7"/>
      <c r="AP3" s="7" t="s">
        <v>108</v>
      </c>
      <c r="AQ3" s="7"/>
      <c r="AR3" s="7" t="s">
        <v>56</v>
      </c>
      <c r="AT3" s="7" t="s">
        <v>106</v>
      </c>
      <c r="AV3" s="7" t="s">
        <v>107</v>
      </c>
      <c r="AX3" s="7" t="s">
        <v>108</v>
      </c>
      <c r="AZ3" s="7" t="s">
        <v>56</v>
      </c>
      <c r="BB3" s="7" t="s">
        <v>106</v>
      </c>
      <c r="BC3" s="7"/>
      <c r="BD3" s="7" t="s">
        <v>107</v>
      </c>
      <c r="BE3" s="7"/>
      <c r="BF3" s="7" t="s">
        <v>108</v>
      </c>
      <c r="BG3" s="7"/>
      <c r="BH3" s="7" t="s">
        <v>56</v>
      </c>
    </row>
    <row r="4" spans="2:59" ht="12.75">
      <c r="B4" s="44"/>
      <c r="BB4" s="45"/>
      <c r="BC4" s="45"/>
      <c r="BD4" s="45"/>
      <c r="BE4" s="45"/>
      <c r="BF4" s="45"/>
      <c r="BG4" s="45"/>
    </row>
    <row r="5" spans="2:60" ht="12.75">
      <c r="B5" s="11" t="s">
        <v>310</v>
      </c>
      <c r="F5" s="7" t="s">
        <v>316</v>
      </c>
      <c r="H5" s="7" t="s">
        <v>316</v>
      </c>
      <c r="J5" s="7" t="s">
        <v>316</v>
      </c>
      <c r="L5" s="7" t="s">
        <v>316</v>
      </c>
      <c r="M5" s="7"/>
      <c r="N5" s="7" t="s">
        <v>317</v>
      </c>
      <c r="P5" s="7" t="s">
        <v>317</v>
      </c>
      <c r="R5" s="7" t="s">
        <v>317</v>
      </c>
      <c r="T5" s="7" t="s">
        <v>317</v>
      </c>
      <c r="U5" s="7"/>
      <c r="V5" s="7" t="s">
        <v>318</v>
      </c>
      <c r="X5" s="7" t="s">
        <v>318</v>
      </c>
      <c r="Z5" s="7" t="s">
        <v>318</v>
      </c>
      <c r="AB5" s="35" t="s">
        <v>318</v>
      </c>
      <c r="AC5" s="35"/>
      <c r="AD5" s="7" t="s">
        <v>319</v>
      </c>
      <c r="AF5" s="7" t="s">
        <v>319</v>
      </c>
      <c r="AH5" s="7" t="s">
        <v>319</v>
      </c>
      <c r="AJ5" s="35" t="s">
        <v>319</v>
      </c>
      <c r="AK5" s="35"/>
      <c r="AL5" s="35"/>
      <c r="AM5" s="35"/>
      <c r="AN5" s="35"/>
      <c r="AO5" s="35"/>
      <c r="AP5" s="35"/>
      <c r="AQ5" s="35"/>
      <c r="AR5" s="35"/>
      <c r="AS5" s="7"/>
      <c r="AT5" s="7" t="s">
        <v>320</v>
      </c>
      <c r="AV5" s="7" t="s">
        <v>320</v>
      </c>
      <c r="AX5" s="7" t="s">
        <v>320</v>
      </c>
      <c r="AZ5" s="35" t="s">
        <v>320</v>
      </c>
      <c r="BA5" s="7"/>
      <c r="BB5" s="7" t="s">
        <v>321</v>
      </c>
      <c r="BC5" s="7"/>
      <c r="BD5" s="7" t="s">
        <v>321</v>
      </c>
      <c r="BE5" s="7"/>
      <c r="BF5" s="7" t="s">
        <v>321</v>
      </c>
      <c r="BG5" s="7"/>
      <c r="BH5" s="7" t="s">
        <v>321</v>
      </c>
    </row>
    <row r="6" spans="2:60" ht="12.75">
      <c r="B6" s="11" t="s">
        <v>311</v>
      </c>
      <c r="F6" s="7" t="s">
        <v>324</v>
      </c>
      <c r="H6" s="7" t="s">
        <v>324</v>
      </c>
      <c r="J6" s="7" t="s">
        <v>324</v>
      </c>
      <c r="L6" s="7" t="s">
        <v>324</v>
      </c>
      <c r="M6" s="7"/>
      <c r="N6" s="7" t="s">
        <v>313</v>
      </c>
      <c r="P6" s="7" t="s">
        <v>313</v>
      </c>
      <c r="R6" s="7" t="s">
        <v>313</v>
      </c>
      <c r="T6" s="7" t="s">
        <v>313</v>
      </c>
      <c r="U6" s="7"/>
      <c r="V6" s="7" t="s">
        <v>314</v>
      </c>
      <c r="X6" s="7" t="s">
        <v>314</v>
      </c>
      <c r="Z6" s="7" t="s">
        <v>314</v>
      </c>
      <c r="AB6" s="7" t="s">
        <v>314</v>
      </c>
      <c r="AC6" s="7"/>
      <c r="AD6" s="7" t="s">
        <v>315</v>
      </c>
      <c r="AF6" s="7" t="s">
        <v>315</v>
      </c>
      <c r="AH6" s="7" t="s">
        <v>315</v>
      </c>
      <c r="AJ6" s="7" t="s">
        <v>315</v>
      </c>
      <c r="AK6" s="7"/>
      <c r="AL6" s="7"/>
      <c r="AM6" s="7"/>
      <c r="AN6" s="7"/>
      <c r="AO6" s="7"/>
      <c r="AP6" s="7"/>
      <c r="AQ6" s="7"/>
      <c r="AR6" s="7"/>
      <c r="AS6" s="7"/>
      <c r="AT6" s="7" t="s">
        <v>52</v>
      </c>
      <c r="AV6" s="7" t="s">
        <v>52</v>
      </c>
      <c r="AX6" s="7" t="s">
        <v>52</v>
      </c>
      <c r="AZ6" s="7" t="s">
        <v>52</v>
      </c>
      <c r="BA6" s="7"/>
      <c r="BB6" s="7" t="s">
        <v>30</v>
      </c>
      <c r="BC6" s="7"/>
      <c r="BD6" s="7" t="s">
        <v>30</v>
      </c>
      <c r="BE6" s="7"/>
      <c r="BF6" s="7" t="s">
        <v>30</v>
      </c>
      <c r="BG6" s="7"/>
      <c r="BH6" s="7" t="s">
        <v>30</v>
      </c>
    </row>
    <row r="7" spans="2:60" ht="12.75">
      <c r="B7" s="11" t="s">
        <v>325</v>
      </c>
      <c r="F7" s="7" t="s">
        <v>327</v>
      </c>
      <c r="H7" s="7" t="s">
        <v>327</v>
      </c>
      <c r="J7" s="7" t="s">
        <v>327</v>
      </c>
      <c r="L7" s="7" t="s">
        <v>327</v>
      </c>
      <c r="M7" s="7"/>
      <c r="N7" s="7" t="s">
        <v>326</v>
      </c>
      <c r="P7" s="7" t="s">
        <v>326</v>
      </c>
      <c r="R7" s="7" t="s">
        <v>326</v>
      </c>
      <c r="T7" s="7" t="s">
        <v>326</v>
      </c>
      <c r="U7" s="7"/>
      <c r="AB7" s="7"/>
      <c r="AC7" s="7"/>
      <c r="AJ7" s="7"/>
      <c r="AK7" s="7"/>
      <c r="AL7" s="7" t="s">
        <v>63</v>
      </c>
      <c r="AM7" s="7"/>
      <c r="AN7" s="7" t="s">
        <v>63</v>
      </c>
      <c r="AO7" s="7"/>
      <c r="AP7" s="7" t="s">
        <v>63</v>
      </c>
      <c r="AQ7" s="7"/>
      <c r="AR7" s="7" t="s">
        <v>63</v>
      </c>
      <c r="AS7" s="7"/>
      <c r="AT7" s="7" t="s">
        <v>52</v>
      </c>
      <c r="AV7" s="7" t="s">
        <v>52</v>
      </c>
      <c r="AX7" s="7" t="s">
        <v>52</v>
      </c>
      <c r="AZ7" s="7" t="s">
        <v>52</v>
      </c>
      <c r="BA7" s="7"/>
      <c r="BB7" s="7" t="s">
        <v>30</v>
      </c>
      <c r="BC7" s="7"/>
      <c r="BD7" s="7" t="s">
        <v>30</v>
      </c>
      <c r="BE7" s="7"/>
      <c r="BF7" s="7" t="s">
        <v>30</v>
      </c>
      <c r="BG7" s="7"/>
      <c r="BH7" s="7" t="s">
        <v>30</v>
      </c>
    </row>
    <row r="8" spans="2:60" ht="12.75">
      <c r="B8" s="11" t="s">
        <v>93</v>
      </c>
      <c r="F8" s="7" t="s">
        <v>166</v>
      </c>
      <c r="H8" s="7" t="s">
        <v>166</v>
      </c>
      <c r="J8" s="7" t="s">
        <v>166</v>
      </c>
      <c r="L8" s="7" t="s">
        <v>166</v>
      </c>
      <c r="M8" s="7"/>
      <c r="N8" s="7" t="s">
        <v>104</v>
      </c>
      <c r="P8" s="7" t="s">
        <v>104</v>
      </c>
      <c r="R8" s="7" t="s">
        <v>104</v>
      </c>
      <c r="T8" s="7" t="s">
        <v>104</v>
      </c>
      <c r="U8" s="7"/>
      <c r="V8" s="7" t="s">
        <v>113</v>
      </c>
      <c r="X8" s="7" t="s">
        <v>113</v>
      </c>
      <c r="Z8" s="7" t="s">
        <v>113</v>
      </c>
      <c r="AB8" s="7" t="s">
        <v>113</v>
      </c>
      <c r="AC8" s="7"/>
      <c r="AD8" s="7" t="s">
        <v>165</v>
      </c>
      <c r="AF8" s="7" t="s">
        <v>165</v>
      </c>
      <c r="AH8" s="7" t="s">
        <v>165</v>
      </c>
      <c r="AJ8" s="7" t="s">
        <v>165</v>
      </c>
      <c r="AK8" s="7"/>
      <c r="AL8" s="7"/>
      <c r="AM8" s="7"/>
      <c r="AN8" s="7"/>
      <c r="AO8" s="7"/>
      <c r="AP8" s="7"/>
      <c r="AQ8" s="7"/>
      <c r="AR8" s="7"/>
      <c r="AS8" s="7"/>
      <c r="AT8" s="7" t="s">
        <v>52</v>
      </c>
      <c r="AV8" s="7" t="s">
        <v>52</v>
      </c>
      <c r="AX8" s="7" t="s">
        <v>52</v>
      </c>
      <c r="AZ8" s="7" t="s">
        <v>52</v>
      </c>
      <c r="BA8" s="7"/>
      <c r="BB8" s="7" t="s">
        <v>30</v>
      </c>
      <c r="BC8" s="7"/>
      <c r="BD8" s="7" t="s">
        <v>30</v>
      </c>
      <c r="BE8" s="7"/>
      <c r="BF8" s="7" t="s">
        <v>30</v>
      </c>
      <c r="BG8" s="7"/>
      <c r="BH8" s="7" t="s">
        <v>30</v>
      </c>
    </row>
    <row r="9" spans="2:60" ht="12.75">
      <c r="B9" s="11" t="s">
        <v>96</v>
      </c>
      <c r="D9" s="11" t="s">
        <v>167</v>
      </c>
      <c r="F9">
        <v>0</v>
      </c>
      <c r="G9"/>
      <c r="H9">
        <v>0</v>
      </c>
      <c r="I9"/>
      <c r="J9">
        <v>0</v>
      </c>
      <c r="K9"/>
      <c r="L9" s="72">
        <f>AVERAGE(F9:J9)</f>
        <v>0</v>
      </c>
      <c r="M9" s="72"/>
      <c r="N9" s="72">
        <v>1890</v>
      </c>
      <c r="O9" s="72"/>
      <c r="P9" s="72">
        <v>1987</v>
      </c>
      <c r="Q9" s="72"/>
      <c r="R9" s="72">
        <v>2033</v>
      </c>
      <c r="S9" s="72"/>
      <c r="T9" s="72">
        <f>AVERAGE(N9:R9)</f>
        <v>1970</v>
      </c>
      <c r="U9" s="72"/>
      <c r="V9" s="72">
        <v>255</v>
      </c>
      <c r="W9" s="72"/>
      <c r="X9" s="72">
        <v>281</v>
      </c>
      <c r="Y9" s="72"/>
      <c r="Z9" s="72">
        <v>268</v>
      </c>
      <c r="AA9" s="72"/>
      <c r="AB9" s="72">
        <f>AVERAGE(V9:Z9)</f>
        <v>268</v>
      </c>
      <c r="AC9" s="72"/>
      <c r="AD9" s="72">
        <v>5.7</v>
      </c>
      <c r="AE9" s="72"/>
      <c r="AF9" s="72">
        <v>5.5</v>
      </c>
      <c r="AG9" s="72"/>
      <c r="AH9" s="72">
        <v>4.3</v>
      </c>
      <c r="AI9" s="72"/>
      <c r="AJ9" s="72">
        <f>AVERAGE(AD9:AH9)</f>
        <v>5.166666666666667</v>
      </c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86"/>
      <c r="BB9" s="86"/>
      <c r="BC9" s="86"/>
      <c r="BD9" s="86"/>
      <c r="BE9" s="86"/>
      <c r="BF9" s="86"/>
      <c r="BG9" s="86"/>
      <c r="BH9" s="86"/>
    </row>
    <row r="10" spans="2:60" ht="12.75">
      <c r="B10" s="11" t="s">
        <v>312</v>
      </c>
      <c r="D10" s="11" t="s">
        <v>207</v>
      </c>
      <c r="F10" s="72">
        <v>14211</v>
      </c>
      <c r="G10"/>
      <c r="H10">
        <v>14211</v>
      </c>
      <c r="I10"/>
      <c r="J10">
        <v>14211</v>
      </c>
      <c r="K10"/>
      <c r="L10" s="72">
        <v>14211</v>
      </c>
      <c r="M10" s="72"/>
      <c r="N10" s="72"/>
      <c r="O10" s="72"/>
      <c r="P10" s="72"/>
      <c r="Q10" s="72"/>
      <c r="R10" s="72"/>
      <c r="S10" s="72"/>
      <c r="T10" s="72"/>
      <c r="U10" s="72"/>
      <c r="V10" s="72">
        <v>11607</v>
      </c>
      <c r="W10" s="72"/>
      <c r="X10" s="72">
        <v>11607</v>
      </c>
      <c r="Y10" s="72"/>
      <c r="Z10" s="72">
        <v>11607</v>
      </c>
      <c r="AA10" s="72"/>
      <c r="AB10" s="72"/>
      <c r="AC10" s="72"/>
      <c r="AD10" s="72">
        <v>7697</v>
      </c>
      <c r="AE10" s="72"/>
      <c r="AF10" s="72">
        <v>7697</v>
      </c>
      <c r="AG10" s="72"/>
      <c r="AH10" s="72">
        <v>7697</v>
      </c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86"/>
      <c r="BB10" s="86"/>
      <c r="BC10" s="86"/>
      <c r="BD10" s="86"/>
      <c r="BE10" s="86"/>
      <c r="BF10" s="86"/>
      <c r="BG10" s="86"/>
      <c r="BH10" s="86"/>
    </row>
    <row r="11" spans="2:60" ht="12.75">
      <c r="B11" s="11" t="s">
        <v>330</v>
      </c>
      <c r="D11" s="11" t="s">
        <v>331</v>
      </c>
      <c r="F11"/>
      <c r="G11"/>
      <c r="H11"/>
      <c r="I11"/>
      <c r="J11"/>
      <c r="K1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>
        <f>V9*V10/1000000*60</f>
        <v>177.58710000000002</v>
      </c>
      <c r="W11" s="72"/>
      <c r="X11" s="72">
        <f>X9*X10/1000000*60</f>
        <v>195.69402</v>
      </c>
      <c r="Y11" s="72"/>
      <c r="Z11" s="72">
        <f>Z9*Z10/1000000*60</f>
        <v>186.64056000000002</v>
      </c>
      <c r="AA11" s="72"/>
      <c r="AB11" s="72">
        <f>AVERAGE(Z11,X11,V11)</f>
        <v>186.64056000000002</v>
      </c>
      <c r="AC11" s="72"/>
      <c r="AD11" s="72">
        <f>AD9*AD10/1000000*60</f>
        <v>2.632374</v>
      </c>
      <c r="AE11" s="72"/>
      <c r="AF11" s="72">
        <f>AF9*AF10/1000000*60</f>
        <v>2.54001</v>
      </c>
      <c r="AG11" s="72"/>
      <c r="AH11" s="72">
        <f>AH9*AH10/1000000*60</f>
        <v>1.9858259999999999</v>
      </c>
      <c r="AI11" s="72"/>
      <c r="AJ11" s="72">
        <f>AVERAGE(AH11,AF11,AD11)</f>
        <v>2.38607</v>
      </c>
      <c r="AK11" s="72"/>
      <c r="AL11" s="72">
        <f>V11+AD11</f>
        <v>180.21947400000002</v>
      </c>
      <c r="AM11" s="72"/>
      <c r="AN11" s="72">
        <f>X11+AF11</f>
        <v>198.23403</v>
      </c>
      <c r="AO11" s="72"/>
      <c r="AP11" s="72">
        <f>Z11+AH11</f>
        <v>188.62638600000002</v>
      </c>
      <c r="AQ11" s="72"/>
      <c r="AR11" s="72">
        <f>AB11+AJ11</f>
        <v>189.02663</v>
      </c>
      <c r="AS11" s="72"/>
      <c r="AT11" s="72"/>
      <c r="AU11" s="72"/>
      <c r="AV11" s="72"/>
      <c r="AW11" s="72"/>
      <c r="AX11" s="72"/>
      <c r="AY11" s="72"/>
      <c r="AZ11" s="72"/>
      <c r="BA11" s="86"/>
      <c r="BB11" s="84">
        <f>AT11+AD11+V11+N11+F11</f>
        <v>180.21947400000002</v>
      </c>
      <c r="BC11" s="84"/>
      <c r="BD11" s="84">
        <f>AV11+AF11+X11+P11+H11</f>
        <v>198.23403</v>
      </c>
      <c r="BE11" s="84"/>
      <c r="BF11" s="84">
        <f>AX11+AH11+Z11+R11+J11</f>
        <v>188.62638600000002</v>
      </c>
      <c r="BG11" s="84"/>
      <c r="BH11" s="84">
        <f>AVERAGE(BF11,BD11,BB11)</f>
        <v>189.02662999999998</v>
      </c>
    </row>
    <row r="12" spans="2:60" ht="12.75">
      <c r="B12" s="11" t="s">
        <v>21</v>
      </c>
      <c r="D12" s="11" t="s">
        <v>170</v>
      </c>
      <c r="F12">
        <v>0</v>
      </c>
      <c r="G12"/>
      <c r="H12">
        <v>0</v>
      </c>
      <c r="I12"/>
      <c r="J12">
        <v>0</v>
      </c>
      <c r="K12"/>
      <c r="L12" s="72">
        <f>AVERAGE(F12:J12)</f>
        <v>0</v>
      </c>
      <c r="M12" s="72"/>
      <c r="N12" s="73">
        <v>7.09</v>
      </c>
      <c r="O12" s="73"/>
      <c r="P12" s="73">
        <v>9.41</v>
      </c>
      <c r="Q12" s="73"/>
      <c r="R12" s="73">
        <v>6.06</v>
      </c>
      <c r="S12" s="73"/>
      <c r="T12" s="73">
        <f>AVERAGE(N12:R12)</f>
        <v>7.52</v>
      </c>
      <c r="U12" s="72"/>
      <c r="V12" s="72">
        <v>243</v>
      </c>
      <c r="W12" s="72"/>
      <c r="X12" s="72">
        <v>185</v>
      </c>
      <c r="Y12" s="72"/>
      <c r="Z12" s="72">
        <v>265</v>
      </c>
      <c r="AA12" s="72"/>
      <c r="AB12" s="72">
        <f>AVERAGE(V12:Z12)</f>
        <v>231</v>
      </c>
      <c r="AC12" s="72"/>
      <c r="AD12" s="72">
        <v>19</v>
      </c>
      <c r="AE12" s="72"/>
      <c r="AF12" s="72">
        <v>4</v>
      </c>
      <c r="AG12" s="72"/>
      <c r="AH12" s="72">
        <v>2</v>
      </c>
      <c r="AI12" s="72"/>
      <c r="AJ12" s="72">
        <f>AVERAGE(AD12:AH12)</f>
        <v>8.333333333333334</v>
      </c>
      <c r="AK12" s="72"/>
      <c r="AL12" s="72"/>
      <c r="AM12" s="72"/>
      <c r="AN12" s="72"/>
      <c r="AO12" s="72"/>
      <c r="AP12" s="72"/>
      <c r="AQ12" s="72"/>
      <c r="AR12" s="72"/>
      <c r="AS12" s="72"/>
      <c r="AT12" s="72">
        <v>387.2</v>
      </c>
      <c r="AU12" s="72"/>
      <c r="AV12" s="72">
        <v>351.4</v>
      </c>
      <c r="AW12" s="72"/>
      <c r="AX12" s="72">
        <v>315.6</v>
      </c>
      <c r="AY12" s="72"/>
      <c r="AZ12" s="72">
        <f>AVERAGE(AT12:AX12)</f>
        <v>351.3999999999999</v>
      </c>
      <c r="BA12" s="84"/>
      <c r="BB12" s="84">
        <f>AT12+AD12+V12+N12+F12</f>
        <v>656.2900000000001</v>
      </c>
      <c r="BC12" s="84"/>
      <c r="BD12" s="84">
        <f>AV12+AF12+X12+P12+H12</f>
        <v>549.81</v>
      </c>
      <c r="BE12" s="84"/>
      <c r="BF12" s="84">
        <f>AX12+AH12+Z12+R12+J12</f>
        <v>588.66</v>
      </c>
      <c r="BG12" s="84"/>
      <c r="BH12" s="86">
        <f>AVERAGE(BB12:BF12)</f>
        <v>598.2533333333332</v>
      </c>
    </row>
    <row r="14" spans="2:60" ht="12.75">
      <c r="B14" s="11" t="s">
        <v>57</v>
      </c>
      <c r="D14" s="11" t="s">
        <v>16</v>
      </c>
      <c r="F14" s="84">
        <f>'emiss 1'!$G$38</f>
        <v>60422</v>
      </c>
      <c r="G14" s="84"/>
      <c r="H14" s="84">
        <f>'emiss 1'!$I$38</f>
        <v>64332</v>
      </c>
      <c r="I14" s="84"/>
      <c r="J14" s="84">
        <f>'emiss 1'!$K$38</f>
        <v>73380</v>
      </c>
      <c r="K14" s="84"/>
      <c r="L14" s="84">
        <f>'emiss 1'!$O$38</f>
        <v>66044.66666666667</v>
      </c>
      <c r="M14" s="84"/>
      <c r="N14" s="84">
        <f>'emiss 1'!$G$38</f>
        <v>60422</v>
      </c>
      <c r="O14" s="84"/>
      <c r="P14" s="84">
        <f>'emiss 1'!$I$38</f>
        <v>64332</v>
      </c>
      <c r="Q14" s="84"/>
      <c r="R14" s="84">
        <f>'emiss 1'!$K$38</f>
        <v>73380</v>
      </c>
      <c r="S14" s="84"/>
      <c r="T14" s="84">
        <f>'emiss 1'!$O$38</f>
        <v>66044.66666666667</v>
      </c>
      <c r="U14" s="84"/>
      <c r="V14" s="84">
        <f>'emiss 1'!$G$38</f>
        <v>60422</v>
      </c>
      <c r="W14" s="84"/>
      <c r="X14" s="84">
        <f>'emiss 1'!$I$38</f>
        <v>64332</v>
      </c>
      <c r="Y14" s="84"/>
      <c r="Z14" s="84">
        <f>'emiss 1'!$K$38</f>
        <v>73380</v>
      </c>
      <c r="AA14" s="84"/>
      <c r="AB14" s="84">
        <f>'emiss 1'!$O$38</f>
        <v>66044.66666666667</v>
      </c>
      <c r="AC14" s="84"/>
      <c r="AD14" s="84">
        <f>'emiss 1'!$G$38</f>
        <v>60422</v>
      </c>
      <c r="AE14" s="84"/>
      <c r="AF14" s="84">
        <f>'emiss 1'!$I$38</f>
        <v>64332</v>
      </c>
      <c r="AG14" s="84"/>
      <c r="AH14" s="84">
        <f>'emiss 1'!$K$38</f>
        <v>73380</v>
      </c>
      <c r="AI14" s="84"/>
      <c r="AJ14" s="84">
        <f>'emiss 1'!$O$38</f>
        <v>66044.66666666667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84">
        <f>'emiss 1'!$G$38</f>
        <v>60422</v>
      </c>
      <c r="AU14" s="84"/>
      <c r="AV14" s="84">
        <f>'emiss 1'!$I$38</f>
        <v>64332</v>
      </c>
      <c r="AW14" s="84"/>
      <c r="AX14" s="84">
        <f>'emiss 1'!$K$38</f>
        <v>73380</v>
      </c>
      <c r="AY14" s="84"/>
      <c r="AZ14" s="84">
        <f>'emiss 1'!$O$38</f>
        <v>66044.66666666667</v>
      </c>
      <c r="BA14" s="86"/>
      <c r="BB14" s="84">
        <f>'emiss 1'!$G$38</f>
        <v>60422</v>
      </c>
      <c r="BC14" s="84"/>
      <c r="BD14" s="84">
        <f>'emiss 1'!$I$38</f>
        <v>64332</v>
      </c>
      <c r="BE14" s="84"/>
      <c r="BF14" s="84">
        <f>'emiss 1'!$K$38</f>
        <v>73380</v>
      </c>
      <c r="BG14" s="86"/>
      <c r="BH14" s="84">
        <f>'emiss 1'!O38</f>
        <v>66044.66666666667</v>
      </c>
    </row>
    <row r="15" spans="2:60" ht="12.75">
      <c r="B15" s="11" t="s">
        <v>58</v>
      </c>
      <c r="D15" s="11" t="s">
        <v>14</v>
      </c>
      <c r="F15" s="45">
        <f>'emiss 1'!$G$39</f>
        <v>6.2</v>
      </c>
      <c r="G15" s="45"/>
      <c r="H15" s="45">
        <f>'emiss 1'!$I$39</f>
        <v>6.3</v>
      </c>
      <c r="I15" s="45"/>
      <c r="J15" s="45">
        <f>'emiss 1'!$K$39</f>
        <v>6.2</v>
      </c>
      <c r="K15" s="45"/>
      <c r="L15" s="46">
        <f>'emiss 1'!$O$39</f>
        <v>6.233333333333333</v>
      </c>
      <c r="M15" s="46"/>
      <c r="N15" s="45">
        <f>'emiss 1'!$G$39</f>
        <v>6.2</v>
      </c>
      <c r="O15" s="45"/>
      <c r="P15" s="45">
        <f>'emiss 1'!$I$39</f>
        <v>6.3</v>
      </c>
      <c r="Q15" s="45"/>
      <c r="R15" s="45">
        <f>'emiss 1'!$K$39</f>
        <v>6.2</v>
      </c>
      <c r="S15" s="45"/>
      <c r="T15" s="46">
        <f>'emiss 1'!$O$39</f>
        <v>6.233333333333333</v>
      </c>
      <c r="U15" s="46"/>
      <c r="V15" s="45">
        <f>'emiss 1'!$G$39</f>
        <v>6.2</v>
      </c>
      <c r="W15" s="45"/>
      <c r="X15" s="45">
        <f>'emiss 1'!$I$39</f>
        <v>6.3</v>
      </c>
      <c r="Y15" s="45"/>
      <c r="Z15" s="45">
        <f>'emiss 1'!$K$39</f>
        <v>6.2</v>
      </c>
      <c r="AA15" s="45"/>
      <c r="AB15" s="46">
        <f>'emiss 1'!$O$39</f>
        <v>6.233333333333333</v>
      </c>
      <c r="AC15" s="46"/>
      <c r="AD15" s="45">
        <f>'emiss 1'!$G$39</f>
        <v>6.2</v>
      </c>
      <c r="AE15" s="45"/>
      <c r="AF15" s="45">
        <f>'emiss 1'!$I$39</f>
        <v>6.3</v>
      </c>
      <c r="AG15" s="45"/>
      <c r="AH15" s="45">
        <f>'emiss 1'!$K$39</f>
        <v>6.2</v>
      </c>
      <c r="AI15" s="45"/>
      <c r="AJ15" s="46">
        <f>'emiss 1'!$O$39</f>
        <v>6.233333333333333</v>
      </c>
      <c r="AK15" s="46"/>
      <c r="AL15" s="46"/>
      <c r="AM15" s="46"/>
      <c r="AN15" s="46"/>
      <c r="AO15" s="46"/>
      <c r="AP15" s="46"/>
      <c r="AQ15" s="46"/>
      <c r="AR15" s="46"/>
      <c r="AS15" s="46"/>
      <c r="AT15" s="45">
        <f>'emiss 1'!$G$39</f>
        <v>6.2</v>
      </c>
      <c r="AU15" s="45"/>
      <c r="AV15" s="45">
        <f>'emiss 1'!$I$39</f>
        <v>6.3</v>
      </c>
      <c r="AW15" s="45"/>
      <c r="AX15" s="45">
        <f>'emiss 1'!$K$39</f>
        <v>6.2</v>
      </c>
      <c r="AY15" s="45"/>
      <c r="AZ15" s="46">
        <f>'emiss 1'!$O$39</f>
        <v>6.233333333333333</v>
      </c>
      <c r="BB15" s="45">
        <f>'emiss 1'!$G$39</f>
        <v>6.2</v>
      </c>
      <c r="BC15" s="45"/>
      <c r="BD15" s="45">
        <f>'emiss 1'!$I$39</f>
        <v>6.3</v>
      </c>
      <c r="BE15" s="45"/>
      <c r="BF15" s="45">
        <f>'emiss 1'!$K$39</f>
        <v>6.2</v>
      </c>
      <c r="BH15" s="46">
        <f>'emiss 1'!O39</f>
        <v>6.233333333333333</v>
      </c>
    </row>
    <row r="16" ht="12.75">
      <c r="BH16" s="16"/>
    </row>
    <row r="17" spans="2:60" ht="12.75">
      <c r="B17" s="49" t="s">
        <v>73</v>
      </c>
      <c r="C17" s="49"/>
      <c r="BH17" s="16"/>
    </row>
    <row r="18" spans="2:60" ht="12.75">
      <c r="B18" s="11" t="s">
        <v>21</v>
      </c>
      <c r="D18" s="11" t="s">
        <v>55</v>
      </c>
      <c r="F18" s="84">
        <f>F12*454*1000000/F$14/60/0.0283*(21-7)/(21-F$15)</f>
        <v>0</v>
      </c>
      <c r="G18" s="84"/>
      <c r="H18" s="84">
        <f>H12*454*1000000/H$14/60/0.0283*(21-7)/(21-H$15)</f>
        <v>0</v>
      </c>
      <c r="I18" s="84"/>
      <c r="J18" s="84">
        <f>J12*454*1000000/J$14/60/0.0283*(21-7)/(21-J$15)</f>
        <v>0</v>
      </c>
      <c r="K18" s="84"/>
      <c r="L18" s="84">
        <f>L12*454*1000000/L$14/60/0.0283*(21-7)/(21-L$15)</f>
        <v>0</v>
      </c>
      <c r="M18" s="84"/>
      <c r="N18" s="84">
        <f>N12*454*1000000/N$14/60/0.0283*(21-7)/(21-N$15)</f>
        <v>29678.068019822884</v>
      </c>
      <c r="O18" s="84"/>
      <c r="P18" s="84">
        <f>P12*454*1000000/P$14/60/0.0283*(21-7)/(21-P$15)</f>
        <v>37247.011929363136</v>
      </c>
      <c r="Q18" s="84"/>
      <c r="R18" s="84">
        <f>R12*454*1000000/R$14/60/0.0283*(21-7)/(21-R$15)</f>
        <v>20887.16050213729</v>
      </c>
      <c r="S18" s="84"/>
      <c r="T18" s="84">
        <f>T12*454*1000000/T$14/60/0.0283*(21-7)/(21-T$15)</f>
        <v>28863.156163677097</v>
      </c>
      <c r="U18" s="84"/>
      <c r="V18" s="84">
        <f>V12*454*1000000/V$14/60/0.0283*(21-7)/(21-V$15)</f>
        <v>1017174.9688035205</v>
      </c>
      <c r="W18" s="84"/>
      <c r="X18" s="84">
        <f>X12*454*1000000/X$14/60/0.0283*(21-7)/(21-X$15)</f>
        <v>732273.8795889671</v>
      </c>
      <c r="Y18" s="84"/>
      <c r="Z18" s="84">
        <f>Z12*454*1000000/Z$14/60/0.0283*(21-7)/(21-Z$15)</f>
        <v>913382.4311990729</v>
      </c>
      <c r="AA18" s="84"/>
      <c r="AB18" s="84">
        <f>AB12*454*1000000/AB$14/60/0.0283*(21-7)/(21-AB$15)</f>
        <v>886620.8874746555</v>
      </c>
      <c r="AC18" s="84"/>
      <c r="AD18" s="84">
        <f>AD12*454*1000000/AD$14/60/0.0283*(21-7)/(21-AD$15)</f>
        <v>79532.19920685963</v>
      </c>
      <c r="AE18" s="84"/>
      <c r="AF18" s="84">
        <f>AF12*454*1000000/AF$14/60/0.0283*(21-7)/(21-AF$15)</f>
        <v>15832.948747869557</v>
      </c>
      <c r="AG18" s="84"/>
      <c r="AH18" s="84">
        <f>AH12*454*1000000/AH$14/60/0.0283*(21-7)/(21-AH$15)</f>
        <v>6893.452310936398</v>
      </c>
      <c r="AI18" s="84"/>
      <c r="AJ18" s="84">
        <f>AJ12*454*1000000/AJ$14/60/0.0283*(21-7)/(21-AJ$15)</f>
        <v>31984.880500528696</v>
      </c>
      <c r="AK18" s="84"/>
      <c r="AL18" s="84">
        <f>SUM(AD18,V18)</f>
        <v>1096707.1680103801</v>
      </c>
      <c r="AM18" s="84"/>
      <c r="AN18" s="84">
        <f>SUM(AF18,X18)</f>
        <v>748106.8283368367</v>
      </c>
      <c r="AO18" s="84"/>
      <c r="AP18" s="84">
        <f>SUM(AH18,Z18)</f>
        <v>920275.8835100093</v>
      </c>
      <c r="AQ18" s="84"/>
      <c r="AR18" s="84">
        <f>SUM(AJ18,AB18)</f>
        <v>918605.7679751843</v>
      </c>
      <c r="AS18" s="84"/>
      <c r="AT18" s="84">
        <f>AT12*454*1000000/AT$14/60/0.0283*(21-7)/(21-AT$15)</f>
        <v>1620782.501731371</v>
      </c>
      <c r="AU18" s="84"/>
      <c r="AV18" s="84">
        <f>AV12*454*1000000/AV$14/60/0.0283*(21-7)/(21-AV$15)</f>
        <v>1390924.5475003405</v>
      </c>
      <c r="AW18" s="84"/>
      <c r="AX18" s="84">
        <f>AX12*454*1000000/AX$14/60/0.0283*(21-7)/(21-AX$15)</f>
        <v>1087786.774665764</v>
      </c>
      <c r="AY18" s="84"/>
      <c r="AZ18" s="84">
        <f>AZ12*454*1000000/AZ$14/60/0.0283*(21-7)/(21-AZ$15)</f>
        <v>1348738.440946294</v>
      </c>
      <c r="BA18" s="84"/>
      <c r="BB18" s="84">
        <f>AT18+AD18+V18+N18+F18</f>
        <v>2747167.737761574</v>
      </c>
      <c r="BC18" s="84"/>
      <c r="BD18" s="84">
        <f>AV18+AF18+X18+P18+H18</f>
        <v>2176278.38776654</v>
      </c>
      <c r="BE18" s="84"/>
      <c r="BF18" s="84">
        <f>AX18+AH18+Z18+R18+J18</f>
        <v>2028949.8186779106</v>
      </c>
      <c r="BG18" s="84"/>
      <c r="BH18" s="84">
        <f>BH12*454*1000000/BH$14/60/0.0283*(21-7)/(21-BH$15)</f>
        <v>2296207.3650851557</v>
      </c>
    </row>
    <row r="20" spans="2:60" ht="12.75">
      <c r="B20" s="44" t="s">
        <v>129</v>
      </c>
      <c r="F20" s="7" t="s">
        <v>106</v>
      </c>
      <c r="H20" s="7" t="s">
        <v>107</v>
      </c>
      <c r="J20" s="7" t="s">
        <v>108</v>
      </c>
      <c r="L20" s="7" t="s">
        <v>56</v>
      </c>
      <c r="M20" s="7"/>
      <c r="N20" s="7" t="s">
        <v>106</v>
      </c>
      <c r="P20" s="7" t="s">
        <v>107</v>
      </c>
      <c r="R20" s="7" t="s">
        <v>108</v>
      </c>
      <c r="T20" s="7" t="s">
        <v>56</v>
      </c>
      <c r="U20" s="7"/>
      <c r="V20" s="7" t="s">
        <v>106</v>
      </c>
      <c r="X20" s="7" t="s">
        <v>107</v>
      </c>
      <c r="Z20" s="7" t="s">
        <v>108</v>
      </c>
      <c r="AB20" s="7" t="s">
        <v>56</v>
      </c>
      <c r="AC20" s="7"/>
      <c r="AD20" s="7" t="s">
        <v>106</v>
      </c>
      <c r="AF20" s="7" t="s">
        <v>107</v>
      </c>
      <c r="AH20" s="7" t="s">
        <v>108</v>
      </c>
      <c r="AJ20" s="7" t="s">
        <v>56</v>
      </c>
      <c r="AK20" s="7"/>
      <c r="AL20" s="7" t="s">
        <v>106</v>
      </c>
      <c r="AM20" s="7"/>
      <c r="AN20" s="7" t="s">
        <v>107</v>
      </c>
      <c r="AO20" s="7"/>
      <c r="AP20" s="7" t="s">
        <v>108</v>
      </c>
      <c r="AQ20" s="7"/>
      <c r="AR20" s="7" t="s">
        <v>56</v>
      </c>
      <c r="AS20" s="7"/>
      <c r="AT20" s="7" t="s">
        <v>106</v>
      </c>
      <c r="AV20" s="7" t="s">
        <v>107</v>
      </c>
      <c r="AX20" s="7" t="s">
        <v>108</v>
      </c>
      <c r="AZ20" s="7" t="s">
        <v>56</v>
      </c>
      <c r="BA20" s="7"/>
      <c r="BB20" s="7" t="s">
        <v>106</v>
      </c>
      <c r="BC20" s="7"/>
      <c r="BD20" s="7" t="s">
        <v>107</v>
      </c>
      <c r="BE20" s="7"/>
      <c r="BF20" s="7" t="s">
        <v>108</v>
      </c>
      <c r="BG20" s="7"/>
      <c r="BH20" s="7" t="s">
        <v>56</v>
      </c>
    </row>
    <row r="21" spans="2:60" ht="12.75">
      <c r="B21" s="44"/>
      <c r="L21" s="7"/>
      <c r="M21" s="7"/>
      <c r="T21" s="7"/>
      <c r="U21" s="7"/>
      <c r="AB21" s="7"/>
      <c r="AC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2:60" ht="12.75">
      <c r="B22" s="11" t="s">
        <v>310</v>
      </c>
      <c r="F22" s="7" t="s">
        <v>316</v>
      </c>
      <c r="H22" s="7" t="s">
        <v>316</v>
      </c>
      <c r="J22" s="7" t="s">
        <v>316</v>
      </c>
      <c r="L22" s="7" t="s">
        <v>316</v>
      </c>
      <c r="M22" s="7"/>
      <c r="N22" s="7" t="s">
        <v>317</v>
      </c>
      <c r="P22" s="7" t="s">
        <v>317</v>
      </c>
      <c r="R22" s="7" t="s">
        <v>317</v>
      </c>
      <c r="T22" s="7" t="s">
        <v>317</v>
      </c>
      <c r="U22" s="7"/>
      <c r="V22" s="7" t="s">
        <v>318</v>
      </c>
      <c r="X22" s="7" t="s">
        <v>318</v>
      </c>
      <c r="Z22" s="7" t="s">
        <v>318</v>
      </c>
      <c r="AB22" s="35" t="s">
        <v>318</v>
      </c>
      <c r="AC22" s="35"/>
      <c r="AD22" s="7" t="s">
        <v>319</v>
      </c>
      <c r="AF22" s="7" t="s">
        <v>319</v>
      </c>
      <c r="AH22" s="7" t="s">
        <v>319</v>
      </c>
      <c r="AJ22" s="35" t="s">
        <v>319</v>
      </c>
      <c r="AK22" s="35"/>
      <c r="AL22" s="35"/>
      <c r="AM22" s="35"/>
      <c r="AN22" s="35"/>
      <c r="AO22" s="35"/>
      <c r="AP22" s="35"/>
      <c r="AQ22" s="35"/>
      <c r="AR22" s="35"/>
      <c r="AS22" s="7"/>
      <c r="AT22" s="7" t="s">
        <v>320</v>
      </c>
      <c r="AV22" s="7" t="s">
        <v>320</v>
      </c>
      <c r="AX22" s="7" t="s">
        <v>320</v>
      </c>
      <c r="AZ22" s="35" t="s">
        <v>320</v>
      </c>
      <c r="BA22" s="7"/>
      <c r="BB22" s="7" t="s">
        <v>321</v>
      </c>
      <c r="BC22" s="7"/>
      <c r="BD22" s="7" t="s">
        <v>321</v>
      </c>
      <c r="BE22" s="7"/>
      <c r="BF22" s="7" t="s">
        <v>321</v>
      </c>
      <c r="BG22" s="7"/>
      <c r="BH22" s="7" t="s">
        <v>321</v>
      </c>
    </row>
    <row r="23" spans="2:60" ht="12.75">
      <c r="B23" s="11" t="s">
        <v>311</v>
      </c>
      <c r="F23" s="7" t="s">
        <v>324</v>
      </c>
      <c r="H23" s="7" t="s">
        <v>324</v>
      </c>
      <c r="J23" s="7" t="s">
        <v>324</v>
      </c>
      <c r="L23" s="7" t="s">
        <v>324</v>
      </c>
      <c r="M23" s="7"/>
      <c r="N23" s="7" t="s">
        <v>313</v>
      </c>
      <c r="P23" s="7" t="s">
        <v>313</v>
      </c>
      <c r="R23" s="7" t="s">
        <v>313</v>
      </c>
      <c r="T23" s="7" t="s">
        <v>313</v>
      </c>
      <c r="U23" s="7"/>
      <c r="V23" s="7" t="s">
        <v>314</v>
      </c>
      <c r="X23" s="7" t="s">
        <v>314</v>
      </c>
      <c r="Z23" s="7" t="s">
        <v>314</v>
      </c>
      <c r="AB23" s="7" t="s">
        <v>314</v>
      </c>
      <c r="AC23" s="7"/>
      <c r="AD23" s="7" t="s">
        <v>315</v>
      </c>
      <c r="AF23" s="7" t="s">
        <v>315</v>
      </c>
      <c r="AH23" s="7" t="s">
        <v>315</v>
      </c>
      <c r="AJ23" s="7" t="s">
        <v>315</v>
      </c>
      <c r="AK23" s="7"/>
      <c r="AL23" s="7"/>
      <c r="AM23" s="7"/>
      <c r="AN23" s="7"/>
      <c r="AO23" s="7"/>
      <c r="AP23" s="7"/>
      <c r="AQ23" s="7"/>
      <c r="AR23" s="7"/>
      <c r="AS23" s="7"/>
      <c r="AT23" s="7" t="s">
        <v>52</v>
      </c>
      <c r="AV23" s="7" t="s">
        <v>52</v>
      </c>
      <c r="AX23" s="7" t="s">
        <v>52</v>
      </c>
      <c r="AZ23" s="7" t="s">
        <v>52</v>
      </c>
      <c r="BA23" s="7"/>
      <c r="BB23" s="7" t="s">
        <v>30</v>
      </c>
      <c r="BC23" s="7"/>
      <c r="BD23" s="7" t="s">
        <v>30</v>
      </c>
      <c r="BE23" s="7"/>
      <c r="BF23" s="7" t="s">
        <v>30</v>
      </c>
      <c r="BG23" s="7"/>
      <c r="BH23" s="7" t="s">
        <v>30</v>
      </c>
    </row>
    <row r="24" spans="2:60" ht="12.75">
      <c r="B24" s="11" t="s">
        <v>325</v>
      </c>
      <c r="F24" s="7" t="s">
        <v>327</v>
      </c>
      <c r="H24" s="7" t="s">
        <v>327</v>
      </c>
      <c r="J24" s="7" t="s">
        <v>327</v>
      </c>
      <c r="L24" s="7" t="s">
        <v>327</v>
      </c>
      <c r="M24" s="7"/>
      <c r="N24" s="7" t="s">
        <v>326</v>
      </c>
      <c r="P24" s="7" t="s">
        <v>326</v>
      </c>
      <c r="R24" s="7" t="s">
        <v>326</v>
      </c>
      <c r="T24" s="7" t="s">
        <v>326</v>
      </c>
      <c r="U24" s="7"/>
      <c r="AB24" s="7"/>
      <c r="AC24" s="7"/>
      <c r="AJ24" s="7"/>
      <c r="AK24" s="7"/>
      <c r="AL24" s="7" t="s">
        <v>63</v>
      </c>
      <c r="AM24" s="7"/>
      <c r="AN24" s="7" t="s">
        <v>63</v>
      </c>
      <c r="AO24" s="7"/>
      <c r="AP24" s="7" t="s">
        <v>63</v>
      </c>
      <c r="AQ24" s="7"/>
      <c r="AR24" s="7" t="s">
        <v>63</v>
      </c>
      <c r="AS24" s="7"/>
      <c r="AT24" s="7" t="s">
        <v>52</v>
      </c>
      <c r="AV24" s="7" t="s">
        <v>52</v>
      </c>
      <c r="AX24" s="7" t="s">
        <v>52</v>
      </c>
      <c r="AZ24" s="7" t="s">
        <v>52</v>
      </c>
      <c r="BA24" s="7"/>
      <c r="BB24" s="7" t="s">
        <v>30</v>
      </c>
      <c r="BC24" s="7"/>
      <c r="BD24" s="7" t="s">
        <v>30</v>
      </c>
      <c r="BE24" s="7"/>
      <c r="BF24" s="7" t="s">
        <v>30</v>
      </c>
      <c r="BG24" s="7"/>
      <c r="BH24" s="7" t="s">
        <v>30</v>
      </c>
    </row>
    <row r="25" spans="2:60" ht="12.75">
      <c r="B25" s="11" t="s">
        <v>93</v>
      </c>
      <c r="F25" s="7" t="s">
        <v>166</v>
      </c>
      <c r="H25" s="7" t="s">
        <v>166</v>
      </c>
      <c r="J25" s="7" t="s">
        <v>166</v>
      </c>
      <c r="L25" s="7" t="s">
        <v>166</v>
      </c>
      <c r="M25" s="7"/>
      <c r="N25" s="7" t="s">
        <v>104</v>
      </c>
      <c r="P25" s="7" t="s">
        <v>104</v>
      </c>
      <c r="R25" s="7" t="s">
        <v>104</v>
      </c>
      <c r="T25" s="7" t="s">
        <v>104</v>
      </c>
      <c r="U25" s="7"/>
      <c r="V25" s="7" t="s">
        <v>113</v>
      </c>
      <c r="X25" s="7" t="s">
        <v>113</v>
      </c>
      <c r="Z25" s="7" t="s">
        <v>113</v>
      </c>
      <c r="AB25" s="7" t="s">
        <v>113</v>
      </c>
      <c r="AC25" s="7"/>
      <c r="AD25" s="7" t="s">
        <v>165</v>
      </c>
      <c r="AF25" s="7" t="s">
        <v>165</v>
      </c>
      <c r="AH25" s="7" t="s">
        <v>165</v>
      </c>
      <c r="AJ25" s="7" t="s">
        <v>165</v>
      </c>
      <c r="AK25" s="7"/>
      <c r="AL25" s="7"/>
      <c r="AM25" s="7"/>
      <c r="AN25" s="7"/>
      <c r="AO25" s="7"/>
      <c r="AP25" s="7"/>
      <c r="AQ25" s="7"/>
      <c r="AR25" s="7"/>
      <c r="AS25" s="7"/>
      <c r="AT25" s="7" t="s">
        <v>52</v>
      </c>
      <c r="AV25" s="7" t="s">
        <v>52</v>
      </c>
      <c r="AX25" s="7" t="s">
        <v>52</v>
      </c>
      <c r="AZ25" s="7" t="s">
        <v>52</v>
      </c>
      <c r="BA25" s="7"/>
      <c r="BB25" s="7" t="s">
        <v>30</v>
      </c>
      <c r="BC25" s="7"/>
      <c r="BD25" s="7" t="s">
        <v>30</v>
      </c>
      <c r="BE25" s="7"/>
      <c r="BF25" s="7" t="s">
        <v>30</v>
      </c>
      <c r="BG25" s="7"/>
      <c r="BH25" s="7" t="s">
        <v>30</v>
      </c>
    </row>
    <row r="26" spans="2:60" ht="12.75">
      <c r="B26" s="11" t="s">
        <v>96</v>
      </c>
      <c r="D26" s="11" t="s">
        <v>167</v>
      </c>
      <c r="F26" s="72">
        <v>6.7</v>
      </c>
      <c r="G26" s="72"/>
      <c r="H26" s="72">
        <v>0</v>
      </c>
      <c r="I26" s="72"/>
      <c r="J26" s="72">
        <v>0</v>
      </c>
      <c r="K26" s="72"/>
      <c r="L26" s="72">
        <f>AVERAGE(F26:J26)</f>
        <v>2.2333333333333334</v>
      </c>
      <c r="M26" s="72"/>
      <c r="N26" s="72">
        <v>2090</v>
      </c>
      <c r="O26" s="72"/>
      <c r="P26" s="72">
        <v>2063</v>
      </c>
      <c r="Q26" s="72"/>
      <c r="R26" s="72">
        <v>2100</v>
      </c>
      <c r="S26" s="72"/>
      <c r="T26" s="72">
        <f>AVERAGE(N26:R26)</f>
        <v>2084.3333333333335</v>
      </c>
      <c r="U26" s="72"/>
      <c r="V26" s="72">
        <v>312.4</v>
      </c>
      <c r="W26" s="72"/>
      <c r="X26" s="72">
        <v>315.4</v>
      </c>
      <c r="Y26" s="72"/>
      <c r="Z26" s="72">
        <v>314</v>
      </c>
      <c r="AA26" s="72"/>
      <c r="AB26" s="72">
        <f aca="true" t="shared" si="0" ref="AB26:AB41">AVERAGE(V26:Z26)</f>
        <v>313.93333333333334</v>
      </c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86"/>
      <c r="BB26" s="86"/>
      <c r="BC26" s="86"/>
      <c r="BD26" s="86"/>
      <c r="BE26" s="86"/>
      <c r="BF26" s="86"/>
      <c r="BG26" s="86"/>
      <c r="BH26" s="86"/>
    </row>
    <row r="27" spans="2:60" ht="12.75">
      <c r="B27" s="11" t="s">
        <v>312</v>
      </c>
      <c r="D27" s="11" t="s">
        <v>207</v>
      </c>
      <c r="F27" s="72">
        <v>14211</v>
      </c>
      <c r="G27" s="72"/>
      <c r="H27" s="72">
        <v>14211</v>
      </c>
      <c r="I27" s="72"/>
      <c r="J27" s="72">
        <v>14211</v>
      </c>
      <c r="K27" s="72"/>
      <c r="L27" s="72">
        <v>14211</v>
      </c>
      <c r="M27" s="72"/>
      <c r="N27" s="72"/>
      <c r="O27" s="72"/>
      <c r="P27" s="72"/>
      <c r="Q27" s="72"/>
      <c r="R27" s="72"/>
      <c r="S27" s="72"/>
      <c r="T27" s="72"/>
      <c r="U27" s="72"/>
      <c r="V27" s="72">
        <v>11607</v>
      </c>
      <c r="W27" s="72"/>
      <c r="X27" s="72">
        <v>11607</v>
      </c>
      <c r="Y27" s="72"/>
      <c r="Z27" s="72">
        <v>11607</v>
      </c>
      <c r="AA27" s="72"/>
      <c r="AB27" s="72">
        <v>11607</v>
      </c>
      <c r="AC27" s="72"/>
      <c r="AD27" s="72">
        <v>7697</v>
      </c>
      <c r="AE27" s="72"/>
      <c r="AF27" s="72">
        <v>7697</v>
      </c>
      <c r="AG27" s="72"/>
      <c r="AH27" s="72">
        <v>7697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86"/>
      <c r="BB27" s="86"/>
      <c r="BC27" s="86"/>
      <c r="BD27" s="86"/>
      <c r="BE27" s="86"/>
      <c r="BF27" s="86"/>
      <c r="BG27" s="86"/>
      <c r="BH27" s="86"/>
    </row>
    <row r="28" spans="2:60" ht="12.75">
      <c r="B28" s="11" t="s">
        <v>330</v>
      </c>
      <c r="D28" s="11" t="s">
        <v>331</v>
      </c>
      <c r="F28" s="72">
        <f>F26*F27/1000000*60</f>
        <v>5.712822</v>
      </c>
      <c r="G28" s="72"/>
      <c r="H28" s="72">
        <f>H26*H27/1000000*60</f>
        <v>0</v>
      </c>
      <c r="I28" s="72"/>
      <c r="J28" s="72">
        <f>J26*J27/1000000*60</f>
        <v>0</v>
      </c>
      <c r="K28" s="72"/>
      <c r="L28" s="72">
        <f>L26*L27/1000000*60</f>
        <v>1.904274</v>
      </c>
      <c r="M28" s="72"/>
      <c r="N28" s="72"/>
      <c r="O28" s="72"/>
      <c r="P28" s="72"/>
      <c r="Q28" s="72"/>
      <c r="R28" s="72"/>
      <c r="S28" s="72"/>
      <c r="T28" s="72"/>
      <c r="U28" s="72"/>
      <c r="V28" s="72">
        <f>V26*V27/1000000*60</f>
        <v>217.561608</v>
      </c>
      <c r="W28" s="72"/>
      <c r="X28" s="72">
        <f>X26*X27/1000000*60</f>
        <v>219.650868</v>
      </c>
      <c r="Y28" s="72"/>
      <c r="Z28" s="72">
        <f>Z26*Z27/1000000*60</f>
        <v>218.67587999999998</v>
      </c>
      <c r="AA28" s="72"/>
      <c r="AB28" s="72">
        <f>AB26*AB27/1000000*60</f>
        <v>218.62945200000001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>
        <f>V28+AD28</f>
        <v>217.561608</v>
      </c>
      <c r="AM28" s="72"/>
      <c r="AN28" s="72">
        <f>X28+AF28</f>
        <v>219.650868</v>
      </c>
      <c r="AO28" s="72"/>
      <c r="AP28" s="72">
        <f>Z28+AH28</f>
        <v>218.67587999999998</v>
      </c>
      <c r="AQ28" s="72"/>
      <c r="AR28" s="72">
        <f>AB28+AJ28</f>
        <v>218.62945200000001</v>
      </c>
      <c r="AS28" s="72"/>
      <c r="AT28" s="72"/>
      <c r="AU28" s="72"/>
      <c r="AV28" s="72"/>
      <c r="AW28" s="72"/>
      <c r="AX28" s="72"/>
      <c r="AY28" s="72"/>
      <c r="AZ28" s="72"/>
      <c r="BA28" s="86"/>
      <c r="BB28" s="84">
        <f>AT28+AD28+V28+N28+F28</f>
        <v>223.27443</v>
      </c>
      <c r="BC28" s="84"/>
      <c r="BD28" s="84">
        <f>AV28+AF28+X28+P28+H28</f>
        <v>219.650868</v>
      </c>
      <c r="BE28" s="84"/>
      <c r="BF28" s="84">
        <f>AX28+AH28+Z28+R28+J28</f>
        <v>218.67587999999998</v>
      </c>
      <c r="BG28" s="86"/>
      <c r="BH28" s="86">
        <f>AVERAGE(BB28,BD28,BF28)</f>
        <v>220.533726</v>
      </c>
    </row>
    <row r="29" spans="2:60" ht="12.75">
      <c r="B29" s="11" t="s">
        <v>21</v>
      </c>
      <c r="D29" s="11" t="s">
        <v>170</v>
      </c>
      <c r="F29" s="72"/>
      <c r="G29" s="72"/>
      <c r="H29" s="72"/>
      <c r="I29" s="72"/>
      <c r="J29" s="72"/>
      <c r="K29" s="72"/>
      <c r="L29" s="72"/>
      <c r="M29" s="72"/>
      <c r="N29" s="72">
        <v>5.47</v>
      </c>
      <c r="O29" s="72"/>
      <c r="P29" s="72">
        <v>4.75</v>
      </c>
      <c r="Q29" s="72"/>
      <c r="R29" s="72">
        <v>3.62</v>
      </c>
      <c r="S29" s="72"/>
      <c r="T29" s="72">
        <f aca="true" t="shared" si="1" ref="T29:T41">AVERAGE(N29:R29)</f>
        <v>4.613333333333333</v>
      </c>
      <c r="U29" s="72"/>
      <c r="V29" s="72">
        <v>312</v>
      </c>
      <c r="W29" s="72"/>
      <c r="X29" s="72">
        <v>761</v>
      </c>
      <c r="Y29" s="72"/>
      <c r="Z29" s="72">
        <v>765</v>
      </c>
      <c r="AA29" s="72"/>
      <c r="AB29" s="72">
        <f t="shared" si="0"/>
        <v>612.6666666666666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>
        <v>252.1</v>
      </c>
      <c r="AU29" s="72"/>
      <c r="AV29" s="72">
        <v>55.64</v>
      </c>
      <c r="AW29" s="72"/>
      <c r="AX29" s="72">
        <v>0</v>
      </c>
      <c r="AY29" s="72"/>
      <c r="AZ29" s="72">
        <f>AVERAGE(AT29:AX29)</f>
        <v>102.58</v>
      </c>
      <c r="BA29" s="84"/>
      <c r="BB29" s="84">
        <f>AT29+AD29+V29+N29+F29</f>
        <v>569.57</v>
      </c>
      <c r="BC29" s="84"/>
      <c r="BD29" s="84">
        <f>AV29+AF29+X29+P29+H29</f>
        <v>821.39</v>
      </c>
      <c r="BE29" s="84"/>
      <c r="BF29" s="84">
        <f>AX29+AH29+Z29+R29+J29</f>
        <v>768.62</v>
      </c>
      <c r="BG29" s="84"/>
      <c r="BH29" s="86">
        <v>720</v>
      </c>
    </row>
    <row r="30" spans="2:59" ht="12.75">
      <c r="B30" s="11" t="s">
        <v>87</v>
      </c>
      <c r="D30" s="11" t="s">
        <v>170</v>
      </c>
      <c r="F30" s="3">
        <v>0.014</v>
      </c>
      <c r="G30" s="3"/>
      <c r="H30" s="3">
        <v>0.00402</v>
      </c>
      <c r="I30" s="3"/>
      <c r="J30" s="3">
        <v>0.00543</v>
      </c>
      <c r="K30" s="3"/>
      <c r="L30" s="3">
        <f aca="true" t="shared" si="2" ref="L30:L41">AVERAGE(F30:J30)</f>
        <v>0.007816666666666668</v>
      </c>
      <c r="M30" s="2"/>
      <c r="N30" s="1">
        <v>0.486</v>
      </c>
      <c r="O30" s="1"/>
      <c r="P30" s="1">
        <v>0.5</v>
      </c>
      <c r="Q30" s="1"/>
      <c r="R30" s="1">
        <v>0.624</v>
      </c>
      <c r="S30" s="1"/>
      <c r="T30" s="1">
        <f t="shared" si="1"/>
        <v>0.5366666666666666</v>
      </c>
      <c r="U30" s="1"/>
      <c r="V30" s="1">
        <v>0.755</v>
      </c>
      <c r="W30" s="1"/>
      <c r="X30" s="1">
        <v>0.378</v>
      </c>
      <c r="Y30" s="1"/>
      <c r="Z30" s="1">
        <v>0.358</v>
      </c>
      <c r="AA30" s="1"/>
      <c r="AB30" s="1">
        <f t="shared" si="0"/>
        <v>0.49700000000000005</v>
      </c>
      <c r="AC30" s="1"/>
      <c r="AD30"/>
      <c r="AE30"/>
      <c r="AF30"/>
      <c r="AG30"/>
      <c r="AH30"/>
      <c r="AI3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/>
      <c r="AU30"/>
      <c r="AV30"/>
      <c r="AW30"/>
      <c r="AX30"/>
      <c r="AY30"/>
      <c r="AZ30"/>
      <c r="BA30" s="45"/>
      <c r="BB30" s="45"/>
      <c r="BC30" s="45"/>
      <c r="BD30" s="45"/>
      <c r="BE30" s="45"/>
      <c r="BF30" s="45"/>
      <c r="BG30" s="45"/>
    </row>
    <row r="31" spans="2:60" ht="12.75">
      <c r="B31" s="11" t="s">
        <v>83</v>
      </c>
      <c r="D31" s="11" t="s">
        <v>170</v>
      </c>
      <c r="F31" s="3">
        <v>0.016</v>
      </c>
      <c r="G31" s="3"/>
      <c r="H31" s="3">
        <v>0.00459</v>
      </c>
      <c r="I31" s="3"/>
      <c r="J31" s="3">
        <v>0.00621</v>
      </c>
      <c r="K31" s="3"/>
      <c r="L31" s="3">
        <f t="shared" si="2"/>
        <v>0.008933333333333333</v>
      </c>
      <c r="M31" s="2"/>
      <c r="N31" s="1">
        <v>0.729</v>
      </c>
      <c r="O31" s="1"/>
      <c r="P31" s="1">
        <v>0.625</v>
      </c>
      <c r="Q31" s="1"/>
      <c r="R31" s="1">
        <v>0.624</v>
      </c>
      <c r="S31" s="1"/>
      <c r="T31" s="1">
        <f t="shared" si="1"/>
        <v>0.6593333333333334</v>
      </c>
      <c r="U31" s="1"/>
      <c r="V31" s="1">
        <v>0.46</v>
      </c>
      <c r="W31" s="1"/>
      <c r="X31" s="1">
        <v>0.775</v>
      </c>
      <c r="Y31" s="1"/>
      <c r="Z31" s="1">
        <v>0.791</v>
      </c>
      <c r="AA31" s="1"/>
      <c r="AB31" s="1">
        <f t="shared" si="0"/>
        <v>0.6753333333333335</v>
      </c>
      <c r="AC31" s="1"/>
      <c r="AD31"/>
      <c r="AE31"/>
      <c r="AF31"/>
      <c r="AG31"/>
      <c r="AH31"/>
      <c r="AI3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>
        <v>2.58</v>
      </c>
      <c r="AU31"/>
      <c r="AV31">
        <v>2.24</v>
      </c>
      <c r="AW31"/>
      <c r="AX31">
        <v>2.13</v>
      </c>
      <c r="AY31"/>
      <c r="AZ31" s="51">
        <f>AVERAGE(AT31:AX31)</f>
        <v>2.316666666666667</v>
      </c>
      <c r="BA31" s="45"/>
      <c r="BB31" s="45"/>
      <c r="BC31" s="45"/>
      <c r="BD31" s="45"/>
      <c r="BE31" s="45"/>
      <c r="BF31" s="45"/>
      <c r="BG31" s="45"/>
      <c r="BH31" s="8">
        <f>AZ31+AB31+T31+L31</f>
        <v>3.6602666666666672</v>
      </c>
    </row>
    <row r="32" spans="2:59" ht="12.75">
      <c r="B32" s="11" t="s">
        <v>84</v>
      </c>
      <c r="D32" s="11" t="s">
        <v>170</v>
      </c>
      <c r="F32" s="3">
        <v>0.156</v>
      </c>
      <c r="G32" s="3"/>
      <c r="H32" s="3">
        <v>0.0448</v>
      </c>
      <c r="I32" s="3"/>
      <c r="J32" s="3">
        <v>0.0606</v>
      </c>
      <c r="K32" s="3"/>
      <c r="L32" s="3">
        <f t="shared" si="2"/>
        <v>0.08713333333333334</v>
      </c>
      <c r="M32" s="2"/>
      <c r="N32" s="1">
        <v>55.9</v>
      </c>
      <c r="O32" s="1"/>
      <c r="P32" s="1">
        <v>57.5</v>
      </c>
      <c r="Q32" s="1"/>
      <c r="R32" s="1">
        <v>57.4</v>
      </c>
      <c r="S32" s="1"/>
      <c r="T32" s="1">
        <f t="shared" si="1"/>
        <v>56.93333333333334</v>
      </c>
      <c r="U32" s="1"/>
      <c r="V32" s="1">
        <v>39.9</v>
      </c>
      <c r="W32" s="1"/>
      <c r="X32" s="1">
        <v>32.7</v>
      </c>
      <c r="Y32" s="1"/>
      <c r="Z32" s="1">
        <v>32.6</v>
      </c>
      <c r="AA32" s="1"/>
      <c r="AB32" s="1">
        <f t="shared" si="0"/>
        <v>35.06666666666666</v>
      </c>
      <c r="AC32" s="1"/>
      <c r="AD32"/>
      <c r="AE32"/>
      <c r="AF32"/>
      <c r="AG32"/>
      <c r="AH32"/>
      <c r="AI3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/>
      <c r="AU32"/>
      <c r="AV32"/>
      <c r="AW32"/>
      <c r="AX32"/>
      <c r="AY32"/>
      <c r="AZ32"/>
      <c r="BA32" s="45"/>
      <c r="BB32" s="45"/>
      <c r="BC32" s="45"/>
      <c r="BD32" s="45"/>
      <c r="BE32" s="45"/>
      <c r="BF32" s="45"/>
      <c r="BG32" s="45"/>
    </row>
    <row r="33" spans="2:59" ht="12.75">
      <c r="B33" s="11" t="s">
        <v>85</v>
      </c>
      <c r="D33" s="11" t="s">
        <v>170</v>
      </c>
      <c r="F33" s="3">
        <v>0.001</v>
      </c>
      <c r="G33" s="3"/>
      <c r="H33" s="3">
        <v>0.000287</v>
      </c>
      <c r="I33" s="3"/>
      <c r="J33" s="3">
        <v>0.000388</v>
      </c>
      <c r="K33" s="3"/>
      <c r="L33" s="3">
        <f t="shared" si="2"/>
        <v>0.0005583333333333333</v>
      </c>
      <c r="M33" s="2"/>
      <c r="N33" s="1">
        <v>0.121</v>
      </c>
      <c r="O33" s="1"/>
      <c r="P33" s="1">
        <v>0.125</v>
      </c>
      <c r="Q33" s="1"/>
      <c r="R33" s="1">
        <v>0.125</v>
      </c>
      <c r="S33" s="1"/>
      <c r="T33" s="1">
        <f t="shared" si="1"/>
        <v>0.12366666666666666</v>
      </c>
      <c r="U33" s="1"/>
      <c r="V33" s="1">
        <v>0.0184</v>
      </c>
      <c r="W33" s="1"/>
      <c r="X33" s="1">
        <v>0.0189</v>
      </c>
      <c r="Y33" s="1"/>
      <c r="Z33" s="1">
        <v>0.0188</v>
      </c>
      <c r="AA33" s="1"/>
      <c r="AB33" s="1">
        <f t="shared" si="0"/>
        <v>0.018699999999999998</v>
      </c>
      <c r="AC33" s="1"/>
      <c r="AD33"/>
      <c r="AE33"/>
      <c r="AF33"/>
      <c r="AG33"/>
      <c r="AH33"/>
      <c r="AI3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>
        <v>0.95</v>
      </c>
      <c r="AU33"/>
      <c r="AV33">
        <v>0.98</v>
      </c>
      <c r="AW33"/>
      <c r="AX33">
        <v>1</v>
      </c>
      <c r="AY33"/>
      <c r="AZ33" s="51">
        <f>AVERAGE(AT33:AX33)</f>
        <v>0.9766666666666666</v>
      </c>
      <c r="BA33" s="45"/>
      <c r="BB33" s="45"/>
      <c r="BC33" s="45"/>
      <c r="BD33" s="45"/>
      <c r="BE33" s="45"/>
      <c r="BF33" s="45"/>
      <c r="BG33" s="45"/>
    </row>
    <row r="34" spans="2:59" ht="12.75">
      <c r="B34" s="11" t="s">
        <v>90</v>
      </c>
      <c r="D34" s="11" t="s">
        <v>170</v>
      </c>
      <c r="F34" s="3">
        <v>0.002</v>
      </c>
      <c r="G34" s="3"/>
      <c r="H34" s="3">
        <v>0.000574</v>
      </c>
      <c r="I34" s="3"/>
      <c r="J34" s="3">
        <v>0.000776</v>
      </c>
      <c r="K34" s="3"/>
      <c r="L34" s="3">
        <f t="shared" si="2"/>
        <v>0.0011166666666666666</v>
      </c>
      <c r="M34" s="2"/>
      <c r="N34" s="1">
        <v>0.121</v>
      </c>
      <c r="O34" s="1"/>
      <c r="P34" s="1">
        <v>0.125</v>
      </c>
      <c r="Q34" s="1"/>
      <c r="R34" s="1">
        <v>0.125</v>
      </c>
      <c r="S34" s="1"/>
      <c r="T34" s="1">
        <f t="shared" si="1"/>
        <v>0.12366666666666666</v>
      </c>
      <c r="U34" s="1"/>
      <c r="V34" s="1">
        <v>0.626</v>
      </c>
      <c r="W34" s="1"/>
      <c r="X34" s="1">
        <v>0.661</v>
      </c>
      <c r="Y34" s="1"/>
      <c r="Z34" s="1">
        <v>0.471</v>
      </c>
      <c r="AA34" s="1"/>
      <c r="AB34" s="1">
        <f t="shared" si="0"/>
        <v>0.586</v>
      </c>
      <c r="AC34" s="1"/>
      <c r="AD34"/>
      <c r="AE34"/>
      <c r="AF34"/>
      <c r="AG34"/>
      <c r="AH34"/>
      <c r="AI3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>
        <v>1.83</v>
      </c>
      <c r="AU34"/>
      <c r="AV34">
        <v>1.88</v>
      </c>
      <c r="AW34"/>
      <c r="AX34">
        <v>1.9</v>
      </c>
      <c r="AY34"/>
      <c r="AZ34" s="51">
        <f>AVERAGE(AT34:AX34)</f>
        <v>1.8699999999999999</v>
      </c>
      <c r="BA34" s="45"/>
      <c r="BB34" s="45"/>
      <c r="BC34" s="45"/>
      <c r="BD34" s="45"/>
      <c r="BE34" s="45"/>
      <c r="BF34" s="45"/>
      <c r="BG34" s="45"/>
    </row>
    <row r="35" spans="2:59" ht="12.75">
      <c r="B35" s="11" t="s">
        <v>92</v>
      </c>
      <c r="D35" s="11" t="s">
        <v>170</v>
      </c>
      <c r="F35" s="3">
        <v>0.032</v>
      </c>
      <c r="G35" s="3"/>
      <c r="H35" s="3">
        <v>0.00918</v>
      </c>
      <c r="I35" s="3"/>
      <c r="J35" s="3">
        <v>0.0124</v>
      </c>
      <c r="K35" s="3"/>
      <c r="L35" s="3">
        <f t="shared" si="2"/>
        <v>0.01786</v>
      </c>
      <c r="M35" s="2"/>
      <c r="N35" s="1">
        <v>3.28</v>
      </c>
      <c r="O35" s="1"/>
      <c r="P35" s="1">
        <v>3.25</v>
      </c>
      <c r="Q35" s="1"/>
      <c r="R35" s="1">
        <v>3.12</v>
      </c>
      <c r="S35" s="1"/>
      <c r="T35" s="1">
        <f t="shared" si="1"/>
        <v>3.2166666666666663</v>
      </c>
      <c r="U35" s="1"/>
      <c r="V35" s="1">
        <v>3.9</v>
      </c>
      <c r="W35" s="1"/>
      <c r="X35" s="1">
        <v>3.14</v>
      </c>
      <c r="Y35" s="1"/>
      <c r="Z35" s="1">
        <v>3.05</v>
      </c>
      <c r="AA35" s="1"/>
      <c r="AB35" s="1">
        <f t="shared" si="0"/>
        <v>3.3633333333333333</v>
      </c>
      <c r="AC35" s="1"/>
      <c r="AD35"/>
      <c r="AE35"/>
      <c r="AF35"/>
      <c r="AG35"/>
      <c r="AH35"/>
      <c r="AI35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>
        <v>13.1</v>
      </c>
      <c r="AU35"/>
      <c r="AV35">
        <v>13.3</v>
      </c>
      <c r="AW35"/>
      <c r="AX35">
        <v>13.4</v>
      </c>
      <c r="AY35"/>
      <c r="AZ35" s="51">
        <f>AVERAGE(AT35:AX35)</f>
        <v>13.266666666666666</v>
      </c>
      <c r="BA35" s="45"/>
      <c r="BB35" s="45"/>
      <c r="BC35" s="45"/>
      <c r="BD35" s="45"/>
      <c r="BE35" s="45"/>
      <c r="BF35" s="45"/>
      <c r="BG35" s="45"/>
    </row>
    <row r="36" spans="2:60" ht="12.75">
      <c r="B36" s="11" t="s">
        <v>88</v>
      </c>
      <c r="D36" s="11" t="s">
        <v>170</v>
      </c>
      <c r="F36" s="3">
        <v>0.044</v>
      </c>
      <c r="G36" s="3"/>
      <c r="H36" s="3">
        <v>0.0126</v>
      </c>
      <c r="I36" s="3"/>
      <c r="J36" s="3">
        <v>0.0171</v>
      </c>
      <c r="K36" s="3"/>
      <c r="L36" s="3">
        <f t="shared" si="2"/>
        <v>0.024566666666666667</v>
      </c>
      <c r="M36" s="2"/>
      <c r="N36" s="1">
        <v>4.37</v>
      </c>
      <c r="O36" s="1"/>
      <c r="P36" s="1">
        <v>4.5</v>
      </c>
      <c r="Q36" s="1"/>
      <c r="R36" s="1">
        <v>4.49</v>
      </c>
      <c r="S36" s="1"/>
      <c r="T36" s="1">
        <f t="shared" si="1"/>
        <v>4.453333333333334</v>
      </c>
      <c r="U36" s="1"/>
      <c r="V36" s="1">
        <v>8.65</v>
      </c>
      <c r="W36" s="1"/>
      <c r="X36" s="1">
        <v>7.52</v>
      </c>
      <c r="Y36" s="1"/>
      <c r="Z36" s="1">
        <v>6.99</v>
      </c>
      <c r="AA36" s="1"/>
      <c r="AB36" s="1">
        <f t="shared" si="0"/>
        <v>7.7200000000000015</v>
      </c>
      <c r="AC36" s="1"/>
      <c r="AD36"/>
      <c r="AE36"/>
      <c r="AF36"/>
      <c r="AG36"/>
      <c r="AH36"/>
      <c r="AI3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>
        <v>21.4</v>
      </c>
      <c r="AU36"/>
      <c r="AV36">
        <v>22.6</v>
      </c>
      <c r="AW36"/>
      <c r="AX36">
        <v>23.1</v>
      </c>
      <c r="AY36"/>
      <c r="AZ36" s="51">
        <f>AVERAGE(AT36:AX36)</f>
        <v>22.366666666666664</v>
      </c>
      <c r="BA36" s="45"/>
      <c r="BB36" s="45"/>
      <c r="BC36" s="45"/>
      <c r="BD36" s="45"/>
      <c r="BE36" s="45"/>
      <c r="BF36" s="45"/>
      <c r="BG36" s="45"/>
      <c r="BH36" s="8">
        <f>AZ36+AB36+T36+L36</f>
        <v>34.564566666666664</v>
      </c>
    </row>
    <row r="37" spans="2:59" ht="12.75">
      <c r="B37" s="11" t="s">
        <v>95</v>
      </c>
      <c r="D37" s="11" t="s">
        <v>170</v>
      </c>
      <c r="F37" s="3">
        <v>0.003</v>
      </c>
      <c r="G37" s="3"/>
      <c r="H37" s="3">
        <v>0.000861</v>
      </c>
      <c r="I37" s="3"/>
      <c r="J37" s="3">
        <v>0.00116</v>
      </c>
      <c r="K37" s="3"/>
      <c r="L37" s="3">
        <f t="shared" si="2"/>
        <v>0.0016736666666666664</v>
      </c>
      <c r="M37" s="2"/>
      <c r="N37" s="1">
        <v>0.607</v>
      </c>
      <c r="O37" s="1"/>
      <c r="P37" s="1">
        <v>0.625</v>
      </c>
      <c r="Q37" s="1"/>
      <c r="R37" s="1">
        <v>0.624</v>
      </c>
      <c r="S37" s="1"/>
      <c r="T37" s="1">
        <f t="shared" si="1"/>
        <v>0.6186666666666666</v>
      </c>
      <c r="U37" s="1"/>
      <c r="V37" s="1">
        <v>0.11</v>
      </c>
      <c r="W37" s="1"/>
      <c r="X37" s="1">
        <v>0.113</v>
      </c>
      <c r="Y37" s="1"/>
      <c r="Z37" s="1">
        <v>0.113</v>
      </c>
      <c r="AA37" s="1"/>
      <c r="AB37" s="1">
        <f t="shared" si="0"/>
        <v>0.112</v>
      </c>
      <c r="AC37" s="1"/>
      <c r="AD37"/>
      <c r="AE37"/>
      <c r="AF37"/>
      <c r="AG37"/>
      <c r="AH37"/>
      <c r="AI37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/>
      <c r="AU37"/>
      <c r="AV37"/>
      <c r="AW37"/>
      <c r="AX37"/>
      <c r="AY37"/>
      <c r="AZ37"/>
      <c r="BA37" s="45"/>
      <c r="BB37" s="45"/>
      <c r="BC37" s="45"/>
      <c r="BD37" s="45"/>
      <c r="BE37" s="45"/>
      <c r="BF37" s="45"/>
      <c r="BG37" s="45"/>
    </row>
    <row r="38" spans="2:59" ht="12.75">
      <c r="B38" s="11" t="s">
        <v>89</v>
      </c>
      <c r="D38" s="11" t="s">
        <v>170</v>
      </c>
      <c r="F38" s="3">
        <v>0.19</v>
      </c>
      <c r="G38" s="3"/>
      <c r="H38" s="3">
        <v>0.0519</v>
      </c>
      <c r="I38" s="3"/>
      <c r="J38" s="3">
        <v>0.0703</v>
      </c>
      <c r="K38" s="3"/>
      <c r="L38" s="3">
        <f t="shared" si="2"/>
        <v>0.10406666666666668</v>
      </c>
      <c r="M38" s="2"/>
      <c r="N38" s="1">
        <v>1.58</v>
      </c>
      <c r="O38" s="1"/>
      <c r="P38" s="1">
        <v>1.5</v>
      </c>
      <c r="Q38" s="1"/>
      <c r="R38" s="1">
        <v>1.5</v>
      </c>
      <c r="S38" s="1"/>
      <c r="T38" s="1">
        <f t="shared" si="1"/>
        <v>1.5266666666666666</v>
      </c>
      <c r="U38" s="1"/>
      <c r="V38" s="1">
        <v>1.34</v>
      </c>
      <c r="W38" s="1"/>
      <c r="X38" s="1">
        <v>0.737</v>
      </c>
      <c r="Y38" s="1"/>
      <c r="Z38" s="1">
        <v>0.546</v>
      </c>
      <c r="AA38" s="1"/>
      <c r="AB38" s="1">
        <f t="shared" si="0"/>
        <v>0.8743333333333334</v>
      </c>
      <c r="AC38" s="1"/>
      <c r="AD38"/>
      <c r="AE38"/>
      <c r="AF38"/>
      <c r="AG38"/>
      <c r="AH38"/>
      <c r="AI38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/>
      <c r="AU38"/>
      <c r="AV38"/>
      <c r="AW38"/>
      <c r="AX38"/>
      <c r="AY38"/>
      <c r="AZ38" s="51"/>
      <c r="BA38" s="45"/>
      <c r="BB38" s="45"/>
      <c r="BC38" s="45"/>
      <c r="BD38" s="45"/>
      <c r="BE38" s="45"/>
      <c r="BF38" s="45"/>
      <c r="BG38" s="45"/>
    </row>
    <row r="39" spans="2:59" ht="12.75">
      <c r="B39" s="11" t="s">
        <v>114</v>
      </c>
      <c r="D39" s="11" t="s">
        <v>170</v>
      </c>
      <c r="F39" s="3">
        <v>0.026</v>
      </c>
      <c r="G39" s="3"/>
      <c r="H39" s="3">
        <v>0.00746</v>
      </c>
      <c r="I39" s="3"/>
      <c r="J39" s="3">
        <v>0.01</v>
      </c>
      <c r="K39" s="3"/>
      <c r="L39" s="3">
        <f t="shared" si="2"/>
        <v>0.014486666666666667</v>
      </c>
      <c r="M39" s="2"/>
      <c r="N39" s="1">
        <v>0.972</v>
      </c>
      <c r="O39" s="1"/>
      <c r="P39" s="1">
        <v>1</v>
      </c>
      <c r="Q39" s="1"/>
      <c r="R39" s="1">
        <v>0.999</v>
      </c>
      <c r="S39" s="1"/>
      <c r="T39" s="1">
        <f t="shared" si="1"/>
        <v>0.9903333333333334</v>
      </c>
      <c r="U39" s="1"/>
      <c r="V39" s="1">
        <v>0.405</v>
      </c>
      <c r="W39" s="1"/>
      <c r="X39" s="1">
        <v>0.416</v>
      </c>
      <c r="Y39" s="1"/>
      <c r="Z39" s="1">
        <v>0.414</v>
      </c>
      <c r="AA39" s="1"/>
      <c r="AB39" s="1">
        <f t="shared" si="0"/>
        <v>0.4116666666666666</v>
      </c>
      <c r="AC39" s="1"/>
      <c r="AD39"/>
      <c r="AE39"/>
      <c r="AF39"/>
      <c r="AG39"/>
      <c r="AH39"/>
      <c r="AI39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/>
      <c r="AU39"/>
      <c r="AV39"/>
      <c r="AW39"/>
      <c r="AX39"/>
      <c r="AY39"/>
      <c r="AZ39"/>
      <c r="BA39" s="45"/>
      <c r="BB39" s="45"/>
      <c r="BC39" s="45"/>
      <c r="BD39" s="45"/>
      <c r="BE39" s="45"/>
      <c r="BF39" s="45"/>
      <c r="BG39" s="45"/>
    </row>
    <row r="40" spans="2:59" ht="12.75">
      <c r="B40" s="11" t="s">
        <v>91</v>
      </c>
      <c r="D40" s="11" t="s">
        <v>170</v>
      </c>
      <c r="F40" s="3">
        <v>0.014</v>
      </c>
      <c r="G40" s="3"/>
      <c r="H40" s="3">
        <v>0.00402</v>
      </c>
      <c r="I40" s="3"/>
      <c r="J40" s="3">
        <v>0.005</v>
      </c>
      <c r="K40" s="3"/>
      <c r="L40" s="3">
        <f t="shared" si="2"/>
        <v>0.007673333333333334</v>
      </c>
      <c r="M40" s="2"/>
      <c r="N40" s="1">
        <v>0.364</v>
      </c>
      <c r="O40" s="1"/>
      <c r="P40" s="1">
        <v>0.375</v>
      </c>
      <c r="Q40" s="1"/>
      <c r="R40" s="1">
        <v>0.375</v>
      </c>
      <c r="S40" s="1"/>
      <c r="T40" s="1">
        <f t="shared" si="1"/>
        <v>0.3713333333333333</v>
      </c>
      <c r="U40" s="1"/>
      <c r="V40" s="1">
        <v>0.0736</v>
      </c>
      <c r="W40" s="1"/>
      <c r="X40" s="1">
        <v>0.0756</v>
      </c>
      <c r="Y40" s="1"/>
      <c r="Z40" s="1">
        <v>0.0754</v>
      </c>
      <c r="AA40" s="1"/>
      <c r="AB40" s="1">
        <f t="shared" si="0"/>
        <v>0.07486666666666666</v>
      </c>
      <c r="AC40" s="1"/>
      <c r="AD40"/>
      <c r="AE40"/>
      <c r="AF40"/>
      <c r="AG40"/>
      <c r="AH40"/>
      <c r="AI40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/>
      <c r="AU40"/>
      <c r="AV40"/>
      <c r="AW40"/>
      <c r="AX40"/>
      <c r="AY40"/>
      <c r="AZ40"/>
      <c r="BA40" s="45"/>
      <c r="BB40" s="45"/>
      <c r="BC40" s="45"/>
      <c r="BD40" s="45"/>
      <c r="BE40" s="45"/>
      <c r="BF40" s="45"/>
      <c r="BG40" s="45"/>
    </row>
    <row r="41" spans="2:59" ht="12.75">
      <c r="B41" s="11" t="s">
        <v>86</v>
      </c>
      <c r="D41" s="11" t="s">
        <v>170</v>
      </c>
      <c r="F41" s="3">
        <v>0.018</v>
      </c>
      <c r="G41" s="3"/>
      <c r="H41" s="3">
        <v>0.00516</v>
      </c>
      <c r="I41" s="3"/>
      <c r="J41" s="3">
        <v>0.00699</v>
      </c>
      <c r="K41" s="3"/>
      <c r="L41" s="3">
        <f t="shared" si="2"/>
        <v>0.01005</v>
      </c>
      <c r="M41" s="2"/>
      <c r="N41" s="1">
        <v>1.09</v>
      </c>
      <c r="O41" s="1"/>
      <c r="P41" s="1">
        <v>1.12</v>
      </c>
      <c r="Q41" s="1"/>
      <c r="R41" s="1">
        <v>1.25</v>
      </c>
      <c r="S41" s="1"/>
      <c r="T41" s="1">
        <f t="shared" si="1"/>
        <v>1.1533333333333333</v>
      </c>
      <c r="U41" s="1"/>
      <c r="V41" s="1">
        <v>0.221</v>
      </c>
      <c r="W41" s="1"/>
      <c r="X41" s="1">
        <v>0.227</v>
      </c>
      <c r="Y41" s="1"/>
      <c r="Z41" s="1">
        <v>0.226</v>
      </c>
      <c r="AA41" s="1"/>
      <c r="AB41" s="1">
        <f t="shared" si="0"/>
        <v>0.22466666666666668</v>
      </c>
      <c r="AC41" s="1"/>
      <c r="AD41"/>
      <c r="AE41"/>
      <c r="AF41"/>
      <c r="AG41"/>
      <c r="AH41"/>
      <c r="AI4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/>
      <c r="AU41"/>
      <c r="AV41"/>
      <c r="AW41"/>
      <c r="AX41"/>
      <c r="AY41"/>
      <c r="AZ41"/>
      <c r="BA41" s="45"/>
      <c r="BB41" s="45"/>
      <c r="BC41" s="45"/>
      <c r="BD41" s="45"/>
      <c r="BE41" s="45"/>
      <c r="BF41" s="45"/>
      <c r="BG41" s="45"/>
    </row>
    <row r="43" spans="2:60" ht="12.75">
      <c r="B43" s="11" t="s">
        <v>57</v>
      </c>
      <c r="D43" s="11" t="s">
        <v>16</v>
      </c>
      <c r="F43" s="45">
        <f>'emiss 1'!$G$108</f>
        <v>79712</v>
      </c>
      <c r="G43" s="45"/>
      <c r="H43" s="45">
        <f>'emiss 1'!$I$108</f>
        <v>80412</v>
      </c>
      <c r="I43" s="45"/>
      <c r="J43" s="45">
        <f>'emiss 1'!$K$108</f>
        <v>79916</v>
      </c>
      <c r="K43" s="45"/>
      <c r="L43" s="46">
        <f>'emiss 1'!$O$108</f>
        <v>80013.33333333333</v>
      </c>
      <c r="M43" s="46"/>
      <c r="N43" s="45">
        <f>'emiss 1'!$G$108</f>
        <v>79712</v>
      </c>
      <c r="O43" s="45"/>
      <c r="P43" s="45">
        <f>'emiss 1'!$I$108</f>
        <v>80412</v>
      </c>
      <c r="Q43" s="45"/>
      <c r="R43" s="45">
        <f>'emiss 1'!$K$108</f>
        <v>79916</v>
      </c>
      <c r="S43" s="45"/>
      <c r="T43" s="46">
        <f>'emiss 1'!$O$108</f>
        <v>80013.33333333333</v>
      </c>
      <c r="U43" s="46"/>
      <c r="V43" s="45">
        <f>'emiss 1'!$G$108</f>
        <v>79712</v>
      </c>
      <c r="W43" s="45"/>
      <c r="X43" s="45">
        <f>'emiss 1'!$I$108</f>
        <v>80412</v>
      </c>
      <c r="Y43" s="45"/>
      <c r="Z43" s="45">
        <f>'emiss 1'!$K$108</f>
        <v>79916</v>
      </c>
      <c r="AA43" s="45"/>
      <c r="AB43" s="46">
        <f>'emiss 1'!$O$108</f>
        <v>80013.33333333333</v>
      </c>
      <c r="AC43" s="46"/>
      <c r="AD43" s="45">
        <f>'emiss 1'!$G$108</f>
        <v>79712</v>
      </c>
      <c r="AE43" s="45"/>
      <c r="AF43" s="45">
        <f>'emiss 1'!$I$108</f>
        <v>80412</v>
      </c>
      <c r="AG43" s="45"/>
      <c r="AH43" s="45">
        <f>'emiss 1'!$K$108</f>
        <v>79916</v>
      </c>
      <c r="AI43" s="45"/>
      <c r="AJ43" s="46">
        <f>'emiss 1'!$O$108</f>
        <v>80013.33333333333</v>
      </c>
      <c r="AK43" s="46"/>
      <c r="AL43" s="46"/>
      <c r="AM43" s="46"/>
      <c r="AN43" s="46"/>
      <c r="AO43" s="46"/>
      <c r="AP43" s="46"/>
      <c r="AQ43" s="46"/>
      <c r="AR43" s="46"/>
      <c r="AS43" s="46"/>
      <c r="AT43" s="45">
        <f>'emiss 1'!$G$108</f>
        <v>79712</v>
      </c>
      <c r="AU43" s="45"/>
      <c r="AV43" s="45">
        <f>'emiss 1'!$I$108</f>
        <v>80412</v>
      </c>
      <c r="AW43" s="45"/>
      <c r="AX43" s="45">
        <f>'emiss 1'!$K$108</f>
        <v>79916</v>
      </c>
      <c r="AY43" s="45"/>
      <c r="AZ43" s="46">
        <f>'emiss 1'!$O$108</f>
        <v>80013.33333333333</v>
      </c>
      <c r="BH43" s="46">
        <f>'emiss 1'!$O$108</f>
        <v>80013.33333333333</v>
      </c>
    </row>
    <row r="44" spans="2:60" ht="12.75">
      <c r="B44" s="11" t="s">
        <v>58</v>
      </c>
      <c r="D44" s="11" t="s">
        <v>14</v>
      </c>
      <c r="F44" s="45">
        <f>'emiss 1'!$G$109</f>
        <v>8.4</v>
      </c>
      <c r="G44" s="45"/>
      <c r="H44" s="45">
        <f>'emiss 1'!$I$109</f>
        <v>9.4</v>
      </c>
      <c r="I44" s="45"/>
      <c r="J44" s="45">
        <f>'emiss 1'!$K$109</f>
        <v>9</v>
      </c>
      <c r="K44" s="45"/>
      <c r="L44" s="46">
        <f>'emiss 1'!$O$109</f>
        <v>8.933333333333334</v>
      </c>
      <c r="M44" s="46"/>
      <c r="N44" s="45">
        <f>'emiss 1'!$G$109</f>
        <v>8.4</v>
      </c>
      <c r="O44" s="45"/>
      <c r="P44" s="45">
        <f>'emiss 1'!$I$109</f>
        <v>9.4</v>
      </c>
      <c r="Q44" s="45"/>
      <c r="R44" s="45">
        <f>'emiss 1'!$K$109</f>
        <v>9</v>
      </c>
      <c r="S44" s="45"/>
      <c r="T44" s="46">
        <f>'emiss 1'!$O$109</f>
        <v>8.933333333333334</v>
      </c>
      <c r="U44" s="46"/>
      <c r="V44" s="45">
        <f>'emiss 1'!$G$109</f>
        <v>8.4</v>
      </c>
      <c r="W44" s="45"/>
      <c r="X44" s="45">
        <f>'emiss 1'!$I$109</f>
        <v>9.4</v>
      </c>
      <c r="Y44" s="45"/>
      <c r="Z44" s="45">
        <f>'emiss 1'!$K$109</f>
        <v>9</v>
      </c>
      <c r="AA44" s="45"/>
      <c r="AB44" s="46">
        <f>'emiss 1'!$O$109</f>
        <v>8.933333333333334</v>
      </c>
      <c r="AC44" s="46"/>
      <c r="AD44" s="45">
        <f>'emiss 1'!$G$109</f>
        <v>8.4</v>
      </c>
      <c r="AE44" s="45"/>
      <c r="AF44" s="45">
        <f>'emiss 1'!$I$109</f>
        <v>9.4</v>
      </c>
      <c r="AG44" s="45"/>
      <c r="AH44" s="45">
        <f>'emiss 1'!$K$109</f>
        <v>9</v>
      </c>
      <c r="AI44" s="45"/>
      <c r="AJ44" s="46">
        <f>'emiss 1'!$O$109</f>
        <v>8.933333333333334</v>
      </c>
      <c r="AK44" s="46"/>
      <c r="AL44" s="46"/>
      <c r="AM44" s="46"/>
      <c r="AN44" s="46"/>
      <c r="AO44" s="46"/>
      <c r="AP44" s="46"/>
      <c r="AQ44" s="46"/>
      <c r="AR44" s="46"/>
      <c r="AS44" s="46"/>
      <c r="AT44" s="45">
        <f>'emiss 1'!$G$109</f>
        <v>8.4</v>
      </c>
      <c r="AU44" s="45"/>
      <c r="AV44" s="45">
        <f>'emiss 1'!$I$109</f>
        <v>9.4</v>
      </c>
      <c r="AW44" s="45"/>
      <c r="AX44" s="45">
        <f>'emiss 1'!$K$109</f>
        <v>9</v>
      </c>
      <c r="AY44" s="45"/>
      <c r="AZ44" s="46">
        <f>'emiss 1'!$O$109</f>
        <v>8.933333333333334</v>
      </c>
      <c r="BH44" s="46">
        <f>'emiss 1'!$O$109</f>
        <v>8.933333333333334</v>
      </c>
    </row>
    <row r="45" ht="12.75">
      <c r="BH45" s="16"/>
    </row>
    <row r="46" spans="2:60" ht="12.75">
      <c r="B46" s="49" t="s">
        <v>73</v>
      </c>
      <c r="C46" s="49"/>
      <c r="BH46" s="16"/>
    </row>
    <row r="47" spans="2:60" ht="12.75">
      <c r="B47" s="11" t="s">
        <v>21</v>
      </c>
      <c r="D47" s="11" t="s">
        <v>55</v>
      </c>
      <c r="F47" s="46">
        <f aca="true" t="shared" si="3" ref="F47:J59">F29*454*1000000/F$43/60/0.0283*(21-7)/(21-F$44)</f>
        <v>0</v>
      </c>
      <c r="G47" s="46"/>
      <c r="H47" s="46">
        <f t="shared" si="3"/>
        <v>0</v>
      </c>
      <c r="I47" s="46"/>
      <c r="J47" s="46">
        <f t="shared" si="3"/>
        <v>0</v>
      </c>
      <c r="K47" s="46"/>
      <c r="L47" s="46">
        <f>L29*454*1000000/L$43/60/0.0283*(21-7)/(21-L$44)</f>
        <v>0</v>
      </c>
      <c r="M47" s="46"/>
      <c r="N47" s="84">
        <f>N29*454*1000000/N$43/60/0.0283*(21-7)/(21-N$44)</f>
        <v>20386.340702198642</v>
      </c>
      <c r="O47" s="84"/>
      <c r="P47" s="84">
        <f>P29*454*1000000/P$43/60/0.0283*(21-7)/(21-P$44)</f>
        <v>19061.670543001423</v>
      </c>
      <c r="Q47" s="84"/>
      <c r="R47" s="84">
        <f>R29*454*1000000/R$43/60/0.0283*(21-7)/(21-R$44)</f>
        <v>14129.922795063598</v>
      </c>
      <c r="S47" s="84"/>
      <c r="T47" s="84">
        <f>T29*454*1000000/T$43/60/0.0283*(21-7)/(21-T$44)</f>
        <v>17885.923085859133</v>
      </c>
      <c r="U47" s="84"/>
      <c r="V47" s="84">
        <f>V29*454*1000000/V$43/60/0.0283*(21-7)/(21-V$44)</f>
        <v>1162804.076615352</v>
      </c>
      <c r="W47" s="84"/>
      <c r="X47" s="84">
        <f>X29*454*1000000/X$43/60/0.0283*(21-7)/(21-X$44)</f>
        <v>3053880.2701524375</v>
      </c>
      <c r="Y47" s="84"/>
      <c r="Z47" s="84">
        <f>Z29*454*1000000/Z$43/60/0.0283*(21-7)/(21-Z$44)</f>
        <v>2986019.596194379</v>
      </c>
      <c r="AA47" s="84"/>
      <c r="AB47" s="84">
        <f>AB29*454*1000000/AB$43/60/0.0283*(21-7)/(21-AB$44)</f>
        <v>2375312.6179052806</v>
      </c>
      <c r="AC47" s="84"/>
      <c r="AD47" s="84">
        <f>AD29*454*1000000/AD$43/60/0.0283*(21-7)/(21-AD$44)</f>
        <v>0</v>
      </c>
      <c r="AE47" s="84"/>
      <c r="AF47" s="84">
        <f>AF29*454*1000000/AF$43/60/0.0283*(21-7)/(21-AF$44)</f>
        <v>0</v>
      </c>
      <c r="AG47" s="84"/>
      <c r="AH47" s="84">
        <f>AH29*454*1000000/AH$43/60/0.0283*(21-7)/(21-AH$44)</f>
        <v>0</v>
      </c>
      <c r="AI47" s="84"/>
      <c r="AJ47" s="84">
        <f aca="true" t="shared" si="4" ref="AJ47:AJ59">AJ29*454*1000000/AJ$43/60/0.0283*(21-7)/(21-AJ$44)</f>
        <v>0</v>
      </c>
      <c r="AK47" s="84"/>
      <c r="AL47" s="84">
        <f aca="true" t="shared" si="5" ref="AL47:AL59">SUM(AD47,V47)</f>
        <v>1162804.076615352</v>
      </c>
      <c r="AM47" s="84"/>
      <c r="AN47" s="84">
        <f aca="true" t="shared" si="6" ref="AN47:AN59">SUM(AF47,X47)</f>
        <v>3053880.2701524375</v>
      </c>
      <c r="AO47" s="84"/>
      <c r="AP47" s="84">
        <f aca="true" t="shared" si="7" ref="AP47:AP59">SUM(AH47,Z47)</f>
        <v>2986019.596194379</v>
      </c>
      <c r="AQ47" s="84"/>
      <c r="AR47" s="84">
        <f aca="true" t="shared" si="8" ref="AR47:AR59">SUM(AJ47,AB47)</f>
        <v>2375312.6179052806</v>
      </c>
      <c r="AS47" s="84"/>
      <c r="AT47" s="84">
        <f aca="true" t="shared" si="9" ref="AT47:AT59">AT29*454*1000000/AT$43/60/0.0283*(21-7)/(21-AT$44)</f>
        <v>939560.6016497763</v>
      </c>
      <c r="AU47" s="84"/>
      <c r="AV47" s="84">
        <f aca="true" t="shared" si="10" ref="AV47:AV59">AV29*454*1000000/AV$43/60/0.0283*(21-7)/(21-AV$44)</f>
        <v>223282.3892658103</v>
      </c>
      <c r="AW47" s="84"/>
      <c r="AX47" s="84">
        <f aca="true" t="shared" si="11" ref="AX47:AX59">AX29*454*1000000/AX$43/60/0.0283*(21-7)/(21-AX$44)</f>
        <v>0</v>
      </c>
      <c r="AY47" s="84"/>
      <c r="AZ47" s="84">
        <f>AZ29*454*1000000/AZ$43/60/0.0283*(21-7)/(21-AZ$44)</f>
        <v>397703.3215637492</v>
      </c>
      <c r="BA47" s="84"/>
      <c r="BB47" s="84">
        <f>AT47+AD47+V47+N47+F47</f>
        <v>2122751.0189673267</v>
      </c>
      <c r="BC47" s="84"/>
      <c r="BD47" s="84">
        <f>AV47+AF47+X47+P47+H47</f>
        <v>3296224.329961249</v>
      </c>
      <c r="BE47" s="84"/>
      <c r="BF47" s="84">
        <f>AX47+AH47+Z47+R47+J47</f>
        <v>3000149.518989443</v>
      </c>
      <c r="BG47" s="84"/>
      <c r="BH47" s="84">
        <f>BH29*454*1000000/BH$43/60/0.0283*(21-7)/(21-BH$44)</f>
        <v>2791444.6434577834</v>
      </c>
    </row>
    <row r="48" spans="2:60" ht="12.75">
      <c r="B48" s="11" t="s">
        <v>87</v>
      </c>
      <c r="D48" s="11" t="s">
        <v>55</v>
      </c>
      <c r="F48" s="46">
        <f t="shared" si="3"/>
        <v>52.177106001970934</v>
      </c>
      <c r="G48" s="46"/>
      <c r="H48" s="46">
        <f t="shared" si="3"/>
        <v>16.13219275428752</v>
      </c>
      <c r="I48" s="46"/>
      <c r="J48" s="46">
        <f t="shared" si="3"/>
        <v>21.194884192595396</v>
      </c>
      <c r="K48" s="46"/>
      <c r="L48" s="46">
        <f aca="true" t="shared" si="12" ref="L48:R59">L30*454*1000000/L$43/60/0.0283*(21-7)/(21-L$44)</f>
        <v>30.305267078280114</v>
      </c>
      <c r="M48" s="46"/>
      <c r="N48" s="84">
        <f t="shared" si="12"/>
        <v>1811.2909654969906</v>
      </c>
      <c r="O48" s="84"/>
      <c r="P48" s="84">
        <f t="shared" si="12"/>
        <v>2006.4916361054125</v>
      </c>
      <c r="Q48" s="84"/>
      <c r="R48" s="84">
        <f t="shared" si="12"/>
        <v>2435.6552000330626</v>
      </c>
      <c r="S48" s="84"/>
      <c r="T48" s="84">
        <f aca="true" t="shared" si="13" ref="T48:Z59">T30*454*1000000/T$43/60/0.0283*(21-7)/(21-T$44)</f>
        <v>2080.660127762514</v>
      </c>
      <c r="U48" s="84"/>
      <c r="V48" s="84">
        <f t="shared" si="13"/>
        <v>2813.8367879634325</v>
      </c>
      <c r="W48" s="84"/>
      <c r="X48" s="84">
        <f t="shared" si="13"/>
        <v>1516.9076768956916</v>
      </c>
      <c r="Y48" s="84"/>
      <c r="Z48" s="84">
        <f t="shared" si="13"/>
        <v>1397.3791051471733</v>
      </c>
      <c r="AA48" s="84"/>
      <c r="AB48" s="84">
        <f aca="true" t="shared" si="14" ref="AB48:AH59">AB30*454*1000000/AB$43/60/0.0283*(21-7)/(21-AB$44)</f>
        <v>1926.8722052757203</v>
      </c>
      <c r="AC48" s="84"/>
      <c r="AD48" s="84">
        <f t="shared" si="14"/>
        <v>0</v>
      </c>
      <c r="AE48" s="84"/>
      <c r="AF48" s="84">
        <f t="shared" si="14"/>
        <v>0</v>
      </c>
      <c r="AG48" s="84"/>
      <c r="AH48" s="84">
        <f t="shared" si="14"/>
        <v>0</v>
      </c>
      <c r="AI48" s="84"/>
      <c r="AJ48" s="84">
        <f t="shared" si="4"/>
        <v>0</v>
      </c>
      <c r="AK48" s="84"/>
      <c r="AL48" s="84">
        <f t="shared" si="5"/>
        <v>2813.8367879634325</v>
      </c>
      <c r="AM48" s="84"/>
      <c r="AN48" s="84">
        <f t="shared" si="6"/>
        <v>1516.9076768956916</v>
      </c>
      <c r="AO48" s="84"/>
      <c r="AP48" s="84">
        <f t="shared" si="7"/>
        <v>1397.3791051471733</v>
      </c>
      <c r="AQ48" s="84"/>
      <c r="AR48" s="84">
        <f t="shared" si="8"/>
        <v>1926.8722052757203</v>
      </c>
      <c r="AS48" s="84"/>
      <c r="AT48" s="84">
        <f t="shared" si="9"/>
        <v>0</v>
      </c>
      <c r="AU48" s="84"/>
      <c r="AV48" s="84">
        <f t="shared" si="10"/>
        <v>0</v>
      </c>
      <c r="AW48" s="84"/>
      <c r="AX48" s="84">
        <f t="shared" si="11"/>
        <v>0</v>
      </c>
      <c r="AY48" s="84"/>
      <c r="AZ48" s="84">
        <f aca="true" t="shared" si="15" ref="AZ48:AZ59">AZ30*454*1000000/AZ$43/60/0.0283*(21-7)/(21-AZ$44)</f>
        <v>0</v>
      </c>
      <c r="BA48" s="84"/>
      <c r="BB48" s="86">
        <f aca="true" t="shared" si="16" ref="BB48:BB59">AT48+V48+N48+F48</f>
        <v>4677.304859462394</v>
      </c>
      <c r="BC48" s="86"/>
      <c r="BD48" s="86">
        <f aca="true" t="shared" si="17" ref="BD48:BD59">AV48+X48+P48+H48</f>
        <v>3539.5315057553917</v>
      </c>
      <c r="BE48" s="86"/>
      <c r="BF48" s="86">
        <f aca="true" t="shared" si="18" ref="BF48:BF59">AX48+Z48+R48+J48</f>
        <v>3854.229189372831</v>
      </c>
      <c r="BG48" s="86"/>
      <c r="BH48" s="86">
        <f>AZ48+AB48+T48+L48</f>
        <v>4037.8376001165143</v>
      </c>
    </row>
    <row r="49" spans="2:60" ht="12.75">
      <c r="B49" s="11" t="s">
        <v>83</v>
      </c>
      <c r="D49" s="11" t="s">
        <v>55</v>
      </c>
      <c r="F49" s="46">
        <f t="shared" si="3"/>
        <v>59.63097828796676</v>
      </c>
      <c r="G49" s="46"/>
      <c r="H49" s="46">
        <f t="shared" si="3"/>
        <v>18.419593219447687</v>
      </c>
      <c r="I49" s="46"/>
      <c r="J49" s="46">
        <f t="shared" si="3"/>
        <v>24.23945319263672</v>
      </c>
      <c r="K49" s="46"/>
      <c r="L49" s="46">
        <f t="shared" si="12"/>
        <v>34.63459094660583</v>
      </c>
      <c r="M49" s="46"/>
      <c r="N49" s="84">
        <f t="shared" si="12"/>
        <v>2716.9364482454866</v>
      </c>
      <c r="O49" s="84"/>
      <c r="P49" s="84">
        <f t="shared" si="12"/>
        <v>2508.1145451317657</v>
      </c>
      <c r="Q49" s="84"/>
      <c r="R49" s="84">
        <f t="shared" si="12"/>
        <v>2435.6552000330626</v>
      </c>
      <c r="S49" s="84"/>
      <c r="T49" s="84">
        <f t="shared" si="13"/>
        <v>2556.239585536804</v>
      </c>
      <c r="U49" s="84"/>
      <c r="V49" s="84">
        <f t="shared" si="13"/>
        <v>1714.3906257790445</v>
      </c>
      <c r="W49" s="84"/>
      <c r="X49" s="84">
        <f t="shared" si="13"/>
        <v>3110.0620359633895</v>
      </c>
      <c r="Y49" s="84"/>
      <c r="Z49" s="84">
        <f t="shared" si="13"/>
        <v>3087.5052295290902</v>
      </c>
      <c r="AA49" s="84"/>
      <c r="AB49" s="84">
        <f t="shared" si="14"/>
        <v>2618.2716887247543</v>
      </c>
      <c r="AC49" s="84"/>
      <c r="AD49" s="84">
        <f t="shared" si="14"/>
        <v>0</v>
      </c>
      <c r="AE49" s="84"/>
      <c r="AF49" s="84">
        <f t="shared" si="14"/>
        <v>0</v>
      </c>
      <c r="AG49" s="84"/>
      <c r="AH49" s="84">
        <f t="shared" si="14"/>
        <v>0</v>
      </c>
      <c r="AI49" s="84"/>
      <c r="AJ49" s="84">
        <f t="shared" si="4"/>
        <v>0</v>
      </c>
      <c r="AK49" s="84"/>
      <c r="AL49" s="84">
        <f t="shared" si="5"/>
        <v>1714.3906257790445</v>
      </c>
      <c r="AM49" s="84"/>
      <c r="AN49" s="84">
        <f t="shared" si="6"/>
        <v>3110.0620359633895</v>
      </c>
      <c r="AO49" s="84"/>
      <c r="AP49" s="84">
        <f t="shared" si="7"/>
        <v>3087.5052295290902</v>
      </c>
      <c r="AQ49" s="84"/>
      <c r="AR49" s="84">
        <f t="shared" si="8"/>
        <v>2618.2716887247543</v>
      </c>
      <c r="AS49" s="84"/>
      <c r="AT49" s="84">
        <f t="shared" si="9"/>
        <v>9615.495248934641</v>
      </c>
      <c r="AU49" s="84"/>
      <c r="AV49" s="84">
        <f t="shared" si="10"/>
        <v>8989.08252975225</v>
      </c>
      <c r="AW49" s="84"/>
      <c r="AX49" s="84">
        <f t="shared" si="11"/>
        <v>8314.015346266702</v>
      </c>
      <c r="AY49" s="84"/>
      <c r="AZ49" s="84">
        <f t="shared" si="15"/>
        <v>8981.731607422036</v>
      </c>
      <c r="BA49" s="84"/>
      <c r="BB49" s="86">
        <f t="shared" si="16"/>
        <v>14106.453301247138</v>
      </c>
      <c r="BC49" s="86"/>
      <c r="BD49" s="86">
        <f t="shared" si="17"/>
        <v>14625.678704066853</v>
      </c>
      <c r="BE49" s="86"/>
      <c r="BF49" s="86">
        <f t="shared" si="18"/>
        <v>13861.415229021492</v>
      </c>
      <c r="BG49" s="86"/>
      <c r="BH49" s="86">
        <f aca="true" t="shared" si="19" ref="BH49:BH59">AZ49+AB49+T49+L49</f>
        <v>14190.877472630202</v>
      </c>
    </row>
    <row r="50" spans="2:60" ht="12.75">
      <c r="B50" s="11" t="s">
        <v>84</v>
      </c>
      <c r="D50" s="11" t="s">
        <v>55</v>
      </c>
      <c r="F50" s="46">
        <f t="shared" si="3"/>
        <v>581.402038307676</v>
      </c>
      <c r="G50" s="46"/>
      <c r="H50" s="46">
        <f t="shared" si="3"/>
        <v>179.78165059504497</v>
      </c>
      <c r="I50" s="46"/>
      <c r="J50" s="46">
        <f t="shared" si="3"/>
        <v>236.53959154167237</v>
      </c>
      <c r="K50" s="46"/>
      <c r="L50" s="46">
        <f t="shared" si="12"/>
        <v>337.81649527771515</v>
      </c>
      <c r="M50" s="46"/>
      <c r="N50" s="84">
        <f t="shared" si="12"/>
        <v>208335.7303935839</v>
      </c>
      <c r="O50" s="84"/>
      <c r="P50" s="84">
        <f t="shared" si="12"/>
        <v>230746.53815212243</v>
      </c>
      <c r="Q50" s="84"/>
      <c r="R50" s="84">
        <f t="shared" si="12"/>
        <v>224049.05205432329</v>
      </c>
      <c r="S50" s="84"/>
      <c r="T50" s="84">
        <f t="shared" si="13"/>
        <v>220730.90051045807</v>
      </c>
      <c r="U50" s="84"/>
      <c r="V50" s="84">
        <f t="shared" si="13"/>
        <v>148704.7521056171</v>
      </c>
      <c r="W50" s="84"/>
      <c r="X50" s="84">
        <f t="shared" si="13"/>
        <v>131224.553001294</v>
      </c>
      <c r="Y50" s="84"/>
      <c r="Z50" s="84">
        <f t="shared" si="13"/>
        <v>127247.37102736831</v>
      </c>
      <c r="AA50" s="84"/>
      <c r="AB50" s="84">
        <f t="shared" si="14"/>
        <v>135953.6928202587</v>
      </c>
      <c r="AC50" s="84"/>
      <c r="AD50" s="84">
        <f t="shared" si="14"/>
        <v>0</v>
      </c>
      <c r="AE50" s="84"/>
      <c r="AF50" s="84">
        <f t="shared" si="14"/>
        <v>0</v>
      </c>
      <c r="AG50" s="84"/>
      <c r="AH50" s="84">
        <f t="shared" si="14"/>
        <v>0</v>
      </c>
      <c r="AI50" s="84"/>
      <c r="AJ50" s="84">
        <f t="shared" si="4"/>
        <v>0</v>
      </c>
      <c r="AK50" s="84"/>
      <c r="AL50" s="84">
        <f t="shared" si="5"/>
        <v>148704.7521056171</v>
      </c>
      <c r="AM50" s="84"/>
      <c r="AN50" s="84">
        <f t="shared" si="6"/>
        <v>131224.553001294</v>
      </c>
      <c r="AO50" s="84"/>
      <c r="AP50" s="84">
        <f t="shared" si="7"/>
        <v>127247.37102736831</v>
      </c>
      <c r="AQ50" s="84"/>
      <c r="AR50" s="84">
        <f t="shared" si="8"/>
        <v>135953.6928202587</v>
      </c>
      <c r="AS50" s="84"/>
      <c r="AT50" s="84">
        <f t="shared" si="9"/>
        <v>0</v>
      </c>
      <c r="AU50" s="84"/>
      <c r="AV50" s="84">
        <f t="shared" si="10"/>
        <v>0</v>
      </c>
      <c r="AW50" s="84"/>
      <c r="AX50" s="84">
        <f t="shared" si="11"/>
        <v>0</v>
      </c>
      <c r="AY50" s="84"/>
      <c r="AZ50" s="84">
        <f t="shared" si="15"/>
        <v>0</v>
      </c>
      <c r="BA50" s="84"/>
      <c r="BB50" s="86">
        <f t="shared" si="16"/>
        <v>357621.88453750865</v>
      </c>
      <c r="BC50" s="86"/>
      <c r="BD50" s="86">
        <f t="shared" si="17"/>
        <v>362150.87280401145</v>
      </c>
      <c r="BE50" s="86"/>
      <c r="BF50" s="86">
        <f t="shared" si="18"/>
        <v>351532.9626732333</v>
      </c>
      <c r="BG50" s="86"/>
      <c r="BH50" s="86">
        <f t="shared" si="19"/>
        <v>357022.4098259945</v>
      </c>
    </row>
    <row r="51" spans="2:60" ht="12.75">
      <c r="B51" s="11" t="s">
        <v>85</v>
      </c>
      <c r="D51" s="11" t="s">
        <v>55</v>
      </c>
      <c r="F51" s="46">
        <f t="shared" si="3"/>
        <v>3.7269361429979226</v>
      </c>
      <c r="G51" s="46"/>
      <c r="H51" s="46">
        <f t="shared" si="3"/>
        <v>1.151726199124507</v>
      </c>
      <c r="I51" s="46"/>
      <c r="J51" s="46">
        <f t="shared" si="3"/>
        <v>1.5144779128410706</v>
      </c>
      <c r="K51" s="46"/>
      <c r="L51" s="46">
        <f t="shared" si="12"/>
        <v>2.1646619341628646</v>
      </c>
      <c r="M51" s="46"/>
      <c r="N51" s="84">
        <f t="shared" si="12"/>
        <v>450.9592733027487</v>
      </c>
      <c r="O51" s="84"/>
      <c r="P51" s="84">
        <f t="shared" si="12"/>
        <v>501.6229090263531</v>
      </c>
      <c r="Q51" s="84"/>
      <c r="R51" s="84">
        <f t="shared" si="12"/>
        <v>487.91169872457164</v>
      </c>
      <c r="S51" s="84"/>
      <c r="T51" s="84">
        <f t="shared" si="13"/>
        <v>479.45646422353593</v>
      </c>
      <c r="U51" s="84"/>
      <c r="V51" s="84">
        <f t="shared" si="13"/>
        <v>68.57562503116179</v>
      </c>
      <c r="W51" s="84"/>
      <c r="X51" s="84">
        <f t="shared" si="13"/>
        <v>75.84538384478459</v>
      </c>
      <c r="Y51" s="84"/>
      <c r="Z51" s="84">
        <f t="shared" si="13"/>
        <v>73.38191948817558</v>
      </c>
      <c r="AA51" s="84"/>
      <c r="AB51" s="84">
        <f t="shared" si="14"/>
        <v>72.50002060091742</v>
      </c>
      <c r="AC51" s="84"/>
      <c r="AD51" s="84">
        <f t="shared" si="14"/>
        <v>0</v>
      </c>
      <c r="AE51" s="84"/>
      <c r="AF51" s="84">
        <f t="shared" si="14"/>
        <v>0</v>
      </c>
      <c r="AG51" s="84"/>
      <c r="AH51" s="84">
        <f t="shared" si="14"/>
        <v>0</v>
      </c>
      <c r="AI51" s="84"/>
      <c r="AJ51" s="84">
        <f t="shared" si="4"/>
        <v>0</v>
      </c>
      <c r="AK51" s="84"/>
      <c r="AL51" s="84">
        <f t="shared" si="5"/>
        <v>68.57562503116179</v>
      </c>
      <c r="AM51" s="84"/>
      <c r="AN51" s="84">
        <f t="shared" si="6"/>
        <v>75.84538384478459</v>
      </c>
      <c r="AO51" s="84"/>
      <c r="AP51" s="84">
        <f t="shared" si="7"/>
        <v>73.38191948817558</v>
      </c>
      <c r="AQ51" s="84"/>
      <c r="AR51" s="84">
        <f t="shared" si="8"/>
        <v>72.50002060091742</v>
      </c>
      <c r="AS51" s="84"/>
      <c r="AT51" s="84">
        <f t="shared" si="9"/>
        <v>3540.5893358480266</v>
      </c>
      <c r="AU51" s="84"/>
      <c r="AV51" s="84">
        <f t="shared" si="10"/>
        <v>3932.7236067666086</v>
      </c>
      <c r="AW51" s="84"/>
      <c r="AX51" s="84">
        <f t="shared" si="11"/>
        <v>3903.293589796573</v>
      </c>
      <c r="AY51" s="84"/>
      <c r="AZ51" s="84">
        <f t="shared" si="15"/>
        <v>3786.5429654311597</v>
      </c>
      <c r="BA51" s="84"/>
      <c r="BB51" s="86">
        <f t="shared" si="16"/>
        <v>4063.8511703249355</v>
      </c>
      <c r="BC51" s="86"/>
      <c r="BD51" s="86">
        <f t="shared" si="17"/>
        <v>4511.343625836871</v>
      </c>
      <c r="BE51" s="86"/>
      <c r="BF51" s="86">
        <f t="shared" si="18"/>
        <v>4466.101685922162</v>
      </c>
      <c r="BG51" s="86"/>
      <c r="BH51" s="86">
        <f t="shared" si="19"/>
        <v>4340.664112189776</v>
      </c>
    </row>
    <row r="52" spans="2:60" ht="12.75">
      <c r="B52" s="11" t="s">
        <v>90</v>
      </c>
      <c r="D52" s="11" t="s">
        <v>55</v>
      </c>
      <c r="F52" s="46">
        <f t="shared" si="3"/>
        <v>7.453872285995845</v>
      </c>
      <c r="G52" s="46"/>
      <c r="H52" s="46">
        <f t="shared" si="3"/>
        <v>2.303452398249014</v>
      </c>
      <c r="I52" s="46"/>
      <c r="J52" s="46">
        <f t="shared" si="3"/>
        <v>3.028955825682141</v>
      </c>
      <c r="K52" s="46"/>
      <c r="L52" s="46">
        <f t="shared" si="12"/>
        <v>4.329323868325729</v>
      </c>
      <c r="M52" s="46"/>
      <c r="N52" s="84">
        <f t="shared" si="12"/>
        <v>450.9592733027487</v>
      </c>
      <c r="O52" s="84"/>
      <c r="P52" s="84">
        <f t="shared" si="12"/>
        <v>501.6229090263531</v>
      </c>
      <c r="Q52" s="84"/>
      <c r="R52" s="84">
        <f t="shared" si="12"/>
        <v>487.91169872457164</v>
      </c>
      <c r="S52" s="84"/>
      <c r="T52" s="84">
        <f t="shared" si="13"/>
        <v>479.45646422353593</v>
      </c>
      <c r="U52" s="84"/>
      <c r="V52" s="84">
        <f t="shared" si="13"/>
        <v>2333.0620255167</v>
      </c>
      <c r="W52" s="84"/>
      <c r="X52" s="84">
        <f t="shared" si="13"/>
        <v>2652.5819429313556</v>
      </c>
      <c r="Y52" s="84"/>
      <c r="Z52" s="84">
        <f t="shared" si="13"/>
        <v>1838.4512807941858</v>
      </c>
      <c r="AA52" s="84"/>
      <c r="AB52" s="84">
        <f t="shared" si="14"/>
        <v>2271.925779258696</v>
      </c>
      <c r="AC52" s="84"/>
      <c r="AD52" s="84">
        <f t="shared" si="14"/>
        <v>0</v>
      </c>
      <c r="AE52" s="84"/>
      <c r="AF52" s="84">
        <f t="shared" si="14"/>
        <v>0</v>
      </c>
      <c r="AG52" s="84"/>
      <c r="AH52" s="84">
        <f t="shared" si="14"/>
        <v>0</v>
      </c>
      <c r="AI52" s="84"/>
      <c r="AJ52" s="84">
        <f t="shared" si="4"/>
        <v>0</v>
      </c>
      <c r="AK52" s="84"/>
      <c r="AL52" s="84">
        <f t="shared" si="5"/>
        <v>2333.0620255167</v>
      </c>
      <c r="AM52" s="84"/>
      <c r="AN52" s="84">
        <f t="shared" si="6"/>
        <v>2652.5819429313556</v>
      </c>
      <c r="AO52" s="84"/>
      <c r="AP52" s="84">
        <f t="shared" si="7"/>
        <v>1838.4512807941858</v>
      </c>
      <c r="AQ52" s="84"/>
      <c r="AR52" s="84">
        <f t="shared" si="8"/>
        <v>2271.925779258696</v>
      </c>
      <c r="AS52" s="84"/>
      <c r="AT52" s="84">
        <f t="shared" si="9"/>
        <v>6820.293141686198</v>
      </c>
      <c r="AU52" s="84"/>
      <c r="AV52" s="84">
        <f t="shared" si="10"/>
        <v>7544.408551756351</v>
      </c>
      <c r="AW52" s="84"/>
      <c r="AX52" s="84">
        <f t="shared" si="11"/>
        <v>7416.257820613489</v>
      </c>
      <c r="AY52" s="84"/>
      <c r="AZ52" s="84">
        <f t="shared" si="15"/>
        <v>7250.002060091742</v>
      </c>
      <c r="BA52" s="84"/>
      <c r="BB52" s="86">
        <f t="shared" si="16"/>
        <v>9611.768312791644</v>
      </c>
      <c r="BC52" s="86"/>
      <c r="BD52" s="86">
        <f t="shared" si="17"/>
        <v>10700.91685611231</v>
      </c>
      <c r="BE52" s="86"/>
      <c r="BF52" s="86">
        <f t="shared" si="18"/>
        <v>9745.64975595793</v>
      </c>
      <c r="BG52" s="86"/>
      <c r="BH52" s="86">
        <f t="shared" si="19"/>
        <v>10005.713627442301</v>
      </c>
    </row>
    <row r="53" spans="2:60" ht="12.75">
      <c r="B53" s="11" t="s">
        <v>92</v>
      </c>
      <c r="D53" s="11" t="s">
        <v>55</v>
      </c>
      <c r="F53" s="46">
        <f t="shared" si="3"/>
        <v>119.26195657593352</v>
      </c>
      <c r="G53" s="46"/>
      <c r="H53" s="46">
        <f t="shared" si="3"/>
        <v>36.839186438895375</v>
      </c>
      <c r="I53" s="46"/>
      <c r="J53" s="46">
        <f t="shared" si="3"/>
        <v>48.40084051347751</v>
      </c>
      <c r="K53" s="46"/>
      <c r="L53" s="46">
        <f t="shared" si="12"/>
        <v>69.24333518355002</v>
      </c>
      <c r="M53" s="46"/>
      <c r="N53" s="84">
        <f t="shared" si="12"/>
        <v>12224.350549033188</v>
      </c>
      <c r="O53" s="84"/>
      <c r="P53" s="84">
        <f t="shared" si="12"/>
        <v>13042.195634685182</v>
      </c>
      <c r="Q53" s="84"/>
      <c r="R53" s="84">
        <f t="shared" si="12"/>
        <v>12178.276000165308</v>
      </c>
      <c r="S53" s="84"/>
      <c r="T53" s="84">
        <f t="shared" si="13"/>
        <v>12471.037411744262</v>
      </c>
      <c r="U53" s="84"/>
      <c r="V53" s="84">
        <f t="shared" si="13"/>
        <v>14535.050957691903</v>
      </c>
      <c r="W53" s="84"/>
      <c r="X53" s="84">
        <f t="shared" si="13"/>
        <v>12600.767474741991</v>
      </c>
      <c r="Y53" s="84"/>
      <c r="Z53" s="84">
        <f t="shared" si="13"/>
        <v>11905.04544887955</v>
      </c>
      <c r="AA53" s="84"/>
      <c r="AB53" s="84">
        <f t="shared" si="14"/>
        <v>13039.665024300479</v>
      </c>
      <c r="AC53" s="84"/>
      <c r="AD53" s="84">
        <f t="shared" si="14"/>
        <v>0</v>
      </c>
      <c r="AE53" s="84"/>
      <c r="AF53" s="84">
        <f t="shared" si="14"/>
        <v>0</v>
      </c>
      <c r="AG53" s="84"/>
      <c r="AH53" s="84">
        <f t="shared" si="14"/>
        <v>0</v>
      </c>
      <c r="AI53" s="84"/>
      <c r="AJ53" s="84">
        <f t="shared" si="4"/>
        <v>0</v>
      </c>
      <c r="AK53" s="84"/>
      <c r="AL53" s="84">
        <f t="shared" si="5"/>
        <v>14535.050957691903</v>
      </c>
      <c r="AM53" s="84"/>
      <c r="AN53" s="84">
        <f t="shared" si="6"/>
        <v>12600.767474741991</v>
      </c>
      <c r="AO53" s="84"/>
      <c r="AP53" s="84">
        <f t="shared" si="7"/>
        <v>11905.04544887955</v>
      </c>
      <c r="AQ53" s="84"/>
      <c r="AR53" s="84">
        <f t="shared" si="8"/>
        <v>13039.665024300479</v>
      </c>
      <c r="AS53" s="84"/>
      <c r="AT53" s="84">
        <f t="shared" si="9"/>
        <v>48822.86347327279</v>
      </c>
      <c r="AU53" s="84"/>
      <c r="AV53" s="84">
        <f t="shared" si="10"/>
        <v>53372.67752040397</v>
      </c>
      <c r="AW53" s="84"/>
      <c r="AX53" s="84">
        <f t="shared" si="11"/>
        <v>52304.13410327409</v>
      </c>
      <c r="AY53" s="84"/>
      <c r="AZ53" s="84">
        <f t="shared" si="15"/>
        <v>51434.952226675836</v>
      </c>
      <c r="BA53" s="84"/>
      <c r="BB53" s="86">
        <f t="shared" si="16"/>
        <v>75701.52693657382</v>
      </c>
      <c r="BC53" s="86"/>
      <c r="BD53" s="86">
        <f t="shared" si="17"/>
        <v>79052.47981627005</v>
      </c>
      <c r="BE53" s="86"/>
      <c r="BF53" s="86">
        <f t="shared" si="18"/>
        <v>76435.85639283243</v>
      </c>
      <c r="BG53" s="86"/>
      <c r="BH53" s="86">
        <f t="shared" si="19"/>
        <v>77014.89799790412</v>
      </c>
    </row>
    <row r="54" spans="2:60" ht="12.75">
      <c r="B54" s="11" t="s">
        <v>88</v>
      </c>
      <c r="D54" s="11" t="s">
        <v>55</v>
      </c>
      <c r="F54" s="46">
        <f t="shared" si="3"/>
        <v>163.98519029190862</v>
      </c>
      <c r="G54" s="46"/>
      <c r="H54" s="46">
        <f t="shared" si="3"/>
        <v>50.56358922985639</v>
      </c>
      <c r="I54" s="46"/>
      <c r="J54" s="46">
        <f t="shared" si="3"/>
        <v>66.74632038552141</v>
      </c>
      <c r="K54" s="46"/>
      <c r="L54" s="46">
        <f t="shared" si="12"/>
        <v>95.24512510316605</v>
      </c>
      <c r="M54" s="46"/>
      <c r="N54" s="84">
        <f t="shared" si="12"/>
        <v>16286.710944900924</v>
      </c>
      <c r="O54" s="84"/>
      <c r="P54" s="84">
        <f t="shared" si="12"/>
        <v>18058.424724948716</v>
      </c>
      <c r="Q54" s="84"/>
      <c r="R54" s="84">
        <f t="shared" si="12"/>
        <v>17525.788218186615</v>
      </c>
      <c r="S54" s="84"/>
      <c r="T54" s="84">
        <f t="shared" si="13"/>
        <v>17265.602053979626</v>
      </c>
      <c r="U54" s="84"/>
      <c r="V54" s="84">
        <f t="shared" si="13"/>
        <v>32237.99763693204</v>
      </c>
      <c r="W54" s="84"/>
      <c r="X54" s="84">
        <f t="shared" si="13"/>
        <v>30177.634207025403</v>
      </c>
      <c r="Y54" s="84"/>
      <c r="Z54" s="84">
        <f t="shared" si="13"/>
        <v>27284.02219267805</v>
      </c>
      <c r="AA54" s="84"/>
      <c r="AB54" s="84">
        <f t="shared" si="14"/>
        <v>29930.48978818624</v>
      </c>
      <c r="AC54" s="84"/>
      <c r="AD54" s="84">
        <f t="shared" si="14"/>
        <v>0</v>
      </c>
      <c r="AE54" s="84"/>
      <c r="AF54" s="84">
        <f t="shared" si="14"/>
        <v>0</v>
      </c>
      <c r="AG54" s="84"/>
      <c r="AH54" s="84">
        <f t="shared" si="14"/>
        <v>0</v>
      </c>
      <c r="AI54" s="84"/>
      <c r="AJ54" s="84">
        <f t="shared" si="4"/>
        <v>0</v>
      </c>
      <c r="AK54" s="84"/>
      <c r="AL54" s="84">
        <f t="shared" si="5"/>
        <v>32237.99763693204</v>
      </c>
      <c r="AM54" s="84"/>
      <c r="AN54" s="84">
        <f t="shared" si="6"/>
        <v>30177.634207025403</v>
      </c>
      <c r="AO54" s="84"/>
      <c r="AP54" s="84">
        <f t="shared" si="7"/>
        <v>27284.02219267805</v>
      </c>
      <c r="AQ54" s="84"/>
      <c r="AR54" s="84">
        <f t="shared" si="8"/>
        <v>29930.48978818624</v>
      </c>
      <c r="AS54" s="84"/>
      <c r="AT54" s="84">
        <f t="shared" si="9"/>
        <v>79756.43346015555</v>
      </c>
      <c r="AU54" s="84"/>
      <c r="AV54" s="84">
        <f t="shared" si="10"/>
        <v>90693.42195196467</v>
      </c>
      <c r="AW54" s="84"/>
      <c r="AX54" s="84">
        <f t="shared" si="11"/>
        <v>90166.08192430087</v>
      </c>
      <c r="AY54" s="84"/>
      <c r="AZ54" s="84">
        <f t="shared" si="15"/>
        <v>86715.71091482282</v>
      </c>
      <c r="BA54" s="84"/>
      <c r="BB54" s="86">
        <f t="shared" si="16"/>
        <v>128445.12723228041</v>
      </c>
      <c r="BC54" s="86"/>
      <c r="BD54" s="86">
        <f t="shared" si="17"/>
        <v>138980.04447316864</v>
      </c>
      <c r="BE54" s="86"/>
      <c r="BF54" s="86">
        <f t="shared" si="18"/>
        <v>135042.63865555104</v>
      </c>
      <c r="BG54" s="86"/>
      <c r="BH54" s="86">
        <f t="shared" si="19"/>
        <v>134007.04788209184</v>
      </c>
    </row>
    <row r="55" spans="2:60" ht="12.75">
      <c r="B55" s="11" t="s">
        <v>95</v>
      </c>
      <c r="D55" s="11" t="s">
        <v>55</v>
      </c>
      <c r="F55" s="46">
        <f t="shared" si="3"/>
        <v>11.18080842899377</v>
      </c>
      <c r="G55" s="46"/>
      <c r="H55" s="46">
        <f t="shared" si="3"/>
        <v>3.45517859737352</v>
      </c>
      <c r="I55" s="46"/>
      <c r="J55" s="46">
        <f t="shared" si="3"/>
        <v>4.527820564164025</v>
      </c>
      <c r="K55" s="46"/>
      <c r="L55" s="46">
        <f t="shared" si="12"/>
        <v>6.488816460556263</v>
      </c>
      <c r="M55" s="46"/>
      <c r="N55" s="84">
        <f t="shared" si="12"/>
        <v>2262.2502387997392</v>
      </c>
      <c r="O55" s="84"/>
      <c r="P55" s="84">
        <f t="shared" si="12"/>
        <v>2508.1145451317657</v>
      </c>
      <c r="Q55" s="84"/>
      <c r="R55" s="84">
        <f t="shared" si="12"/>
        <v>2435.6552000330626</v>
      </c>
      <c r="S55" s="84"/>
      <c r="T55" s="84">
        <f t="shared" si="13"/>
        <v>2398.574656600762</v>
      </c>
      <c r="U55" s="84"/>
      <c r="V55" s="84">
        <f t="shared" si="13"/>
        <v>409.96297572977153</v>
      </c>
      <c r="W55" s="84"/>
      <c r="X55" s="84">
        <f t="shared" si="13"/>
        <v>453.4671097598232</v>
      </c>
      <c r="Y55" s="84"/>
      <c r="Z55" s="84">
        <f t="shared" si="13"/>
        <v>441.0721756470129</v>
      </c>
      <c r="AA55" s="84"/>
      <c r="AB55" s="84">
        <f t="shared" si="14"/>
        <v>434.22472231565524</v>
      </c>
      <c r="AC55" s="84"/>
      <c r="AD55" s="84">
        <f t="shared" si="14"/>
        <v>0</v>
      </c>
      <c r="AE55" s="84"/>
      <c r="AF55" s="84">
        <f t="shared" si="14"/>
        <v>0</v>
      </c>
      <c r="AG55" s="84"/>
      <c r="AH55" s="84">
        <f t="shared" si="14"/>
        <v>0</v>
      </c>
      <c r="AI55" s="84"/>
      <c r="AJ55" s="84">
        <f t="shared" si="4"/>
        <v>0</v>
      </c>
      <c r="AK55" s="84"/>
      <c r="AL55" s="84">
        <f t="shared" si="5"/>
        <v>409.96297572977153</v>
      </c>
      <c r="AM55" s="84"/>
      <c r="AN55" s="84">
        <f t="shared" si="6"/>
        <v>453.4671097598232</v>
      </c>
      <c r="AO55" s="84"/>
      <c r="AP55" s="84">
        <f t="shared" si="7"/>
        <v>441.0721756470129</v>
      </c>
      <c r="AQ55" s="84"/>
      <c r="AR55" s="84">
        <f t="shared" si="8"/>
        <v>434.22472231565524</v>
      </c>
      <c r="AS55" s="84"/>
      <c r="AT55" s="84">
        <f t="shared" si="9"/>
        <v>0</v>
      </c>
      <c r="AU55" s="84"/>
      <c r="AV55" s="84">
        <f t="shared" si="10"/>
        <v>0</v>
      </c>
      <c r="AW55" s="84"/>
      <c r="AX55" s="84">
        <f t="shared" si="11"/>
        <v>0</v>
      </c>
      <c r="AY55" s="84"/>
      <c r="AZ55" s="84">
        <f t="shared" si="15"/>
        <v>0</v>
      </c>
      <c r="BA55" s="84"/>
      <c r="BB55" s="86">
        <f t="shared" si="16"/>
        <v>2683.3940229585046</v>
      </c>
      <c r="BC55" s="86"/>
      <c r="BD55" s="86">
        <f t="shared" si="17"/>
        <v>2965.0368334889627</v>
      </c>
      <c r="BE55" s="86"/>
      <c r="BF55" s="86">
        <f t="shared" si="18"/>
        <v>2881.2551962442394</v>
      </c>
      <c r="BG55" s="86"/>
      <c r="BH55" s="86">
        <f t="shared" si="19"/>
        <v>2839.2881953769734</v>
      </c>
    </row>
    <row r="56" spans="2:60" ht="12.75">
      <c r="B56" s="11" t="s">
        <v>89</v>
      </c>
      <c r="D56" s="11" t="s">
        <v>55</v>
      </c>
      <c r="F56" s="46">
        <f t="shared" si="3"/>
        <v>708.1178671696055</v>
      </c>
      <c r="G56" s="46"/>
      <c r="H56" s="46">
        <f t="shared" si="3"/>
        <v>208.27383182774182</v>
      </c>
      <c r="I56" s="46"/>
      <c r="J56" s="46">
        <f t="shared" si="3"/>
        <v>274.4015393626991</v>
      </c>
      <c r="K56" s="46"/>
      <c r="L56" s="46">
        <f t="shared" si="12"/>
        <v>403.46713781829635</v>
      </c>
      <c r="M56" s="46"/>
      <c r="N56" s="84">
        <f t="shared" si="12"/>
        <v>5888.559105936719</v>
      </c>
      <c r="O56" s="84"/>
      <c r="P56" s="84">
        <f t="shared" si="12"/>
        <v>6019.474908316238</v>
      </c>
      <c r="Q56" s="84"/>
      <c r="R56" s="84">
        <f t="shared" si="12"/>
        <v>5854.94038469486</v>
      </c>
      <c r="S56" s="84"/>
      <c r="T56" s="84">
        <f t="shared" si="13"/>
        <v>5918.896512516967</v>
      </c>
      <c r="U56" s="84"/>
      <c r="V56" s="84">
        <f t="shared" si="13"/>
        <v>4994.094431617217</v>
      </c>
      <c r="W56" s="84"/>
      <c r="X56" s="84">
        <f t="shared" si="13"/>
        <v>2957.5686716193777</v>
      </c>
      <c r="Y56" s="84"/>
      <c r="Z56" s="84">
        <f t="shared" si="13"/>
        <v>2131.198300028929</v>
      </c>
      <c r="AA56" s="84"/>
      <c r="AB56" s="84">
        <f t="shared" si="14"/>
        <v>3389.795972124892</v>
      </c>
      <c r="AC56" s="84"/>
      <c r="AD56" s="84">
        <f t="shared" si="14"/>
        <v>0</v>
      </c>
      <c r="AE56" s="84"/>
      <c r="AF56" s="84">
        <f t="shared" si="14"/>
        <v>0</v>
      </c>
      <c r="AG56" s="84"/>
      <c r="AH56" s="84">
        <f t="shared" si="14"/>
        <v>0</v>
      </c>
      <c r="AI56" s="84"/>
      <c r="AJ56" s="84">
        <f t="shared" si="4"/>
        <v>0</v>
      </c>
      <c r="AK56" s="84"/>
      <c r="AL56" s="84">
        <f t="shared" si="5"/>
        <v>4994.094431617217</v>
      </c>
      <c r="AM56" s="84"/>
      <c r="AN56" s="84">
        <f t="shared" si="6"/>
        <v>2957.5686716193777</v>
      </c>
      <c r="AO56" s="84"/>
      <c r="AP56" s="84">
        <f t="shared" si="7"/>
        <v>2131.198300028929</v>
      </c>
      <c r="AQ56" s="84"/>
      <c r="AR56" s="84">
        <f t="shared" si="8"/>
        <v>3389.795972124892</v>
      </c>
      <c r="AS56" s="84"/>
      <c r="AT56" s="84">
        <f t="shared" si="9"/>
        <v>0</v>
      </c>
      <c r="AU56" s="84"/>
      <c r="AV56" s="84">
        <f t="shared" si="10"/>
        <v>0</v>
      </c>
      <c r="AW56" s="84"/>
      <c r="AX56" s="84">
        <f t="shared" si="11"/>
        <v>0</v>
      </c>
      <c r="AY56" s="84"/>
      <c r="AZ56" s="84">
        <f t="shared" si="15"/>
        <v>0</v>
      </c>
      <c r="BA56" s="84"/>
      <c r="BB56" s="86">
        <f t="shared" si="16"/>
        <v>11590.77140472354</v>
      </c>
      <c r="BC56" s="86"/>
      <c r="BD56" s="86">
        <f t="shared" si="17"/>
        <v>9185.317411763359</v>
      </c>
      <c r="BE56" s="86"/>
      <c r="BF56" s="86">
        <f t="shared" si="18"/>
        <v>8260.540224086488</v>
      </c>
      <c r="BG56" s="86"/>
      <c r="BH56" s="86">
        <f t="shared" si="19"/>
        <v>9712.159622460154</v>
      </c>
    </row>
    <row r="57" spans="2:60" ht="12.75">
      <c r="B57" s="11" t="s">
        <v>114</v>
      </c>
      <c r="D57" s="11" t="s">
        <v>55</v>
      </c>
      <c r="F57" s="46">
        <f t="shared" si="3"/>
        <v>96.900339717946</v>
      </c>
      <c r="G57" s="46"/>
      <c r="H57" s="46">
        <f t="shared" si="3"/>
        <v>29.936855210692755</v>
      </c>
      <c r="I57" s="46"/>
      <c r="J57" s="46">
        <f t="shared" si="3"/>
        <v>39.03293589796573</v>
      </c>
      <c r="K57" s="46"/>
      <c r="L57" s="46">
        <f t="shared" si="12"/>
        <v>56.16490009475708</v>
      </c>
      <c r="M57" s="46"/>
      <c r="N57" s="84">
        <f t="shared" si="12"/>
        <v>3622.581930993981</v>
      </c>
      <c r="O57" s="84"/>
      <c r="P57" s="84">
        <f t="shared" si="12"/>
        <v>4012.983272210825</v>
      </c>
      <c r="Q57" s="84"/>
      <c r="R57" s="84">
        <f t="shared" si="12"/>
        <v>3899.390296206777</v>
      </c>
      <c r="S57" s="84"/>
      <c r="T57" s="84">
        <f t="shared" si="13"/>
        <v>3839.5287202375353</v>
      </c>
      <c r="U57" s="84"/>
      <c r="V57" s="84">
        <f t="shared" si="13"/>
        <v>1509.409137914159</v>
      </c>
      <c r="W57" s="84"/>
      <c r="X57" s="84">
        <f t="shared" si="13"/>
        <v>1669.401041239703</v>
      </c>
      <c r="Y57" s="84"/>
      <c r="Z57" s="84">
        <f t="shared" si="13"/>
        <v>1615.9635461757814</v>
      </c>
      <c r="AA57" s="84"/>
      <c r="AB57" s="84">
        <f t="shared" si="14"/>
        <v>1596.0343216066492</v>
      </c>
      <c r="AC57" s="84"/>
      <c r="AD57" s="84">
        <f t="shared" si="14"/>
        <v>0</v>
      </c>
      <c r="AE57" s="84"/>
      <c r="AF57" s="84">
        <f t="shared" si="14"/>
        <v>0</v>
      </c>
      <c r="AG57" s="84"/>
      <c r="AH57" s="84">
        <f t="shared" si="14"/>
        <v>0</v>
      </c>
      <c r="AI57" s="84"/>
      <c r="AJ57" s="84">
        <f t="shared" si="4"/>
        <v>0</v>
      </c>
      <c r="AK57" s="84"/>
      <c r="AL57" s="84">
        <f t="shared" si="5"/>
        <v>1509.409137914159</v>
      </c>
      <c r="AM57" s="84"/>
      <c r="AN57" s="84">
        <f t="shared" si="6"/>
        <v>1669.401041239703</v>
      </c>
      <c r="AO57" s="84"/>
      <c r="AP57" s="84">
        <f t="shared" si="7"/>
        <v>1615.9635461757814</v>
      </c>
      <c r="AQ57" s="84"/>
      <c r="AR57" s="84">
        <f t="shared" si="8"/>
        <v>1596.0343216066492</v>
      </c>
      <c r="AS57" s="84"/>
      <c r="AT57" s="84">
        <f t="shared" si="9"/>
        <v>0</v>
      </c>
      <c r="AU57" s="84"/>
      <c r="AV57" s="84">
        <f t="shared" si="10"/>
        <v>0</v>
      </c>
      <c r="AW57" s="84"/>
      <c r="AX57" s="84">
        <f t="shared" si="11"/>
        <v>0</v>
      </c>
      <c r="AY57" s="84"/>
      <c r="AZ57" s="84">
        <f t="shared" si="15"/>
        <v>0</v>
      </c>
      <c r="BA57" s="84"/>
      <c r="BB57" s="86">
        <f t="shared" si="16"/>
        <v>5228.891408626086</v>
      </c>
      <c r="BC57" s="86"/>
      <c r="BD57" s="86">
        <f t="shared" si="17"/>
        <v>5712.32116866122</v>
      </c>
      <c r="BE57" s="86"/>
      <c r="BF57" s="86">
        <f t="shared" si="18"/>
        <v>5554.386778280525</v>
      </c>
      <c r="BG57" s="86"/>
      <c r="BH57" s="86">
        <f t="shared" si="19"/>
        <v>5491.7279419389415</v>
      </c>
    </row>
    <row r="58" spans="2:60" ht="12.75">
      <c r="B58" s="11" t="s">
        <v>91</v>
      </c>
      <c r="D58" s="11" t="s">
        <v>55</v>
      </c>
      <c r="F58" s="46">
        <f t="shared" si="3"/>
        <v>52.177106001970934</v>
      </c>
      <c r="G58" s="46"/>
      <c r="H58" s="46">
        <f t="shared" si="3"/>
        <v>16.13219275428752</v>
      </c>
      <c r="I58" s="46"/>
      <c r="J58" s="46">
        <f t="shared" si="3"/>
        <v>19.516467948982864</v>
      </c>
      <c r="K58" s="46"/>
      <c r="L58" s="46">
        <f t="shared" si="12"/>
        <v>29.74956282055471</v>
      </c>
      <c r="M58" s="46"/>
      <c r="N58" s="84">
        <f t="shared" si="12"/>
        <v>1356.6047560512443</v>
      </c>
      <c r="O58" s="84"/>
      <c r="P58" s="84">
        <f t="shared" si="12"/>
        <v>1504.8687270790595</v>
      </c>
      <c r="Q58" s="84"/>
      <c r="R58" s="84">
        <f t="shared" si="12"/>
        <v>1463.735096173715</v>
      </c>
      <c r="S58" s="84"/>
      <c r="T58" s="84">
        <f t="shared" si="13"/>
        <v>1439.6617281536899</v>
      </c>
      <c r="U58" s="84"/>
      <c r="V58" s="84">
        <f t="shared" si="13"/>
        <v>274.30250012464717</v>
      </c>
      <c r="W58" s="84"/>
      <c r="X58" s="84">
        <f t="shared" si="13"/>
        <v>303.38153537913837</v>
      </c>
      <c r="Y58" s="84"/>
      <c r="Z58" s="84">
        <f t="shared" si="13"/>
        <v>294.3083366706617</v>
      </c>
      <c r="AA58" s="84"/>
      <c r="AB58" s="84">
        <f t="shared" si="14"/>
        <v>290.25854950028616</v>
      </c>
      <c r="AC58" s="84"/>
      <c r="AD58" s="84">
        <f t="shared" si="14"/>
        <v>0</v>
      </c>
      <c r="AE58" s="84"/>
      <c r="AF58" s="84">
        <f t="shared" si="14"/>
        <v>0</v>
      </c>
      <c r="AG58" s="84"/>
      <c r="AH58" s="84">
        <f t="shared" si="14"/>
        <v>0</v>
      </c>
      <c r="AI58" s="84"/>
      <c r="AJ58" s="84">
        <f t="shared" si="4"/>
        <v>0</v>
      </c>
      <c r="AK58" s="84"/>
      <c r="AL58" s="84">
        <f t="shared" si="5"/>
        <v>274.30250012464717</v>
      </c>
      <c r="AM58" s="84"/>
      <c r="AN58" s="84">
        <f t="shared" si="6"/>
        <v>303.38153537913837</v>
      </c>
      <c r="AO58" s="84"/>
      <c r="AP58" s="84">
        <f t="shared" si="7"/>
        <v>294.3083366706617</v>
      </c>
      <c r="AQ58" s="84"/>
      <c r="AR58" s="84">
        <f t="shared" si="8"/>
        <v>290.25854950028616</v>
      </c>
      <c r="AS58" s="84"/>
      <c r="AT58" s="84">
        <f t="shared" si="9"/>
        <v>0</v>
      </c>
      <c r="AU58" s="84"/>
      <c r="AV58" s="84">
        <f t="shared" si="10"/>
        <v>0</v>
      </c>
      <c r="AW58" s="84"/>
      <c r="AX58" s="84">
        <f t="shared" si="11"/>
        <v>0</v>
      </c>
      <c r="AY58" s="84"/>
      <c r="AZ58" s="84">
        <f t="shared" si="15"/>
        <v>0</v>
      </c>
      <c r="BA58" s="84"/>
      <c r="BB58" s="86">
        <f t="shared" si="16"/>
        <v>1683.0843621778624</v>
      </c>
      <c r="BC58" s="86"/>
      <c r="BD58" s="86">
        <f t="shared" si="17"/>
        <v>1824.3824552124852</v>
      </c>
      <c r="BE58" s="86"/>
      <c r="BF58" s="86">
        <f t="shared" si="18"/>
        <v>1777.5599007933595</v>
      </c>
      <c r="BG58" s="86"/>
      <c r="BH58" s="86">
        <f t="shared" si="19"/>
        <v>1759.6698404745307</v>
      </c>
    </row>
    <row r="59" spans="2:60" ht="12.75">
      <c r="B59" s="11" t="s">
        <v>86</v>
      </c>
      <c r="D59" s="11" t="s">
        <v>55</v>
      </c>
      <c r="F59" s="46">
        <f t="shared" si="3"/>
        <v>67.08485057396261</v>
      </c>
      <c r="G59" s="46"/>
      <c r="H59" s="46">
        <f t="shared" si="3"/>
        <v>20.706993684607855</v>
      </c>
      <c r="I59" s="46"/>
      <c r="J59" s="46">
        <f t="shared" si="3"/>
        <v>27.284022192678048</v>
      </c>
      <c r="K59" s="46"/>
      <c r="L59" s="46">
        <f t="shared" si="12"/>
        <v>38.96391481493156</v>
      </c>
      <c r="M59" s="46"/>
      <c r="N59" s="84">
        <f t="shared" si="12"/>
        <v>4062.3603958677368</v>
      </c>
      <c r="O59" s="84"/>
      <c r="P59" s="84">
        <f t="shared" si="12"/>
        <v>4494.541264876125</v>
      </c>
      <c r="Q59" s="84"/>
      <c r="R59" s="84">
        <f t="shared" si="12"/>
        <v>4879.116987245717</v>
      </c>
      <c r="S59" s="84"/>
      <c r="T59" s="84">
        <f t="shared" si="13"/>
        <v>4471.480771464783</v>
      </c>
      <c r="U59" s="84"/>
      <c r="V59" s="84">
        <f t="shared" si="13"/>
        <v>823.652887602541</v>
      </c>
      <c r="W59" s="84"/>
      <c r="X59" s="84">
        <f t="shared" si="13"/>
        <v>910.9472027918573</v>
      </c>
      <c r="Y59" s="84"/>
      <c r="Z59" s="84">
        <f t="shared" si="13"/>
        <v>882.1443512940258</v>
      </c>
      <c r="AA59" s="84"/>
      <c r="AB59" s="84">
        <f t="shared" si="14"/>
        <v>871.0341155974754</v>
      </c>
      <c r="AC59" s="84"/>
      <c r="AD59" s="84">
        <f t="shared" si="14"/>
        <v>0</v>
      </c>
      <c r="AE59" s="84"/>
      <c r="AF59" s="84">
        <f t="shared" si="14"/>
        <v>0</v>
      </c>
      <c r="AG59" s="84"/>
      <c r="AH59" s="84">
        <f t="shared" si="14"/>
        <v>0</v>
      </c>
      <c r="AI59" s="84"/>
      <c r="AJ59" s="84">
        <f t="shared" si="4"/>
        <v>0</v>
      </c>
      <c r="AK59" s="84"/>
      <c r="AL59" s="84">
        <f t="shared" si="5"/>
        <v>823.652887602541</v>
      </c>
      <c r="AM59" s="84"/>
      <c r="AN59" s="84">
        <f t="shared" si="6"/>
        <v>910.9472027918573</v>
      </c>
      <c r="AO59" s="84"/>
      <c r="AP59" s="84">
        <f t="shared" si="7"/>
        <v>882.1443512940258</v>
      </c>
      <c r="AQ59" s="84"/>
      <c r="AR59" s="84">
        <f t="shared" si="8"/>
        <v>871.0341155974754</v>
      </c>
      <c r="AS59" s="84"/>
      <c r="AT59" s="84">
        <f t="shared" si="9"/>
        <v>0</v>
      </c>
      <c r="AU59" s="84"/>
      <c r="AV59" s="84">
        <f t="shared" si="10"/>
        <v>0</v>
      </c>
      <c r="AW59" s="84"/>
      <c r="AX59" s="84">
        <f t="shared" si="11"/>
        <v>0</v>
      </c>
      <c r="AY59" s="84"/>
      <c r="AZ59" s="84">
        <f t="shared" si="15"/>
        <v>0</v>
      </c>
      <c r="BA59" s="84"/>
      <c r="BB59" s="86">
        <f t="shared" si="16"/>
        <v>4953.09813404424</v>
      </c>
      <c r="BC59" s="86"/>
      <c r="BD59" s="86">
        <f t="shared" si="17"/>
        <v>5426.19546135259</v>
      </c>
      <c r="BE59" s="86"/>
      <c r="BF59" s="86">
        <f t="shared" si="18"/>
        <v>5788.545360732421</v>
      </c>
      <c r="BG59" s="86"/>
      <c r="BH59" s="86">
        <f t="shared" si="19"/>
        <v>5381.478801877191</v>
      </c>
    </row>
    <row r="60" spans="6:60" ht="12.75">
      <c r="F60" s="6"/>
      <c r="G60" s="6"/>
      <c r="H60" s="6"/>
      <c r="I60" s="6"/>
      <c r="J60" s="6"/>
      <c r="K60" s="6"/>
      <c r="L60" s="6"/>
      <c r="M60" s="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</row>
    <row r="61" spans="2:60" ht="12.75">
      <c r="B61" s="11" t="s">
        <v>61</v>
      </c>
      <c r="D61" s="11" t="s">
        <v>55</v>
      </c>
      <c r="F61" s="46">
        <f>F52+F54</f>
        <v>171.43906257790448</v>
      </c>
      <c r="G61" s="46"/>
      <c r="H61" s="46">
        <f>H52+H54</f>
        <v>52.867041628105405</v>
      </c>
      <c r="I61" s="46"/>
      <c r="J61" s="46">
        <f>J52+J54</f>
        <v>69.77527621120356</v>
      </c>
      <c r="K61" s="46"/>
      <c r="L61" s="46">
        <f>L52+L54</f>
        <v>99.57444897149178</v>
      </c>
      <c r="M61" s="46"/>
      <c r="N61" s="84">
        <f>N52+N54</f>
        <v>16737.67021820367</v>
      </c>
      <c r="O61" s="84"/>
      <c r="P61" s="84">
        <f>P52+P54</f>
        <v>18560.047633975068</v>
      </c>
      <c r="Q61" s="84"/>
      <c r="R61" s="84">
        <f>R52+R54</f>
        <v>18013.699916911188</v>
      </c>
      <c r="S61" s="84"/>
      <c r="T61" s="84">
        <f>T52+T54</f>
        <v>17745.05851820316</v>
      </c>
      <c r="U61" s="84"/>
      <c r="V61" s="84">
        <f>V52+V54</f>
        <v>34571.05966244874</v>
      </c>
      <c r="W61" s="84"/>
      <c r="X61" s="84">
        <f>X52+X54</f>
        <v>32830.21614995676</v>
      </c>
      <c r="Y61" s="84"/>
      <c r="Z61" s="84">
        <f>Z52+Z54</f>
        <v>29122.473473472237</v>
      </c>
      <c r="AA61" s="84"/>
      <c r="AB61" s="84">
        <f>AB52+AB54</f>
        <v>32202.415567444936</v>
      </c>
      <c r="AC61" s="84"/>
      <c r="AD61" s="84">
        <f>AD52+AD54</f>
        <v>0</v>
      </c>
      <c r="AE61" s="84"/>
      <c r="AF61" s="84">
        <f>AF52+AF54</f>
        <v>0</v>
      </c>
      <c r="AG61" s="84"/>
      <c r="AH61" s="84">
        <f>AH52+AH54</f>
        <v>0</v>
      </c>
      <c r="AI61" s="84"/>
      <c r="AJ61" s="84">
        <f>AJ52+AJ54</f>
        <v>0</v>
      </c>
      <c r="AK61" s="84"/>
      <c r="AL61" s="84">
        <f>SUM(AD61,V61)</f>
        <v>34571.05966244874</v>
      </c>
      <c r="AM61" s="84"/>
      <c r="AN61" s="84">
        <f>SUM(AF61,X61)</f>
        <v>32830.21614995676</v>
      </c>
      <c r="AO61" s="84"/>
      <c r="AP61" s="84">
        <f>SUM(AH61,Z61)</f>
        <v>29122.473473472237</v>
      </c>
      <c r="AQ61" s="84"/>
      <c r="AR61" s="84">
        <f>SUM(AJ61,AB61)</f>
        <v>32202.415567444936</v>
      </c>
      <c r="AS61" s="84"/>
      <c r="AT61" s="84">
        <f>AT52+AT54</f>
        <v>86576.72660184174</v>
      </c>
      <c r="AU61" s="84"/>
      <c r="AV61" s="84">
        <f>AV52+AV54</f>
        <v>98237.83050372102</v>
      </c>
      <c r="AW61" s="84"/>
      <c r="AX61" s="84">
        <f>AX52+AX54</f>
        <v>97582.33974491437</v>
      </c>
      <c r="AY61" s="84"/>
      <c r="AZ61" s="84">
        <f>AZ52+AZ54</f>
        <v>93965.71297491457</v>
      </c>
      <c r="BA61" s="86"/>
      <c r="BB61" s="84">
        <f>BB52+BB54</f>
        <v>138056.89554507207</v>
      </c>
      <c r="BC61" s="84"/>
      <c r="BD61" s="84">
        <f>BD52+BD54</f>
        <v>149680.96132928095</v>
      </c>
      <c r="BE61" s="84"/>
      <c r="BF61" s="84">
        <f>BF52+BF54</f>
        <v>144788.28841150895</v>
      </c>
      <c r="BG61" s="84"/>
      <c r="BH61" s="84">
        <f>BH52+BH54</f>
        <v>144012.76150953415</v>
      </c>
    </row>
    <row r="62" spans="2:60" ht="12.75">
      <c r="B62" s="11" t="s">
        <v>62</v>
      </c>
      <c r="D62" s="11" t="s">
        <v>55</v>
      </c>
      <c r="F62" s="46">
        <f>F49+F51+F53</f>
        <v>182.61987100689822</v>
      </c>
      <c r="G62" s="46"/>
      <c r="H62" s="46">
        <f>H49+H51+H53</f>
        <v>56.41050585746757</v>
      </c>
      <c r="I62" s="46"/>
      <c r="J62" s="46">
        <f>J49+J51+J53</f>
        <v>74.1547716189553</v>
      </c>
      <c r="K62" s="46"/>
      <c r="L62" s="46">
        <f>L49+L51+L53</f>
        <v>106.04258806431872</v>
      </c>
      <c r="M62" s="46"/>
      <c r="N62" s="84">
        <f>N49+N51+N53</f>
        <v>15392.246270581423</v>
      </c>
      <c r="O62" s="84"/>
      <c r="P62" s="84">
        <f>P49+P51+P53</f>
        <v>16051.933088843301</v>
      </c>
      <c r="Q62" s="84"/>
      <c r="R62" s="84">
        <f>R49+R51+R53</f>
        <v>15101.842898922941</v>
      </c>
      <c r="S62" s="84"/>
      <c r="T62" s="84">
        <f>T49+T51+T53</f>
        <v>15506.733461504602</v>
      </c>
      <c r="U62" s="84"/>
      <c r="V62" s="84">
        <f>V49+V51+V53</f>
        <v>16318.01720850211</v>
      </c>
      <c r="W62" s="84"/>
      <c r="X62" s="84">
        <f>X49+X51+X53</f>
        <v>15786.674894550166</v>
      </c>
      <c r="Y62" s="84"/>
      <c r="Z62" s="84">
        <f>Z49+Z51+Z53</f>
        <v>15065.932597896815</v>
      </c>
      <c r="AA62" s="84"/>
      <c r="AB62" s="84">
        <f>AB49+AB51+AB53</f>
        <v>15730.43673362615</v>
      </c>
      <c r="AC62" s="84"/>
      <c r="AD62" s="84">
        <f>AD49+AD51+AD53</f>
        <v>0</v>
      </c>
      <c r="AE62" s="84"/>
      <c r="AF62" s="84">
        <f>AF49+AF51+AF53</f>
        <v>0</v>
      </c>
      <c r="AG62" s="84"/>
      <c r="AH62" s="84">
        <f>AH49+AH51+AH53</f>
        <v>0</v>
      </c>
      <c r="AI62" s="84"/>
      <c r="AJ62" s="84">
        <f>AJ49+AJ51+AJ53</f>
        <v>0</v>
      </c>
      <c r="AK62" s="84"/>
      <c r="AL62" s="84">
        <f>SUM(AD62,V62)</f>
        <v>16318.01720850211</v>
      </c>
      <c r="AM62" s="84"/>
      <c r="AN62" s="84">
        <f>SUM(AF62,X62)</f>
        <v>15786.674894550166</v>
      </c>
      <c r="AO62" s="84"/>
      <c r="AP62" s="84">
        <f>SUM(AH62,Z62)</f>
        <v>15065.932597896815</v>
      </c>
      <c r="AQ62" s="84"/>
      <c r="AR62" s="84">
        <f>SUM(AJ62,AB62)</f>
        <v>15730.43673362615</v>
      </c>
      <c r="AS62" s="84"/>
      <c r="AT62" s="84">
        <f>AT49+AT51+AT53</f>
        <v>61978.94805805545</v>
      </c>
      <c r="AU62" s="84"/>
      <c r="AV62" s="84">
        <f>AV49+AV51+AV53</f>
        <v>66294.48365692284</v>
      </c>
      <c r="AW62" s="84"/>
      <c r="AX62" s="84">
        <f>AX49+AX51+AX53</f>
        <v>64521.44303933736</v>
      </c>
      <c r="AY62" s="84"/>
      <c r="AZ62" s="84">
        <f>AZ49+AZ51+AZ53</f>
        <v>64203.22679952903</v>
      </c>
      <c r="BA62" s="86"/>
      <c r="BB62" s="84">
        <f>BB49+BB51+BB53</f>
        <v>93871.8314081459</v>
      </c>
      <c r="BC62" s="84"/>
      <c r="BD62" s="84">
        <f>BD49+BD51+BD53</f>
        <v>98189.50214617376</v>
      </c>
      <c r="BE62" s="84"/>
      <c r="BF62" s="84">
        <f>BF49+BF51+BF53</f>
        <v>94763.37330777608</v>
      </c>
      <c r="BG62" s="84"/>
      <c r="BH62" s="84">
        <f>BH49+BH51+BH53</f>
        <v>95546.4395827241</v>
      </c>
    </row>
    <row r="64" spans="2:60" ht="12.75">
      <c r="B64" s="44" t="s">
        <v>130</v>
      </c>
      <c r="F64" s="7" t="s">
        <v>106</v>
      </c>
      <c r="H64" s="7" t="s">
        <v>107</v>
      </c>
      <c r="J64" s="7" t="s">
        <v>108</v>
      </c>
      <c r="L64" s="7" t="s">
        <v>56</v>
      </c>
      <c r="N64" s="7" t="s">
        <v>106</v>
      </c>
      <c r="P64" s="7" t="s">
        <v>107</v>
      </c>
      <c r="R64" s="7" t="s">
        <v>108</v>
      </c>
      <c r="T64" s="7" t="s">
        <v>56</v>
      </c>
      <c r="V64" s="7" t="s">
        <v>106</v>
      </c>
      <c r="X64" s="7" t="s">
        <v>107</v>
      </c>
      <c r="Z64" s="7" t="s">
        <v>108</v>
      </c>
      <c r="AB64" s="6" t="s">
        <v>56</v>
      </c>
      <c r="AD64" s="7" t="s">
        <v>106</v>
      </c>
      <c r="AF64" s="7" t="s">
        <v>107</v>
      </c>
      <c r="AH64" s="7" t="s">
        <v>108</v>
      </c>
      <c r="AJ64" s="6" t="s">
        <v>56</v>
      </c>
      <c r="AL64" s="7" t="s">
        <v>106</v>
      </c>
      <c r="AM64" s="7"/>
      <c r="AN64" s="7" t="s">
        <v>107</v>
      </c>
      <c r="AO64" s="7"/>
      <c r="AP64" s="7" t="s">
        <v>108</v>
      </c>
      <c r="AQ64" s="7"/>
      <c r="AR64" s="7" t="s">
        <v>56</v>
      </c>
      <c r="AT64" s="7" t="s">
        <v>106</v>
      </c>
      <c r="AV64" s="7" t="s">
        <v>107</v>
      </c>
      <c r="AX64" s="7" t="s">
        <v>108</v>
      </c>
      <c r="AZ64" s="7" t="s">
        <v>56</v>
      </c>
      <c r="BB64" s="45" t="s">
        <v>106</v>
      </c>
      <c r="BC64" s="45"/>
      <c r="BD64" s="45" t="s">
        <v>107</v>
      </c>
      <c r="BE64" s="45"/>
      <c r="BF64" s="45" t="s">
        <v>108</v>
      </c>
      <c r="BG64" s="45"/>
      <c r="BH64" s="7" t="s">
        <v>56</v>
      </c>
    </row>
    <row r="65" spans="2:59" ht="12.75">
      <c r="B65" s="44"/>
      <c r="BB65" s="45"/>
      <c r="BC65" s="45"/>
      <c r="BD65" s="45"/>
      <c r="BE65" s="45"/>
      <c r="BF65" s="45"/>
      <c r="BG65" s="45"/>
    </row>
    <row r="66" spans="2:60" ht="12.75">
      <c r="B66" s="11" t="s">
        <v>310</v>
      </c>
      <c r="F66" s="7" t="s">
        <v>316</v>
      </c>
      <c r="H66" s="7" t="s">
        <v>316</v>
      </c>
      <c r="J66" s="7" t="s">
        <v>316</v>
      </c>
      <c r="L66" s="45" t="s">
        <v>316</v>
      </c>
      <c r="N66" s="7" t="s">
        <v>317</v>
      </c>
      <c r="P66" s="7" t="s">
        <v>317</v>
      </c>
      <c r="R66" s="7" t="s">
        <v>317</v>
      </c>
      <c r="T66" s="45" t="s">
        <v>317</v>
      </c>
      <c r="V66" s="7" t="s">
        <v>318</v>
      </c>
      <c r="X66" s="7" t="s">
        <v>318</v>
      </c>
      <c r="Z66" s="7" t="s">
        <v>318</v>
      </c>
      <c r="AB66" s="35" t="s">
        <v>318</v>
      </c>
      <c r="AC66" s="35"/>
      <c r="AD66" s="7" t="s">
        <v>319</v>
      </c>
      <c r="AF66" s="7" t="s">
        <v>319</v>
      </c>
      <c r="AH66" s="7" t="s">
        <v>319</v>
      </c>
      <c r="AJ66" s="35" t="s">
        <v>319</v>
      </c>
      <c r="AK66" s="35"/>
      <c r="AL66" s="35"/>
      <c r="AM66" s="35"/>
      <c r="AN66" s="35"/>
      <c r="AO66" s="35"/>
      <c r="AP66" s="35"/>
      <c r="AQ66" s="35"/>
      <c r="AR66" s="35"/>
      <c r="AT66" s="7" t="s">
        <v>320</v>
      </c>
      <c r="AV66" s="7" t="s">
        <v>320</v>
      </c>
      <c r="AX66" s="7" t="s">
        <v>320</v>
      </c>
      <c r="AZ66" s="35" t="s">
        <v>320</v>
      </c>
      <c r="BB66" s="45" t="s">
        <v>321</v>
      </c>
      <c r="BC66" s="45"/>
      <c r="BD66" s="45" t="s">
        <v>321</v>
      </c>
      <c r="BE66" s="45"/>
      <c r="BF66" s="45" t="s">
        <v>321</v>
      </c>
      <c r="BG66" s="45"/>
      <c r="BH66" s="6" t="s">
        <v>321</v>
      </c>
    </row>
    <row r="67" spans="2:60" ht="12.75">
      <c r="B67" s="11" t="s">
        <v>311</v>
      </c>
      <c r="F67" s="7" t="s">
        <v>324</v>
      </c>
      <c r="H67" s="7" t="s">
        <v>324</v>
      </c>
      <c r="J67" s="7" t="s">
        <v>324</v>
      </c>
      <c r="L67" s="7" t="s">
        <v>324</v>
      </c>
      <c r="M67" s="7"/>
      <c r="N67" s="7" t="s">
        <v>313</v>
      </c>
      <c r="P67" s="7" t="s">
        <v>313</v>
      </c>
      <c r="R67" s="7" t="s">
        <v>313</v>
      </c>
      <c r="T67" s="7" t="s">
        <v>313</v>
      </c>
      <c r="U67" s="7"/>
      <c r="V67" s="7" t="s">
        <v>314</v>
      </c>
      <c r="X67" s="7" t="s">
        <v>314</v>
      </c>
      <c r="Z67" s="7" t="s">
        <v>314</v>
      </c>
      <c r="AB67" s="7" t="s">
        <v>314</v>
      </c>
      <c r="AC67" s="7"/>
      <c r="AD67" s="7" t="s">
        <v>315</v>
      </c>
      <c r="AF67" s="7" t="s">
        <v>315</v>
      </c>
      <c r="AH67" s="7" t="s">
        <v>315</v>
      </c>
      <c r="AJ67" s="7" t="s">
        <v>315</v>
      </c>
      <c r="AK67" s="7"/>
      <c r="AL67" s="7"/>
      <c r="AM67" s="7"/>
      <c r="AN67" s="7"/>
      <c r="AO67" s="7"/>
      <c r="AP67" s="7"/>
      <c r="AQ67" s="7"/>
      <c r="AR67" s="7"/>
      <c r="AS67" s="7"/>
      <c r="AT67" s="7" t="s">
        <v>52</v>
      </c>
      <c r="AV67" s="7" t="s">
        <v>52</v>
      </c>
      <c r="AX67" s="7" t="s">
        <v>52</v>
      </c>
      <c r="AZ67" s="7" t="s">
        <v>52</v>
      </c>
      <c r="BA67" s="7"/>
      <c r="BB67" s="7" t="s">
        <v>30</v>
      </c>
      <c r="BC67" s="7"/>
      <c r="BD67" s="7" t="s">
        <v>30</v>
      </c>
      <c r="BE67" s="7"/>
      <c r="BF67" s="7" t="s">
        <v>30</v>
      </c>
      <c r="BG67" s="7"/>
      <c r="BH67" s="7" t="s">
        <v>30</v>
      </c>
    </row>
    <row r="68" spans="2:60" ht="12.75">
      <c r="B68" s="11" t="s">
        <v>325</v>
      </c>
      <c r="F68" s="7" t="s">
        <v>327</v>
      </c>
      <c r="H68" s="7" t="s">
        <v>327</v>
      </c>
      <c r="J68" s="7" t="s">
        <v>327</v>
      </c>
      <c r="L68" s="7" t="s">
        <v>327</v>
      </c>
      <c r="M68" s="7"/>
      <c r="N68" s="7" t="s">
        <v>326</v>
      </c>
      <c r="P68" s="7" t="s">
        <v>326</v>
      </c>
      <c r="R68" s="7" t="s">
        <v>326</v>
      </c>
      <c r="T68" s="7" t="s">
        <v>326</v>
      </c>
      <c r="U68" s="7"/>
      <c r="AB68" s="7"/>
      <c r="AC68" s="7"/>
      <c r="AJ68" s="7"/>
      <c r="AK68" s="7"/>
      <c r="AL68" s="7" t="s">
        <v>63</v>
      </c>
      <c r="AM68" s="7"/>
      <c r="AN68" s="7" t="s">
        <v>63</v>
      </c>
      <c r="AO68" s="7"/>
      <c r="AP68" s="7" t="s">
        <v>63</v>
      </c>
      <c r="AQ68" s="7"/>
      <c r="AR68" s="7" t="s">
        <v>63</v>
      </c>
      <c r="AS68" s="7"/>
      <c r="AT68" s="7" t="s">
        <v>52</v>
      </c>
      <c r="AV68" s="7" t="s">
        <v>52</v>
      </c>
      <c r="AX68" s="7" t="s">
        <v>52</v>
      </c>
      <c r="AZ68" s="7" t="s">
        <v>52</v>
      </c>
      <c r="BA68" s="7"/>
      <c r="BB68" s="7" t="s">
        <v>30</v>
      </c>
      <c r="BC68" s="7"/>
      <c r="BD68" s="7" t="s">
        <v>30</v>
      </c>
      <c r="BE68" s="7"/>
      <c r="BF68" s="7" t="s">
        <v>30</v>
      </c>
      <c r="BG68" s="7"/>
      <c r="BH68" s="7" t="s">
        <v>30</v>
      </c>
    </row>
    <row r="69" spans="2:60" ht="12.75">
      <c r="B69" s="11" t="s">
        <v>93</v>
      </c>
      <c r="F69" s="7" t="s">
        <v>166</v>
      </c>
      <c r="H69" s="7" t="s">
        <v>166</v>
      </c>
      <c r="J69" s="7" t="s">
        <v>166</v>
      </c>
      <c r="L69" s="7" t="s">
        <v>166</v>
      </c>
      <c r="M69" s="7"/>
      <c r="N69" s="7" t="s">
        <v>104</v>
      </c>
      <c r="P69" s="7" t="s">
        <v>104</v>
      </c>
      <c r="R69" s="7" t="s">
        <v>104</v>
      </c>
      <c r="T69" s="7" t="s">
        <v>104</v>
      </c>
      <c r="U69" s="7"/>
      <c r="V69" s="7" t="s">
        <v>113</v>
      </c>
      <c r="X69" s="7" t="s">
        <v>113</v>
      </c>
      <c r="Z69" s="7" t="s">
        <v>113</v>
      </c>
      <c r="AB69" s="7" t="s">
        <v>113</v>
      </c>
      <c r="AC69" s="7"/>
      <c r="AD69" s="7" t="s">
        <v>165</v>
      </c>
      <c r="AF69" s="7" t="s">
        <v>165</v>
      </c>
      <c r="AH69" s="7" t="s">
        <v>165</v>
      </c>
      <c r="AJ69" s="7" t="s">
        <v>165</v>
      </c>
      <c r="AK69" s="7"/>
      <c r="AL69" s="7"/>
      <c r="AM69" s="7"/>
      <c r="AN69" s="7"/>
      <c r="AO69" s="7"/>
      <c r="AP69" s="7"/>
      <c r="AQ69" s="7"/>
      <c r="AR69" s="7"/>
      <c r="AS69" s="7"/>
      <c r="AT69" s="7" t="s">
        <v>52</v>
      </c>
      <c r="AV69" s="7" t="s">
        <v>52</v>
      </c>
      <c r="AX69" s="7" t="s">
        <v>52</v>
      </c>
      <c r="AZ69" s="7" t="s">
        <v>52</v>
      </c>
      <c r="BA69" s="7"/>
      <c r="BB69" s="7" t="s">
        <v>30</v>
      </c>
      <c r="BC69" s="7"/>
      <c r="BD69" s="7" t="s">
        <v>30</v>
      </c>
      <c r="BE69" s="7"/>
      <c r="BF69" s="7" t="s">
        <v>30</v>
      </c>
      <c r="BG69" s="7"/>
      <c r="BH69" s="7" t="s">
        <v>30</v>
      </c>
    </row>
    <row r="70" spans="2:36" ht="12.75">
      <c r="B70" s="11" t="s">
        <v>96</v>
      </c>
      <c r="D70" s="11" t="s">
        <v>170</v>
      </c>
      <c r="F70" s="72"/>
      <c r="G70" s="72"/>
      <c r="H70" s="72"/>
      <c r="I70" s="72"/>
      <c r="J70" s="72"/>
      <c r="K70" s="72"/>
      <c r="L70" s="84"/>
      <c r="M70" s="84"/>
      <c r="N70" s="72">
        <v>112731</v>
      </c>
      <c r="O70" s="72"/>
      <c r="P70" s="72">
        <v>98619</v>
      </c>
      <c r="Q70" s="72"/>
      <c r="R70" s="72">
        <v>111223</v>
      </c>
      <c r="S70" s="72"/>
      <c r="T70" s="84">
        <f>AVERAGE(N70:R70)</f>
        <v>107524.33333333333</v>
      </c>
      <c r="U70" s="84"/>
      <c r="V70" s="72">
        <v>15261</v>
      </c>
      <c r="W70" s="72"/>
      <c r="X70" s="72">
        <v>14582</v>
      </c>
      <c r="Y70" s="72"/>
      <c r="Z70" s="72">
        <v>14787</v>
      </c>
      <c r="AA70" s="72"/>
      <c r="AB70" s="84">
        <f>AVERAGE(V70:Z70)</f>
        <v>14876.666666666666</v>
      </c>
      <c r="AC70" s="84"/>
      <c r="AD70" s="72">
        <v>165</v>
      </c>
      <c r="AE70" s="72"/>
      <c r="AF70" s="72">
        <v>0</v>
      </c>
      <c r="AG70" s="72"/>
      <c r="AH70" s="72">
        <v>227</v>
      </c>
      <c r="AI70" s="72"/>
      <c r="AJ70" s="84">
        <f>AVERAGE(AD70:AH70)</f>
        <v>130.66666666666666</v>
      </c>
    </row>
    <row r="71" spans="2:52" ht="12.75">
      <c r="B71" s="11" t="s">
        <v>312</v>
      </c>
      <c r="D71" s="11" t="s">
        <v>207</v>
      </c>
      <c r="F71" s="72">
        <v>14211</v>
      </c>
      <c r="G71" s="72"/>
      <c r="H71" s="72">
        <v>14211</v>
      </c>
      <c r="I71" s="72"/>
      <c r="J71" s="72">
        <v>14211</v>
      </c>
      <c r="K71" s="72"/>
      <c r="L71" s="72">
        <v>14211</v>
      </c>
      <c r="M71" s="72"/>
      <c r="N71" s="72"/>
      <c r="O71" s="72"/>
      <c r="P71" s="72"/>
      <c r="Q71" s="72"/>
      <c r="R71" s="72"/>
      <c r="S71" s="72"/>
      <c r="T71" s="72"/>
      <c r="U71" s="72"/>
      <c r="V71" s="72">
        <v>11607</v>
      </c>
      <c r="W71" s="72"/>
      <c r="X71" s="72">
        <v>11607</v>
      </c>
      <c r="Y71" s="72"/>
      <c r="Z71" s="72">
        <v>11607</v>
      </c>
      <c r="AA71" s="72"/>
      <c r="AB71" s="72">
        <v>11607</v>
      </c>
      <c r="AC71" s="72"/>
      <c r="AD71" s="72">
        <v>7697</v>
      </c>
      <c r="AE71" s="72"/>
      <c r="AF71" s="72">
        <v>7697</v>
      </c>
      <c r="AG71" s="72"/>
      <c r="AH71" s="72">
        <v>7697</v>
      </c>
      <c r="AI71" s="72"/>
      <c r="AJ71" s="84">
        <f>AVERAGE(AD71:AH71)</f>
        <v>7697</v>
      </c>
      <c r="AK71" s="51"/>
      <c r="AL71" s="51"/>
      <c r="AM71" s="51"/>
      <c r="AN71" s="51"/>
      <c r="AO71" s="51"/>
      <c r="AP71" s="51"/>
      <c r="AQ71" s="51"/>
      <c r="AR71" s="51"/>
      <c r="AS71" s="51"/>
      <c r="AT71"/>
      <c r="AU71"/>
      <c r="AV71"/>
      <c r="AW71"/>
      <c r="AX71"/>
      <c r="AY71"/>
      <c r="AZ71"/>
    </row>
    <row r="72" spans="2:60" ht="12.75">
      <c r="B72" s="11" t="s">
        <v>330</v>
      </c>
      <c r="D72" s="11" t="s">
        <v>331</v>
      </c>
      <c r="F72" s="73">
        <f>F70*F71/1000000*60</f>
        <v>0</v>
      </c>
      <c r="G72"/>
      <c r="H72" s="73">
        <f>H70*H71/1000000*60</f>
        <v>0</v>
      </c>
      <c r="I72"/>
      <c r="J72" s="73">
        <f>J70*J71/1000000*60</f>
        <v>0</v>
      </c>
      <c r="K72"/>
      <c r="L72" s="73">
        <f>L70*L71/1000000*60</f>
        <v>0</v>
      </c>
      <c r="M72" s="51"/>
      <c r="N72"/>
      <c r="O72"/>
      <c r="P72"/>
      <c r="Q72"/>
      <c r="R72"/>
      <c r="S72"/>
      <c r="T72" s="51"/>
      <c r="U72" s="51"/>
      <c r="V72" s="73">
        <f>V70*V71/1000000</f>
        <v>177.134427</v>
      </c>
      <c r="W72"/>
      <c r="X72" s="73">
        <f>X70*X71/1000000</f>
        <v>169.253274</v>
      </c>
      <c r="Y72"/>
      <c r="Z72" s="73">
        <f>Z70*Z71/1000000</f>
        <v>171.632709</v>
      </c>
      <c r="AA72"/>
      <c r="AB72" s="73">
        <f>AB70*AB71/1000000</f>
        <v>172.67347</v>
      </c>
      <c r="AC72" s="51"/>
      <c r="AD72" s="73">
        <f>AD70*AD71/1000000</f>
        <v>1.270005</v>
      </c>
      <c r="AE72"/>
      <c r="AF72" s="73">
        <f>AF70*AF71/1000000</f>
        <v>0</v>
      </c>
      <c r="AG72"/>
      <c r="AH72" s="73">
        <f>AH70*AH71/1000000</f>
        <v>1.747219</v>
      </c>
      <c r="AI72"/>
      <c r="AJ72" s="73">
        <f>AJ70*AJ71/1000000</f>
        <v>1.0057413333333332</v>
      </c>
      <c r="AK72" s="51"/>
      <c r="AL72" s="72">
        <f>V72+AD72</f>
        <v>178.40443199999999</v>
      </c>
      <c r="AM72" s="72"/>
      <c r="AN72" s="72">
        <f>X72+AF72</f>
        <v>169.253274</v>
      </c>
      <c r="AO72" s="72"/>
      <c r="AP72" s="72">
        <f>Z72+AH72</f>
        <v>173.379928</v>
      </c>
      <c r="AQ72" s="72"/>
      <c r="AR72" s="72">
        <f>AB72+AJ72</f>
        <v>173.67921133333334</v>
      </c>
      <c r="AS72" s="51"/>
      <c r="AT72"/>
      <c r="AU72"/>
      <c r="AV72"/>
      <c r="AW72"/>
      <c r="AX72"/>
      <c r="AY72"/>
      <c r="AZ72"/>
      <c r="BB72" s="46">
        <f>AT72+AD72+V72+N72+F72</f>
        <v>178.40443199999999</v>
      </c>
      <c r="BC72" s="46"/>
      <c r="BD72" s="46">
        <f>AV72+AF72+X72+P72+H72</f>
        <v>169.253274</v>
      </c>
      <c r="BE72" s="46"/>
      <c r="BF72" s="46">
        <f>AX72+AH72+Z72+R72+J72</f>
        <v>173.379928</v>
      </c>
      <c r="BH72" s="16">
        <f>AVERAGE(BB72,BD72,BF72)</f>
        <v>173.67921133333334</v>
      </c>
    </row>
    <row r="73" spans="2:60" ht="12.75">
      <c r="B73" s="11" t="s">
        <v>21</v>
      </c>
      <c r="D73" s="11" t="s">
        <v>170</v>
      </c>
      <c r="F73"/>
      <c r="G73"/>
      <c r="H73"/>
      <c r="I73"/>
      <c r="J73"/>
      <c r="K73"/>
      <c r="N73">
        <v>6.65</v>
      </c>
      <c r="O73"/>
      <c r="P73">
        <v>5.82</v>
      </c>
      <c r="Q73"/>
      <c r="R73">
        <v>8.34</v>
      </c>
      <c r="S73"/>
      <c r="T73" s="55">
        <f>AVERAGE(N73:R73)</f>
        <v>6.936666666666667</v>
      </c>
      <c r="U73" s="55"/>
      <c r="V73">
        <v>315</v>
      </c>
      <c r="W73"/>
      <c r="X73">
        <v>295</v>
      </c>
      <c r="Y73"/>
      <c r="Z73">
        <v>211</v>
      </c>
      <c r="AA73"/>
      <c r="AB73" s="55">
        <f>AVERAGE(V73:Z73)</f>
        <v>273.6666666666667</v>
      </c>
      <c r="AC73" s="55"/>
      <c r="AD73">
        <v>1.89</v>
      </c>
      <c r="AE73"/>
      <c r="AF73">
        <v>0</v>
      </c>
      <c r="AG73"/>
      <c r="AH73">
        <v>3</v>
      </c>
      <c r="AI73"/>
      <c r="AT73" s="8"/>
      <c r="AU73" s="8"/>
      <c r="AV73" s="10"/>
      <c r="AW73" s="10"/>
      <c r="AX73" s="10"/>
      <c r="AY73" s="10"/>
      <c r="BB73" s="16">
        <f>AT73+V73+N73+F73</f>
        <v>321.65</v>
      </c>
      <c r="BC73" s="16"/>
      <c r="BD73" s="16">
        <f>AV73+X73+P73+H73</f>
        <v>300.82</v>
      </c>
      <c r="BE73" s="16"/>
      <c r="BF73" s="16">
        <f>AX73+Z73+R73+J73</f>
        <v>219.34</v>
      </c>
      <c r="BG73" s="16"/>
      <c r="BH73" s="6">
        <v>283</v>
      </c>
    </row>
    <row r="75" spans="2:60" ht="12.75">
      <c r="B75" s="11" t="s">
        <v>57</v>
      </c>
      <c r="D75" s="11" t="s">
        <v>16</v>
      </c>
      <c r="L75" s="46"/>
      <c r="M75" s="46"/>
      <c r="N75" s="84">
        <f>'emiss 1'!$G$137</f>
        <v>71819</v>
      </c>
      <c r="O75" s="84"/>
      <c r="P75" s="84">
        <f>'emiss 1'!$I$137</f>
        <v>65241</v>
      </c>
      <c r="Q75" s="84"/>
      <c r="R75" s="84">
        <f>'emiss 1'!$K$137</f>
        <v>66149</v>
      </c>
      <c r="S75" s="84"/>
      <c r="T75" s="84">
        <f>AVERAGE(N75:R75)</f>
        <v>67736.33333333333</v>
      </c>
      <c r="U75" s="84"/>
      <c r="V75" s="84">
        <f>'emiss 1'!$G$137</f>
        <v>71819</v>
      </c>
      <c r="W75" s="84"/>
      <c r="X75" s="84">
        <f>'emiss 1'!$I$137</f>
        <v>65241</v>
      </c>
      <c r="Y75" s="84"/>
      <c r="Z75" s="84">
        <f>'emiss 1'!$K$137</f>
        <v>66149</v>
      </c>
      <c r="AA75" s="84"/>
      <c r="AB75" s="84">
        <f>AVERAGE(V75:Z75)</f>
        <v>67736.33333333333</v>
      </c>
      <c r="AC75" s="84"/>
      <c r="AD75" s="84">
        <f>'emiss 1'!$G$137</f>
        <v>71819</v>
      </c>
      <c r="AE75" s="84"/>
      <c r="AF75" s="84">
        <f>'emiss 1'!$I$137</f>
        <v>65241</v>
      </c>
      <c r="AG75" s="84"/>
      <c r="AH75" s="84">
        <f>'emiss 1'!$K$137</f>
        <v>66149</v>
      </c>
      <c r="AI75" s="84"/>
      <c r="AJ75" s="84">
        <f>AVERAGE(AD75:AH75)</f>
        <v>67736.33333333333</v>
      </c>
      <c r="AK75" s="46"/>
      <c r="AL75" s="46"/>
      <c r="AM75" s="46"/>
      <c r="AN75" s="46"/>
      <c r="AO75" s="46"/>
      <c r="AP75" s="46"/>
      <c r="AQ75" s="46"/>
      <c r="AR75" s="46"/>
      <c r="AS75" s="46"/>
      <c r="AZ75" s="46"/>
      <c r="BH75" s="46">
        <f>'emiss 1'!O137</f>
        <v>67736.33333333333</v>
      </c>
    </row>
    <row r="76" spans="2:60" ht="12.75">
      <c r="B76" s="11" t="s">
        <v>58</v>
      </c>
      <c r="D76" s="11" t="s">
        <v>14</v>
      </c>
      <c r="L76" s="46"/>
      <c r="M76" s="46"/>
      <c r="N76" s="45">
        <f>'emiss 1'!$G$138</f>
        <v>7</v>
      </c>
      <c r="O76" s="45"/>
      <c r="P76" s="45">
        <f>'emiss 1'!$I$138</f>
        <v>6.9</v>
      </c>
      <c r="Q76" s="45"/>
      <c r="R76" s="45">
        <f>'emiss 1'!$K$138</f>
        <v>6.6</v>
      </c>
      <c r="S76" s="45"/>
      <c r="T76" s="46">
        <f>AVERAGE(N76:R76)</f>
        <v>6.833333333333333</v>
      </c>
      <c r="U76" s="46"/>
      <c r="V76" s="45">
        <f>'emiss 1'!$G$138</f>
        <v>7</v>
      </c>
      <c r="W76" s="45"/>
      <c r="X76" s="45">
        <f>'emiss 1'!$I$138</f>
        <v>6.9</v>
      </c>
      <c r="Y76" s="45"/>
      <c r="Z76" s="45">
        <f>'emiss 1'!$K$138</f>
        <v>6.6</v>
      </c>
      <c r="AA76" s="45"/>
      <c r="AB76" s="46">
        <f>AVERAGE(V76:Z76)</f>
        <v>6.833333333333333</v>
      </c>
      <c r="AC76" s="46"/>
      <c r="AD76" s="45">
        <f>'emiss 1'!$G$138</f>
        <v>7</v>
      </c>
      <c r="AE76" s="45"/>
      <c r="AF76" s="45">
        <f>'emiss 1'!$I$138</f>
        <v>6.9</v>
      </c>
      <c r="AG76" s="45"/>
      <c r="AH76" s="45">
        <f>'emiss 1'!$K$138</f>
        <v>6.6</v>
      </c>
      <c r="AI76" s="45"/>
      <c r="AJ76" s="46">
        <f>AVERAGE(AD76:AH76)</f>
        <v>6.833333333333333</v>
      </c>
      <c r="AK76" s="46"/>
      <c r="AL76" s="46"/>
      <c r="AM76" s="46"/>
      <c r="AN76" s="46"/>
      <c r="AO76" s="46"/>
      <c r="AP76" s="46"/>
      <c r="AQ76" s="46"/>
      <c r="AR76" s="46"/>
      <c r="AS76" s="46"/>
      <c r="AZ76" s="46"/>
      <c r="BH76" s="46">
        <f>'emiss 1'!O138</f>
        <v>6.833333333333333</v>
      </c>
    </row>
    <row r="77" ht="12.75">
      <c r="BH77" s="16"/>
    </row>
    <row r="78" spans="2:60" ht="12.75">
      <c r="B78" s="49" t="s">
        <v>73</v>
      </c>
      <c r="C78" s="49"/>
      <c r="BH78" s="16"/>
    </row>
    <row r="79" spans="2:60" ht="12.75">
      <c r="B79" s="11" t="s">
        <v>21</v>
      </c>
      <c r="D79" s="11" t="s">
        <v>55</v>
      </c>
      <c r="L79" s="46">
        <f>L73*454*1000000/L$14/60/0.0283*(21-7)/(21-L$15)</f>
        <v>0</v>
      </c>
      <c r="M79" s="46"/>
      <c r="N79" s="84">
        <f>N73*454*1000000/N$75/60/0.0283*(21-7)/(21-N$76)</f>
        <v>24757.139196820386</v>
      </c>
      <c r="O79" s="84"/>
      <c r="P79" s="84">
        <f>P73*454*1000000/P$75/60/0.0283*(21-7)/(21-P$76)</f>
        <v>23682.604669875127</v>
      </c>
      <c r="Q79" s="84"/>
      <c r="R79" s="84">
        <f>R73*454*1000000/R$75/60/0.0283*(21-7)/(21-R$76)</f>
        <v>32773.77576575869</v>
      </c>
      <c r="S79" s="84"/>
      <c r="T79" s="84">
        <f>T73*454*1000000/T$75/60/0.0283*(21-7)/(21-T$76)</f>
        <v>27058.746179757396</v>
      </c>
      <c r="U79" s="84"/>
      <c r="V79" s="84">
        <f aca="true" t="shared" si="20" ref="V79:AH79">V73*454*1000000/V$75/60/0.0283*(21-7)/(21-V$76)</f>
        <v>1172706.5935335972</v>
      </c>
      <c r="W79" s="84"/>
      <c r="X79" s="84">
        <f t="shared" si="20"/>
        <v>1200406.9377342204</v>
      </c>
      <c r="Y79" s="84"/>
      <c r="Z79" s="84">
        <f t="shared" si="20"/>
        <v>829168.667455046</v>
      </c>
      <c r="AA79" s="84"/>
      <c r="AB79" s="84">
        <f t="shared" si="20"/>
        <v>1067526.699355157</v>
      </c>
      <c r="AC79" s="84"/>
      <c r="AD79" s="84">
        <f t="shared" si="20"/>
        <v>7036.239561201583</v>
      </c>
      <c r="AE79" s="84"/>
      <c r="AF79" s="84">
        <f t="shared" si="20"/>
        <v>0</v>
      </c>
      <c r="AG79" s="84"/>
      <c r="AH79" s="84">
        <f t="shared" si="20"/>
        <v>11789.127973294493</v>
      </c>
      <c r="AI79" s="84"/>
      <c r="AJ79" s="84">
        <f>AVERAGE(AD79,AF79,AH79)</f>
        <v>6275.122511498692</v>
      </c>
      <c r="AK79" s="84"/>
      <c r="AL79" s="84">
        <f>SUM(AD79,V79)</f>
        <v>1179742.8330947987</v>
      </c>
      <c r="AM79" s="84"/>
      <c r="AN79" s="84">
        <f>SUM(AF79,X79)</f>
        <v>1200406.9377342204</v>
      </c>
      <c r="AO79" s="84"/>
      <c r="AP79" s="84">
        <f>SUM(AH79,Z79)</f>
        <v>840957.7954283404</v>
      </c>
      <c r="AQ79" s="84"/>
      <c r="AR79" s="84">
        <f>SUM(AJ79,AB79)</f>
        <v>1073801.8218666557</v>
      </c>
      <c r="AS79" s="84"/>
      <c r="AT79" s="85"/>
      <c r="AU79" s="85"/>
      <c r="AV79" s="85"/>
      <c r="AW79" s="85"/>
      <c r="AX79" s="85"/>
      <c r="AY79" s="85"/>
      <c r="AZ79" s="84"/>
      <c r="BA79" s="84"/>
      <c r="BB79" s="86">
        <f>AT79+V79+N79+F79</f>
        <v>1197463.7327304175</v>
      </c>
      <c r="BC79" s="86"/>
      <c r="BD79" s="86">
        <f>AV79+X79+P79+H79</f>
        <v>1224089.5424040956</v>
      </c>
      <c r="BE79" s="86"/>
      <c r="BF79" s="86">
        <f>AX79+Z79+R79+J79</f>
        <v>861942.4432208047</v>
      </c>
      <c r="BG79" s="86"/>
      <c r="BH79" s="84">
        <f>BH73*454*1000000/BH$75/60/0.0283*(21-7)/(21-BH$76)</f>
        <v>1103934.4308800588</v>
      </c>
    </row>
    <row r="81" spans="2:60" ht="12.75">
      <c r="B81" s="44" t="s">
        <v>153</v>
      </c>
      <c r="F81" s="7" t="s">
        <v>106</v>
      </c>
      <c r="H81" s="7" t="s">
        <v>107</v>
      </c>
      <c r="J81" s="7" t="s">
        <v>108</v>
      </c>
      <c r="L81" s="45" t="s">
        <v>56</v>
      </c>
      <c r="N81" s="7" t="s">
        <v>106</v>
      </c>
      <c r="P81" s="7" t="s">
        <v>107</v>
      </c>
      <c r="R81" s="7" t="s">
        <v>108</v>
      </c>
      <c r="T81" s="45" t="s">
        <v>56</v>
      </c>
      <c r="V81" s="7" t="s">
        <v>106</v>
      </c>
      <c r="X81" s="7" t="s">
        <v>107</v>
      </c>
      <c r="Z81" s="7" t="s">
        <v>108</v>
      </c>
      <c r="AB81" s="6" t="s">
        <v>56</v>
      </c>
      <c r="AD81" s="7" t="s">
        <v>106</v>
      </c>
      <c r="AF81" s="7" t="s">
        <v>107</v>
      </c>
      <c r="AH81" s="7" t="s">
        <v>108</v>
      </c>
      <c r="AJ81" s="6" t="s">
        <v>56</v>
      </c>
      <c r="AL81" s="7" t="s">
        <v>106</v>
      </c>
      <c r="AM81" s="7"/>
      <c r="AN81" s="7" t="s">
        <v>107</v>
      </c>
      <c r="AO81" s="7"/>
      <c r="AP81" s="7" t="s">
        <v>108</v>
      </c>
      <c r="AQ81" s="7"/>
      <c r="AR81" s="6" t="s">
        <v>56</v>
      </c>
      <c r="AT81" s="7" t="s">
        <v>106</v>
      </c>
      <c r="AV81" s="7" t="s">
        <v>107</v>
      </c>
      <c r="AX81" s="7" t="s">
        <v>108</v>
      </c>
      <c r="AZ81" s="6" t="s">
        <v>56</v>
      </c>
      <c r="BB81" s="7" t="s">
        <v>106</v>
      </c>
      <c r="BC81" s="7"/>
      <c r="BD81" s="7" t="s">
        <v>107</v>
      </c>
      <c r="BE81" s="7"/>
      <c r="BF81" s="7" t="s">
        <v>108</v>
      </c>
      <c r="BG81" s="7"/>
      <c r="BH81" s="7" t="s">
        <v>56</v>
      </c>
    </row>
    <row r="82" spans="2:59" ht="12.75">
      <c r="B82" s="44"/>
      <c r="BB82" s="45"/>
      <c r="BC82" s="45"/>
      <c r="BD82" s="45"/>
      <c r="BE82" s="45"/>
      <c r="BF82" s="45"/>
      <c r="BG82" s="45"/>
    </row>
    <row r="83" spans="2:60" ht="12.75">
      <c r="B83" s="11" t="s">
        <v>310</v>
      </c>
      <c r="F83" s="7" t="s">
        <v>316</v>
      </c>
      <c r="H83" s="7" t="s">
        <v>316</v>
      </c>
      <c r="J83" s="7" t="s">
        <v>316</v>
      </c>
      <c r="L83" s="7" t="s">
        <v>316</v>
      </c>
      <c r="M83" s="7"/>
      <c r="N83" s="7" t="s">
        <v>317</v>
      </c>
      <c r="P83" s="7" t="s">
        <v>317</v>
      </c>
      <c r="R83" s="7" t="s">
        <v>317</v>
      </c>
      <c r="T83" s="7" t="s">
        <v>317</v>
      </c>
      <c r="U83" s="7"/>
      <c r="V83" s="7" t="s">
        <v>318</v>
      </c>
      <c r="X83" s="7" t="s">
        <v>318</v>
      </c>
      <c r="Z83" s="7" t="s">
        <v>318</v>
      </c>
      <c r="AB83" s="35" t="s">
        <v>318</v>
      </c>
      <c r="AC83" s="35"/>
      <c r="AD83" s="7" t="s">
        <v>319</v>
      </c>
      <c r="AF83" s="7" t="s">
        <v>319</v>
      </c>
      <c r="AH83" s="7" t="s">
        <v>319</v>
      </c>
      <c r="AJ83" s="35" t="s">
        <v>319</v>
      </c>
      <c r="AK83" s="35"/>
      <c r="AL83" s="35"/>
      <c r="AM83" s="35"/>
      <c r="AN83" s="35"/>
      <c r="AO83" s="35"/>
      <c r="AP83" s="35"/>
      <c r="AQ83" s="35"/>
      <c r="AR83" s="35"/>
      <c r="AS83" s="7"/>
      <c r="AT83" s="7" t="s">
        <v>320</v>
      </c>
      <c r="AV83" s="7" t="s">
        <v>320</v>
      </c>
      <c r="AX83" s="7" t="s">
        <v>320</v>
      </c>
      <c r="AZ83" s="35" t="s">
        <v>320</v>
      </c>
      <c r="BA83" s="7"/>
      <c r="BB83" s="7" t="s">
        <v>321</v>
      </c>
      <c r="BC83" s="7"/>
      <c r="BD83" s="7" t="s">
        <v>321</v>
      </c>
      <c r="BE83" s="7"/>
      <c r="BF83" s="7" t="s">
        <v>321</v>
      </c>
      <c r="BG83" s="7"/>
      <c r="BH83" s="7" t="s">
        <v>321</v>
      </c>
    </row>
    <row r="84" spans="2:60" ht="12.75">
      <c r="B84" s="11" t="s">
        <v>311</v>
      </c>
      <c r="F84" s="7" t="s">
        <v>324</v>
      </c>
      <c r="H84" s="7" t="s">
        <v>324</v>
      </c>
      <c r="J84" s="7" t="s">
        <v>324</v>
      </c>
      <c r="L84" s="7" t="s">
        <v>324</v>
      </c>
      <c r="M84" s="7"/>
      <c r="N84" s="7" t="s">
        <v>313</v>
      </c>
      <c r="P84" s="7" t="s">
        <v>313</v>
      </c>
      <c r="R84" s="7" t="s">
        <v>313</v>
      </c>
      <c r="T84" s="7" t="s">
        <v>313</v>
      </c>
      <c r="U84" s="7"/>
      <c r="V84" s="7" t="s">
        <v>314</v>
      </c>
      <c r="X84" s="7" t="s">
        <v>314</v>
      </c>
      <c r="Z84" s="7" t="s">
        <v>314</v>
      </c>
      <c r="AB84" s="7" t="s">
        <v>314</v>
      </c>
      <c r="AC84" s="7"/>
      <c r="AD84" s="7" t="s">
        <v>315</v>
      </c>
      <c r="AF84" s="7" t="s">
        <v>315</v>
      </c>
      <c r="AH84" s="7" t="s">
        <v>315</v>
      </c>
      <c r="AJ84" s="7" t="s">
        <v>315</v>
      </c>
      <c r="AK84" s="7"/>
      <c r="AL84" s="7"/>
      <c r="AM84" s="7"/>
      <c r="AN84" s="7"/>
      <c r="AO84" s="7"/>
      <c r="AP84" s="7"/>
      <c r="AQ84" s="7"/>
      <c r="AR84" s="7"/>
      <c r="AS84" s="7"/>
      <c r="AT84" s="7" t="s">
        <v>52</v>
      </c>
      <c r="AV84" s="7" t="s">
        <v>52</v>
      </c>
      <c r="AX84" s="7" t="s">
        <v>52</v>
      </c>
      <c r="AZ84" s="7" t="s">
        <v>52</v>
      </c>
      <c r="BA84" s="7"/>
      <c r="BB84" s="7" t="s">
        <v>30</v>
      </c>
      <c r="BC84" s="7"/>
      <c r="BD84" s="7" t="s">
        <v>30</v>
      </c>
      <c r="BE84" s="7"/>
      <c r="BF84" s="7" t="s">
        <v>30</v>
      </c>
      <c r="BG84" s="7"/>
      <c r="BH84" s="7" t="s">
        <v>30</v>
      </c>
    </row>
    <row r="85" spans="2:60" ht="12.75">
      <c r="B85" s="11" t="s">
        <v>325</v>
      </c>
      <c r="F85" s="7" t="s">
        <v>327</v>
      </c>
      <c r="H85" s="7" t="s">
        <v>327</v>
      </c>
      <c r="J85" s="7" t="s">
        <v>327</v>
      </c>
      <c r="L85" s="7" t="s">
        <v>327</v>
      </c>
      <c r="M85" s="7"/>
      <c r="N85" s="7" t="s">
        <v>326</v>
      </c>
      <c r="P85" s="7" t="s">
        <v>326</v>
      </c>
      <c r="R85" s="7" t="s">
        <v>326</v>
      </c>
      <c r="T85" s="7" t="s">
        <v>326</v>
      </c>
      <c r="U85" s="7"/>
      <c r="AB85" s="7"/>
      <c r="AC85" s="7"/>
      <c r="AJ85" s="7"/>
      <c r="AK85" s="7"/>
      <c r="AL85" s="7" t="s">
        <v>63</v>
      </c>
      <c r="AM85" s="7"/>
      <c r="AN85" s="7" t="s">
        <v>63</v>
      </c>
      <c r="AO85" s="7"/>
      <c r="AP85" s="7" t="s">
        <v>63</v>
      </c>
      <c r="AQ85" s="7"/>
      <c r="AR85" s="7" t="s">
        <v>63</v>
      </c>
      <c r="AS85" s="7"/>
      <c r="AT85" s="7" t="s">
        <v>52</v>
      </c>
      <c r="AV85" s="7" t="s">
        <v>52</v>
      </c>
      <c r="AX85" s="7" t="s">
        <v>52</v>
      </c>
      <c r="AZ85" s="7" t="s">
        <v>52</v>
      </c>
      <c r="BA85" s="7"/>
      <c r="BB85" s="7" t="s">
        <v>30</v>
      </c>
      <c r="BC85" s="7"/>
      <c r="BD85" s="7" t="s">
        <v>30</v>
      </c>
      <c r="BE85" s="7"/>
      <c r="BF85" s="7" t="s">
        <v>30</v>
      </c>
      <c r="BG85" s="7"/>
      <c r="BH85" s="7" t="s">
        <v>30</v>
      </c>
    </row>
    <row r="86" spans="2:60" ht="12.75">
      <c r="B86" s="11" t="s">
        <v>93</v>
      </c>
      <c r="F86" s="7" t="s">
        <v>166</v>
      </c>
      <c r="H86" s="7" t="s">
        <v>166</v>
      </c>
      <c r="J86" s="7" t="s">
        <v>166</v>
      </c>
      <c r="L86" s="7" t="s">
        <v>166</v>
      </c>
      <c r="M86" s="7"/>
      <c r="N86" s="7" t="s">
        <v>104</v>
      </c>
      <c r="P86" s="7" t="s">
        <v>104</v>
      </c>
      <c r="R86" s="7" t="s">
        <v>104</v>
      </c>
      <c r="T86" s="7" t="s">
        <v>104</v>
      </c>
      <c r="U86" s="7"/>
      <c r="V86" s="7" t="s">
        <v>113</v>
      </c>
      <c r="X86" s="7" t="s">
        <v>113</v>
      </c>
      <c r="Z86" s="7" t="s">
        <v>113</v>
      </c>
      <c r="AB86" s="7" t="s">
        <v>113</v>
      </c>
      <c r="AC86" s="7"/>
      <c r="AD86" s="7" t="s">
        <v>165</v>
      </c>
      <c r="AF86" s="7" t="s">
        <v>165</v>
      </c>
      <c r="AH86" s="7" t="s">
        <v>165</v>
      </c>
      <c r="AJ86" s="7" t="s">
        <v>165</v>
      </c>
      <c r="AK86" s="7"/>
      <c r="AL86" s="7"/>
      <c r="AM86" s="7"/>
      <c r="AN86" s="7"/>
      <c r="AO86" s="7"/>
      <c r="AP86" s="7"/>
      <c r="AQ86" s="7"/>
      <c r="AR86" s="7"/>
      <c r="AS86" s="7"/>
      <c r="AT86" s="7" t="s">
        <v>52</v>
      </c>
      <c r="AV86" s="7" t="s">
        <v>52</v>
      </c>
      <c r="AX86" s="7" t="s">
        <v>52</v>
      </c>
      <c r="AZ86" s="7" t="s">
        <v>52</v>
      </c>
      <c r="BA86" s="7"/>
      <c r="BB86" s="7" t="s">
        <v>30</v>
      </c>
      <c r="BC86" s="7"/>
      <c r="BD86" s="7" t="s">
        <v>30</v>
      </c>
      <c r="BE86" s="7"/>
      <c r="BF86" s="7" t="s">
        <v>30</v>
      </c>
      <c r="BG86" s="7"/>
      <c r="BH86" s="7" t="s">
        <v>30</v>
      </c>
    </row>
    <row r="87" spans="2:44" ht="12.75">
      <c r="B87" s="11" t="s">
        <v>96</v>
      </c>
      <c r="D87" s="11" t="s">
        <v>167</v>
      </c>
      <c r="F87">
        <v>40</v>
      </c>
      <c r="G87"/>
      <c r="H87">
        <v>27</v>
      </c>
      <c r="I87"/>
      <c r="J87">
        <v>0</v>
      </c>
      <c r="K87"/>
      <c r="L87" s="46">
        <f>AVERAGE(F87:J87)</f>
        <v>22.333333333333332</v>
      </c>
      <c r="M87" s="46"/>
      <c r="N87" s="72">
        <v>2057</v>
      </c>
      <c r="O87" s="72"/>
      <c r="P87" s="72">
        <v>2210</v>
      </c>
      <c r="Q87" s="72"/>
      <c r="R87" s="72">
        <v>2007</v>
      </c>
      <c r="S87" s="72"/>
      <c r="T87" s="84">
        <f>AVERAGE(N87:R87)</f>
        <v>2091.3333333333335</v>
      </c>
      <c r="U87" s="46"/>
      <c r="V87" s="72">
        <v>272.2</v>
      </c>
      <c r="W87" s="72"/>
      <c r="X87" s="72">
        <v>281.4</v>
      </c>
      <c r="Y87" s="72"/>
      <c r="Z87" s="72">
        <v>284.8</v>
      </c>
      <c r="AA87" s="72"/>
      <c r="AB87" s="86">
        <f>AVERAGE(V87:Z87)</f>
        <v>279.46666666666664</v>
      </c>
      <c r="AC87" s="86"/>
      <c r="AD87" s="72"/>
      <c r="AE87" s="72"/>
      <c r="AF87" s="72"/>
      <c r="AG87" s="72"/>
      <c r="AH87" s="72"/>
      <c r="AI87" s="72"/>
      <c r="AJ87" s="86"/>
      <c r="AK87" s="86"/>
      <c r="AL87" s="86"/>
      <c r="AM87" s="86"/>
      <c r="AN87" s="86"/>
      <c r="AO87" s="86"/>
      <c r="AP87" s="86"/>
      <c r="AQ87" s="86"/>
      <c r="AR87" s="86"/>
    </row>
    <row r="88" spans="2:52" ht="12.75">
      <c r="B88" s="11" t="s">
        <v>312</v>
      </c>
      <c r="D88" s="11" t="s">
        <v>207</v>
      </c>
      <c r="F88" s="72">
        <v>14211</v>
      </c>
      <c r="G88" s="72"/>
      <c r="H88" s="72">
        <v>14211</v>
      </c>
      <c r="I88" s="72"/>
      <c r="J88" s="72">
        <v>14211</v>
      </c>
      <c r="K88" s="72"/>
      <c r="L88" s="72">
        <v>14211</v>
      </c>
      <c r="M88" s="51"/>
      <c r="N88"/>
      <c r="O88"/>
      <c r="P88"/>
      <c r="Q88"/>
      <c r="R88"/>
      <c r="S88"/>
      <c r="T88" s="51"/>
      <c r="U88" s="51"/>
      <c r="V88" s="72">
        <v>11607</v>
      </c>
      <c r="W88" s="72"/>
      <c r="X88" s="72">
        <v>11607</v>
      </c>
      <c r="Y88" s="72"/>
      <c r="Z88" s="72">
        <v>11607</v>
      </c>
      <c r="AA88" s="72"/>
      <c r="AB88" s="72">
        <v>11607</v>
      </c>
      <c r="AC88" s="72"/>
      <c r="AD88" s="72">
        <v>7697</v>
      </c>
      <c r="AE88" s="72"/>
      <c r="AF88" s="72">
        <v>7697</v>
      </c>
      <c r="AG88" s="72"/>
      <c r="AH88" s="72">
        <v>7697</v>
      </c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51"/>
      <c r="AT88"/>
      <c r="AU88"/>
      <c r="AV88"/>
      <c r="AW88"/>
      <c r="AX88"/>
      <c r="AY88"/>
      <c r="AZ88"/>
    </row>
    <row r="89" spans="2:60" ht="12.75">
      <c r="B89" s="11" t="s">
        <v>330</v>
      </c>
      <c r="D89" s="11" t="s">
        <v>331</v>
      </c>
      <c r="F89" s="73">
        <f>F87*F88/1000000*60</f>
        <v>34.106399999999994</v>
      </c>
      <c r="G89"/>
      <c r="H89" s="73">
        <f>H87*H88/1000000*60</f>
        <v>23.02182</v>
      </c>
      <c r="I89"/>
      <c r="J89" s="73">
        <f>J87*J88/1000000*60</f>
        <v>0</v>
      </c>
      <c r="K89"/>
      <c r="L89" s="73">
        <f>L87*L88/1000000*60</f>
        <v>19.042740000000002</v>
      </c>
      <c r="M89" s="51"/>
      <c r="N89"/>
      <c r="O89"/>
      <c r="P89"/>
      <c r="Q89"/>
      <c r="R89"/>
      <c r="S89"/>
      <c r="T89" s="51"/>
      <c r="U89" s="51"/>
      <c r="V89" s="72">
        <f>V87*V88/1000000*60</f>
        <v>189.56552399999998</v>
      </c>
      <c r="W89" s="72"/>
      <c r="X89" s="72">
        <f>X87*X88/1000000*60</f>
        <v>195.972588</v>
      </c>
      <c r="Y89" s="72"/>
      <c r="Z89" s="72">
        <f>Z87*Z88/1000000*60</f>
        <v>198.340416</v>
      </c>
      <c r="AA89" s="72"/>
      <c r="AB89" s="72">
        <f>AB87*AB88/1000000*60</f>
        <v>194.626176</v>
      </c>
      <c r="AC89" s="72"/>
      <c r="AD89" s="72"/>
      <c r="AE89" s="72"/>
      <c r="AF89" s="72"/>
      <c r="AG89" s="72"/>
      <c r="AH89" s="72"/>
      <c r="AI89" s="72"/>
      <c r="AJ89" s="72"/>
      <c r="AK89" s="72"/>
      <c r="AL89" s="72">
        <f>V89+AD89</f>
        <v>189.56552399999998</v>
      </c>
      <c r="AM89" s="72"/>
      <c r="AN89" s="72">
        <f>X89+AF89</f>
        <v>195.972588</v>
      </c>
      <c r="AO89" s="72"/>
      <c r="AP89" s="72">
        <f>Z89+AH89</f>
        <v>198.340416</v>
      </c>
      <c r="AQ89" s="72"/>
      <c r="AR89" s="72">
        <f>AB89+AJ89</f>
        <v>194.626176</v>
      </c>
      <c r="AS89" s="51"/>
      <c r="AT89"/>
      <c r="AU89"/>
      <c r="AV89"/>
      <c r="AW89"/>
      <c r="AX89"/>
      <c r="AY89"/>
      <c r="AZ89"/>
      <c r="BB89" s="46">
        <f>AT89+AD89+V89+N89+F89</f>
        <v>223.671924</v>
      </c>
      <c r="BC89" s="46"/>
      <c r="BD89" s="46">
        <f>AV89+AF89+X89+P89+H89</f>
        <v>218.994408</v>
      </c>
      <c r="BE89" s="46"/>
      <c r="BF89" s="46">
        <f>AX89+AH89+Z89+R89+J89</f>
        <v>198.340416</v>
      </c>
      <c r="BH89" s="16">
        <f>AVERAGE(BB89,BD89,BF89)</f>
        <v>213.668916</v>
      </c>
    </row>
    <row r="90" spans="2:60" ht="12.75">
      <c r="B90" s="11" t="s">
        <v>21</v>
      </c>
      <c r="D90" s="11" t="s">
        <v>170</v>
      </c>
      <c r="F90"/>
      <c r="G90"/>
      <c r="H90"/>
      <c r="I90"/>
      <c r="J90"/>
      <c r="K90"/>
      <c r="N90">
        <v>6.45</v>
      </c>
      <c r="O90"/>
      <c r="P90">
        <v>8.1</v>
      </c>
      <c r="Q90"/>
      <c r="R90">
        <v>6.76</v>
      </c>
      <c r="S90"/>
      <c r="T90" s="46">
        <f>AVERAGE(N90:R90)</f>
        <v>7.103333333333334</v>
      </c>
      <c r="U90" s="46"/>
      <c r="V90" s="72">
        <v>316</v>
      </c>
      <c r="W90"/>
      <c r="X90">
        <v>304</v>
      </c>
      <c r="Y90"/>
      <c r="Z90">
        <v>318</v>
      </c>
      <c r="AA90"/>
      <c r="AB90" s="16">
        <f>AVERAGE(V90:Z90)</f>
        <v>312.6666666666667</v>
      </c>
      <c r="AC90" s="16"/>
      <c r="AD90"/>
      <c r="AE90"/>
      <c r="AF90"/>
      <c r="AG90"/>
      <c r="AH90"/>
      <c r="AI90"/>
      <c r="AT90" s="8"/>
      <c r="AU90" s="8"/>
      <c r="AV90" s="10"/>
      <c r="AW90" s="10"/>
      <c r="AX90" s="10"/>
      <c r="AY90" s="10"/>
      <c r="BB90" s="16">
        <f>AT90+V90+N90+F90</f>
        <v>322.45</v>
      </c>
      <c r="BC90" s="16"/>
      <c r="BD90" s="16">
        <f>AV90+X90+P90+H90</f>
        <v>312.1</v>
      </c>
      <c r="BE90" s="16"/>
      <c r="BF90" s="16">
        <f>AX90+Z90+R90+J90</f>
        <v>324.76</v>
      </c>
      <c r="BG90" s="16"/>
      <c r="BH90" s="6">
        <v>322</v>
      </c>
    </row>
    <row r="92" spans="2:60" ht="12.75">
      <c r="B92" s="11" t="s">
        <v>57</v>
      </c>
      <c r="D92" s="11" t="s">
        <v>16</v>
      </c>
      <c r="L92" s="46"/>
      <c r="M92" s="46"/>
      <c r="N92" s="84">
        <f>'emiss 1'!$G$198</f>
        <v>77129</v>
      </c>
      <c r="O92" s="84"/>
      <c r="P92" s="84">
        <f>'emiss 1'!$I$198</f>
        <v>71443</v>
      </c>
      <c r="Q92" s="84"/>
      <c r="R92" s="84">
        <f>'emiss 1'!$K$198</f>
        <v>73278</v>
      </c>
      <c r="S92" s="84"/>
      <c r="T92" s="84">
        <f>AVERAGE(N92:R92)</f>
        <v>73950</v>
      </c>
      <c r="U92" s="84"/>
      <c r="V92" s="84">
        <f>'emiss 1'!$G$198</f>
        <v>77129</v>
      </c>
      <c r="W92" s="45"/>
      <c r="X92" s="45">
        <f>'emiss 1'!$I$198</f>
        <v>71443</v>
      </c>
      <c r="Y92" s="45"/>
      <c r="Z92" s="45">
        <f>'emiss 1'!$K$198</f>
        <v>73278</v>
      </c>
      <c r="AA92" s="45"/>
      <c r="AB92" s="46">
        <f>AVERAGE(V92:Z92)</f>
        <v>73950</v>
      </c>
      <c r="AC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Z92" s="46"/>
      <c r="BH92" s="46">
        <f>'emiss 1'!O198</f>
        <v>73950</v>
      </c>
    </row>
    <row r="93" spans="2:60" ht="12.75">
      <c r="B93" s="11" t="s">
        <v>58</v>
      </c>
      <c r="D93" s="11" t="s">
        <v>14</v>
      </c>
      <c r="L93" s="46"/>
      <c r="M93" s="46"/>
      <c r="N93" s="84">
        <f>'emiss 1'!$G$199</f>
        <v>8.3</v>
      </c>
      <c r="O93" s="84"/>
      <c r="P93" s="84">
        <f>'emiss 1'!$I$199</f>
        <v>8.8</v>
      </c>
      <c r="Q93" s="84"/>
      <c r="R93" s="84">
        <f>'emiss 1'!$K$199</f>
        <v>10</v>
      </c>
      <c r="S93" s="84"/>
      <c r="T93" s="84">
        <f>AVERAGE(N93:R93)</f>
        <v>9.033333333333333</v>
      </c>
      <c r="U93" s="84"/>
      <c r="V93" s="84">
        <f>'emiss 1'!$G$199</f>
        <v>8.3</v>
      </c>
      <c r="W93" s="45"/>
      <c r="X93" s="45">
        <f>'emiss 1'!$I$199</f>
        <v>8.8</v>
      </c>
      <c r="Y93" s="45"/>
      <c r="Z93" s="45">
        <f>'emiss 1'!$K$199</f>
        <v>10</v>
      </c>
      <c r="AA93" s="45"/>
      <c r="AB93" s="46">
        <f>AVERAGE(V93:Z93)</f>
        <v>9.033333333333333</v>
      </c>
      <c r="AC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Z93" s="46"/>
      <c r="BH93" s="46">
        <f>'emiss 1'!O199</f>
        <v>9.033333333333333</v>
      </c>
    </row>
    <row r="94" ht="12.75">
      <c r="BH94" s="16"/>
    </row>
    <row r="95" spans="2:60" ht="12.75">
      <c r="B95" s="49" t="s">
        <v>73</v>
      </c>
      <c r="C95" s="49"/>
      <c r="BH95" s="16"/>
    </row>
    <row r="96" spans="2:60" ht="12.75">
      <c r="B96" s="11" t="s">
        <v>21</v>
      </c>
      <c r="D96" s="11" t="s">
        <v>55</v>
      </c>
      <c r="L96" s="46">
        <f>L90*454*1000000/L$14/60/0.0283*(21-7)/(21-L$15)</f>
        <v>0</v>
      </c>
      <c r="M96" s="46"/>
      <c r="N96" s="84">
        <f aca="true" t="shared" si="21" ref="N96:AB96">N90*454*1000000/N$92/60/0.0283*(21-7)/(21-N$93)</f>
        <v>24648.15949965097</v>
      </c>
      <c r="O96" s="84"/>
      <c r="P96" s="84">
        <f t="shared" si="21"/>
        <v>34786.57793081425</v>
      </c>
      <c r="Q96" s="84"/>
      <c r="R96" s="84">
        <f t="shared" si="21"/>
        <v>31392.550815895982</v>
      </c>
      <c r="S96" s="84"/>
      <c r="T96" s="84">
        <f t="shared" si="21"/>
        <v>30046.71692374116</v>
      </c>
      <c r="U96" s="84"/>
      <c r="V96" s="84">
        <f t="shared" si="21"/>
        <v>1207568.7444790243</v>
      </c>
      <c r="W96" s="84"/>
      <c r="X96" s="84">
        <f t="shared" si="21"/>
        <v>1305570.332218214</v>
      </c>
      <c r="Y96" s="84"/>
      <c r="Z96" s="84">
        <f t="shared" si="21"/>
        <v>1476750.1715170003</v>
      </c>
      <c r="AA96" s="84"/>
      <c r="AB96" s="84">
        <f t="shared" si="21"/>
        <v>1322563.1381731208</v>
      </c>
      <c r="AC96" s="46"/>
      <c r="AJ96" s="46"/>
      <c r="AK96" s="46"/>
      <c r="AL96" s="84">
        <f>SUM(AD96,V96)</f>
        <v>1207568.7444790243</v>
      </c>
      <c r="AM96" s="84"/>
      <c r="AN96" s="84">
        <f>SUM(AF96,X96)</f>
        <v>1305570.332218214</v>
      </c>
      <c r="AO96" s="84"/>
      <c r="AP96" s="84">
        <f>SUM(AH96,Z96)</f>
        <v>1476750.1715170003</v>
      </c>
      <c r="AQ96" s="84"/>
      <c r="AR96" s="84">
        <f>SUM(AJ96,AB96)</f>
        <v>1322563.1381731208</v>
      </c>
      <c r="AS96" s="46"/>
      <c r="AZ96" s="46"/>
      <c r="BA96" s="46"/>
      <c r="BB96" s="86">
        <f>AT96+V96+N96+F96</f>
        <v>1232216.9039786754</v>
      </c>
      <c r="BC96" s="86"/>
      <c r="BD96" s="86">
        <f>AV96+X96+P96+H96</f>
        <v>1340356.9101490283</v>
      </c>
      <c r="BE96" s="86"/>
      <c r="BF96" s="86">
        <f>AX96+Z96+R96+J96</f>
        <v>1508142.7223328962</v>
      </c>
      <c r="BG96" s="86"/>
      <c r="BH96" s="84">
        <f>BH90*454*1000000/BH$92/60/0.0283*(21-7)/(21-BH$93)</f>
        <v>1362042.6348350048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O128"/>
  <sheetViews>
    <sheetView workbookViewId="0" topLeftCell="B1">
      <selection activeCell="C2" sqref="C2"/>
    </sheetView>
  </sheetViews>
  <sheetFormatPr defaultColWidth="9.140625" defaultRowHeight="12.75"/>
  <cols>
    <col min="1" max="1" width="9.140625" style="61" hidden="1" customWidth="1"/>
    <col min="2" max="2" width="19.7109375" style="61" customWidth="1"/>
    <col min="3" max="3" width="3.00390625" style="61" customWidth="1"/>
    <col min="4" max="4" width="9.8515625" style="61" customWidth="1"/>
    <col min="5" max="5" width="4.140625" style="61" customWidth="1"/>
    <col min="6" max="6" width="8.28125" style="61" customWidth="1"/>
    <col min="7" max="7" width="3.7109375" style="61" customWidth="1"/>
    <col min="8" max="8" width="8.28125" style="61" customWidth="1"/>
    <col min="9" max="9" width="3.7109375" style="61" customWidth="1"/>
    <col min="10" max="10" width="8.28125" style="61" customWidth="1"/>
    <col min="11" max="11" width="3.8515625" style="61" customWidth="1"/>
    <col min="12" max="12" width="8.28125" style="61" customWidth="1"/>
    <col min="13" max="13" width="3.140625" style="61" customWidth="1"/>
    <col min="14" max="14" width="8.28125" style="61" customWidth="1"/>
    <col min="15" max="15" width="3.140625" style="61" customWidth="1"/>
    <col min="16" max="16" width="8.28125" style="61" customWidth="1"/>
    <col min="17" max="17" width="4.421875" style="61" customWidth="1"/>
    <col min="18" max="18" width="7.8515625" style="61" customWidth="1"/>
    <col min="19" max="19" width="3.8515625" style="61" customWidth="1"/>
    <col min="20" max="20" width="7.8515625" style="61" customWidth="1"/>
    <col min="21" max="21" width="4.28125" style="61" customWidth="1"/>
    <col min="22" max="22" width="7.8515625" style="61" customWidth="1"/>
    <col min="23" max="23" width="4.8515625" style="61" customWidth="1"/>
    <col min="24" max="24" width="7.8515625" style="61" customWidth="1"/>
    <col min="25" max="25" width="2.8515625" style="61" customWidth="1"/>
    <col min="26" max="26" width="7.8515625" style="61" customWidth="1"/>
    <col min="27" max="27" width="2.8515625" style="61" customWidth="1"/>
    <col min="28" max="28" width="7.8515625" style="61" customWidth="1"/>
    <col min="29" max="29" width="2.57421875" style="61" customWidth="1"/>
    <col min="30" max="30" width="10.00390625" style="61" customWidth="1"/>
    <col min="31" max="31" width="4.8515625" style="61" customWidth="1"/>
    <col min="32" max="32" width="10.00390625" style="61" customWidth="1"/>
    <col min="33" max="33" width="3.28125" style="61" customWidth="1"/>
    <col min="34" max="34" width="9.7109375" style="61" customWidth="1"/>
    <col min="35" max="35" width="4.421875" style="61" customWidth="1"/>
    <col min="36" max="36" width="9.7109375" style="61" customWidth="1"/>
    <col min="37" max="37" width="2.421875" style="61" customWidth="1"/>
    <col min="38" max="38" width="8.140625" style="61" customWidth="1"/>
    <col min="39" max="39" width="1.7109375" style="61" customWidth="1"/>
    <col min="40" max="40" width="8.140625" style="61" customWidth="1"/>
    <col min="41" max="41" width="4.00390625" style="61" customWidth="1"/>
    <col min="42" max="42" width="12.00390625" style="61" bestFit="1" customWidth="1"/>
    <col min="43" max="43" width="4.00390625" style="61" customWidth="1"/>
    <col min="44" max="44" width="12.00390625" style="61" bestFit="1" customWidth="1"/>
    <col min="45" max="45" width="4.00390625" style="61" customWidth="1"/>
    <col min="46" max="46" width="12.00390625" style="61" bestFit="1" customWidth="1"/>
    <col min="47" max="47" width="3.28125" style="61" customWidth="1"/>
    <col min="48" max="48" width="12.00390625" style="61" bestFit="1" customWidth="1"/>
    <col min="49" max="49" width="2.421875" style="61" customWidth="1"/>
    <col min="50" max="50" width="8.140625" style="61" customWidth="1"/>
    <col min="51" max="51" width="1.7109375" style="61" customWidth="1"/>
    <col min="52" max="52" width="9.28125" style="61" customWidth="1"/>
    <col min="53" max="53" width="3.140625" style="61" customWidth="1"/>
    <col min="54" max="54" width="8.8515625" style="61" customWidth="1"/>
    <col min="55" max="55" width="3.140625" style="61" customWidth="1"/>
    <col min="56" max="56" width="8.8515625" style="61" customWidth="1"/>
    <col min="57" max="57" width="3.140625" style="61" customWidth="1"/>
    <col min="58" max="58" width="8.8515625" style="61" customWidth="1"/>
    <col min="59" max="59" width="3.140625" style="61" customWidth="1"/>
    <col min="60" max="60" width="10.140625" style="61" customWidth="1"/>
    <col min="61" max="61" width="2.421875" style="61" customWidth="1"/>
    <col min="62" max="62" width="10.421875" style="61" customWidth="1"/>
    <col min="63" max="63" width="1.7109375" style="61" customWidth="1"/>
    <col min="64" max="64" width="12.00390625" style="61" customWidth="1"/>
    <col min="65" max="65" width="4.00390625" style="61" customWidth="1"/>
    <col min="66" max="66" width="10.28125" style="61" customWidth="1"/>
    <col min="67" max="67" width="3.7109375" style="61" customWidth="1"/>
    <col min="68" max="68" width="10.00390625" style="61" customWidth="1"/>
    <col min="69" max="69" width="3.7109375" style="61" customWidth="1"/>
    <col min="70" max="70" width="9.140625" style="61" customWidth="1"/>
    <col min="71" max="71" width="3.57421875" style="61" customWidth="1"/>
    <col min="72" max="72" width="9.7109375" style="61" customWidth="1"/>
    <col min="73" max="73" width="2.7109375" style="61" customWidth="1"/>
    <col min="74" max="74" width="8.140625" style="61" customWidth="1"/>
    <col min="75" max="75" width="2.28125" style="61" customWidth="1"/>
    <col min="76" max="76" width="8.140625" style="61" customWidth="1"/>
    <col min="77" max="77" width="3.140625" style="61" customWidth="1"/>
    <col min="78" max="78" width="7.00390625" style="61" customWidth="1"/>
    <col min="79" max="79" width="3.140625" style="61" customWidth="1"/>
    <col min="80" max="80" width="8.28125" style="61" customWidth="1"/>
    <col min="81" max="81" width="4.00390625" style="61" customWidth="1"/>
    <col min="82" max="82" width="9.00390625" style="61" customWidth="1"/>
    <col min="83" max="83" width="3.140625" style="61" customWidth="1"/>
    <col min="84" max="84" width="7.00390625" style="61" customWidth="1"/>
    <col min="85" max="85" width="3.140625" style="61" customWidth="1"/>
    <col min="86" max="86" width="7.00390625" style="61" customWidth="1"/>
    <col min="87" max="87" width="3.140625" style="61" customWidth="1"/>
    <col min="88" max="88" width="7.00390625" style="61" customWidth="1"/>
    <col min="89" max="89" width="2.7109375" style="61" customWidth="1"/>
    <col min="90" max="90" width="10.00390625" style="61" bestFit="1" customWidth="1"/>
    <col min="91" max="91" width="2.7109375" style="61" customWidth="1"/>
    <col min="92" max="92" width="10.00390625" style="61" bestFit="1" customWidth="1"/>
    <col min="93" max="93" width="2.7109375" style="61" customWidth="1"/>
    <col min="94" max="94" width="10.00390625" style="61" bestFit="1" customWidth="1"/>
    <col min="95" max="95" width="2.7109375" style="61" customWidth="1"/>
    <col min="96" max="96" width="10.00390625" style="61" bestFit="1" customWidth="1"/>
    <col min="97" max="97" width="2.7109375" style="61" customWidth="1"/>
    <col min="98" max="98" width="10.00390625" style="61" bestFit="1" customWidth="1"/>
    <col min="99" max="99" width="2.7109375" style="61" customWidth="1"/>
    <col min="100" max="100" width="10.00390625" style="61" bestFit="1" customWidth="1"/>
    <col min="101" max="101" width="4.421875" style="61" customWidth="1"/>
    <col min="102" max="102" width="9.140625" style="61" customWidth="1"/>
    <col min="103" max="103" width="3.8515625" style="61" customWidth="1"/>
    <col min="104" max="104" width="9.140625" style="61" customWidth="1"/>
    <col min="105" max="105" width="3.8515625" style="61" customWidth="1"/>
    <col min="106" max="106" width="9.140625" style="61" customWidth="1"/>
    <col min="107" max="107" width="3.421875" style="61" customWidth="1"/>
    <col min="108" max="108" width="9.140625" style="61" customWidth="1"/>
    <col min="109" max="109" width="2.140625" style="61" customWidth="1"/>
    <col min="110" max="110" width="9.140625" style="61" customWidth="1"/>
    <col min="111" max="111" width="2.57421875" style="61" customWidth="1"/>
    <col min="112" max="112" width="9.140625" style="61" customWidth="1"/>
    <col min="113" max="113" width="3.7109375" style="61" customWidth="1"/>
    <col min="114" max="114" width="10.57421875" style="61" customWidth="1"/>
    <col min="115" max="115" width="9.140625" style="61" hidden="1" customWidth="1"/>
    <col min="116" max="119" width="0" style="61" hidden="1" customWidth="1"/>
    <col min="120" max="16384" width="9.140625" style="61" customWidth="1"/>
  </cols>
  <sheetData>
    <row r="1" spans="2:119" ht="12.75">
      <c r="B1" s="33" t="s">
        <v>277</v>
      </c>
      <c r="C1" s="33"/>
      <c r="DL1" s="61" t="s">
        <v>63</v>
      </c>
      <c r="DM1" s="61" t="s">
        <v>52</v>
      </c>
      <c r="DN1" s="61" t="s">
        <v>66</v>
      </c>
      <c r="DO1" s="61" t="s">
        <v>30</v>
      </c>
    </row>
    <row r="4" spans="2:114" ht="12.75">
      <c r="B4" s="33" t="s">
        <v>174</v>
      </c>
      <c r="C4" s="33"/>
      <c r="D4" s="33"/>
      <c r="F4" s="69" t="s">
        <v>106</v>
      </c>
      <c r="G4" s="69"/>
      <c r="H4" s="69" t="s">
        <v>107</v>
      </c>
      <c r="I4" s="69"/>
      <c r="J4" s="69" t="s">
        <v>108</v>
      </c>
      <c r="K4" s="69"/>
      <c r="L4" s="69" t="s">
        <v>190</v>
      </c>
      <c r="M4" s="69"/>
      <c r="N4" s="69" t="s">
        <v>203</v>
      </c>
      <c r="O4" s="69"/>
      <c r="P4" s="69" t="s">
        <v>204</v>
      </c>
      <c r="Q4" s="69"/>
      <c r="R4" s="69" t="s">
        <v>106</v>
      </c>
      <c r="S4" s="69"/>
      <c r="T4" s="69" t="s">
        <v>107</v>
      </c>
      <c r="U4" s="69"/>
      <c r="V4" s="69" t="s">
        <v>108</v>
      </c>
      <c r="W4" s="69"/>
      <c r="X4" s="69" t="s">
        <v>190</v>
      </c>
      <c r="Y4" s="69"/>
      <c r="Z4" s="69" t="s">
        <v>203</v>
      </c>
      <c r="AA4" s="69"/>
      <c r="AB4" s="69" t="s">
        <v>204</v>
      </c>
      <c r="AC4" s="69"/>
      <c r="AD4" s="69" t="s">
        <v>106</v>
      </c>
      <c r="AE4" s="69"/>
      <c r="AF4" s="69" t="s">
        <v>107</v>
      </c>
      <c r="AG4" s="69"/>
      <c r="AH4" s="69" t="s">
        <v>108</v>
      </c>
      <c r="AI4" s="69"/>
      <c r="AJ4" s="69" t="s">
        <v>190</v>
      </c>
      <c r="AK4" s="69"/>
      <c r="AL4" s="69" t="s">
        <v>203</v>
      </c>
      <c r="AM4" s="69"/>
      <c r="AN4" s="69" t="s">
        <v>204</v>
      </c>
      <c r="AO4" s="69"/>
      <c r="AP4" s="69" t="s">
        <v>106</v>
      </c>
      <c r="AQ4" s="69"/>
      <c r="AR4" s="69" t="s">
        <v>107</v>
      </c>
      <c r="AS4" s="69"/>
      <c r="AT4" s="69" t="s">
        <v>108</v>
      </c>
      <c r="AU4" s="69"/>
      <c r="AV4" s="69" t="s">
        <v>190</v>
      </c>
      <c r="AW4" s="69"/>
      <c r="AX4" s="69" t="s">
        <v>203</v>
      </c>
      <c r="AY4" s="69"/>
      <c r="AZ4" s="69" t="s">
        <v>204</v>
      </c>
      <c r="BA4" s="69"/>
      <c r="BB4" s="69" t="s">
        <v>106</v>
      </c>
      <c r="BC4" s="69"/>
      <c r="BD4" s="69" t="s">
        <v>107</v>
      </c>
      <c r="BE4" s="69"/>
      <c r="BF4" s="69" t="s">
        <v>108</v>
      </c>
      <c r="BG4" s="69"/>
      <c r="BH4" s="69" t="s">
        <v>190</v>
      </c>
      <c r="BI4" s="69"/>
      <c r="BJ4" s="69" t="s">
        <v>203</v>
      </c>
      <c r="BK4" s="69"/>
      <c r="BL4" s="69" t="s">
        <v>204</v>
      </c>
      <c r="BM4" s="69"/>
      <c r="BN4" s="69" t="s">
        <v>106</v>
      </c>
      <c r="BO4" s="69"/>
      <c r="BP4" s="69" t="s">
        <v>107</v>
      </c>
      <c r="BQ4" s="69"/>
      <c r="BR4" s="69" t="s">
        <v>108</v>
      </c>
      <c r="BS4" s="69"/>
      <c r="BT4" s="69" t="s">
        <v>190</v>
      </c>
      <c r="BU4" s="69"/>
      <c r="BV4" s="69" t="s">
        <v>203</v>
      </c>
      <c r="BW4" s="69"/>
      <c r="BX4" s="69" t="s">
        <v>204</v>
      </c>
      <c r="BY4" s="69"/>
      <c r="BZ4" s="69" t="s">
        <v>106</v>
      </c>
      <c r="CA4" s="69"/>
      <c r="CB4" s="69" t="s">
        <v>107</v>
      </c>
      <c r="CC4" s="69"/>
      <c r="CD4" s="69" t="s">
        <v>108</v>
      </c>
      <c r="CE4" s="69"/>
      <c r="CF4" s="69" t="s">
        <v>190</v>
      </c>
      <c r="CG4" s="69"/>
      <c r="CH4" s="69" t="s">
        <v>203</v>
      </c>
      <c r="CI4" s="69"/>
      <c r="CJ4" s="69" t="s">
        <v>204</v>
      </c>
      <c r="CK4" s="69"/>
      <c r="CL4" s="69" t="s">
        <v>106</v>
      </c>
      <c r="CM4" s="69"/>
      <c r="CN4" s="69" t="s">
        <v>107</v>
      </c>
      <c r="CO4" s="69"/>
      <c r="CP4" s="69" t="s">
        <v>108</v>
      </c>
      <c r="CQ4" s="69"/>
      <c r="CR4" s="69" t="s">
        <v>190</v>
      </c>
      <c r="CS4" s="69"/>
      <c r="CT4" s="69" t="s">
        <v>203</v>
      </c>
      <c r="CU4" s="69"/>
      <c r="CV4" s="69" t="s">
        <v>204</v>
      </c>
      <c r="CW4" s="69"/>
      <c r="CX4" s="69" t="s">
        <v>106</v>
      </c>
      <c r="CY4" s="69"/>
      <c r="CZ4" s="69" t="s">
        <v>107</v>
      </c>
      <c r="DA4" s="69"/>
      <c r="DB4" s="69" t="s">
        <v>108</v>
      </c>
      <c r="DC4" s="69"/>
      <c r="DD4" s="69" t="s">
        <v>190</v>
      </c>
      <c r="DE4" s="69"/>
      <c r="DF4" s="69" t="s">
        <v>203</v>
      </c>
      <c r="DG4" s="69"/>
      <c r="DH4" s="69" t="s">
        <v>204</v>
      </c>
      <c r="DI4" s="69"/>
      <c r="DJ4" s="69" t="s">
        <v>56</v>
      </c>
    </row>
    <row r="5" spans="2:114" ht="12.75">
      <c r="B5" s="33"/>
      <c r="C5" s="33"/>
      <c r="D5" s="3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</row>
    <row r="6" spans="2:114" ht="12.75">
      <c r="B6" s="11" t="s">
        <v>310</v>
      </c>
      <c r="C6" s="33"/>
      <c r="D6" s="33"/>
      <c r="F6" s="69" t="s">
        <v>316</v>
      </c>
      <c r="G6" s="69"/>
      <c r="H6" s="69" t="s">
        <v>316</v>
      </c>
      <c r="I6" s="69"/>
      <c r="J6" s="69" t="s">
        <v>316</v>
      </c>
      <c r="K6" s="69"/>
      <c r="L6" s="69" t="s">
        <v>316</v>
      </c>
      <c r="M6" s="69"/>
      <c r="N6" s="69" t="s">
        <v>316</v>
      </c>
      <c r="O6" s="69"/>
      <c r="P6" s="69" t="s">
        <v>316</v>
      </c>
      <c r="Q6" s="69"/>
      <c r="R6" s="69" t="s">
        <v>317</v>
      </c>
      <c r="S6" s="69"/>
      <c r="T6" s="69" t="s">
        <v>317</v>
      </c>
      <c r="U6" s="69"/>
      <c r="V6" s="69" t="s">
        <v>317</v>
      </c>
      <c r="W6" s="69"/>
      <c r="X6" s="69" t="s">
        <v>317</v>
      </c>
      <c r="Y6" s="69"/>
      <c r="Z6" s="69" t="s">
        <v>317</v>
      </c>
      <c r="AA6" s="69"/>
      <c r="AB6" s="69" t="s">
        <v>317</v>
      </c>
      <c r="AC6" s="69"/>
      <c r="AD6" s="69" t="s">
        <v>318</v>
      </c>
      <c r="AE6" s="69"/>
      <c r="AF6" s="69" t="s">
        <v>318</v>
      </c>
      <c r="AG6" s="69"/>
      <c r="AH6" s="69" t="s">
        <v>318</v>
      </c>
      <c r="AI6" s="69"/>
      <c r="AJ6" s="69" t="s">
        <v>318</v>
      </c>
      <c r="AK6" s="69"/>
      <c r="AL6" s="69" t="s">
        <v>318</v>
      </c>
      <c r="AM6" s="69"/>
      <c r="AN6" s="69" t="s">
        <v>318</v>
      </c>
      <c r="AO6" s="69"/>
      <c r="AP6" s="69" t="s">
        <v>319</v>
      </c>
      <c r="AQ6" s="69"/>
      <c r="AR6" s="69" t="s">
        <v>319</v>
      </c>
      <c r="AS6" s="69"/>
      <c r="AT6" s="69" t="s">
        <v>319</v>
      </c>
      <c r="AU6" s="69"/>
      <c r="AV6" s="69" t="s">
        <v>319</v>
      </c>
      <c r="AW6" s="69"/>
      <c r="AX6" s="69" t="s">
        <v>319</v>
      </c>
      <c r="AY6" s="69"/>
      <c r="AZ6" s="69" t="s">
        <v>319</v>
      </c>
      <c r="BA6" s="69"/>
      <c r="BB6" s="69" t="s">
        <v>320</v>
      </c>
      <c r="BC6" s="69"/>
      <c r="BD6" s="69" t="s">
        <v>320</v>
      </c>
      <c r="BE6" s="69"/>
      <c r="BF6" s="69" t="s">
        <v>320</v>
      </c>
      <c r="BG6" s="69"/>
      <c r="BH6" s="69" t="s">
        <v>320</v>
      </c>
      <c r="BI6" s="69"/>
      <c r="BJ6" s="69" t="s">
        <v>320</v>
      </c>
      <c r="BK6" s="69"/>
      <c r="BL6" s="69" t="s">
        <v>320</v>
      </c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 t="s">
        <v>321</v>
      </c>
      <c r="CA6" s="69"/>
      <c r="CB6" s="69" t="s">
        <v>321</v>
      </c>
      <c r="CC6" s="69"/>
      <c r="CD6" s="69" t="s">
        <v>321</v>
      </c>
      <c r="CE6" s="69"/>
      <c r="CF6" s="69" t="s">
        <v>321</v>
      </c>
      <c r="CG6" s="69"/>
      <c r="CH6" s="69" t="s">
        <v>321</v>
      </c>
      <c r="CI6" s="69"/>
      <c r="CJ6" s="69" t="s">
        <v>321</v>
      </c>
      <c r="CK6" s="69"/>
      <c r="CL6" s="69" t="s">
        <v>322</v>
      </c>
      <c r="CM6" s="69"/>
      <c r="CN6" s="69" t="s">
        <v>322</v>
      </c>
      <c r="CO6" s="69"/>
      <c r="CP6" s="69" t="s">
        <v>322</v>
      </c>
      <c r="CQ6" s="69"/>
      <c r="CR6" s="69" t="s">
        <v>322</v>
      </c>
      <c r="CS6" s="69"/>
      <c r="CT6" s="69" t="s">
        <v>322</v>
      </c>
      <c r="CU6" s="69"/>
      <c r="CV6" s="69" t="s">
        <v>322</v>
      </c>
      <c r="CW6" s="69"/>
      <c r="CX6" s="69" t="s">
        <v>323</v>
      </c>
      <c r="CY6" s="69"/>
      <c r="CZ6" s="69" t="s">
        <v>323</v>
      </c>
      <c r="DA6" s="69"/>
      <c r="DB6" s="69" t="s">
        <v>323</v>
      </c>
      <c r="DC6" s="69"/>
      <c r="DD6" s="69" t="s">
        <v>323</v>
      </c>
      <c r="DE6" s="69"/>
      <c r="DF6" s="69" t="s">
        <v>323</v>
      </c>
      <c r="DG6" s="69"/>
      <c r="DH6" s="69" t="s">
        <v>323</v>
      </c>
      <c r="DI6" s="69"/>
      <c r="DJ6" s="69" t="s">
        <v>323</v>
      </c>
    </row>
    <row r="7" spans="2:114" ht="12.75">
      <c r="B7" s="11" t="s">
        <v>311</v>
      </c>
      <c r="F7" s="69" t="s">
        <v>105</v>
      </c>
      <c r="G7" s="69"/>
      <c r="H7" s="69" t="s">
        <v>105</v>
      </c>
      <c r="I7" s="69"/>
      <c r="J7" s="69" t="s">
        <v>105</v>
      </c>
      <c r="K7" s="69"/>
      <c r="L7" s="69" t="s">
        <v>105</v>
      </c>
      <c r="M7" s="69"/>
      <c r="N7" s="69" t="s">
        <v>105</v>
      </c>
      <c r="O7" s="69"/>
      <c r="P7" s="69" t="s">
        <v>105</v>
      </c>
      <c r="Q7" s="69"/>
      <c r="R7" s="69" t="s">
        <v>313</v>
      </c>
      <c r="S7" s="69"/>
      <c r="T7" s="69" t="s">
        <v>313</v>
      </c>
      <c r="U7" s="69"/>
      <c r="V7" s="69" t="s">
        <v>313</v>
      </c>
      <c r="W7" s="69"/>
      <c r="X7" s="69" t="s">
        <v>313</v>
      </c>
      <c r="Y7" s="69"/>
      <c r="Z7" s="69" t="s">
        <v>313</v>
      </c>
      <c r="AA7" s="69"/>
      <c r="AB7" s="69" t="s">
        <v>313</v>
      </c>
      <c r="AC7" s="69"/>
      <c r="AD7" s="69" t="s">
        <v>52</v>
      </c>
      <c r="AE7" s="69"/>
      <c r="AF7" s="69" t="s">
        <v>52</v>
      </c>
      <c r="AG7" s="69"/>
      <c r="AH7" s="69" t="s">
        <v>52</v>
      </c>
      <c r="AI7" s="69"/>
      <c r="AJ7" s="69" t="s">
        <v>52</v>
      </c>
      <c r="AK7" s="69"/>
      <c r="AL7" s="69" t="s">
        <v>52</v>
      </c>
      <c r="AM7" s="69"/>
      <c r="AN7" s="69" t="s">
        <v>52</v>
      </c>
      <c r="AO7" s="69"/>
      <c r="AP7" s="69" t="s">
        <v>52</v>
      </c>
      <c r="AQ7" s="69"/>
      <c r="AR7" s="69" t="s">
        <v>52</v>
      </c>
      <c r="AS7" s="69"/>
      <c r="AT7" s="69" t="s">
        <v>52</v>
      </c>
      <c r="AU7" s="69"/>
      <c r="AV7" s="69" t="s">
        <v>52</v>
      </c>
      <c r="AW7" s="69"/>
      <c r="AX7" s="69" t="s">
        <v>52</v>
      </c>
      <c r="AY7" s="69"/>
      <c r="AZ7" s="69" t="s">
        <v>52</v>
      </c>
      <c r="BA7" s="69"/>
      <c r="BB7" s="69" t="s">
        <v>52</v>
      </c>
      <c r="BC7" s="69"/>
      <c r="BD7" s="69" t="s">
        <v>52</v>
      </c>
      <c r="BE7" s="69"/>
      <c r="BF7" s="69" t="s">
        <v>52</v>
      </c>
      <c r="BG7" s="69"/>
      <c r="BH7" s="69" t="s">
        <v>52</v>
      </c>
      <c r="BI7" s="69"/>
      <c r="BJ7" s="69" t="s">
        <v>52</v>
      </c>
      <c r="BK7" s="69"/>
      <c r="BL7" s="69" t="s">
        <v>52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 t="s">
        <v>314</v>
      </c>
      <c r="CA7" s="69"/>
      <c r="CB7" s="69" t="s">
        <v>314</v>
      </c>
      <c r="CC7" s="69"/>
      <c r="CD7" s="69" t="s">
        <v>314</v>
      </c>
      <c r="CE7" s="69"/>
      <c r="CF7" s="69" t="s">
        <v>314</v>
      </c>
      <c r="CG7" s="69"/>
      <c r="CH7" s="69" t="s">
        <v>314</v>
      </c>
      <c r="CI7" s="69"/>
      <c r="CJ7" s="69" t="s">
        <v>314</v>
      </c>
      <c r="CK7" s="69"/>
      <c r="CL7" s="69" t="s">
        <v>315</v>
      </c>
      <c r="CM7" s="69"/>
      <c r="CN7" s="69" t="s">
        <v>315</v>
      </c>
      <c r="CO7" s="69"/>
      <c r="CP7" s="69" t="s">
        <v>315</v>
      </c>
      <c r="CQ7" s="69"/>
      <c r="CR7" s="69" t="s">
        <v>315</v>
      </c>
      <c r="CS7" s="69"/>
      <c r="CT7" s="69" t="s">
        <v>315</v>
      </c>
      <c r="CU7" s="69"/>
      <c r="CV7" s="69" t="s">
        <v>315</v>
      </c>
      <c r="CW7" s="69"/>
      <c r="CX7" s="69" t="s">
        <v>30</v>
      </c>
      <c r="CY7" s="69"/>
      <c r="CZ7" s="69" t="s">
        <v>30</v>
      </c>
      <c r="DA7" s="69"/>
      <c r="DB7" s="69" t="s">
        <v>30</v>
      </c>
      <c r="DC7" s="69"/>
      <c r="DD7" s="69" t="s">
        <v>30</v>
      </c>
      <c r="DE7" s="69"/>
      <c r="DF7" s="69" t="s">
        <v>30</v>
      </c>
      <c r="DG7" s="69"/>
      <c r="DH7" s="69" t="s">
        <v>30</v>
      </c>
      <c r="DI7" s="69"/>
      <c r="DJ7" s="69" t="s">
        <v>30</v>
      </c>
    </row>
    <row r="8" spans="2:114" ht="12.75">
      <c r="B8" s="11" t="s">
        <v>325</v>
      </c>
      <c r="F8" s="69" t="s">
        <v>105</v>
      </c>
      <c r="G8" s="69"/>
      <c r="H8" s="69" t="s">
        <v>105</v>
      </c>
      <c r="I8" s="69"/>
      <c r="J8" s="69" t="s">
        <v>105</v>
      </c>
      <c r="K8" s="69"/>
      <c r="L8" s="69" t="s">
        <v>105</v>
      </c>
      <c r="M8" s="69"/>
      <c r="N8" s="69" t="s">
        <v>105</v>
      </c>
      <c r="O8" s="69"/>
      <c r="P8" s="69" t="s">
        <v>105</v>
      </c>
      <c r="Q8" s="69"/>
      <c r="R8" s="69" t="s">
        <v>326</v>
      </c>
      <c r="S8" s="69"/>
      <c r="T8" s="69" t="s">
        <v>326</v>
      </c>
      <c r="U8" s="69"/>
      <c r="V8" s="69" t="s">
        <v>326</v>
      </c>
      <c r="W8" s="69"/>
      <c r="X8" s="69" t="s">
        <v>326</v>
      </c>
      <c r="Y8" s="69"/>
      <c r="Z8" s="69" t="s">
        <v>326</v>
      </c>
      <c r="AA8" s="69"/>
      <c r="AB8" s="69" t="s">
        <v>326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 t="s">
        <v>52</v>
      </c>
      <c r="BO8" s="69"/>
      <c r="BP8" s="69" t="s">
        <v>52</v>
      </c>
      <c r="BQ8" s="69"/>
      <c r="BR8" s="69" t="s">
        <v>52</v>
      </c>
      <c r="BS8" s="69"/>
      <c r="BT8" s="69" t="s">
        <v>52</v>
      </c>
      <c r="BU8" s="69"/>
      <c r="BV8" s="69" t="s">
        <v>52</v>
      </c>
      <c r="BW8" s="69"/>
      <c r="BX8" s="69" t="s">
        <v>52</v>
      </c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 t="s">
        <v>30</v>
      </c>
      <c r="CY8" s="69"/>
      <c r="CZ8" s="69" t="s">
        <v>30</v>
      </c>
      <c r="DA8" s="69"/>
      <c r="DB8" s="69" t="s">
        <v>30</v>
      </c>
      <c r="DC8" s="69"/>
      <c r="DD8" s="69" t="s">
        <v>30</v>
      </c>
      <c r="DE8" s="69"/>
      <c r="DF8" s="69" t="s">
        <v>30</v>
      </c>
      <c r="DG8" s="69"/>
      <c r="DH8" s="69" t="s">
        <v>30</v>
      </c>
      <c r="DI8" s="69"/>
      <c r="DJ8" s="69" t="s">
        <v>30</v>
      </c>
    </row>
    <row r="9" spans="2:114" ht="12.75">
      <c r="B9" s="18" t="s">
        <v>93</v>
      </c>
      <c r="F9" s="69" t="s">
        <v>105</v>
      </c>
      <c r="G9" s="69"/>
      <c r="H9" s="69" t="s">
        <v>105</v>
      </c>
      <c r="I9" s="69"/>
      <c r="J9" s="69" t="s">
        <v>105</v>
      </c>
      <c r="K9" s="69"/>
      <c r="L9" s="69" t="s">
        <v>105</v>
      </c>
      <c r="M9" s="69"/>
      <c r="N9" s="69" t="s">
        <v>105</v>
      </c>
      <c r="O9" s="69"/>
      <c r="P9" s="69" t="s">
        <v>105</v>
      </c>
      <c r="Q9" s="69"/>
      <c r="R9" s="69" t="s">
        <v>332</v>
      </c>
      <c r="S9" s="69"/>
      <c r="T9" s="69" t="s">
        <v>332</v>
      </c>
      <c r="U9" s="69"/>
      <c r="V9" s="69" t="s">
        <v>332</v>
      </c>
      <c r="W9" s="69"/>
      <c r="X9" s="69" t="s">
        <v>332</v>
      </c>
      <c r="Y9" s="69"/>
      <c r="Z9" s="69" t="s">
        <v>332</v>
      </c>
      <c r="AA9" s="69"/>
      <c r="AB9" s="69" t="s">
        <v>332</v>
      </c>
      <c r="AC9" s="69"/>
      <c r="AD9" s="69" t="s">
        <v>333</v>
      </c>
      <c r="AE9" s="69"/>
      <c r="AF9" s="69" t="s">
        <v>333</v>
      </c>
      <c r="AG9" s="69"/>
      <c r="AH9" s="69" t="s">
        <v>333</v>
      </c>
      <c r="AI9" s="69"/>
      <c r="AJ9" s="69" t="s">
        <v>333</v>
      </c>
      <c r="AK9" s="69"/>
      <c r="AL9" s="69" t="s">
        <v>333</v>
      </c>
      <c r="AM9" s="69"/>
      <c r="AN9" s="69" t="s">
        <v>333</v>
      </c>
      <c r="AO9" s="69"/>
      <c r="AP9" s="69" t="s">
        <v>334</v>
      </c>
      <c r="AQ9" s="69"/>
      <c r="AR9" s="69" t="s">
        <v>334</v>
      </c>
      <c r="AS9" s="69"/>
      <c r="AT9" s="69" t="s">
        <v>334</v>
      </c>
      <c r="AU9" s="69"/>
      <c r="AV9" s="69" t="s">
        <v>334</v>
      </c>
      <c r="AW9" s="69"/>
      <c r="AX9" s="69" t="s">
        <v>334</v>
      </c>
      <c r="AY9" s="69"/>
      <c r="AZ9" s="69" t="s">
        <v>334</v>
      </c>
      <c r="BA9" s="69"/>
      <c r="BB9" s="69" t="s">
        <v>335</v>
      </c>
      <c r="BC9" s="69"/>
      <c r="BD9" s="69" t="s">
        <v>335</v>
      </c>
      <c r="BE9" s="69"/>
      <c r="BF9" s="69" t="s">
        <v>335</v>
      </c>
      <c r="BG9" s="69"/>
      <c r="BH9" s="69" t="s">
        <v>335</v>
      </c>
      <c r="BI9" s="69"/>
      <c r="BJ9" s="69" t="s">
        <v>335</v>
      </c>
      <c r="BK9" s="69"/>
      <c r="BL9" s="69" t="s">
        <v>335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 t="s">
        <v>201</v>
      </c>
      <c r="CA9" s="69"/>
      <c r="CB9" s="69" t="s">
        <v>201</v>
      </c>
      <c r="CC9" s="69"/>
      <c r="CD9" s="69" t="s">
        <v>201</v>
      </c>
      <c r="CE9" s="69"/>
      <c r="CF9" s="69" t="s">
        <v>201</v>
      </c>
      <c r="CG9" s="69"/>
      <c r="CH9" s="69" t="s">
        <v>201</v>
      </c>
      <c r="CI9" s="69"/>
      <c r="CJ9" s="69" t="s">
        <v>201</v>
      </c>
      <c r="CK9" s="69"/>
      <c r="CL9" s="69" t="s">
        <v>202</v>
      </c>
      <c r="CM9" s="69"/>
      <c r="CN9" s="69" t="s">
        <v>202</v>
      </c>
      <c r="CO9" s="69"/>
      <c r="CP9" s="69" t="s">
        <v>202</v>
      </c>
      <c r="CQ9" s="69"/>
      <c r="CR9" s="69" t="s">
        <v>202</v>
      </c>
      <c r="CS9" s="69"/>
      <c r="CT9" s="69" t="s">
        <v>202</v>
      </c>
      <c r="CU9" s="69"/>
      <c r="CV9" s="69" t="s">
        <v>202</v>
      </c>
      <c r="CW9" s="69"/>
      <c r="CX9" s="69" t="s">
        <v>30</v>
      </c>
      <c r="CY9" s="69"/>
      <c r="CZ9" s="69" t="s">
        <v>30</v>
      </c>
      <c r="DA9" s="69"/>
      <c r="DB9" s="69" t="s">
        <v>30</v>
      </c>
      <c r="DC9" s="69"/>
      <c r="DD9" s="69" t="s">
        <v>30</v>
      </c>
      <c r="DE9" s="69"/>
      <c r="DF9" s="69" t="s">
        <v>30</v>
      </c>
      <c r="DG9" s="69"/>
      <c r="DH9" s="69" t="s">
        <v>30</v>
      </c>
      <c r="DI9" s="69"/>
      <c r="DJ9" s="69" t="s">
        <v>30</v>
      </c>
    </row>
    <row r="10" spans="1:100" ht="12.75">
      <c r="A10" s="61" t="s">
        <v>174</v>
      </c>
      <c r="B10" s="61" t="s">
        <v>96</v>
      </c>
      <c r="D10" s="61" t="s">
        <v>170</v>
      </c>
      <c r="E10" s="58"/>
      <c r="F10" s="87">
        <v>2880</v>
      </c>
      <c r="G10" s="87"/>
      <c r="H10" s="87">
        <v>2880</v>
      </c>
      <c r="I10" s="87"/>
      <c r="J10" s="87">
        <v>2860</v>
      </c>
      <c r="K10" s="87"/>
      <c r="L10" s="87">
        <v>3600</v>
      </c>
      <c r="M10" s="87"/>
      <c r="N10" s="87"/>
      <c r="O10" s="87"/>
      <c r="P10" s="87"/>
      <c r="Q10" s="87"/>
      <c r="R10" s="72">
        <v>101410.93474426807</v>
      </c>
      <c r="S10" s="87"/>
      <c r="T10" s="72">
        <v>101410.93474426807</v>
      </c>
      <c r="U10" s="87"/>
      <c r="V10" s="72">
        <v>104056.43738977</v>
      </c>
      <c r="W10" s="87"/>
      <c r="X10" s="72">
        <v>107804.2328042328</v>
      </c>
      <c r="Y10" s="87"/>
      <c r="Z10" s="87"/>
      <c r="AA10" s="87"/>
      <c r="AB10" s="87"/>
      <c r="AC10" s="87"/>
      <c r="AD10" s="87">
        <v>9413.58024691358</v>
      </c>
      <c r="AE10" s="87"/>
      <c r="AF10" s="87">
        <v>9700.176366843034</v>
      </c>
      <c r="AG10" s="87"/>
      <c r="AH10" s="87">
        <v>9303.350970017636</v>
      </c>
      <c r="AI10" s="87"/>
      <c r="AJ10" s="87">
        <v>8399.4708994709</v>
      </c>
      <c r="AK10" s="87"/>
      <c r="AL10" s="87"/>
      <c r="AM10" s="87"/>
      <c r="AN10" s="87"/>
      <c r="AO10" s="87"/>
      <c r="AP10" s="87">
        <v>2248.677248677249</v>
      </c>
      <c r="AQ10" s="87"/>
      <c r="AR10" s="87">
        <v>1873.8977072310406</v>
      </c>
      <c r="AS10" s="87"/>
      <c r="AT10" s="87">
        <v>1688.7125220458554</v>
      </c>
      <c r="AU10" s="87"/>
      <c r="AV10" s="87">
        <v>1706.3492063492</v>
      </c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</row>
    <row r="11" spans="1:100" ht="12.75">
      <c r="A11" s="61" t="s">
        <v>174</v>
      </c>
      <c r="B11" s="61" t="s">
        <v>312</v>
      </c>
      <c r="D11" s="61" t="s">
        <v>207</v>
      </c>
      <c r="E11" s="58"/>
      <c r="F11" s="87">
        <f>F12*1000000/F10</f>
        <v>13715.277777777777</v>
      </c>
      <c r="G11" s="87"/>
      <c r="H11" s="87">
        <f>H12*1000000/H10</f>
        <v>14201.388888888889</v>
      </c>
      <c r="I11" s="87"/>
      <c r="J11" s="87">
        <f>J12*1000000/J10</f>
        <v>13951.048951048951</v>
      </c>
      <c r="K11" s="87"/>
      <c r="L11" s="87">
        <f>L12*1000000/L10</f>
        <v>14055.555555555555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>
        <f>AD12*1000000/AD10</f>
        <v>10452.983606557378</v>
      </c>
      <c r="AE11" s="87"/>
      <c r="AF11" s="87">
        <f>AF12*1000000/AF10</f>
        <v>11133.818181818182</v>
      </c>
      <c r="AG11" s="87"/>
      <c r="AH11" s="87">
        <f>AH12*1000000/AH10</f>
        <v>9792.170616113744</v>
      </c>
      <c r="AI11" s="87"/>
      <c r="AJ11" s="87">
        <f>AJ12*1000000/AJ10</f>
        <v>9286.299212598426</v>
      </c>
      <c r="AK11" s="72"/>
      <c r="AL11" s="72"/>
      <c r="AM11" s="72"/>
      <c r="AN11" s="72"/>
      <c r="AO11" s="72"/>
      <c r="AP11" s="87">
        <f>AP12*1000000/AP10</f>
        <v>7693.411764705882</v>
      </c>
      <c r="AQ11" s="72"/>
      <c r="AR11" s="87">
        <f>AR12*1000000/AR10</f>
        <v>6136.941176470588</v>
      </c>
      <c r="AS11" s="72"/>
      <c r="AT11" s="87">
        <f>AT12*1000000/AT10</f>
        <v>5821.002610966058</v>
      </c>
      <c r="AU11" s="72"/>
      <c r="AV11" s="87">
        <f>AV12*1000000/AV10</f>
        <v>6094.883720930256</v>
      </c>
      <c r="AW11"/>
      <c r="AX11"/>
      <c r="AY11"/>
      <c r="AZ11"/>
      <c r="BA11" s="58"/>
      <c r="BB11" s="58"/>
      <c r="BC11" s="58"/>
      <c r="BD11" s="58"/>
      <c r="BE11" s="58"/>
      <c r="BF11" s="58"/>
      <c r="BG11" s="58"/>
      <c r="BH11" s="58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</row>
    <row r="12" spans="2:114" ht="12.75">
      <c r="B12" s="61" t="s">
        <v>330</v>
      </c>
      <c r="D12" s="61" t="s">
        <v>331</v>
      </c>
      <c r="E12" s="58"/>
      <c r="F12" s="58">
        <v>39.5</v>
      </c>
      <c r="G12" s="58"/>
      <c r="H12" s="58">
        <v>40.9</v>
      </c>
      <c r="I12" s="58"/>
      <c r="J12" s="58">
        <v>39.9</v>
      </c>
      <c r="K12" s="58"/>
      <c r="L12" s="58">
        <v>50.6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>
        <v>98.4</v>
      </c>
      <c r="AE12" s="58"/>
      <c r="AF12" s="58">
        <v>108</v>
      </c>
      <c r="AG12" s="58"/>
      <c r="AH12" s="58">
        <v>91.1</v>
      </c>
      <c r="AI12" s="58"/>
      <c r="AJ12" s="58">
        <v>78</v>
      </c>
      <c r="AK12"/>
      <c r="AL12"/>
      <c r="AM12"/>
      <c r="AN12"/>
      <c r="AO12"/>
      <c r="AP12" s="58">
        <v>17.3</v>
      </c>
      <c r="AQ12" s="58"/>
      <c r="AR12" s="58">
        <v>11.5</v>
      </c>
      <c r="AS12" s="58"/>
      <c r="AT12" s="58">
        <v>9.83</v>
      </c>
      <c r="AU12" s="58"/>
      <c r="AV12" s="58">
        <v>10.4</v>
      </c>
      <c r="AW12"/>
      <c r="AX12"/>
      <c r="AY12"/>
      <c r="AZ12"/>
      <c r="BA12" s="58"/>
      <c r="BB12" s="58"/>
      <c r="BC12" s="58"/>
      <c r="BD12" s="58"/>
      <c r="BE12" s="58"/>
      <c r="BF12" s="58"/>
      <c r="BG12" s="58"/>
      <c r="BH12" s="58"/>
      <c r="BI12"/>
      <c r="BJ12"/>
      <c r="BK12"/>
      <c r="BL12"/>
      <c r="BM12"/>
      <c r="BN12" s="65">
        <f>SUM(BB12,AP12,AD12)</f>
        <v>115.7</v>
      </c>
      <c r="BO12"/>
      <c r="BP12" s="65">
        <f>SUM(BD12,AR12,AF12)</f>
        <v>119.5</v>
      </c>
      <c r="BQ12"/>
      <c r="BR12" s="65">
        <f>SUM(BF12,AT12,AH12)</f>
        <v>100.92999999999999</v>
      </c>
      <c r="BS12"/>
      <c r="BT12" s="65">
        <f>SUM(BH12,AV12,AJ12)</f>
        <v>88.4</v>
      </c>
      <c r="BU12"/>
      <c r="BV12" s="65"/>
      <c r="BW12"/>
      <c r="BX12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X12" s="61">
        <f>F12+AD12+AP12</f>
        <v>155.20000000000002</v>
      </c>
      <c r="CZ12" s="61">
        <f>H12+AF12+AR12</f>
        <v>160.4</v>
      </c>
      <c r="DB12" s="61">
        <f>J12+AH12+AT12</f>
        <v>140.83</v>
      </c>
      <c r="DD12" s="61">
        <f>L12+AJ12+AV12</f>
        <v>139</v>
      </c>
      <c r="DJ12" s="60">
        <f>AVERAGE(CX12,CZ12,DB12,DD12)</f>
        <v>148.85750000000002</v>
      </c>
    </row>
    <row r="13" spans="1:100" ht="12.75">
      <c r="A13" s="61" t="s">
        <v>174</v>
      </c>
      <c r="B13" s="61" t="s">
        <v>21</v>
      </c>
      <c r="D13" s="61" t="s">
        <v>208</v>
      </c>
      <c r="E13" s="58"/>
      <c r="F13" s="87">
        <v>399.30555555555554</v>
      </c>
      <c r="G13" s="87"/>
      <c r="H13" s="87">
        <v>300</v>
      </c>
      <c r="I13" s="87"/>
      <c r="J13" s="87">
        <v>300</v>
      </c>
      <c r="K13" s="87"/>
      <c r="L13" s="87">
        <v>400</v>
      </c>
      <c r="M13" s="87"/>
      <c r="N13" s="87"/>
      <c r="O13" s="87"/>
      <c r="P13" s="87"/>
      <c r="Q13" s="87"/>
      <c r="R13" s="87">
        <v>70.01217391304348</v>
      </c>
      <c r="S13" s="87"/>
      <c r="T13" s="87">
        <v>49.994608695652175</v>
      </c>
      <c r="U13" s="87"/>
      <c r="V13" s="87">
        <v>49.9728813559322</v>
      </c>
      <c r="W13" s="87"/>
      <c r="X13" s="87">
        <v>49.998036809816</v>
      </c>
      <c r="Y13" s="87"/>
      <c r="Z13" s="87"/>
      <c r="AA13" s="87"/>
      <c r="AB13" s="87"/>
      <c r="AC13" s="87"/>
      <c r="AD13" s="87">
        <v>45041.31147540984</v>
      </c>
      <c r="AE13" s="87"/>
      <c r="AF13" s="87">
        <v>41958</v>
      </c>
      <c r="AG13" s="87"/>
      <c r="AH13" s="87">
        <v>35041.13744075829</v>
      </c>
      <c r="AI13" s="87"/>
      <c r="AJ13" s="87">
        <v>54051.02362204724</v>
      </c>
      <c r="AK13" s="87"/>
      <c r="AL13" s="87"/>
      <c r="AM13" s="87"/>
      <c r="AN13" s="87"/>
      <c r="AO13" s="87"/>
      <c r="AP13" s="87">
        <v>26015.294117647</v>
      </c>
      <c r="AQ13" s="87"/>
      <c r="AR13" s="87">
        <v>25988.61176470588</v>
      </c>
      <c r="AS13" s="87"/>
      <c r="AT13" s="87">
        <v>34997.075718015665</v>
      </c>
      <c r="AU13" s="87"/>
      <c r="AV13" s="87">
        <v>40026.976744186</v>
      </c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</row>
    <row r="14" spans="5:100" ht="12.75"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</row>
    <row r="15" spans="2:100" ht="12.75">
      <c r="B15" s="18" t="s">
        <v>57</v>
      </c>
      <c r="C15" s="18"/>
      <c r="D15" s="18" t="s">
        <v>16</v>
      </c>
      <c r="E15" s="58"/>
      <c r="F15" s="87">
        <f>'emiss 2'!$G$21</f>
        <v>96208</v>
      </c>
      <c r="G15" s="87"/>
      <c r="H15" s="87">
        <f>'emiss 2'!$I$21</f>
        <v>85919</v>
      </c>
      <c r="I15" s="87"/>
      <c r="J15" s="87">
        <f>'emiss 2'!$K$21</f>
        <v>80671</v>
      </c>
      <c r="K15" s="87"/>
      <c r="L15" s="87">
        <f>'emiss 2'!$M$21</f>
        <v>81873</v>
      </c>
      <c r="M15" s="87"/>
      <c r="N15" s="87"/>
      <c r="O15" s="87"/>
      <c r="P15" s="87"/>
      <c r="Q15" s="87"/>
      <c r="R15" s="87">
        <f>'emiss 2'!$G$21</f>
        <v>96208</v>
      </c>
      <c r="S15" s="87"/>
      <c r="T15" s="87">
        <f>'emiss 2'!$I$21</f>
        <v>85919</v>
      </c>
      <c r="U15" s="87"/>
      <c r="V15" s="87">
        <f>'emiss 2'!$K$21</f>
        <v>80671</v>
      </c>
      <c r="W15" s="87"/>
      <c r="X15" s="87">
        <f>'emiss 2'!$M$21</f>
        <v>81873</v>
      </c>
      <c r="Y15" s="87"/>
      <c r="Z15" s="87"/>
      <c r="AA15" s="87"/>
      <c r="AB15" s="87"/>
      <c r="AC15" s="87"/>
      <c r="AD15" s="87">
        <f>'emiss 2'!$G$21</f>
        <v>96208</v>
      </c>
      <c r="AE15" s="87"/>
      <c r="AF15" s="87">
        <f>'emiss 2'!$I$21</f>
        <v>85919</v>
      </c>
      <c r="AG15" s="87"/>
      <c r="AH15" s="87">
        <f>'emiss 2'!$K$21</f>
        <v>80671</v>
      </c>
      <c r="AI15" s="87"/>
      <c r="AJ15" s="87">
        <f>'emiss 2'!$M$21</f>
        <v>81873</v>
      </c>
      <c r="AK15" s="87"/>
      <c r="AL15" s="87"/>
      <c r="AM15" s="87"/>
      <c r="AN15" s="87"/>
      <c r="AO15" s="87"/>
      <c r="AP15" s="87">
        <f>'emiss 2'!$G$21</f>
        <v>96208</v>
      </c>
      <c r="AQ15" s="87"/>
      <c r="AR15" s="87">
        <f>'emiss 2'!$I$21</f>
        <v>85919</v>
      </c>
      <c r="AS15" s="87"/>
      <c r="AT15" s="87">
        <f>'emiss 2'!$K$21</f>
        <v>80671</v>
      </c>
      <c r="AU15" s="87"/>
      <c r="AV15" s="87">
        <f>'emiss 2'!$M$21</f>
        <v>81873</v>
      </c>
      <c r="AW15" s="87"/>
      <c r="AX15" s="87"/>
      <c r="AY15" s="87"/>
      <c r="AZ15" s="87"/>
      <c r="BA15" s="87"/>
      <c r="BB15" s="87">
        <f>'emiss 2'!$G$21</f>
        <v>96208</v>
      </c>
      <c r="BC15" s="87"/>
      <c r="BD15" s="87">
        <f>'emiss 2'!$I$21</f>
        <v>85919</v>
      </c>
      <c r="BE15" s="87"/>
      <c r="BF15" s="87">
        <f>'emiss 2'!$K$21</f>
        <v>80671</v>
      </c>
      <c r="BG15" s="87"/>
      <c r="BH15" s="87">
        <f>'emiss 2'!$M$21</f>
        <v>81873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>
        <f>'emiss 2'!$G$21</f>
        <v>96208</v>
      </c>
      <c r="CA15" s="87"/>
      <c r="CB15" s="87">
        <f>'emiss 2'!$I$21</f>
        <v>85919</v>
      </c>
      <c r="CC15" s="87"/>
      <c r="CD15" s="87">
        <f>'emiss 2'!$K$21</f>
        <v>80671</v>
      </c>
      <c r="CE15" s="87"/>
      <c r="CF15" s="87">
        <f>'emiss 2'!$M$21</f>
        <v>81873</v>
      </c>
      <c r="CG15" s="87"/>
      <c r="CH15" s="87"/>
      <c r="CI15" s="87"/>
      <c r="CJ15" s="87"/>
      <c r="CK15" s="87"/>
      <c r="CL15" s="87">
        <f>'emiss 2'!$G$21</f>
        <v>96208</v>
      </c>
      <c r="CM15" s="87"/>
      <c r="CN15" s="87">
        <f>'emiss 2'!$I$21</f>
        <v>85919</v>
      </c>
      <c r="CO15" s="87"/>
      <c r="CP15" s="87">
        <f>'emiss 2'!$K$21</f>
        <v>80671</v>
      </c>
      <c r="CQ15" s="87"/>
      <c r="CR15" s="87">
        <f>'emiss 2'!$M$21</f>
        <v>81873</v>
      </c>
      <c r="CS15" s="58"/>
      <c r="CT15" s="58"/>
      <c r="CU15" s="58"/>
      <c r="CV15" s="58"/>
    </row>
    <row r="16" spans="2:100" ht="12.75">
      <c r="B16" s="18" t="s">
        <v>49</v>
      </c>
      <c r="C16" s="18"/>
      <c r="D16" s="18" t="s">
        <v>14</v>
      </c>
      <c r="E16" s="58"/>
      <c r="F16" s="58">
        <f>'emiss 2'!$G$22</f>
        <v>11.5</v>
      </c>
      <c r="G16" s="58"/>
      <c r="H16" s="58">
        <f>'emiss 2'!$I$22</f>
        <v>11.9</v>
      </c>
      <c r="I16" s="58"/>
      <c r="J16" s="58">
        <f>'emiss 2'!$K$22</f>
        <v>12</v>
      </c>
      <c r="K16" s="58"/>
      <c r="L16" s="58">
        <f>'emiss 2'!$M$22</f>
        <v>12.2</v>
      </c>
      <c r="M16" s="58"/>
      <c r="N16" s="58"/>
      <c r="O16" s="58"/>
      <c r="P16" s="58"/>
      <c r="Q16" s="58"/>
      <c r="R16" s="58">
        <f>'emiss 2'!$G$22</f>
        <v>11.5</v>
      </c>
      <c r="S16" s="58"/>
      <c r="T16" s="58">
        <f>'emiss 2'!$I$22</f>
        <v>11.9</v>
      </c>
      <c r="U16" s="58"/>
      <c r="V16" s="58">
        <f>'emiss 2'!$K$22</f>
        <v>12</v>
      </c>
      <c r="W16" s="58"/>
      <c r="X16" s="58">
        <f>'emiss 2'!$M$22</f>
        <v>12.2</v>
      </c>
      <c r="Y16" s="58"/>
      <c r="Z16" s="58"/>
      <c r="AA16" s="58"/>
      <c r="AB16" s="58"/>
      <c r="AC16" s="58"/>
      <c r="AD16" s="58">
        <f>'emiss 2'!$G$22</f>
        <v>11.5</v>
      </c>
      <c r="AE16" s="58"/>
      <c r="AF16" s="58">
        <f>'emiss 2'!$I$22</f>
        <v>11.9</v>
      </c>
      <c r="AG16" s="58"/>
      <c r="AH16" s="58">
        <f>'emiss 2'!$K$22</f>
        <v>12</v>
      </c>
      <c r="AI16" s="58"/>
      <c r="AJ16" s="58">
        <f>'emiss 2'!$M$22</f>
        <v>12.2</v>
      </c>
      <c r="AK16" s="58"/>
      <c r="AL16" s="58"/>
      <c r="AM16" s="58"/>
      <c r="AN16" s="58"/>
      <c r="AO16" s="58"/>
      <c r="AP16" s="58">
        <f>'emiss 2'!$G$22</f>
        <v>11.5</v>
      </c>
      <c r="AQ16" s="58"/>
      <c r="AR16" s="58">
        <f>'emiss 2'!$I$22</f>
        <v>11.9</v>
      </c>
      <c r="AS16" s="58"/>
      <c r="AT16" s="58">
        <f>'emiss 2'!$K$22</f>
        <v>12</v>
      </c>
      <c r="AU16" s="58"/>
      <c r="AV16" s="58">
        <f>'emiss 2'!$M$22</f>
        <v>12.2</v>
      </c>
      <c r="AW16" s="58"/>
      <c r="AX16" s="58"/>
      <c r="AY16" s="58"/>
      <c r="AZ16" s="58"/>
      <c r="BA16" s="58"/>
      <c r="BB16" s="58">
        <f>'emiss 2'!$G$22</f>
        <v>11.5</v>
      </c>
      <c r="BC16" s="58"/>
      <c r="BD16" s="58">
        <f>'emiss 2'!$I$22</f>
        <v>11.9</v>
      </c>
      <c r="BE16" s="58"/>
      <c r="BF16" s="58">
        <f>'emiss 2'!$K$22</f>
        <v>12</v>
      </c>
      <c r="BG16" s="58"/>
      <c r="BH16" s="58">
        <f>'emiss 2'!$M$22</f>
        <v>12.2</v>
      </c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>
        <f>'emiss 2'!$G$22</f>
        <v>11.5</v>
      </c>
      <c r="CA16" s="58"/>
      <c r="CB16" s="58">
        <f>'emiss 2'!$I$22</f>
        <v>11.9</v>
      </c>
      <c r="CC16" s="58"/>
      <c r="CD16" s="58">
        <f>'emiss 2'!$K$22</f>
        <v>12</v>
      </c>
      <c r="CE16" s="58"/>
      <c r="CF16" s="58">
        <f>'emiss 2'!$M$22</f>
        <v>12.2</v>
      </c>
      <c r="CG16" s="58"/>
      <c r="CH16" s="58"/>
      <c r="CI16" s="58"/>
      <c r="CJ16" s="58"/>
      <c r="CK16" s="58"/>
      <c r="CL16" s="58">
        <f>'emiss 2'!$G$22</f>
        <v>11.5</v>
      </c>
      <c r="CM16" s="58"/>
      <c r="CN16" s="58">
        <f>'emiss 2'!$I$22</f>
        <v>11.9</v>
      </c>
      <c r="CO16" s="58"/>
      <c r="CP16" s="58">
        <f>'emiss 2'!$K$22</f>
        <v>12</v>
      </c>
      <c r="CQ16" s="58"/>
      <c r="CR16" s="58">
        <f>'emiss 2'!$M$22</f>
        <v>12.2</v>
      </c>
      <c r="CS16" s="58"/>
      <c r="CT16" s="58"/>
      <c r="CU16" s="58"/>
      <c r="CV16" s="58"/>
    </row>
    <row r="17" spans="5:100" ht="12.75"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</row>
    <row r="18" spans="2:119" ht="12.75">
      <c r="B18" s="61" t="s">
        <v>21</v>
      </c>
      <c r="D18" s="61" t="s">
        <v>55</v>
      </c>
      <c r="E18" s="58"/>
      <c r="F18" s="87">
        <f>F13*F10*454/0.0283/60*14/(21-F16)/F15</f>
        <v>4709.873590998149</v>
      </c>
      <c r="G18" s="87"/>
      <c r="H18" s="87">
        <f>H13*H10*454/0.0283/60*14/(21-H16)/H15</f>
        <v>4136.464858345361</v>
      </c>
      <c r="I18" s="87"/>
      <c r="J18" s="87">
        <f>J13*J10*454/0.0283/60*14/(21-J16)/J15</f>
        <v>4423.576482718415</v>
      </c>
      <c r="K18" s="87"/>
      <c r="L18" s="87">
        <f>L13*L10*454/0.0283/60*14/(21-L16)/L15</f>
        <v>7481.442086334548</v>
      </c>
      <c r="M18" s="87"/>
      <c r="N18" s="87"/>
      <c r="O18" s="87"/>
      <c r="P18" s="87"/>
      <c r="Q18" s="87"/>
      <c r="R18" s="87">
        <f>R13*R10*454/0.0283/60*14/(21-R16)/R15</f>
        <v>29078.349996597273</v>
      </c>
      <c r="S18" s="87"/>
      <c r="T18" s="87">
        <f>T13*T10*454/0.0283/60*14/(21-T16)/T15</f>
        <v>24273.005592373822</v>
      </c>
      <c r="U18" s="87"/>
      <c r="V18" s="87">
        <f>V13*V10*454/0.0283/60*14/(21-V16)/V15</f>
        <v>26809.554440717482</v>
      </c>
      <c r="W18" s="87"/>
      <c r="X18" s="87">
        <f>X13*X10*454/0.0283/60*14/(21-X16)/X15</f>
        <v>28003.4533648217</v>
      </c>
      <c r="Y18" s="87"/>
      <c r="Z18" s="87"/>
      <c r="AA18" s="87"/>
      <c r="AB18" s="87"/>
      <c r="AC18" s="87"/>
      <c r="AD18" s="87">
        <f>AD13*AD10*454/0.0283/60*14/(21-AD16)/AD15</f>
        <v>1736509.9152897527</v>
      </c>
      <c r="AE18" s="87"/>
      <c r="AF18" s="87">
        <f>AF13*AF10*454/0.0283/60*14/(21-AF16)/AF15</f>
        <v>1948543.0524844464</v>
      </c>
      <c r="AG18" s="87"/>
      <c r="AH18" s="87">
        <f>AH13*AH10*454/0.0283/60*14/(21-AH16)/AH15</f>
        <v>1680752.8360911463</v>
      </c>
      <c r="AI18" s="87"/>
      <c r="AJ18" s="87">
        <f>AJ13*AJ10*454/0.0283/60*14/(21-AJ16)/AJ15</f>
        <v>2358732.4355526976</v>
      </c>
      <c r="AK18" s="87"/>
      <c r="AL18" s="87"/>
      <c r="AM18" s="87"/>
      <c r="AN18" s="87"/>
      <c r="AO18" s="87"/>
      <c r="AP18" s="87">
        <f>AP13*AP10*454/0.0283/60*14/(21-AP16)/AP15</f>
        <v>239589.22180294883</v>
      </c>
      <c r="AQ18" s="87"/>
      <c r="AR18" s="87">
        <f>AR13*AR10*454/0.0283/60*14/(21-AR16)/AR15</f>
        <v>233154.90578867955</v>
      </c>
      <c r="AS18" s="87"/>
      <c r="AT18" s="87">
        <f>AT13*AT10*454/0.0283/60*14/(21-AT16)/AT15</f>
        <v>304700.8975858489</v>
      </c>
      <c r="AU18" s="87"/>
      <c r="AV18" s="87">
        <f>AV13*AV10*454/0.0283/60*14/(21-AV16)/AV15</f>
        <v>354848.9545115605</v>
      </c>
      <c r="AW18" s="87"/>
      <c r="AX18" s="87"/>
      <c r="AY18" s="87"/>
      <c r="AZ18" s="87"/>
      <c r="BA18" s="87"/>
      <c r="BB18" s="87">
        <f>BB13*BB10*454/0.0283/60*14/(21-BB16)/BB15</f>
        <v>0</v>
      </c>
      <c r="BC18" s="87"/>
      <c r="BD18" s="87">
        <f>BD13*BD10*454/0.0283/60*14/(21-BD16)/BD15</f>
        <v>0</v>
      </c>
      <c r="BE18" s="87"/>
      <c r="BF18" s="87">
        <f>BF13*BF10*454/0.0283/60*14/(21-BF16)/BF15</f>
        <v>0</v>
      </c>
      <c r="BG18" s="87"/>
      <c r="BH18" s="87">
        <f>BH13*BH10*454/0.0283/60*14/(21-BH16)/BH15</f>
        <v>0</v>
      </c>
      <c r="BI18" s="87"/>
      <c r="BJ18" s="87"/>
      <c r="BK18" s="87"/>
      <c r="BL18" s="87"/>
      <c r="BM18" s="87"/>
      <c r="BN18" s="87">
        <f>SUM(BB18,AP18,AD18)</f>
        <v>1976099.1370927014</v>
      </c>
      <c r="BO18" s="87"/>
      <c r="BP18" s="87">
        <f>SUM(BD18,AR18,AF18)</f>
        <v>2181697.958273126</v>
      </c>
      <c r="BQ18" s="87"/>
      <c r="BR18" s="87">
        <f>SUM(BF18,AT18,AH18)</f>
        <v>1985453.7336769952</v>
      </c>
      <c r="BS18" s="87"/>
      <c r="BT18" s="87">
        <f>SUM(BH18,AV18,AJ18)</f>
        <v>2713581.390064258</v>
      </c>
      <c r="BU18" s="87"/>
      <c r="BV18" s="87">
        <f>SUM(BJ18,AX18,AL18)</f>
        <v>0</v>
      </c>
      <c r="BW18" s="87"/>
      <c r="BX18" s="87">
        <f>SUM(BL18,AZ18,AN18)</f>
        <v>0</v>
      </c>
      <c r="BY18" s="87"/>
      <c r="BZ18" s="87">
        <f>BZ13*BZ10*454/0.0283/60*14/(21-BZ16)/BZ15</f>
        <v>0</v>
      </c>
      <c r="CA18" s="87"/>
      <c r="CB18" s="87">
        <f>CB13*CB10*454/0.0283/60*14/(21-CB16)/CB15</f>
        <v>0</v>
      </c>
      <c r="CC18" s="87"/>
      <c r="CD18" s="87">
        <f>CD13*CD10*454/0.0283/60*14/(21-CD16)/CD15</f>
        <v>0</v>
      </c>
      <c r="CE18" s="87"/>
      <c r="CF18" s="87">
        <f>CF13*CF10*454/0.0283/60*14/(21-CF16)/CF15</f>
        <v>0</v>
      </c>
      <c r="CG18" s="87"/>
      <c r="CH18" s="87"/>
      <c r="CI18" s="87"/>
      <c r="CJ18" s="87"/>
      <c r="CK18" s="87"/>
      <c r="CL18" s="87">
        <f>CL13*CL10*454/0.0283/60*14/(21-CL16)/CL15</f>
        <v>0</v>
      </c>
      <c r="CM18" s="87"/>
      <c r="CN18" s="87">
        <f>CN13*CN10*454/0.0283/60*14/(21-CN16)/CN15</f>
        <v>0</v>
      </c>
      <c r="CO18" s="87"/>
      <c r="CP18" s="87">
        <f>CP13*CP10*454/0.0283/60*14/(21-CP16)/CP15</f>
        <v>0</v>
      </c>
      <c r="CQ18" s="87"/>
      <c r="CR18" s="87">
        <f>CR13*CR10*454/0.0283/60*14/(21-CR16)/CR15</f>
        <v>0</v>
      </c>
      <c r="CS18" s="87"/>
      <c r="CT18" s="87"/>
      <c r="CU18" s="87"/>
      <c r="CV18" s="87"/>
      <c r="CW18" s="87"/>
      <c r="CX18" s="87">
        <f>CL18+BZ18+BB18+AP18+AD18+R18+F18</f>
        <v>2009887.3606802968</v>
      </c>
      <c r="CY18" s="87"/>
      <c r="CZ18" s="87">
        <f>CN18+CB18+BD18+AR18+AF18+T18+H18</f>
        <v>2210107.4287238447</v>
      </c>
      <c r="DA18" s="87"/>
      <c r="DB18" s="87">
        <f>CP18+CD18+BF18+AT18+AH18+V18+J18</f>
        <v>2016686.864600431</v>
      </c>
      <c r="DC18" s="87"/>
      <c r="DD18" s="87">
        <f>CR18+CF18+BH18+AV18+AJ18+X18+L18</f>
        <v>2749066.285515414</v>
      </c>
      <c r="DE18" s="87"/>
      <c r="DF18" s="87"/>
      <c r="DG18" s="87"/>
      <c r="DH18" s="87"/>
      <c r="DI18" s="87"/>
      <c r="DJ18" s="87">
        <f>AVERAGE(CX18,CZ18,DB18,DD18)</f>
        <v>2246436.9848799966</v>
      </c>
      <c r="DL18" s="65">
        <f>AVERAGE(BZ18,CB18,CD18,CF18,CH18,CJ18)+AVERAGE(CL18,CN18,CP18,CR18,CT18,CV18)</f>
        <v>0</v>
      </c>
      <c r="DM18" s="65">
        <f>AVERAGE(AD18,AF18,AH18,AJ18,AL18,AN18)+AVERAGE(AP18,AR18,AT18,AV18,AX18,AZ18)+AVERAGE(BB18,BD18,BF18,BH18,BJ18,BL18)</f>
        <v>2214208.05477677</v>
      </c>
      <c r="DN18" s="65">
        <f>AVERAGE(F18,H18,J18,L18,N18,P18)+AVERAGE(R18,T18,V18,X18,Z18,AB18)</f>
        <v>32228.930103226692</v>
      </c>
      <c r="DO18" s="65">
        <f>SUM(DL18,DM18,DN18)</f>
        <v>2246436.9848799966</v>
      </c>
    </row>
    <row r="19" spans="5:100" ht="12.75"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</row>
    <row r="20" spans="2:114" ht="12.75">
      <c r="B20" s="33" t="s">
        <v>179</v>
      </c>
      <c r="C20" s="33"/>
      <c r="D20" s="33"/>
      <c r="E20" s="58"/>
      <c r="F20" s="69" t="s">
        <v>106</v>
      </c>
      <c r="G20" s="69"/>
      <c r="H20" s="69" t="s">
        <v>107</v>
      </c>
      <c r="I20" s="69"/>
      <c r="J20" s="69" t="s">
        <v>108</v>
      </c>
      <c r="K20" s="69"/>
      <c r="L20" s="69" t="s">
        <v>190</v>
      </c>
      <c r="M20" s="69"/>
      <c r="N20" s="69" t="s">
        <v>203</v>
      </c>
      <c r="O20" s="69"/>
      <c r="P20" s="69" t="s">
        <v>204</v>
      </c>
      <c r="Q20" s="69"/>
      <c r="R20" s="69" t="s">
        <v>106</v>
      </c>
      <c r="S20" s="69"/>
      <c r="T20" s="69" t="s">
        <v>107</v>
      </c>
      <c r="U20" s="69"/>
      <c r="V20" s="69" t="s">
        <v>108</v>
      </c>
      <c r="W20" s="69"/>
      <c r="X20" s="69" t="s">
        <v>190</v>
      </c>
      <c r="Y20" s="69"/>
      <c r="Z20" s="69" t="s">
        <v>203</v>
      </c>
      <c r="AA20" s="69"/>
      <c r="AB20" s="69" t="s">
        <v>204</v>
      </c>
      <c r="AC20" s="69"/>
      <c r="AD20" s="69" t="s">
        <v>106</v>
      </c>
      <c r="AE20" s="69"/>
      <c r="AF20" s="69" t="s">
        <v>107</v>
      </c>
      <c r="AG20" s="69"/>
      <c r="AH20" s="69" t="s">
        <v>108</v>
      </c>
      <c r="AI20" s="69"/>
      <c r="AJ20" s="69" t="s">
        <v>190</v>
      </c>
      <c r="AK20" s="69"/>
      <c r="AL20" s="69" t="s">
        <v>203</v>
      </c>
      <c r="AM20" s="69"/>
      <c r="AN20" s="69" t="s">
        <v>204</v>
      </c>
      <c r="AO20" s="69"/>
      <c r="AP20" s="69" t="s">
        <v>106</v>
      </c>
      <c r="AQ20" s="69"/>
      <c r="AR20" s="69" t="s">
        <v>107</v>
      </c>
      <c r="AS20" s="69"/>
      <c r="AT20" s="69" t="s">
        <v>108</v>
      </c>
      <c r="AU20" s="69"/>
      <c r="AV20" s="69" t="s">
        <v>190</v>
      </c>
      <c r="AW20" s="69"/>
      <c r="AX20" s="69" t="s">
        <v>203</v>
      </c>
      <c r="AY20" s="69"/>
      <c r="AZ20" s="69" t="s">
        <v>204</v>
      </c>
      <c r="BA20" s="69"/>
      <c r="BB20" s="69" t="s">
        <v>106</v>
      </c>
      <c r="BC20" s="69"/>
      <c r="BD20" s="69" t="s">
        <v>107</v>
      </c>
      <c r="BE20" s="69"/>
      <c r="BF20" s="69" t="s">
        <v>108</v>
      </c>
      <c r="BG20" s="69"/>
      <c r="BH20" s="69" t="s">
        <v>190</v>
      </c>
      <c r="BI20" s="69"/>
      <c r="BJ20" s="69" t="s">
        <v>203</v>
      </c>
      <c r="BK20" s="69"/>
      <c r="BL20" s="69" t="s">
        <v>204</v>
      </c>
      <c r="BM20" s="69"/>
      <c r="BN20" s="69" t="s">
        <v>106</v>
      </c>
      <c r="BO20" s="69"/>
      <c r="BP20" s="69" t="s">
        <v>107</v>
      </c>
      <c r="BQ20" s="69"/>
      <c r="BR20" s="69" t="s">
        <v>108</v>
      </c>
      <c r="BS20" s="69"/>
      <c r="BT20" s="69" t="s">
        <v>190</v>
      </c>
      <c r="BU20" s="69"/>
      <c r="BV20" s="69" t="s">
        <v>203</v>
      </c>
      <c r="BW20" s="69"/>
      <c r="BX20" s="69" t="s">
        <v>204</v>
      </c>
      <c r="BY20" s="69"/>
      <c r="BZ20" s="69" t="s">
        <v>106</v>
      </c>
      <c r="CA20" s="69"/>
      <c r="CB20" s="69" t="s">
        <v>107</v>
      </c>
      <c r="CC20" s="69"/>
      <c r="CD20" s="69" t="s">
        <v>108</v>
      </c>
      <c r="CE20" s="69"/>
      <c r="CF20" s="69" t="s">
        <v>190</v>
      </c>
      <c r="CG20" s="69"/>
      <c r="CH20" s="69" t="s">
        <v>203</v>
      </c>
      <c r="CI20" s="69"/>
      <c r="CJ20" s="69" t="s">
        <v>204</v>
      </c>
      <c r="CK20" s="69"/>
      <c r="CL20" s="69" t="s">
        <v>106</v>
      </c>
      <c r="CM20" s="69"/>
      <c r="CN20" s="69" t="s">
        <v>107</v>
      </c>
      <c r="CO20" s="69"/>
      <c r="CP20" s="69" t="s">
        <v>108</v>
      </c>
      <c r="CQ20" s="69"/>
      <c r="CR20" s="69" t="s">
        <v>190</v>
      </c>
      <c r="CS20" s="69"/>
      <c r="CT20" s="69" t="s">
        <v>203</v>
      </c>
      <c r="CU20" s="69"/>
      <c r="CV20" s="69" t="s">
        <v>204</v>
      </c>
      <c r="CW20" s="69"/>
      <c r="CX20" s="69" t="s">
        <v>106</v>
      </c>
      <c r="CY20" s="69"/>
      <c r="CZ20" s="69" t="s">
        <v>107</v>
      </c>
      <c r="DA20" s="69"/>
      <c r="DB20" s="69" t="s">
        <v>108</v>
      </c>
      <c r="DC20" s="69"/>
      <c r="DD20" s="69" t="s">
        <v>190</v>
      </c>
      <c r="DE20" s="69"/>
      <c r="DF20" s="69" t="s">
        <v>203</v>
      </c>
      <c r="DG20" s="69"/>
      <c r="DH20" s="69" t="s">
        <v>204</v>
      </c>
      <c r="DI20" s="69"/>
      <c r="DJ20" s="69" t="s">
        <v>56</v>
      </c>
    </row>
    <row r="21" spans="2:114" ht="12.75">
      <c r="B21" s="33"/>
      <c r="C21" s="33"/>
      <c r="D21" s="33"/>
      <c r="E21" s="5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</row>
    <row r="22" spans="2:114" ht="12.75">
      <c r="B22" s="11" t="s">
        <v>310</v>
      </c>
      <c r="C22" s="33"/>
      <c r="D22" s="33"/>
      <c r="F22" s="69" t="s">
        <v>316</v>
      </c>
      <c r="G22" s="69"/>
      <c r="H22" s="69" t="s">
        <v>316</v>
      </c>
      <c r="I22" s="69"/>
      <c r="J22" s="69" t="s">
        <v>316</v>
      </c>
      <c r="K22" s="69"/>
      <c r="L22" s="69" t="s">
        <v>316</v>
      </c>
      <c r="M22" s="69"/>
      <c r="N22" s="69" t="s">
        <v>316</v>
      </c>
      <c r="O22" s="69"/>
      <c r="P22" s="69" t="s">
        <v>316</v>
      </c>
      <c r="Q22" s="69"/>
      <c r="R22" s="69" t="s">
        <v>317</v>
      </c>
      <c r="S22" s="69"/>
      <c r="T22" s="69" t="s">
        <v>317</v>
      </c>
      <c r="U22" s="69"/>
      <c r="V22" s="69" t="s">
        <v>317</v>
      </c>
      <c r="W22" s="69"/>
      <c r="X22" s="69" t="s">
        <v>317</v>
      </c>
      <c r="Y22" s="69"/>
      <c r="Z22" s="69" t="s">
        <v>317</v>
      </c>
      <c r="AA22" s="69"/>
      <c r="AB22" s="69" t="s">
        <v>317</v>
      </c>
      <c r="AC22" s="69"/>
      <c r="AD22" s="69" t="s">
        <v>318</v>
      </c>
      <c r="AE22" s="69"/>
      <c r="AF22" s="69" t="s">
        <v>318</v>
      </c>
      <c r="AG22" s="69"/>
      <c r="AH22" s="69" t="s">
        <v>318</v>
      </c>
      <c r="AI22" s="69"/>
      <c r="AJ22" s="69" t="s">
        <v>318</v>
      </c>
      <c r="AK22" s="69"/>
      <c r="AL22" s="69" t="s">
        <v>318</v>
      </c>
      <c r="AM22" s="69"/>
      <c r="AN22" s="69" t="s">
        <v>318</v>
      </c>
      <c r="AO22" s="69"/>
      <c r="AP22" s="69" t="s">
        <v>319</v>
      </c>
      <c r="AQ22" s="69"/>
      <c r="AR22" s="69" t="s">
        <v>319</v>
      </c>
      <c r="AS22" s="69"/>
      <c r="AT22" s="69" t="s">
        <v>319</v>
      </c>
      <c r="AU22" s="69"/>
      <c r="AV22" s="69" t="s">
        <v>319</v>
      </c>
      <c r="AW22" s="69"/>
      <c r="AX22" s="69" t="s">
        <v>319</v>
      </c>
      <c r="AY22" s="69"/>
      <c r="AZ22" s="69" t="s">
        <v>319</v>
      </c>
      <c r="BA22" s="69"/>
      <c r="BB22" s="69" t="s">
        <v>320</v>
      </c>
      <c r="BC22" s="69"/>
      <c r="BD22" s="69" t="s">
        <v>320</v>
      </c>
      <c r="BE22" s="69"/>
      <c r="BF22" s="69" t="s">
        <v>320</v>
      </c>
      <c r="BG22" s="69"/>
      <c r="BH22" s="69" t="s">
        <v>320</v>
      </c>
      <c r="BI22" s="69"/>
      <c r="BJ22" s="69" t="s">
        <v>320</v>
      </c>
      <c r="BK22" s="69"/>
      <c r="BL22" s="69" t="s">
        <v>320</v>
      </c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 t="s">
        <v>321</v>
      </c>
      <c r="CA22" s="69"/>
      <c r="CB22" s="69" t="s">
        <v>321</v>
      </c>
      <c r="CC22" s="69"/>
      <c r="CD22" s="69" t="s">
        <v>321</v>
      </c>
      <c r="CE22" s="69"/>
      <c r="CF22" s="69" t="s">
        <v>321</v>
      </c>
      <c r="CG22" s="69"/>
      <c r="CH22" s="69" t="s">
        <v>321</v>
      </c>
      <c r="CI22" s="69"/>
      <c r="CJ22" s="69" t="s">
        <v>321</v>
      </c>
      <c r="CK22" s="69"/>
      <c r="CL22" s="69" t="s">
        <v>322</v>
      </c>
      <c r="CM22" s="69"/>
      <c r="CN22" s="69" t="s">
        <v>322</v>
      </c>
      <c r="CO22" s="69"/>
      <c r="CP22" s="69" t="s">
        <v>322</v>
      </c>
      <c r="CQ22" s="69"/>
      <c r="CR22" s="69" t="s">
        <v>322</v>
      </c>
      <c r="CS22" s="69"/>
      <c r="CT22" s="69" t="s">
        <v>322</v>
      </c>
      <c r="CU22" s="69"/>
      <c r="CV22" s="69" t="s">
        <v>322</v>
      </c>
      <c r="CW22" s="69"/>
      <c r="CX22" s="69" t="s">
        <v>323</v>
      </c>
      <c r="CY22" s="69"/>
      <c r="CZ22" s="69" t="s">
        <v>323</v>
      </c>
      <c r="DA22" s="69"/>
      <c r="DB22" s="69" t="s">
        <v>323</v>
      </c>
      <c r="DC22" s="69"/>
      <c r="DD22" s="69" t="s">
        <v>323</v>
      </c>
      <c r="DE22" s="69"/>
      <c r="DF22" s="69" t="s">
        <v>323</v>
      </c>
      <c r="DG22" s="69"/>
      <c r="DH22" s="69" t="s">
        <v>323</v>
      </c>
      <c r="DI22" s="69"/>
      <c r="DJ22" s="69" t="s">
        <v>323</v>
      </c>
    </row>
    <row r="23" spans="2:114" ht="12.75">
      <c r="B23" s="11" t="s">
        <v>311</v>
      </c>
      <c r="F23" s="69" t="s">
        <v>105</v>
      </c>
      <c r="G23" s="69"/>
      <c r="H23" s="69" t="s">
        <v>105</v>
      </c>
      <c r="I23" s="69"/>
      <c r="J23" s="69" t="s">
        <v>105</v>
      </c>
      <c r="K23" s="69"/>
      <c r="L23" s="69" t="s">
        <v>105</v>
      </c>
      <c r="M23" s="69"/>
      <c r="N23" s="69" t="s">
        <v>105</v>
      </c>
      <c r="O23" s="69"/>
      <c r="P23" s="69" t="s">
        <v>105</v>
      </c>
      <c r="Q23" s="69"/>
      <c r="R23" s="69" t="s">
        <v>313</v>
      </c>
      <c r="S23" s="69"/>
      <c r="T23" s="69" t="s">
        <v>313</v>
      </c>
      <c r="U23" s="69"/>
      <c r="V23" s="69" t="s">
        <v>313</v>
      </c>
      <c r="W23" s="69"/>
      <c r="X23" s="69" t="s">
        <v>313</v>
      </c>
      <c r="Y23" s="69"/>
      <c r="Z23" s="69" t="s">
        <v>313</v>
      </c>
      <c r="AA23" s="69"/>
      <c r="AB23" s="69" t="s">
        <v>313</v>
      </c>
      <c r="AC23" s="69"/>
      <c r="AD23" s="69" t="s">
        <v>52</v>
      </c>
      <c r="AE23" s="69"/>
      <c r="AF23" s="69" t="s">
        <v>52</v>
      </c>
      <c r="AG23" s="69"/>
      <c r="AH23" s="69" t="s">
        <v>52</v>
      </c>
      <c r="AI23" s="69"/>
      <c r="AJ23" s="69" t="s">
        <v>52</v>
      </c>
      <c r="AK23" s="69"/>
      <c r="AL23" s="69" t="s">
        <v>52</v>
      </c>
      <c r="AM23" s="69"/>
      <c r="AN23" s="69" t="s">
        <v>52</v>
      </c>
      <c r="AO23" s="69"/>
      <c r="AP23" s="69" t="s">
        <v>52</v>
      </c>
      <c r="AQ23" s="69"/>
      <c r="AR23" s="69" t="s">
        <v>52</v>
      </c>
      <c r="AS23" s="69"/>
      <c r="AT23" s="69" t="s">
        <v>52</v>
      </c>
      <c r="AU23" s="69"/>
      <c r="AV23" s="69" t="s">
        <v>52</v>
      </c>
      <c r="AW23" s="69"/>
      <c r="AX23" s="69" t="s">
        <v>52</v>
      </c>
      <c r="AY23" s="69"/>
      <c r="AZ23" s="69" t="s">
        <v>52</v>
      </c>
      <c r="BA23" s="69"/>
      <c r="BB23" s="69" t="s">
        <v>52</v>
      </c>
      <c r="BC23" s="69"/>
      <c r="BD23" s="69" t="s">
        <v>52</v>
      </c>
      <c r="BE23" s="69"/>
      <c r="BF23" s="69" t="s">
        <v>52</v>
      </c>
      <c r="BG23" s="69"/>
      <c r="BH23" s="69" t="s">
        <v>52</v>
      </c>
      <c r="BI23" s="69"/>
      <c r="BJ23" s="69" t="s">
        <v>52</v>
      </c>
      <c r="BK23" s="69"/>
      <c r="BL23" s="69" t="s">
        <v>52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 t="s">
        <v>314</v>
      </c>
      <c r="CA23" s="69"/>
      <c r="CB23" s="69" t="s">
        <v>314</v>
      </c>
      <c r="CC23" s="69"/>
      <c r="CD23" s="69" t="s">
        <v>314</v>
      </c>
      <c r="CE23" s="69"/>
      <c r="CF23" s="69" t="s">
        <v>314</v>
      </c>
      <c r="CG23" s="69"/>
      <c r="CH23" s="69" t="s">
        <v>314</v>
      </c>
      <c r="CI23" s="69"/>
      <c r="CJ23" s="69" t="s">
        <v>314</v>
      </c>
      <c r="CK23" s="69"/>
      <c r="CL23" s="69" t="s">
        <v>315</v>
      </c>
      <c r="CM23" s="69"/>
      <c r="CN23" s="69" t="s">
        <v>315</v>
      </c>
      <c r="CO23" s="69"/>
      <c r="CP23" s="69" t="s">
        <v>315</v>
      </c>
      <c r="CQ23" s="69"/>
      <c r="CR23" s="69" t="s">
        <v>315</v>
      </c>
      <c r="CS23" s="69"/>
      <c r="CT23" s="69" t="s">
        <v>315</v>
      </c>
      <c r="CU23" s="69"/>
      <c r="CV23" s="69" t="s">
        <v>315</v>
      </c>
      <c r="CW23" s="69"/>
      <c r="CX23" s="69" t="s">
        <v>30</v>
      </c>
      <c r="CY23" s="69"/>
      <c r="CZ23" s="69" t="s">
        <v>30</v>
      </c>
      <c r="DA23" s="69"/>
      <c r="DB23" s="69" t="s">
        <v>30</v>
      </c>
      <c r="DC23" s="69"/>
      <c r="DD23" s="69" t="s">
        <v>30</v>
      </c>
      <c r="DE23" s="69"/>
      <c r="DF23" s="69" t="s">
        <v>30</v>
      </c>
      <c r="DG23" s="69"/>
      <c r="DH23" s="69" t="s">
        <v>30</v>
      </c>
      <c r="DI23" s="69"/>
      <c r="DJ23" s="69" t="s">
        <v>30</v>
      </c>
    </row>
    <row r="24" spans="2:114" ht="12.75">
      <c r="B24" s="11" t="s">
        <v>325</v>
      </c>
      <c r="F24" s="69" t="s">
        <v>105</v>
      </c>
      <c r="G24" s="69"/>
      <c r="H24" s="69" t="s">
        <v>105</v>
      </c>
      <c r="I24" s="69"/>
      <c r="J24" s="69" t="s">
        <v>105</v>
      </c>
      <c r="K24" s="69"/>
      <c r="L24" s="69" t="s">
        <v>105</v>
      </c>
      <c r="M24" s="69"/>
      <c r="N24" s="69" t="s">
        <v>105</v>
      </c>
      <c r="O24" s="69"/>
      <c r="P24" s="69" t="s">
        <v>105</v>
      </c>
      <c r="Q24" s="69"/>
      <c r="R24" s="69" t="s">
        <v>326</v>
      </c>
      <c r="S24" s="69"/>
      <c r="T24" s="69" t="s">
        <v>326</v>
      </c>
      <c r="U24" s="69"/>
      <c r="V24" s="69" t="s">
        <v>326</v>
      </c>
      <c r="W24" s="69"/>
      <c r="X24" s="69" t="s">
        <v>326</v>
      </c>
      <c r="Y24" s="69"/>
      <c r="Z24" s="69" t="s">
        <v>326</v>
      </c>
      <c r="AA24" s="69"/>
      <c r="AB24" s="69" t="s">
        <v>326</v>
      </c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 t="s">
        <v>52</v>
      </c>
      <c r="BO24" s="69"/>
      <c r="BP24" s="69" t="s">
        <v>52</v>
      </c>
      <c r="BQ24" s="69"/>
      <c r="BR24" s="69" t="s">
        <v>52</v>
      </c>
      <c r="BS24" s="69"/>
      <c r="BT24" s="69" t="s">
        <v>52</v>
      </c>
      <c r="BU24" s="69"/>
      <c r="BV24" s="69" t="s">
        <v>52</v>
      </c>
      <c r="BW24" s="69"/>
      <c r="BX24" s="69" t="s">
        <v>52</v>
      </c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 t="s">
        <v>30</v>
      </c>
      <c r="CY24" s="69"/>
      <c r="CZ24" s="69" t="s">
        <v>30</v>
      </c>
      <c r="DA24" s="69"/>
      <c r="DB24" s="69" t="s">
        <v>30</v>
      </c>
      <c r="DC24" s="69"/>
      <c r="DD24" s="69" t="s">
        <v>30</v>
      </c>
      <c r="DE24" s="69"/>
      <c r="DF24" s="69" t="s">
        <v>30</v>
      </c>
      <c r="DG24" s="69"/>
      <c r="DH24" s="69" t="s">
        <v>30</v>
      </c>
      <c r="DI24" s="69"/>
      <c r="DJ24" s="69" t="s">
        <v>30</v>
      </c>
    </row>
    <row r="25" spans="2:114" ht="12.75">
      <c r="B25" s="18" t="s">
        <v>93</v>
      </c>
      <c r="F25" s="69" t="s">
        <v>105</v>
      </c>
      <c r="G25" s="69"/>
      <c r="H25" s="69" t="s">
        <v>105</v>
      </c>
      <c r="I25" s="69"/>
      <c r="J25" s="69" t="s">
        <v>105</v>
      </c>
      <c r="K25" s="69"/>
      <c r="L25" s="69" t="s">
        <v>105</v>
      </c>
      <c r="M25" s="69"/>
      <c r="N25" s="69" t="s">
        <v>105</v>
      </c>
      <c r="O25" s="69"/>
      <c r="P25" s="69" t="s">
        <v>105</v>
      </c>
      <c r="Q25" s="69"/>
      <c r="R25" s="69" t="s">
        <v>332</v>
      </c>
      <c r="S25" s="69"/>
      <c r="T25" s="69" t="s">
        <v>332</v>
      </c>
      <c r="U25" s="69"/>
      <c r="V25" s="69" t="s">
        <v>332</v>
      </c>
      <c r="W25" s="69"/>
      <c r="X25" s="69" t="s">
        <v>332</v>
      </c>
      <c r="Y25" s="69"/>
      <c r="Z25" s="69" t="s">
        <v>332</v>
      </c>
      <c r="AA25" s="69"/>
      <c r="AB25" s="69" t="s">
        <v>332</v>
      </c>
      <c r="AC25" s="69"/>
      <c r="AD25" s="69" t="s">
        <v>333</v>
      </c>
      <c r="AE25" s="69"/>
      <c r="AF25" s="69" t="s">
        <v>333</v>
      </c>
      <c r="AG25" s="69"/>
      <c r="AH25" s="69" t="s">
        <v>333</v>
      </c>
      <c r="AI25" s="69"/>
      <c r="AJ25" s="69" t="s">
        <v>333</v>
      </c>
      <c r="AK25" s="69"/>
      <c r="AL25" s="69" t="s">
        <v>333</v>
      </c>
      <c r="AM25" s="69"/>
      <c r="AN25" s="69" t="s">
        <v>333</v>
      </c>
      <c r="AO25" s="69"/>
      <c r="AP25" s="69" t="s">
        <v>334</v>
      </c>
      <c r="AQ25" s="69"/>
      <c r="AR25" s="69" t="s">
        <v>334</v>
      </c>
      <c r="AS25" s="69"/>
      <c r="AT25" s="69" t="s">
        <v>334</v>
      </c>
      <c r="AU25" s="69"/>
      <c r="AV25" s="69" t="s">
        <v>334</v>
      </c>
      <c r="AW25" s="69"/>
      <c r="AX25" s="69" t="s">
        <v>334</v>
      </c>
      <c r="AY25" s="69"/>
      <c r="AZ25" s="69" t="s">
        <v>334</v>
      </c>
      <c r="BA25" s="69"/>
      <c r="BB25" s="69" t="s">
        <v>335</v>
      </c>
      <c r="BC25" s="69"/>
      <c r="BD25" s="69" t="s">
        <v>335</v>
      </c>
      <c r="BE25" s="69"/>
      <c r="BF25" s="69" t="s">
        <v>335</v>
      </c>
      <c r="BG25" s="69"/>
      <c r="BH25" s="69" t="s">
        <v>335</v>
      </c>
      <c r="BI25" s="69"/>
      <c r="BJ25" s="69" t="s">
        <v>335</v>
      </c>
      <c r="BK25" s="69"/>
      <c r="BL25" s="69" t="s">
        <v>335</v>
      </c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 t="s">
        <v>201</v>
      </c>
      <c r="CA25" s="69"/>
      <c r="CB25" s="69" t="s">
        <v>201</v>
      </c>
      <c r="CC25" s="69"/>
      <c r="CD25" s="69" t="s">
        <v>201</v>
      </c>
      <c r="CE25" s="69"/>
      <c r="CF25" s="69" t="s">
        <v>201</v>
      </c>
      <c r="CG25" s="69"/>
      <c r="CH25" s="69" t="s">
        <v>201</v>
      </c>
      <c r="CI25" s="69"/>
      <c r="CJ25" s="69" t="s">
        <v>201</v>
      </c>
      <c r="CK25" s="69"/>
      <c r="CL25" s="69" t="s">
        <v>202</v>
      </c>
      <c r="CM25" s="69"/>
      <c r="CN25" s="69" t="s">
        <v>202</v>
      </c>
      <c r="CO25" s="69"/>
      <c r="CP25" s="69" t="s">
        <v>202</v>
      </c>
      <c r="CQ25" s="69"/>
      <c r="CR25" s="69" t="s">
        <v>202</v>
      </c>
      <c r="CS25" s="69"/>
      <c r="CT25" s="69" t="s">
        <v>202</v>
      </c>
      <c r="CU25" s="69"/>
      <c r="CV25" s="69" t="s">
        <v>202</v>
      </c>
      <c r="CW25" s="69"/>
      <c r="CX25" s="69" t="s">
        <v>30</v>
      </c>
      <c r="CY25" s="69"/>
      <c r="CZ25" s="69" t="s">
        <v>30</v>
      </c>
      <c r="DA25" s="69"/>
      <c r="DB25" s="69" t="s">
        <v>30</v>
      </c>
      <c r="DC25" s="69"/>
      <c r="DD25" s="69" t="s">
        <v>30</v>
      </c>
      <c r="DE25" s="69"/>
      <c r="DF25" s="69" t="s">
        <v>30</v>
      </c>
      <c r="DG25" s="69"/>
      <c r="DH25" s="69" t="s">
        <v>30</v>
      </c>
      <c r="DI25" s="69"/>
      <c r="DJ25" s="69" t="s">
        <v>30</v>
      </c>
    </row>
    <row r="26" spans="1:114" ht="12.75">
      <c r="A26" s="61" t="s">
        <v>179</v>
      </c>
      <c r="B26" s="61" t="s">
        <v>96</v>
      </c>
      <c r="D26" s="61" t="s">
        <v>170</v>
      </c>
      <c r="E26" s="58"/>
      <c r="F26" s="87">
        <v>660</v>
      </c>
      <c r="G26" s="87"/>
      <c r="H26" s="87">
        <v>420</v>
      </c>
      <c r="I26" s="87"/>
      <c r="J26" s="87">
        <v>1760</v>
      </c>
      <c r="K26" s="87"/>
      <c r="L26" s="87">
        <v>400</v>
      </c>
      <c r="M26" s="87"/>
      <c r="N26" s="87"/>
      <c r="O26" s="87"/>
      <c r="P26" s="87"/>
      <c r="Q26" s="87"/>
      <c r="R26" s="72">
        <v>102600</v>
      </c>
      <c r="S26" s="87"/>
      <c r="T26" s="72">
        <v>99000</v>
      </c>
      <c r="U26" s="87"/>
      <c r="V26" s="72">
        <v>104400</v>
      </c>
      <c r="W26" s="87"/>
      <c r="X26" s="72">
        <v>103800</v>
      </c>
      <c r="Y26" s="87"/>
      <c r="Z26" s="87"/>
      <c r="AA26" s="87"/>
      <c r="AB26" s="87"/>
      <c r="AC26" s="87"/>
      <c r="AD26" s="87">
        <v>13020</v>
      </c>
      <c r="AE26" s="87"/>
      <c r="AF26" s="87">
        <v>14100</v>
      </c>
      <c r="AG26" s="87"/>
      <c r="AH26" s="87">
        <v>12000</v>
      </c>
      <c r="AI26" s="87"/>
      <c r="AJ26" s="87">
        <v>13020</v>
      </c>
      <c r="AK26" s="87"/>
      <c r="AL26" s="87"/>
      <c r="AM26" s="87"/>
      <c r="AN26" s="87"/>
      <c r="AO26" s="87"/>
      <c r="AP26" s="87">
        <v>2125</v>
      </c>
      <c r="AQ26" s="87"/>
      <c r="AR26" s="87">
        <v>1908</v>
      </c>
      <c r="AS26" s="87"/>
      <c r="AT26" s="87">
        <v>2158</v>
      </c>
      <c r="AU26" s="87"/>
      <c r="AV26" s="87">
        <v>2221</v>
      </c>
      <c r="AW26" s="87"/>
      <c r="AX26" s="87"/>
      <c r="AY26" s="87"/>
      <c r="AZ26" s="87"/>
      <c r="BA26" s="87"/>
      <c r="BB26" s="87">
        <v>59</v>
      </c>
      <c r="BC26" s="87"/>
      <c r="BD26" s="87">
        <v>46</v>
      </c>
      <c r="BE26" s="87"/>
      <c r="BF26" s="87">
        <v>50</v>
      </c>
      <c r="BG26" s="87"/>
      <c r="BH26" s="87">
        <v>61</v>
      </c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</row>
    <row r="27" spans="1:114" ht="12.75">
      <c r="A27" s="61" t="s">
        <v>179</v>
      </c>
      <c r="B27" s="61" t="s">
        <v>312</v>
      </c>
      <c r="D27" s="61" t="s">
        <v>207</v>
      </c>
      <c r="E27" s="58"/>
      <c r="F27" s="87">
        <f>F28*1000000/F26</f>
        <v>13848.484848484848</v>
      </c>
      <c r="G27" s="87"/>
      <c r="H27" s="87">
        <f>H28*1000000/H26</f>
        <v>13904.761904761905</v>
      </c>
      <c r="I27" s="87"/>
      <c r="J27" s="87">
        <f>J28*1000000/J26</f>
        <v>13920.454545454546</v>
      </c>
      <c r="K27" s="87"/>
      <c r="L27" s="87">
        <f>L28*1000000/L26</f>
        <v>13800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72">
        <f>AD28*1000000/AD26</f>
        <v>11520.737327188941</v>
      </c>
      <c r="AE27" s="72"/>
      <c r="AF27" s="72">
        <f>AF28*1000000/AF26</f>
        <v>11063.829787234043</v>
      </c>
      <c r="AG27" s="72"/>
      <c r="AH27" s="72">
        <f>AH28*1000000/AH26</f>
        <v>11000</v>
      </c>
      <c r="AI27" s="72"/>
      <c r="AJ27" s="72">
        <f>AJ28*1000000/AJ26</f>
        <v>11290.322580645161</v>
      </c>
      <c r="AK27" s="72"/>
      <c r="AL27" s="72"/>
      <c r="AM27" s="72"/>
      <c r="AN27" s="72"/>
      <c r="AO27" s="72"/>
      <c r="AP27" s="72">
        <f>AP28*1000000/AP26</f>
        <v>7011.764705882353</v>
      </c>
      <c r="AQ27" s="72"/>
      <c r="AR27" s="72">
        <f>AR28*1000000/AR26</f>
        <v>6551.362683438155</v>
      </c>
      <c r="AS27" s="72"/>
      <c r="AT27" s="72">
        <f>AT28*1000000/AT26</f>
        <v>6441.149212233549</v>
      </c>
      <c r="AU27" s="72"/>
      <c r="AV27" s="72">
        <f>AV28*1000000/AV26</f>
        <v>6483.565961278703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</row>
    <row r="28" spans="2:114" ht="12.75">
      <c r="B28" s="61" t="s">
        <v>330</v>
      </c>
      <c r="D28" s="61" t="s">
        <v>331</v>
      </c>
      <c r="E28" s="58"/>
      <c r="F28" s="87">
        <v>9.14</v>
      </c>
      <c r="G28" s="87"/>
      <c r="H28" s="87">
        <v>5.84</v>
      </c>
      <c r="I28" s="87"/>
      <c r="J28" s="87">
        <v>24.5</v>
      </c>
      <c r="K28" s="87"/>
      <c r="L28" s="87">
        <v>5.52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72">
        <v>150</v>
      </c>
      <c r="AE28" s="72"/>
      <c r="AF28" s="72">
        <v>156</v>
      </c>
      <c r="AG28" s="72"/>
      <c r="AH28" s="72">
        <v>132</v>
      </c>
      <c r="AI28" s="72"/>
      <c r="AJ28" s="72">
        <v>147</v>
      </c>
      <c r="AK28" s="72"/>
      <c r="AL28" s="72"/>
      <c r="AM28" s="72"/>
      <c r="AN28" s="72"/>
      <c r="AO28" s="72"/>
      <c r="AP28" s="72">
        <v>14.9</v>
      </c>
      <c r="AQ28" s="72"/>
      <c r="AR28" s="72">
        <v>12.5</v>
      </c>
      <c r="AS28" s="72"/>
      <c r="AT28" s="72">
        <v>13.9</v>
      </c>
      <c r="AU28" s="72"/>
      <c r="AV28" s="72">
        <v>14.4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87">
        <f>SUM(BB28,AP28,AD28)</f>
        <v>164.9</v>
      </c>
      <c r="BO28" s="72"/>
      <c r="BP28" s="87">
        <f>SUM(BD28,AR28,AF28)</f>
        <v>168.5</v>
      </c>
      <c r="BQ28" s="72"/>
      <c r="BR28" s="87">
        <f>SUM(BF28,AT28,AH28)</f>
        <v>145.9</v>
      </c>
      <c r="BS28" s="72"/>
      <c r="BT28" s="87">
        <f>SUM(BH28,AV28,AJ28)</f>
        <v>161.4</v>
      </c>
      <c r="BU28" s="72"/>
      <c r="BV28" s="87"/>
      <c r="BW28" s="72"/>
      <c r="BX28" s="72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>
        <f>F28+AD28+AP28</f>
        <v>174.04</v>
      </c>
      <c r="CY28" s="87"/>
      <c r="CZ28" s="87">
        <f>H28+AF28+AR28</f>
        <v>174.34</v>
      </c>
      <c r="DA28" s="87"/>
      <c r="DB28" s="87">
        <f>J28+AH28+AT28</f>
        <v>170.4</v>
      </c>
      <c r="DC28" s="87"/>
      <c r="DD28" s="87">
        <f>L28+AJ28+AV28</f>
        <v>166.92000000000002</v>
      </c>
      <c r="DE28" s="87"/>
      <c r="DF28" s="87"/>
      <c r="DG28" s="87"/>
      <c r="DH28" s="87"/>
      <c r="DI28" s="87"/>
      <c r="DJ28" s="87">
        <f>AVERAGE(CX28,CZ28,DB28,DD28)</f>
        <v>171.425</v>
      </c>
    </row>
    <row r="29" spans="1:100" ht="12.75">
      <c r="A29" s="61" t="s">
        <v>179</v>
      </c>
      <c r="B29" s="61" t="s">
        <v>21</v>
      </c>
      <c r="D29" s="61" t="s">
        <v>208</v>
      </c>
      <c r="E29" s="58"/>
      <c r="F29" s="58">
        <v>300</v>
      </c>
      <c r="G29" s="58"/>
      <c r="H29" s="58">
        <v>400</v>
      </c>
      <c r="I29" s="58"/>
      <c r="J29" s="58">
        <v>300</v>
      </c>
      <c r="K29" s="58"/>
      <c r="L29" s="58">
        <v>400</v>
      </c>
      <c r="M29" s="58"/>
      <c r="N29" s="58"/>
      <c r="O29" s="58"/>
      <c r="P29" s="58"/>
      <c r="Q29" s="58"/>
      <c r="R29" s="58">
        <v>50</v>
      </c>
      <c r="S29" s="58"/>
      <c r="T29" s="58">
        <v>50</v>
      </c>
      <c r="U29" s="58"/>
      <c r="V29" s="58">
        <v>59.96168582375479</v>
      </c>
      <c r="W29" s="58"/>
      <c r="X29" s="58">
        <v>50</v>
      </c>
      <c r="Y29" s="58"/>
      <c r="Z29" s="58"/>
      <c r="AA29" s="58"/>
      <c r="AB29" s="58"/>
      <c r="AC29" s="58"/>
      <c r="AD29" s="74">
        <v>48003.07219662058</v>
      </c>
      <c r="AE29" s="74"/>
      <c r="AF29" s="74">
        <v>40992.90780141844</v>
      </c>
      <c r="AG29" s="74"/>
      <c r="AH29" s="74">
        <v>43000</v>
      </c>
      <c r="AI29" s="74"/>
      <c r="AJ29" s="74">
        <v>56989.247311828</v>
      </c>
      <c r="AK29" s="74"/>
      <c r="AL29" s="74"/>
      <c r="AM29" s="74"/>
      <c r="AN29" s="74"/>
      <c r="AO29" s="74"/>
      <c r="AP29" s="74">
        <v>1802.3529411764705</v>
      </c>
      <c r="AQ29" s="74"/>
      <c r="AR29" s="74">
        <v>1200.20964360587</v>
      </c>
      <c r="AS29" s="74"/>
      <c r="AT29" s="74">
        <v>1000.9267840593142</v>
      </c>
      <c r="AU29" s="74"/>
      <c r="AV29" s="74">
        <v>1202.1611886537596</v>
      </c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</row>
    <row r="30" spans="1:100" ht="12.75">
      <c r="A30" s="61" t="s">
        <v>179</v>
      </c>
      <c r="B30" s="61" t="s">
        <v>87</v>
      </c>
      <c r="D30" s="61" t="s">
        <v>208</v>
      </c>
      <c r="E30" s="58" t="s">
        <v>13</v>
      </c>
      <c r="F30" s="60">
        <v>0.447</v>
      </c>
      <c r="G30" s="60" t="s">
        <v>13</v>
      </c>
      <c r="H30" s="60">
        <v>0.000404</v>
      </c>
      <c r="I30" s="60" t="s">
        <v>13</v>
      </c>
      <c r="J30" s="60">
        <v>0.413</v>
      </c>
      <c r="K30" s="60" t="s">
        <v>13</v>
      </c>
      <c r="L30" s="60">
        <v>0.303</v>
      </c>
      <c r="M30" s="58"/>
      <c r="N30" s="58"/>
      <c r="O30" s="58"/>
      <c r="P30" s="58"/>
      <c r="Q30" s="58" t="s">
        <v>13</v>
      </c>
      <c r="R30" s="60">
        <v>0.388</v>
      </c>
      <c r="S30" s="60" t="s">
        <v>13</v>
      </c>
      <c r="T30" s="60">
        <v>0.327</v>
      </c>
      <c r="U30" s="60" t="s">
        <v>13</v>
      </c>
      <c r="V30" s="60">
        <v>0.237</v>
      </c>
      <c r="W30" s="60" t="s">
        <v>13</v>
      </c>
      <c r="X30" s="60">
        <v>0.339</v>
      </c>
      <c r="Y30" s="58"/>
      <c r="Z30" s="58"/>
      <c r="AA30" s="58"/>
      <c r="AB30" s="58"/>
      <c r="AC30" s="58"/>
      <c r="AD30" s="74">
        <v>427.0353302611367</v>
      </c>
      <c r="AE30" s="74"/>
      <c r="AF30" s="74">
        <v>389.36170212766</v>
      </c>
      <c r="AG30" s="74"/>
      <c r="AH30" s="74">
        <v>473.3333333333333</v>
      </c>
      <c r="AI30" s="74"/>
      <c r="AJ30" s="74">
        <v>425.49923195084483</v>
      </c>
      <c r="AK30" s="74"/>
      <c r="AL30" s="74"/>
      <c r="AM30" s="74"/>
      <c r="AN30" s="74"/>
      <c r="AO30" s="74"/>
      <c r="AP30" s="74">
        <v>3783.5294117647</v>
      </c>
      <c r="AQ30" s="74"/>
      <c r="AR30" s="74">
        <v>4407.7568134172</v>
      </c>
      <c r="AS30" s="74"/>
      <c r="AT30" s="74">
        <v>4555.1436515292</v>
      </c>
      <c r="AU30" s="74"/>
      <c r="AV30" s="74">
        <v>4362.899594777127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</row>
    <row r="31" spans="1:100" ht="12.75">
      <c r="A31" s="61" t="s">
        <v>179</v>
      </c>
      <c r="B31" s="61" t="s">
        <v>83</v>
      </c>
      <c r="D31" s="61" t="s">
        <v>208</v>
      </c>
      <c r="E31" s="58"/>
      <c r="F31" s="60">
        <v>0.651</v>
      </c>
      <c r="G31" s="60"/>
      <c r="H31" s="60">
        <v>0.578</v>
      </c>
      <c r="I31" s="60"/>
      <c r="J31" s="60">
        <v>0.94</v>
      </c>
      <c r="K31" s="60"/>
      <c r="L31" s="60">
        <v>0.997</v>
      </c>
      <c r="M31" s="58"/>
      <c r="N31" s="58"/>
      <c r="O31" s="58"/>
      <c r="P31" s="58"/>
      <c r="Q31" s="58"/>
      <c r="R31" s="60">
        <v>1.6</v>
      </c>
      <c r="S31" s="60"/>
      <c r="T31" s="60">
        <v>0.501</v>
      </c>
      <c r="U31" s="60"/>
      <c r="V31" s="60">
        <v>2.23</v>
      </c>
      <c r="W31" s="60"/>
      <c r="X31" s="60">
        <v>3.13</v>
      </c>
      <c r="Y31" s="58"/>
      <c r="Z31" s="58"/>
      <c r="AA31" s="58"/>
      <c r="AB31" s="58"/>
      <c r="AC31" s="58"/>
      <c r="AD31" s="74">
        <v>150.53763440860214</v>
      </c>
      <c r="AE31" s="74"/>
      <c r="AF31" s="74">
        <v>165.95744680851</v>
      </c>
      <c r="AG31" s="74"/>
      <c r="AH31" s="74">
        <v>198.33333333333334</v>
      </c>
      <c r="AI31" s="74"/>
      <c r="AJ31" s="74">
        <v>158.98617511520735</v>
      </c>
      <c r="AK31" s="74"/>
      <c r="AL31" s="74"/>
      <c r="AM31" s="74"/>
      <c r="AN31" s="74"/>
      <c r="AO31" s="74"/>
      <c r="AP31" s="74">
        <v>5600</v>
      </c>
      <c r="AQ31" s="74"/>
      <c r="AR31" s="74">
        <v>6656.184486373166</v>
      </c>
      <c r="AS31" s="74"/>
      <c r="AT31" s="74">
        <v>6626.506024096386</v>
      </c>
      <c r="AU31" s="74"/>
      <c r="AV31" s="74">
        <v>5898.24403421882</v>
      </c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</row>
    <row r="32" spans="1:100" ht="12.75">
      <c r="A32" s="61" t="s">
        <v>179</v>
      </c>
      <c r="B32" s="61" t="s">
        <v>84</v>
      </c>
      <c r="D32" s="61" t="s">
        <v>208</v>
      </c>
      <c r="E32" s="58"/>
      <c r="F32" s="60">
        <v>2.05</v>
      </c>
      <c r="G32" s="60"/>
      <c r="H32" s="60">
        <v>2.45</v>
      </c>
      <c r="I32" s="60"/>
      <c r="J32" s="60">
        <v>5.39</v>
      </c>
      <c r="K32" s="60"/>
      <c r="L32" s="60">
        <v>2.03</v>
      </c>
      <c r="M32" s="58"/>
      <c r="N32" s="58"/>
      <c r="O32" s="58"/>
      <c r="P32" s="58"/>
      <c r="Q32" s="58" t="s">
        <v>13</v>
      </c>
      <c r="R32" s="60">
        <v>6.4</v>
      </c>
      <c r="S32" s="60"/>
      <c r="T32" s="60">
        <v>4.78</v>
      </c>
      <c r="U32" s="60"/>
      <c r="V32" s="60">
        <v>2.8</v>
      </c>
      <c r="W32" s="60"/>
      <c r="X32" s="60">
        <v>4.66</v>
      </c>
      <c r="Y32" s="58"/>
      <c r="Z32" s="58"/>
      <c r="AA32" s="58"/>
      <c r="AB32" s="58"/>
      <c r="AC32" s="58"/>
      <c r="AD32" s="74">
        <v>56.6</v>
      </c>
      <c r="AE32" s="74"/>
      <c r="AF32" s="74">
        <v>38.8</v>
      </c>
      <c r="AG32" s="74"/>
      <c r="AH32" s="74">
        <v>11.6</v>
      </c>
      <c r="AI32" s="74"/>
      <c r="AJ32" s="74">
        <v>11.9</v>
      </c>
      <c r="AK32" s="74"/>
      <c r="AL32" s="74"/>
      <c r="AM32" s="74"/>
      <c r="AN32" s="74"/>
      <c r="AO32" s="74"/>
      <c r="AP32" s="74">
        <v>806</v>
      </c>
      <c r="AQ32" s="74"/>
      <c r="AR32" s="74">
        <v>524.1090146750524</v>
      </c>
      <c r="AS32" s="74"/>
      <c r="AT32" s="74">
        <v>611.6774791473587</v>
      </c>
      <c r="AU32" s="74"/>
      <c r="AV32" s="74">
        <v>738.4061233678523</v>
      </c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</row>
    <row r="33" spans="1:100" ht="12.75">
      <c r="A33" s="61" t="s">
        <v>179</v>
      </c>
      <c r="B33" s="61" t="s">
        <v>85</v>
      </c>
      <c r="D33" s="61" t="s">
        <v>208</v>
      </c>
      <c r="E33" s="58"/>
      <c r="F33" s="60">
        <v>0.056</v>
      </c>
      <c r="G33" s="60" t="s">
        <v>13</v>
      </c>
      <c r="H33" s="60">
        <v>0.04</v>
      </c>
      <c r="I33" s="60" t="s">
        <v>13</v>
      </c>
      <c r="J33" s="60">
        <v>0.04</v>
      </c>
      <c r="K33" s="60"/>
      <c r="L33" s="60">
        <v>0.043</v>
      </c>
      <c r="M33" s="58"/>
      <c r="N33" s="58"/>
      <c r="O33" s="58"/>
      <c r="P33" s="58"/>
      <c r="Q33" s="58"/>
      <c r="R33" s="60">
        <v>0.52</v>
      </c>
      <c r="S33" s="60"/>
      <c r="T33" s="60">
        <v>0.057</v>
      </c>
      <c r="U33" s="60"/>
      <c r="V33" s="60">
        <v>0.384</v>
      </c>
      <c r="W33" s="60"/>
      <c r="X33" s="60">
        <v>0.174</v>
      </c>
      <c r="Y33" s="58"/>
      <c r="Z33" s="58"/>
      <c r="AA33" s="58"/>
      <c r="AB33" s="58"/>
      <c r="AC33" s="58"/>
      <c r="AD33" s="74">
        <v>16.282642089093702</v>
      </c>
      <c r="AE33" s="74"/>
      <c r="AF33" s="74">
        <v>14.680851063829786</v>
      </c>
      <c r="AG33" s="74"/>
      <c r="AH33" s="74">
        <v>19.833333333333332</v>
      </c>
      <c r="AI33" s="74"/>
      <c r="AJ33" s="74">
        <v>20.122887864823348</v>
      </c>
      <c r="AK33" s="74"/>
      <c r="AL33" s="74"/>
      <c r="AM33" s="74"/>
      <c r="AN33" s="74"/>
      <c r="AO33" s="74"/>
      <c r="AP33" s="74">
        <v>321.4117647058824</v>
      </c>
      <c r="AQ33" s="74"/>
      <c r="AR33" s="74">
        <v>388.3647798742138</v>
      </c>
      <c r="AS33" s="74"/>
      <c r="AT33" s="74">
        <v>364.68952734013</v>
      </c>
      <c r="AU33" s="74"/>
      <c r="AV33" s="74">
        <v>348.49167041873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</row>
    <row r="34" spans="1:100" ht="12.75">
      <c r="A34" s="61" t="s">
        <v>179</v>
      </c>
      <c r="B34" s="61" t="s">
        <v>90</v>
      </c>
      <c r="D34" s="61" t="s">
        <v>208</v>
      </c>
      <c r="E34" s="58" t="s">
        <v>13</v>
      </c>
      <c r="F34" s="60">
        <v>0.093</v>
      </c>
      <c r="G34" s="60" t="s">
        <v>13</v>
      </c>
      <c r="H34" s="60">
        <v>0.079</v>
      </c>
      <c r="I34" s="60"/>
      <c r="J34" s="60">
        <v>0.248</v>
      </c>
      <c r="K34" s="60" t="s">
        <v>13</v>
      </c>
      <c r="L34" s="60">
        <v>0.061</v>
      </c>
      <c r="M34" s="58"/>
      <c r="N34" s="58"/>
      <c r="O34" s="58"/>
      <c r="P34" s="58"/>
      <c r="Q34" s="58"/>
      <c r="R34" s="60">
        <v>0.222</v>
      </c>
      <c r="S34" s="60" t="s">
        <v>13</v>
      </c>
      <c r="T34" s="60">
        <v>0.082</v>
      </c>
      <c r="U34" s="60"/>
      <c r="V34" s="60">
        <v>0.213</v>
      </c>
      <c r="W34" s="60"/>
      <c r="X34" s="60">
        <v>0.123</v>
      </c>
      <c r="Y34" s="58"/>
      <c r="Z34" s="58"/>
      <c r="AA34" s="58"/>
      <c r="AB34" s="58"/>
      <c r="AC34" s="58"/>
      <c r="AD34" s="74">
        <v>47.08141321044547</v>
      </c>
      <c r="AE34" s="74"/>
      <c r="AF34" s="74">
        <v>37.02127659574468</v>
      </c>
      <c r="AG34" s="74"/>
      <c r="AH34" s="74">
        <v>43.75</v>
      </c>
      <c r="AI34" s="74"/>
      <c r="AJ34" s="74">
        <v>45.00768049155146</v>
      </c>
      <c r="AK34" s="74"/>
      <c r="AL34" s="74"/>
      <c r="AM34" s="74"/>
      <c r="AN34" s="74"/>
      <c r="AO34" s="74"/>
      <c r="AP34" s="74">
        <v>11.6</v>
      </c>
      <c r="AQ34" s="74"/>
      <c r="AR34" s="74">
        <v>5.765199161425577</v>
      </c>
      <c r="AS34" s="74"/>
      <c r="AT34" s="74">
        <v>6.116774791473587</v>
      </c>
      <c r="AU34" s="74"/>
      <c r="AV34" s="74">
        <v>6.933813597478613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</row>
    <row r="35" spans="1:100" ht="12.75">
      <c r="A35" s="61" t="s">
        <v>179</v>
      </c>
      <c r="B35" s="61" t="s">
        <v>92</v>
      </c>
      <c r="D35" s="61" t="s">
        <v>208</v>
      </c>
      <c r="E35" s="58"/>
      <c r="F35" s="60">
        <v>3</v>
      </c>
      <c r="G35" s="60"/>
      <c r="H35" s="60">
        <v>4</v>
      </c>
      <c r="I35" s="60"/>
      <c r="J35" s="60">
        <v>2</v>
      </c>
      <c r="K35" s="60"/>
      <c r="L35" s="60">
        <v>3</v>
      </c>
      <c r="M35" s="58"/>
      <c r="N35" s="58"/>
      <c r="O35" s="58"/>
      <c r="P35" s="58"/>
      <c r="Q35" s="58"/>
      <c r="R35" s="60">
        <v>6</v>
      </c>
      <c r="S35" s="60"/>
      <c r="T35" s="60">
        <v>4</v>
      </c>
      <c r="U35" s="60"/>
      <c r="V35" s="60">
        <v>2</v>
      </c>
      <c r="W35" s="60"/>
      <c r="X35" s="60">
        <v>2</v>
      </c>
      <c r="Y35" s="58"/>
      <c r="Z35" s="58"/>
      <c r="AA35" s="58"/>
      <c r="AB35" s="58"/>
      <c r="AC35" s="58"/>
      <c r="AD35" s="74">
        <v>1036.866359447</v>
      </c>
      <c r="AE35" s="74"/>
      <c r="AF35" s="74">
        <v>872.3404255319149</v>
      </c>
      <c r="AG35" s="74"/>
      <c r="AH35" s="74">
        <v>983.3333333333334</v>
      </c>
      <c r="AI35" s="74"/>
      <c r="AJ35" s="74">
        <v>960.0614439324116</v>
      </c>
      <c r="AK35" s="74"/>
      <c r="AL35" s="74"/>
      <c r="AM35" s="74"/>
      <c r="AN35" s="74"/>
      <c r="AO35" s="74"/>
      <c r="AP35" s="74">
        <v>19905.882352941175</v>
      </c>
      <c r="AQ35" s="74"/>
      <c r="AR35" s="74">
        <v>19549.266247379455</v>
      </c>
      <c r="AS35" s="74"/>
      <c r="AT35" s="74">
        <v>21130.6765523633</v>
      </c>
      <c r="AU35" s="74"/>
      <c r="AV35" s="74">
        <v>20846.46555605583</v>
      </c>
      <c r="AW35" s="74"/>
      <c r="AX35" s="74"/>
      <c r="AY35" s="74"/>
      <c r="AZ35" s="74"/>
      <c r="BA35" s="74"/>
      <c r="BB35" s="74">
        <v>276882.8135593221</v>
      </c>
      <c r="BC35" s="74"/>
      <c r="BD35" s="74">
        <v>594283.47826087</v>
      </c>
      <c r="BE35" s="74"/>
      <c r="BF35" s="74">
        <v>135803.36</v>
      </c>
      <c r="BG35" s="74"/>
      <c r="BH35" s="74">
        <v>166248.52459016396</v>
      </c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</row>
    <row r="36" spans="1:100" ht="12.75">
      <c r="A36" s="61" t="s">
        <v>179</v>
      </c>
      <c r="B36" s="61" t="s">
        <v>88</v>
      </c>
      <c r="D36" s="61" t="s">
        <v>208</v>
      </c>
      <c r="E36" s="58"/>
      <c r="F36" s="60">
        <v>1.45</v>
      </c>
      <c r="G36" s="60"/>
      <c r="H36" s="60">
        <v>3.57</v>
      </c>
      <c r="I36" s="60"/>
      <c r="J36" s="60">
        <v>9.87</v>
      </c>
      <c r="K36" s="60"/>
      <c r="L36" s="60">
        <v>1.65</v>
      </c>
      <c r="M36" s="58"/>
      <c r="N36" s="58"/>
      <c r="O36" s="58"/>
      <c r="P36" s="58"/>
      <c r="Q36" s="58"/>
      <c r="R36" s="60">
        <v>4.05</v>
      </c>
      <c r="S36" s="60"/>
      <c r="T36" s="60">
        <v>1.7</v>
      </c>
      <c r="U36" s="60"/>
      <c r="V36" s="60">
        <v>12.7</v>
      </c>
      <c r="W36" s="60"/>
      <c r="X36" s="60">
        <v>5.22</v>
      </c>
      <c r="Y36" s="58"/>
      <c r="Z36" s="58"/>
      <c r="AA36" s="58"/>
      <c r="AB36" s="58"/>
      <c r="AC36" s="58"/>
      <c r="AD36" s="74">
        <v>1413.2104454685</v>
      </c>
      <c r="AE36" s="74"/>
      <c r="AF36" s="74">
        <v>1482.2695035461</v>
      </c>
      <c r="AG36" s="74"/>
      <c r="AH36" s="74">
        <v>1391.6666666666667</v>
      </c>
      <c r="AI36" s="74"/>
      <c r="AJ36" s="74">
        <v>1259.6006144393239</v>
      </c>
      <c r="AK36" s="74"/>
      <c r="AL36" s="74"/>
      <c r="AM36" s="74"/>
      <c r="AN36" s="74"/>
      <c r="AO36" s="74"/>
      <c r="AP36" s="74">
        <v>32047.058823529413</v>
      </c>
      <c r="AQ36" s="74"/>
      <c r="AR36" s="74">
        <v>39308.176100629</v>
      </c>
      <c r="AS36" s="74"/>
      <c r="AT36" s="74">
        <v>36283.59592215014</v>
      </c>
      <c r="AU36" s="74"/>
      <c r="AV36" s="74">
        <v>35524.53849617289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</row>
    <row r="37" spans="1:100" ht="12.75">
      <c r="A37" s="61" t="s">
        <v>179</v>
      </c>
      <c r="B37" s="61" t="s">
        <v>95</v>
      </c>
      <c r="D37" s="61" t="s">
        <v>208</v>
      </c>
      <c r="E37" s="58" t="s">
        <v>13</v>
      </c>
      <c r="F37" s="60">
        <v>0.079</v>
      </c>
      <c r="G37" s="60" t="s">
        <v>13</v>
      </c>
      <c r="H37" s="60">
        <v>0.072</v>
      </c>
      <c r="I37" s="60" t="s">
        <v>13</v>
      </c>
      <c r="J37" s="60">
        <v>0.095</v>
      </c>
      <c r="K37" s="60" t="s">
        <v>13</v>
      </c>
      <c r="L37" s="60">
        <v>0.076</v>
      </c>
      <c r="M37" s="58"/>
      <c r="N37" s="58"/>
      <c r="O37" s="58"/>
      <c r="P37" s="58"/>
      <c r="Q37" s="58" t="s">
        <v>13</v>
      </c>
      <c r="R37" s="60">
        <v>0.093</v>
      </c>
      <c r="S37" s="60" t="s">
        <v>13</v>
      </c>
      <c r="T37" s="60">
        <v>0.086</v>
      </c>
      <c r="U37" s="60" t="s">
        <v>13</v>
      </c>
      <c r="V37" s="60">
        <v>0.081</v>
      </c>
      <c r="W37" s="60" t="s">
        <v>13</v>
      </c>
      <c r="X37" s="60">
        <v>0.076</v>
      </c>
      <c r="Y37" s="58"/>
      <c r="Z37" s="58"/>
      <c r="AA37" s="58"/>
      <c r="AB37" s="58"/>
      <c r="AC37" s="58"/>
      <c r="AD37" s="74">
        <v>0.055</v>
      </c>
      <c r="AE37" s="74"/>
      <c r="AF37" s="74">
        <v>0.06</v>
      </c>
      <c r="AG37" s="74"/>
      <c r="AH37" s="74">
        <v>0.063</v>
      </c>
      <c r="AI37" s="74"/>
      <c r="AJ37" s="74">
        <v>0.03</v>
      </c>
      <c r="AK37" s="74"/>
      <c r="AL37" s="74"/>
      <c r="AM37" s="74"/>
      <c r="AN37" s="74"/>
      <c r="AO37" s="74"/>
      <c r="AP37" s="74">
        <v>11.9</v>
      </c>
      <c r="AQ37" s="74"/>
      <c r="AR37" s="74">
        <v>16.19496855345912</v>
      </c>
      <c r="AS37" s="74"/>
      <c r="AT37" s="74">
        <v>12.279888785912883</v>
      </c>
      <c r="AU37" s="74"/>
      <c r="AV37" s="74">
        <v>17.874831157136423</v>
      </c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</row>
    <row r="38" spans="1:100" ht="12.75">
      <c r="A38" s="61" t="s">
        <v>179</v>
      </c>
      <c r="B38" s="61" t="s">
        <v>91</v>
      </c>
      <c r="D38" s="61" t="s">
        <v>208</v>
      </c>
      <c r="E38" s="58" t="s">
        <v>13</v>
      </c>
      <c r="F38" s="60">
        <v>0.093</v>
      </c>
      <c r="G38" s="60"/>
      <c r="H38" s="60">
        <v>0.087</v>
      </c>
      <c r="I38" s="60"/>
      <c r="J38" s="60">
        <v>0.112</v>
      </c>
      <c r="K38" s="60"/>
      <c r="L38" s="60">
        <v>0.104</v>
      </c>
      <c r="M38" s="58"/>
      <c r="N38" s="58"/>
      <c r="O38" s="58"/>
      <c r="P38" s="58"/>
      <c r="Q38" s="58" t="s">
        <v>13</v>
      </c>
      <c r="R38" s="60">
        <v>0.085</v>
      </c>
      <c r="S38" s="60"/>
      <c r="T38" s="60">
        <v>0.068</v>
      </c>
      <c r="U38" s="60" t="s">
        <v>13</v>
      </c>
      <c r="V38" s="60">
        <v>0.085</v>
      </c>
      <c r="W38" s="60"/>
      <c r="X38" s="60">
        <v>0.957</v>
      </c>
      <c r="Y38" s="58"/>
      <c r="Z38" s="58"/>
      <c r="AA38" s="58"/>
      <c r="AB38" s="58"/>
      <c r="AC38" s="58"/>
      <c r="AD38" s="74">
        <v>3.57</v>
      </c>
      <c r="AE38" s="74"/>
      <c r="AF38" s="74">
        <v>1.22</v>
      </c>
      <c r="AG38" s="74"/>
      <c r="AH38" s="74">
        <v>0.891</v>
      </c>
      <c r="AI38" s="74" t="s">
        <v>13</v>
      </c>
      <c r="AJ38" s="74">
        <v>0.092</v>
      </c>
      <c r="AK38" s="74"/>
      <c r="AL38" s="74"/>
      <c r="AM38" s="74"/>
      <c r="AN38" s="74"/>
      <c r="AO38" s="74"/>
      <c r="AP38" s="74">
        <v>9.58</v>
      </c>
      <c r="AQ38" s="74"/>
      <c r="AR38" s="74">
        <v>3.4643605870021</v>
      </c>
      <c r="AS38" s="74"/>
      <c r="AT38" s="74">
        <v>3.0630213160333644</v>
      </c>
      <c r="AU38" s="74"/>
      <c r="AV38" s="74">
        <v>2.9761368752814</v>
      </c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</row>
    <row r="39" spans="1:100" ht="12.75">
      <c r="A39" s="61" t="s">
        <v>179</v>
      </c>
      <c r="B39" s="61" t="s">
        <v>86</v>
      </c>
      <c r="D39" s="61" t="s">
        <v>208</v>
      </c>
      <c r="E39" s="58" t="s">
        <v>13</v>
      </c>
      <c r="F39" s="60">
        <v>0.186</v>
      </c>
      <c r="G39" s="60" t="s">
        <v>13</v>
      </c>
      <c r="H39" s="60">
        <v>0.158</v>
      </c>
      <c r="I39" s="60" t="s">
        <v>13</v>
      </c>
      <c r="J39" s="60">
        <v>0.186</v>
      </c>
      <c r="K39" s="60"/>
      <c r="L39" s="60">
        <v>0.427</v>
      </c>
      <c r="M39" s="58"/>
      <c r="N39" s="58"/>
      <c r="O39" s="58"/>
      <c r="P39" s="58"/>
      <c r="Q39" s="58" t="s">
        <v>13</v>
      </c>
      <c r="R39" s="60">
        <v>0.171</v>
      </c>
      <c r="S39" s="60" t="s">
        <v>13</v>
      </c>
      <c r="T39" s="60">
        <v>0.164</v>
      </c>
      <c r="U39" s="60" t="s">
        <v>13</v>
      </c>
      <c r="V39" s="60">
        <v>0.171</v>
      </c>
      <c r="W39" s="60" t="s">
        <v>13</v>
      </c>
      <c r="X39" s="60">
        <v>0.164</v>
      </c>
      <c r="Y39" s="58"/>
      <c r="Z39" s="58"/>
      <c r="AA39" s="58"/>
      <c r="AB39" s="58"/>
      <c r="AC39" s="58"/>
      <c r="AD39" s="74">
        <v>0.187</v>
      </c>
      <c r="AE39" s="74" t="s">
        <v>13</v>
      </c>
      <c r="AF39" s="74">
        <v>0.168</v>
      </c>
      <c r="AG39" s="74" t="s">
        <v>13</v>
      </c>
      <c r="AH39" s="74">
        <v>0.186</v>
      </c>
      <c r="AI39" s="74" t="s">
        <v>13</v>
      </c>
      <c r="AJ39" s="74">
        <v>0.184</v>
      </c>
      <c r="AK39" s="74"/>
      <c r="AL39" s="74"/>
      <c r="AM39" s="74"/>
      <c r="AN39" s="74"/>
      <c r="AO39" s="74" t="s">
        <v>13</v>
      </c>
      <c r="AP39" s="74">
        <v>0.166</v>
      </c>
      <c r="AQ39" s="74" t="s">
        <v>13</v>
      </c>
      <c r="AR39" s="74">
        <v>0.157</v>
      </c>
      <c r="AS39" s="74" t="s">
        <v>13</v>
      </c>
      <c r="AT39" s="74">
        <v>0.166</v>
      </c>
      <c r="AU39" s="74"/>
      <c r="AV39" s="74">
        <v>0.322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</row>
    <row r="40" spans="5:100" ht="12.75"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</row>
    <row r="41" spans="2:100" ht="12.75">
      <c r="B41" s="18" t="s">
        <v>57</v>
      </c>
      <c r="C41" s="18"/>
      <c r="D41" s="18" t="s">
        <v>16</v>
      </c>
      <c r="E41" s="58"/>
      <c r="F41" s="87">
        <f>'emiss 2'!$G$49</f>
        <v>84806</v>
      </c>
      <c r="G41" s="87"/>
      <c r="H41" s="87">
        <f>'emiss 2'!$I$49</f>
        <v>88245</v>
      </c>
      <c r="I41" s="87"/>
      <c r="J41" s="87">
        <f>'emiss 2'!$K$49</f>
        <v>88643</v>
      </c>
      <c r="K41" s="87"/>
      <c r="L41" s="87">
        <f>'emiss 2'!$M$49</f>
        <v>89700</v>
      </c>
      <c r="M41" s="87"/>
      <c r="N41" s="87"/>
      <c r="O41" s="87"/>
      <c r="P41" s="87"/>
      <c r="Q41" s="87"/>
      <c r="R41" s="87">
        <f>'emiss 2'!$G$49</f>
        <v>84806</v>
      </c>
      <c r="S41" s="87"/>
      <c r="T41" s="87">
        <f>'emiss 2'!$I$49</f>
        <v>88245</v>
      </c>
      <c r="U41" s="87"/>
      <c r="V41" s="87">
        <f>'emiss 2'!$K$49</f>
        <v>88643</v>
      </c>
      <c r="W41" s="87"/>
      <c r="X41" s="87">
        <f>'emiss 2'!$M$49</f>
        <v>89700</v>
      </c>
      <c r="Y41" s="87"/>
      <c r="Z41" s="87"/>
      <c r="AA41" s="87"/>
      <c r="AB41" s="87"/>
      <c r="AC41" s="87"/>
      <c r="AD41" s="87">
        <f>'emiss 2'!$G$49</f>
        <v>84806</v>
      </c>
      <c r="AE41" s="87"/>
      <c r="AF41" s="87">
        <f>'emiss 2'!$I$49</f>
        <v>88245</v>
      </c>
      <c r="AG41" s="87"/>
      <c r="AH41" s="87">
        <f>'emiss 2'!$K$49</f>
        <v>88643</v>
      </c>
      <c r="AI41" s="87"/>
      <c r="AJ41" s="87">
        <f>'emiss 2'!$M$49</f>
        <v>89700</v>
      </c>
      <c r="AK41" s="87"/>
      <c r="AL41" s="87"/>
      <c r="AM41" s="87"/>
      <c r="AN41" s="87"/>
      <c r="AO41" s="87"/>
      <c r="AP41" s="87">
        <f>'emiss 2'!$G$49</f>
        <v>84806</v>
      </c>
      <c r="AQ41" s="87"/>
      <c r="AR41" s="87">
        <f>'emiss 2'!$I$49</f>
        <v>88245</v>
      </c>
      <c r="AS41" s="87"/>
      <c r="AT41" s="87">
        <f>'emiss 2'!$K$49</f>
        <v>88643</v>
      </c>
      <c r="AU41" s="87"/>
      <c r="AV41" s="87">
        <f>'emiss 2'!$M$49</f>
        <v>89700</v>
      </c>
      <c r="AW41" s="87"/>
      <c r="AX41" s="87"/>
      <c r="AY41" s="87"/>
      <c r="AZ41" s="87"/>
      <c r="BA41" s="87"/>
      <c r="BB41" s="87">
        <f>'emiss 2'!$G$49</f>
        <v>84806</v>
      </c>
      <c r="BC41" s="87"/>
      <c r="BD41" s="87">
        <f>'emiss 2'!$I$49</f>
        <v>88245</v>
      </c>
      <c r="BE41" s="87"/>
      <c r="BF41" s="87">
        <f>'emiss 2'!$K$49</f>
        <v>88643</v>
      </c>
      <c r="BG41" s="87"/>
      <c r="BH41" s="87">
        <f>'emiss 2'!$M$49</f>
        <v>89700</v>
      </c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>
        <f>'emiss 2'!$G$49</f>
        <v>84806</v>
      </c>
      <c r="CA41" s="87"/>
      <c r="CB41" s="87">
        <f>'emiss 2'!$I$49</f>
        <v>88245</v>
      </c>
      <c r="CC41" s="87"/>
      <c r="CD41" s="87">
        <f>'emiss 2'!$K$49</f>
        <v>88643</v>
      </c>
      <c r="CE41" s="87"/>
      <c r="CF41" s="87">
        <f>'emiss 2'!$M$49</f>
        <v>89700</v>
      </c>
      <c r="CG41" s="87"/>
      <c r="CH41" s="87"/>
      <c r="CI41" s="87"/>
      <c r="CJ41" s="87"/>
      <c r="CK41" s="87"/>
      <c r="CL41" s="87">
        <f>'emiss 2'!$G$49</f>
        <v>84806</v>
      </c>
      <c r="CM41" s="87"/>
      <c r="CN41" s="87">
        <f>'emiss 2'!$I$49</f>
        <v>88245</v>
      </c>
      <c r="CO41" s="87"/>
      <c r="CP41" s="87">
        <f>'emiss 2'!$K$49</f>
        <v>88643</v>
      </c>
      <c r="CQ41" s="87"/>
      <c r="CR41" s="87">
        <f>'emiss 2'!$M$49</f>
        <v>89700</v>
      </c>
      <c r="CS41" s="58"/>
      <c r="CT41" s="58"/>
      <c r="CU41" s="58"/>
      <c r="CV41" s="58"/>
    </row>
    <row r="42" spans="2:100" ht="12.75">
      <c r="B42" s="18" t="s">
        <v>49</v>
      </c>
      <c r="C42" s="18"/>
      <c r="D42" s="18" t="s">
        <v>14</v>
      </c>
      <c r="E42" s="58"/>
      <c r="F42" s="58">
        <f>'emiss 2'!$G$50</f>
        <v>11.6</v>
      </c>
      <c r="G42" s="58"/>
      <c r="H42" s="58">
        <f>'emiss 2'!$I$50</f>
        <v>12.6</v>
      </c>
      <c r="I42" s="58"/>
      <c r="J42" s="58">
        <f>'emiss 2'!$K$50</f>
        <v>11.9</v>
      </c>
      <c r="K42" s="58"/>
      <c r="L42" s="58">
        <f>'emiss 2'!$M$50</f>
        <v>12.3</v>
      </c>
      <c r="M42" s="58"/>
      <c r="N42" s="58"/>
      <c r="O42" s="58"/>
      <c r="P42" s="58"/>
      <c r="Q42" s="58"/>
      <c r="R42" s="58">
        <f>'emiss 2'!$G$50</f>
        <v>11.6</v>
      </c>
      <c r="S42" s="58"/>
      <c r="T42" s="58">
        <f>'emiss 2'!$I$50</f>
        <v>12.6</v>
      </c>
      <c r="U42" s="58"/>
      <c r="V42" s="58">
        <f>'emiss 2'!$K$50</f>
        <v>11.9</v>
      </c>
      <c r="W42" s="58"/>
      <c r="X42" s="58">
        <f>'emiss 2'!$M$50</f>
        <v>12.3</v>
      </c>
      <c r="Y42" s="58"/>
      <c r="Z42" s="58"/>
      <c r="AA42" s="58"/>
      <c r="AB42" s="58"/>
      <c r="AC42" s="58"/>
      <c r="AD42" s="58">
        <f>'emiss 2'!$G$50</f>
        <v>11.6</v>
      </c>
      <c r="AE42" s="58"/>
      <c r="AF42" s="58">
        <f>'emiss 2'!$I$50</f>
        <v>12.6</v>
      </c>
      <c r="AG42" s="58"/>
      <c r="AH42" s="58">
        <f>'emiss 2'!$K$50</f>
        <v>11.9</v>
      </c>
      <c r="AI42" s="58"/>
      <c r="AJ42" s="58">
        <f>'emiss 2'!$M$50</f>
        <v>12.3</v>
      </c>
      <c r="AK42" s="58"/>
      <c r="AL42" s="58"/>
      <c r="AM42" s="58"/>
      <c r="AN42" s="58"/>
      <c r="AO42" s="58"/>
      <c r="AP42" s="58">
        <f>'emiss 2'!$G$50</f>
        <v>11.6</v>
      </c>
      <c r="AQ42" s="58"/>
      <c r="AR42" s="58">
        <f>'emiss 2'!$I$50</f>
        <v>12.6</v>
      </c>
      <c r="AS42" s="58"/>
      <c r="AT42" s="58">
        <f>'emiss 2'!$K$50</f>
        <v>11.9</v>
      </c>
      <c r="AU42" s="58"/>
      <c r="AV42" s="58">
        <f>'emiss 2'!$M$50</f>
        <v>12.3</v>
      </c>
      <c r="AW42" s="58"/>
      <c r="AX42" s="58"/>
      <c r="AY42" s="58"/>
      <c r="AZ42" s="58"/>
      <c r="BA42" s="58"/>
      <c r="BB42" s="58">
        <f>'emiss 2'!$G$50</f>
        <v>11.6</v>
      </c>
      <c r="BC42" s="58"/>
      <c r="BD42" s="58">
        <f>'emiss 2'!$I$50</f>
        <v>12.6</v>
      </c>
      <c r="BE42" s="58"/>
      <c r="BF42" s="58">
        <f>'emiss 2'!$K$50</f>
        <v>11.9</v>
      </c>
      <c r="BG42" s="58"/>
      <c r="BH42" s="58">
        <f>'emiss 2'!$M$50</f>
        <v>12.3</v>
      </c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>
        <f>'emiss 2'!$G$50</f>
        <v>11.6</v>
      </c>
      <c r="CA42" s="58"/>
      <c r="CB42" s="58">
        <f>'emiss 2'!$I$50</f>
        <v>12.6</v>
      </c>
      <c r="CC42" s="58"/>
      <c r="CD42" s="58">
        <f>'emiss 2'!$K$50</f>
        <v>11.9</v>
      </c>
      <c r="CE42" s="58"/>
      <c r="CF42" s="58">
        <f>'emiss 2'!$M$50</f>
        <v>12.3</v>
      </c>
      <c r="CG42" s="58"/>
      <c r="CH42" s="58"/>
      <c r="CI42" s="58"/>
      <c r="CJ42" s="58"/>
      <c r="CK42" s="58"/>
      <c r="CL42" s="58">
        <f>'emiss 2'!$G$50</f>
        <v>11.6</v>
      </c>
      <c r="CM42" s="58"/>
      <c r="CN42" s="58">
        <f>'emiss 2'!$I$50</f>
        <v>12.6</v>
      </c>
      <c r="CO42" s="58"/>
      <c r="CP42" s="58">
        <f>'emiss 2'!$K$50</f>
        <v>11.9</v>
      </c>
      <c r="CQ42" s="58"/>
      <c r="CR42" s="58">
        <f>'emiss 2'!$M$50</f>
        <v>12.3</v>
      </c>
      <c r="CS42" s="58"/>
      <c r="CT42" s="58"/>
      <c r="CU42" s="58"/>
      <c r="CV42" s="58"/>
    </row>
    <row r="43" spans="5:100" ht="12.75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</row>
    <row r="44" spans="2:119" ht="12.75">
      <c r="B44" s="61" t="s">
        <v>21</v>
      </c>
      <c r="D44" s="61" t="s">
        <v>55</v>
      </c>
      <c r="E44" s="58"/>
      <c r="F44" s="65">
        <f aca="true" t="shared" si="0" ref="F44:F54">F29*F$26/0.0283/60*14/(21-F$42)/F$41*454</f>
        <v>929.7302461546863</v>
      </c>
      <c r="G44" s="58"/>
      <c r="H44" s="65">
        <f aca="true" t="shared" si="1" ref="H44:H54">H29*H$26/0.0283/60*14/(21-H$42)/H$41*454</f>
        <v>848.371539750965</v>
      </c>
      <c r="I44" s="58"/>
      <c r="J44" s="65">
        <f aca="true" t="shared" si="2" ref="J44:J54">J29*J$26/0.0283/60*14/(21-J$42)/J$41*454</f>
        <v>2450.1591062563853</v>
      </c>
      <c r="K44" s="58"/>
      <c r="L44" s="65">
        <f aca="true" t="shared" si="3" ref="L44:L54">L29*L$26/0.0283/60*14/(21-L$42)/L$41*454</f>
        <v>767.4577739368667</v>
      </c>
      <c r="M44" s="58"/>
      <c r="N44" s="58"/>
      <c r="O44" s="58"/>
      <c r="P44" s="58"/>
      <c r="Q44" s="58"/>
      <c r="R44" s="87">
        <f aca="true" t="shared" si="4" ref="R44:R54">R29*R$26/0.0283/60*14/(21-R$42)/R$41*454</f>
        <v>24088.46546855324</v>
      </c>
      <c r="S44" s="87"/>
      <c r="T44" s="87">
        <f aca="true" t="shared" si="5" ref="T44:T54">T29*T$26/0.0283/60*14/(21-T$42)/T$41*454</f>
        <v>24996.661439090934</v>
      </c>
      <c r="U44" s="87"/>
      <c r="V44" s="87">
        <f aca="true" t="shared" si="6" ref="V44:V54">V29*V$26/0.0283/60*14/(21-V$42)/V$41*454</f>
        <v>29049.234858266987</v>
      </c>
      <c r="W44" s="87"/>
      <c r="X44" s="87">
        <f aca="true" t="shared" si="7" ref="X44:X54">X29*X$26/0.0283/60*14/(21-X$42)/X$41*454</f>
        <v>24894.411542077112</v>
      </c>
      <c r="Y44" s="87"/>
      <c r="Z44" s="87"/>
      <c r="AA44" s="87"/>
      <c r="AB44" s="87"/>
      <c r="AC44" s="87"/>
      <c r="AD44" s="87">
        <f aca="true" t="shared" si="8" ref="AD44:AD54">AD29*AD$26/0.0283/60*14/(21-AD$42)/AD$41*454</f>
        <v>2934754.5648822165</v>
      </c>
      <c r="AE44" s="87"/>
      <c r="AF44" s="87">
        <f aca="true" t="shared" si="9" ref="AF44:AF54">AF29*AF$26/0.0283/60*14/(21-AF$42)/AF$41*454</f>
        <v>2918802.0831908197</v>
      </c>
      <c r="AG44" s="87"/>
      <c r="AH44" s="87">
        <f aca="true" t="shared" si="10" ref="AH44:AH54">AH29*AH$26/0.0283/60*14/(21-AH$42)/AH$41*454</f>
        <v>2394473.672023286</v>
      </c>
      <c r="AI44" s="87"/>
      <c r="AJ44" s="87">
        <f aca="true" t="shared" si="11" ref="AJ44:AJ54">AJ29*AJ$26/0.0283/60*14/(21-AJ$42)/AJ$41*454</f>
        <v>3559085.426632222</v>
      </c>
      <c r="AK44" s="87"/>
      <c r="AL44" s="87"/>
      <c r="AM44" s="87"/>
      <c r="AN44" s="87"/>
      <c r="AO44" s="87"/>
      <c r="AP44" s="87">
        <f aca="true" t="shared" si="12" ref="AP44:AP54">AP29*AP$26/0.0283/60*14/(21-AP$42)/AP$41*454</f>
        <v>17984.175973598227</v>
      </c>
      <c r="AQ44" s="87"/>
      <c r="AR44" s="87">
        <f aca="true" t="shared" si="13" ref="AR44:AR54">AR29*AR$26/0.0283/60*14/(21-AR$42)/AR$41*454</f>
        <v>11564.112059700652</v>
      </c>
      <c r="AS44" s="87"/>
      <c r="AT44" s="87">
        <f aca="true" t="shared" si="14" ref="AT44:AT54">AT29*AT$26/0.0283/60*14/(21-AT$42)/AT$41*454</f>
        <v>10023.37816195794</v>
      </c>
      <c r="AU44" s="87"/>
      <c r="AV44" s="87">
        <f aca="true" t="shared" si="15" ref="AV44:AV54">AV29*AV$26/0.0283/60*14/(21-AV$42)/AV$41*454</f>
        <v>12806.95160257146</v>
      </c>
      <c r="AW44" s="87"/>
      <c r="AX44" s="87"/>
      <c r="AY44" s="87"/>
      <c r="AZ44" s="87"/>
      <c r="BA44" s="87"/>
      <c r="BB44" s="87">
        <f aca="true" t="shared" si="16" ref="BB44:BB54">BB29*BB$26/0.0283/60*14/(21-BB$42)/BB$41*454</f>
        <v>0</v>
      </c>
      <c r="BC44" s="87"/>
      <c r="BD44" s="87">
        <f aca="true" t="shared" si="17" ref="BD44:BD54">BD29*BD$26/0.0283/60*14/(21-BD$42)/BD$41*454</f>
        <v>0</v>
      </c>
      <c r="BE44" s="87"/>
      <c r="BF44" s="87">
        <f aca="true" t="shared" si="18" ref="BF44:BF54">BF29*BF$26/0.0283/60*14/(21-BF$42)/BF$41*454</f>
        <v>0</v>
      </c>
      <c r="BG44" s="87"/>
      <c r="BH44" s="87">
        <f aca="true" t="shared" si="19" ref="BH44:BH54">BH29*BH$26/0.0283/60*14/(21-BH$42)/BH$41*454</f>
        <v>0</v>
      </c>
      <c r="BI44" s="87"/>
      <c r="BJ44" s="87"/>
      <c r="BK44" s="87"/>
      <c r="BL44" s="87"/>
      <c r="BM44" s="87"/>
      <c r="BN44" s="87">
        <f>SUM(BB44,AP44,AF44)</f>
        <v>2936786.259164418</v>
      </c>
      <c r="BO44" s="87"/>
      <c r="BP44" s="87">
        <f>SUM(BD44,AR44,AH44)</f>
        <v>2406037.784082987</v>
      </c>
      <c r="BQ44" s="87"/>
      <c r="BR44" s="87">
        <f>SUM(BF44,AT44,AJ44)</f>
        <v>3569108.8047941797</v>
      </c>
      <c r="BS44" s="87"/>
      <c r="BT44" s="87">
        <f>SUM(BH44,AV44,AL44)</f>
        <v>12806.95160257146</v>
      </c>
      <c r="BU44" s="87"/>
      <c r="BV44" s="87"/>
      <c r="BW44" s="87"/>
      <c r="BX44" s="87"/>
      <c r="BY44" s="87"/>
      <c r="BZ44" s="87">
        <f aca="true" t="shared" si="20" ref="BZ44:BZ54">BZ29*BZ$26/0.0283/60*14/(21-BZ$42)/BZ$41*454</f>
        <v>0</v>
      </c>
      <c r="CA44" s="87"/>
      <c r="CB44" s="87">
        <f aca="true" t="shared" si="21" ref="CB44:CB54">CB29*CB$26/0.0283/60*14/(21-CB$42)/CB$41*454</f>
        <v>0</v>
      </c>
      <c r="CC44" s="87"/>
      <c r="CD44" s="87">
        <f aca="true" t="shared" si="22" ref="CD44:CD54">CD29*CD$26/0.0283/60*14/(21-CD$42)/CD$41*454</f>
        <v>0</v>
      </c>
      <c r="CE44" s="87"/>
      <c r="CF44" s="87">
        <f aca="true" t="shared" si="23" ref="CF44:CF54">CF29*CF$26/0.0283/60*14/(21-CF$42)/CF$41*454</f>
        <v>0</v>
      </c>
      <c r="CG44" s="87"/>
      <c r="CH44" s="87"/>
      <c r="CI44" s="87"/>
      <c r="CJ44" s="87"/>
      <c r="CK44" s="87"/>
      <c r="CL44" s="87">
        <f aca="true" t="shared" si="24" ref="CL44:CL54">CL29*CL$26/0.0283/60*14/(21-CL$42)/CL$41*454</f>
        <v>0</v>
      </c>
      <c r="CM44" s="87"/>
      <c r="CN44" s="87">
        <f aca="true" t="shared" si="25" ref="CN44:CN54">CN29*CN$26/0.0283/60*14/(21-CN$42)/CN$41*454</f>
        <v>0</v>
      </c>
      <c r="CO44" s="87"/>
      <c r="CP44" s="87">
        <f aca="true" t="shared" si="26" ref="CP44:CP54">CP29*CP$26/0.0283/60*14/(21-CP$42)/CP$41*454</f>
        <v>0</v>
      </c>
      <c r="CQ44" s="87"/>
      <c r="CR44" s="87">
        <f aca="true" t="shared" si="27" ref="CR44:CR54">CR29*CR$26/0.0283/60*14/(21-CR$42)/CR$41*454</f>
        <v>0</v>
      </c>
      <c r="CS44" s="87"/>
      <c r="CT44" s="87"/>
      <c r="CU44" s="87"/>
      <c r="CV44" s="87"/>
      <c r="CW44" s="87"/>
      <c r="CX44" s="87">
        <f>SUM(BN44,R44,F44)</f>
        <v>2961804.454879126</v>
      </c>
      <c r="CY44" s="87"/>
      <c r="CZ44" s="87">
        <f>SUM(BP44,T44,H44)</f>
        <v>2431882.817061829</v>
      </c>
      <c r="DA44" s="87"/>
      <c r="DB44" s="87">
        <f>SUM(BR44,V44,J44)</f>
        <v>3600608.198758703</v>
      </c>
      <c r="DC44" s="87"/>
      <c r="DD44" s="87">
        <f>SUM(BT44,X44,L44)</f>
        <v>38468.82091858544</v>
      </c>
      <c r="DE44" s="87"/>
      <c r="DF44" s="87"/>
      <c r="DG44" s="87"/>
      <c r="DH44" s="87"/>
      <c r="DI44" s="87"/>
      <c r="DJ44" s="87">
        <f aca="true" t="shared" si="28" ref="DJ44:DJ56">AVERAGE(CX44,CZ44,DB44,DD44)</f>
        <v>2258191.072904561</v>
      </c>
      <c r="DL44" s="65">
        <f>AVERAGE(BZ44,CB44,CD44,CF44,CH44,CJ44)+AVERAGE(CL44,CN44,CP44,CR44,CT44,CV44)</f>
        <v>0</v>
      </c>
      <c r="DM44" s="65">
        <f>AVERAGE(AD44,AF44,AH44,AJ44,AL44,AN44)+AVERAGE(AP44,AR44,AT44,AV44,AX44,AZ44)+AVERAGE(BB44,BD44,BF44,BH44,BJ44,BL44)</f>
        <v>2964873.591131593</v>
      </c>
      <c r="DN44" s="65">
        <f>AVERAGE(F44,H44,J44,L44,N44,P44)+AVERAGE(R44,T44,V44,X44,Z44,AB44)</f>
        <v>27006.122993521796</v>
      </c>
      <c r="DO44" s="65">
        <f>SUM(DL44,DM44,DN44)</f>
        <v>2991879.714125115</v>
      </c>
    </row>
    <row r="45" spans="2:114" ht="12.75">
      <c r="B45" s="61" t="s">
        <v>87</v>
      </c>
      <c r="D45" s="61" t="s">
        <v>55</v>
      </c>
      <c r="E45" s="58">
        <v>100</v>
      </c>
      <c r="F45" s="65">
        <f t="shared" si="0"/>
        <v>1.3852980667704828</v>
      </c>
      <c r="G45" s="58">
        <v>100</v>
      </c>
      <c r="H45" s="65">
        <f t="shared" si="1"/>
        <v>0.0008568552551484747</v>
      </c>
      <c r="I45" s="58">
        <v>100</v>
      </c>
      <c r="J45" s="65">
        <f t="shared" si="2"/>
        <v>3.3730523696129575</v>
      </c>
      <c r="K45" s="58">
        <v>100</v>
      </c>
      <c r="L45" s="65">
        <f t="shared" si="3"/>
        <v>0.5813492637571765</v>
      </c>
      <c r="M45" s="58"/>
      <c r="N45" s="58"/>
      <c r="O45" s="58"/>
      <c r="P45" s="58"/>
      <c r="Q45" s="58">
        <v>100</v>
      </c>
      <c r="R45" s="87">
        <f t="shared" si="4"/>
        <v>186.92649203597315</v>
      </c>
      <c r="S45" s="87">
        <v>100</v>
      </c>
      <c r="T45" s="87">
        <f t="shared" si="5"/>
        <v>163.47816581165472</v>
      </c>
      <c r="U45" s="87">
        <v>100</v>
      </c>
      <c r="V45" s="87">
        <f t="shared" si="6"/>
        <v>114.8177968452282</v>
      </c>
      <c r="W45" s="87">
        <v>100</v>
      </c>
      <c r="X45" s="87">
        <f t="shared" si="7"/>
        <v>168.78411025528285</v>
      </c>
      <c r="Y45" s="87"/>
      <c r="Z45" s="87"/>
      <c r="AA45" s="87"/>
      <c r="AB45" s="87"/>
      <c r="AC45" s="87"/>
      <c r="AD45" s="87">
        <f t="shared" si="8"/>
        <v>26107.57660919221</v>
      </c>
      <c r="AE45" s="87"/>
      <c r="AF45" s="87">
        <f t="shared" si="9"/>
        <v>27723.56995971907</v>
      </c>
      <c r="AG45" s="87"/>
      <c r="AH45" s="87">
        <f t="shared" si="10"/>
        <v>26357.772203667177</v>
      </c>
      <c r="AI45" s="87"/>
      <c r="AJ45" s="87">
        <f t="shared" si="11"/>
        <v>26573.22542256401</v>
      </c>
      <c r="AK45" s="87"/>
      <c r="AL45" s="87"/>
      <c r="AM45" s="87"/>
      <c r="AN45" s="87"/>
      <c r="AO45" s="87"/>
      <c r="AP45" s="87">
        <f t="shared" si="12"/>
        <v>37752.68272264478</v>
      </c>
      <c r="AQ45" s="87"/>
      <c r="AR45" s="87">
        <f t="shared" si="13"/>
        <v>42469.07529348589</v>
      </c>
      <c r="AS45" s="87"/>
      <c r="AT45" s="87">
        <f t="shared" si="14"/>
        <v>45615.65154261421</v>
      </c>
      <c r="AU45" s="87"/>
      <c r="AV45" s="87">
        <f t="shared" si="15"/>
        <v>46479.16143405148</v>
      </c>
      <c r="AW45" s="87"/>
      <c r="AX45" s="87"/>
      <c r="AY45" s="87"/>
      <c r="AZ45" s="87"/>
      <c r="BA45" s="87"/>
      <c r="BB45" s="87">
        <f t="shared" si="16"/>
        <v>0</v>
      </c>
      <c r="BC45" s="87"/>
      <c r="BD45" s="87">
        <f t="shared" si="17"/>
        <v>0</v>
      </c>
      <c r="BE45" s="87"/>
      <c r="BF45" s="87">
        <f t="shared" si="18"/>
        <v>0</v>
      </c>
      <c r="BG45" s="87"/>
      <c r="BH45" s="87">
        <f t="shared" si="19"/>
        <v>0</v>
      </c>
      <c r="BI45" s="87"/>
      <c r="BJ45" s="87"/>
      <c r="BK45" s="87"/>
      <c r="BL45" s="87"/>
      <c r="BM45" s="87"/>
      <c r="BN45" s="87">
        <f aca="true" t="shared" si="29" ref="BN45:BN56">SUM(BB45,AP45,AF45)</f>
        <v>65476.25268236385</v>
      </c>
      <c r="BO45" s="87"/>
      <c r="BP45" s="87">
        <f aca="true" t="shared" si="30" ref="BP45:BP54">SUM(BD45,AR45,AH45)</f>
        <v>68826.84749715307</v>
      </c>
      <c r="BQ45" s="87"/>
      <c r="BR45" s="87">
        <f aca="true" t="shared" si="31" ref="BR45:BR54">SUM(BF45,AT45,AJ45)</f>
        <v>72188.87696517822</v>
      </c>
      <c r="BS45" s="87"/>
      <c r="BT45" s="87">
        <f aca="true" t="shared" si="32" ref="BT45:BT54">SUM(BH45,AV45,AL45)</f>
        <v>46479.16143405148</v>
      </c>
      <c r="BU45" s="87"/>
      <c r="BV45" s="87"/>
      <c r="BW45" s="87"/>
      <c r="BX45" s="87"/>
      <c r="BY45" s="87"/>
      <c r="BZ45" s="87">
        <f t="shared" si="20"/>
        <v>0</v>
      </c>
      <c r="CA45" s="87"/>
      <c r="CB45" s="87">
        <f t="shared" si="21"/>
        <v>0</v>
      </c>
      <c r="CC45" s="87"/>
      <c r="CD45" s="87">
        <f t="shared" si="22"/>
        <v>0</v>
      </c>
      <c r="CE45" s="87"/>
      <c r="CF45" s="87">
        <f t="shared" si="23"/>
        <v>0</v>
      </c>
      <c r="CG45" s="87"/>
      <c r="CH45" s="87"/>
      <c r="CI45" s="87"/>
      <c r="CJ45" s="87"/>
      <c r="CK45" s="87"/>
      <c r="CL45" s="87">
        <f t="shared" si="24"/>
        <v>0</v>
      </c>
      <c r="CM45" s="87"/>
      <c r="CN45" s="87">
        <f t="shared" si="25"/>
        <v>0</v>
      </c>
      <c r="CO45" s="87"/>
      <c r="CP45" s="87">
        <f t="shared" si="26"/>
        <v>0</v>
      </c>
      <c r="CQ45" s="87"/>
      <c r="CR45" s="87">
        <f t="shared" si="27"/>
        <v>0</v>
      </c>
      <c r="CS45" s="87"/>
      <c r="CT45" s="87"/>
      <c r="CU45" s="87"/>
      <c r="CV45" s="87"/>
      <c r="CW45" s="87">
        <f>SUM((BN45*BM45/100),(F45*E45/100),(R45*Q45/100))/CX45*100</f>
        <v>0.28677840417521316</v>
      </c>
      <c r="CX45" s="87">
        <f aca="true" t="shared" si="33" ref="CX45:DD56">SUM(BN45,R45,F45)</f>
        <v>65664.56447246659</v>
      </c>
      <c r="CY45" s="87">
        <f>SUM((BP45*BO45/100),(H45*G45/100),(T45*S45/100))/CZ45*100</f>
        <v>0.23695934040831734</v>
      </c>
      <c r="CZ45" s="87">
        <f t="shared" si="33"/>
        <v>68990.32651981998</v>
      </c>
      <c r="DA45" s="87">
        <f>SUM((BR45*BQ45/100),(J45*I45/100),(V45*U45/100))/DB45*100</f>
        <v>0.1634568414781089</v>
      </c>
      <c r="DB45" s="87">
        <f t="shared" si="33"/>
        <v>72307.06781439306</v>
      </c>
      <c r="DC45" s="87"/>
      <c r="DD45" s="87">
        <f t="shared" si="33"/>
        <v>46648.526893570524</v>
      </c>
      <c r="DE45" s="87"/>
      <c r="DF45" s="87"/>
      <c r="DG45" s="87"/>
      <c r="DH45" s="87"/>
      <c r="DI45" s="87">
        <f>SUM((DD45*DC45/100),(DB45*DA45/100),(CZ45*CY45/100),(CX45*CW45/100))/DJ45*100/4</f>
        <v>0.18531633685682072</v>
      </c>
      <c r="DJ45" s="87">
        <f t="shared" si="28"/>
        <v>63402.621425062534</v>
      </c>
    </row>
    <row r="46" spans="2:114" ht="12.75">
      <c r="B46" s="61" t="s">
        <v>83</v>
      </c>
      <c r="D46" s="61" t="s">
        <v>55</v>
      </c>
      <c r="E46" s="58"/>
      <c r="F46" s="65">
        <f t="shared" si="0"/>
        <v>2.0175146341556696</v>
      </c>
      <c r="G46" s="58"/>
      <c r="H46" s="65">
        <f t="shared" si="1"/>
        <v>1.2258968749401444</v>
      </c>
      <c r="I46" s="58"/>
      <c r="J46" s="65">
        <f t="shared" si="2"/>
        <v>7.67716519960334</v>
      </c>
      <c r="K46" s="58"/>
      <c r="L46" s="65">
        <f t="shared" si="3"/>
        <v>1.9128885015376402</v>
      </c>
      <c r="M46" s="58"/>
      <c r="N46" s="58"/>
      <c r="O46" s="58"/>
      <c r="P46" s="58"/>
      <c r="Q46" s="58"/>
      <c r="R46" s="87">
        <f t="shared" si="4"/>
        <v>770.8308949937036</v>
      </c>
      <c r="S46" s="87"/>
      <c r="T46" s="87">
        <f t="shared" si="5"/>
        <v>250.46654761969117</v>
      </c>
      <c r="U46" s="87"/>
      <c r="V46" s="87">
        <f t="shared" si="6"/>
        <v>1080.353109556367</v>
      </c>
      <c r="W46" s="87"/>
      <c r="X46" s="87">
        <f t="shared" si="7"/>
        <v>1558.3901625340275</v>
      </c>
      <c r="Y46" s="87"/>
      <c r="Z46" s="87"/>
      <c r="AA46" s="87"/>
      <c r="AB46" s="87"/>
      <c r="AC46" s="87"/>
      <c r="AD46" s="87">
        <f t="shared" si="8"/>
        <v>9203.390315470633</v>
      </c>
      <c r="AE46" s="87"/>
      <c r="AF46" s="87">
        <f t="shared" si="9"/>
        <v>11816.603589388396</v>
      </c>
      <c r="AG46" s="87"/>
      <c r="AH46" s="87">
        <f t="shared" si="10"/>
        <v>11044.277789564767</v>
      </c>
      <c r="AI46" s="87"/>
      <c r="AJ46" s="87">
        <f t="shared" si="11"/>
        <v>9928.98495030821</v>
      </c>
      <c r="AK46" s="87"/>
      <c r="AL46" s="87"/>
      <c r="AM46" s="87"/>
      <c r="AN46" s="87"/>
      <c r="AO46" s="87"/>
      <c r="AP46" s="87">
        <f t="shared" si="12"/>
        <v>55877.72691535741</v>
      </c>
      <c r="AQ46" s="87"/>
      <c r="AR46" s="87">
        <f t="shared" si="13"/>
        <v>64132.84854069795</v>
      </c>
      <c r="AS46" s="87"/>
      <c r="AT46" s="87">
        <f t="shared" si="14"/>
        <v>66358.47579444377</v>
      </c>
      <c r="AU46" s="87"/>
      <c r="AV46" s="87">
        <f t="shared" si="15"/>
        <v>62835.60524108096</v>
      </c>
      <c r="AW46" s="87"/>
      <c r="AX46" s="87"/>
      <c r="AY46" s="87"/>
      <c r="AZ46" s="87"/>
      <c r="BA46" s="87"/>
      <c r="BB46" s="87">
        <f t="shared" si="16"/>
        <v>0</v>
      </c>
      <c r="BC46" s="87"/>
      <c r="BD46" s="87">
        <f t="shared" si="17"/>
        <v>0</v>
      </c>
      <c r="BE46" s="87"/>
      <c r="BF46" s="87">
        <f t="shared" si="18"/>
        <v>0</v>
      </c>
      <c r="BG46" s="87"/>
      <c r="BH46" s="87">
        <f t="shared" si="19"/>
        <v>0</v>
      </c>
      <c r="BI46" s="87"/>
      <c r="BJ46" s="87"/>
      <c r="BK46" s="87"/>
      <c r="BL46" s="87"/>
      <c r="BM46" s="87"/>
      <c r="BN46" s="87">
        <f t="shared" si="29"/>
        <v>67694.3305047458</v>
      </c>
      <c r="BO46" s="87"/>
      <c r="BP46" s="87">
        <f t="shared" si="30"/>
        <v>75177.12633026272</v>
      </c>
      <c r="BQ46" s="87"/>
      <c r="BR46" s="87">
        <f t="shared" si="31"/>
        <v>76287.46074475198</v>
      </c>
      <c r="BS46" s="87"/>
      <c r="BT46" s="87">
        <f t="shared" si="32"/>
        <v>62835.60524108096</v>
      </c>
      <c r="BU46" s="87"/>
      <c r="BV46" s="87"/>
      <c r="BW46" s="87"/>
      <c r="BX46" s="87"/>
      <c r="BY46" s="87"/>
      <c r="BZ46" s="87">
        <f t="shared" si="20"/>
        <v>0</v>
      </c>
      <c r="CA46" s="87"/>
      <c r="CB46" s="87">
        <f t="shared" si="21"/>
        <v>0</v>
      </c>
      <c r="CC46" s="87"/>
      <c r="CD46" s="87">
        <f t="shared" si="22"/>
        <v>0</v>
      </c>
      <c r="CE46" s="87"/>
      <c r="CF46" s="87">
        <f t="shared" si="23"/>
        <v>0</v>
      </c>
      <c r="CG46" s="87"/>
      <c r="CH46" s="87"/>
      <c r="CI46" s="87"/>
      <c r="CJ46" s="87"/>
      <c r="CK46" s="87"/>
      <c r="CL46" s="87">
        <f t="shared" si="24"/>
        <v>0</v>
      </c>
      <c r="CM46" s="87"/>
      <c r="CN46" s="87">
        <f t="shared" si="25"/>
        <v>0</v>
      </c>
      <c r="CO46" s="87"/>
      <c r="CP46" s="87">
        <f t="shared" si="26"/>
        <v>0</v>
      </c>
      <c r="CQ46" s="87"/>
      <c r="CR46" s="87">
        <f t="shared" si="27"/>
        <v>0</v>
      </c>
      <c r="CS46" s="87"/>
      <c r="CT46" s="87"/>
      <c r="CU46" s="87"/>
      <c r="CV46" s="87"/>
      <c r="CW46" s="87"/>
      <c r="CX46" s="87">
        <f t="shared" si="33"/>
        <v>68467.17891437365</v>
      </c>
      <c r="CY46" s="87"/>
      <c r="CZ46" s="87">
        <f t="shared" si="33"/>
        <v>75428.81877475735</v>
      </c>
      <c r="DA46" s="87"/>
      <c r="DB46" s="87">
        <f t="shared" si="33"/>
        <v>77375.49101950796</v>
      </c>
      <c r="DC46" s="87"/>
      <c r="DD46" s="87">
        <f t="shared" si="33"/>
        <v>64395.908292116525</v>
      </c>
      <c r="DE46" s="87"/>
      <c r="DF46" s="87"/>
      <c r="DG46" s="87"/>
      <c r="DH46" s="87"/>
      <c r="DI46" s="87"/>
      <c r="DJ46" s="87">
        <f t="shared" si="28"/>
        <v>71416.84925018887</v>
      </c>
    </row>
    <row r="47" spans="2:114" ht="12.75">
      <c r="B47" s="61" t="s">
        <v>84</v>
      </c>
      <c r="D47" s="61" t="s">
        <v>55</v>
      </c>
      <c r="E47" s="58"/>
      <c r="F47" s="65">
        <f t="shared" si="0"/>
        <v>6.353156682057022</v>
      </c>
      <c r="G47" s="58"/>
      <c r="H47" s="65">
        <f t="shared" si="1"/>
        <v>5.196275680974661</v>
      </c>
      <c r="I47" s="58"/>
      <c r="J47" s="65">
        <f t="shared" si="2"/>
        <v>44.02119194240639</v>
      </c>
      <c r="K47" s="58"/>
      <c r="L47" s="65">
        <f t="shared" si="3"/>
        <v>3.894848202729597</v>
      </c>
      <c r="M47" s="58"/>
      <c r="N47" s="58"/>
      <c r="O47" s="58"/>
      <c r="P47" s="58"/>
      <c r="Q47" s="58">
        <v>100</v>
      </c>
      <c r="R47" s="87">
        <f t="shared" si="4"/>
        <v>3083.3235799748145</v>
      </c>
      <c r="S47" s="87"/>
      <c r="T47" s="87">
        <f t="shared" si="5"/>
        <v>2389.6808335770934</v>
      </c>
      <c r="U47" s="87"/>
      <c r="V47" s="87">
        <f t="shared" si="6"/>
        <v>1356.4971779183081</v>
      </c>
      <c r="W47" s="87"/>
      <c r="X47" s="87">
        <f t="shared" si="7"/>
        <v>2320.159155721587</v>
      </c>
      <c r="Y47" s="87"/>
      <c r="Z47" s="87"/>
      <c r="AA47" s="87"/>
      <c r="AB47" s="87"/>
      <c r="AC47" s="87"/>
      <c r="AD47" s="87">
        <f t="shared" si="8"/>
        <v>3460.3432816124514</v>
      </c>
      <c r="AE47" s="87"/>
      <c r="AF47" s="87">
        <f t="shared" si="9"/>
        <v>2762.6613212318925</v>
      </c>
      <c r="AG47" s="87"/>
      <c r="AH47" s="87">
        <f t="shared" si="10"/>
        <v>645.9510371039562</v>
      </c>
      <c r="AI47" s="87"/>
      <c r="AJ47" s="87">
        <f t="shared" si="11"/>
        <v>743.1773286139389</v>
      </c>
      <c r="AK47" s="87"/>
      <c r="AL47" s="87"/>
      <c r="AM47" s="87"/>
      <c r="AN47" s="87"/>
      <c r="AO47" s="87"/>
      <c r="AP47" s="87">
        <f t="shared" si="12"/>
        <v>8042.401409603227</v>
      </c>
      <c r="AQ47" s="87"/>
      <c r="AR47" s="87">
        <f t="shared" si="13"/>
        <v>5049.830593755745</v>
      </c>
      <c r="AS47" s="87"/>
      <c r="AT47" s="87">
        <f t="shared" si="14"/>
        <v>6125.397765640964</v>
      </c>
      <c r="AU47" s="87"/>
      <c r="AV47" s="87">
        <f t="shared" si="15"/>
        <v>7866.442182852883</v>
      </c>
      <c r="AW47" s="87"/>
      <c r="AX47" s="87"/>
      <c r="AY47" s="87"/>
      <c r="AZ47" s="87"/>
      <c r="BA47" s="87"/>
      <c r="BB47" s="87">
        <f t="shared" si="16"/>
        <v>0</v>
      </c>
      <c r="BC47" s="87"/>
      <c r="BD47" s="87">
        <f t="shared" si="17"/>
        <v>0</v>
      </c>
      <c r="BE47" s="87"/>
      <c r="BF47" s="87">
        <f t="shared" si="18"/>
        <v>0</v>
      </c>
      <c r="BG47" s="87"/>
      <c r="BH47" s="87">
        <f t="shared" si="19"/>
        <v>0</v>
      </c>
      <c r="BI47" s="87"/>
      <c r="BJ47" s="87"/>
      <c r="BK47" s="87"/>
      <c r="BL47" s="87"/>
      <c r="BM47" s="87"/>
      <c r="BN47" s="87">
        <f t="shared" si="29"/>
        <v>10805.06273083512</v>
      </c>
      <c r="BO47" s="87"/>
      <c r="BP47" s="87">
        <f t="shared" si="30"/>
        <v>5695.781630859701</v>
      </c>
      <c r="BQ47" s="87"/>
      <c r="BR47" s="87">
        <f t="shared" si="31"/>
        <v>6868.575094254903</v>
      </c>
      <c r="BS47" s="87"/>
      <c r="BT47" s="87">
        <f t="shared" si="32"/>
        <v>7866.442182852883</v>
      </c>
      <c r="BU47" s="87"/>
      <c r="BV47" s="87"/>
      <c r="BW47" s="87"/>
      <c r="BX47" s="87"/>
      <c r="BY47" s="87"/>
      <c r="BZ47" s="87">
        <f t="shared" si="20"/>
        <v>0</v>
      </c>
      <c r="CA47" s="87"/>
      <c r="CB47" s="87">
        <f t="shared" si="21"/>
        <v>0</v>
      </c>
      <c r="CC47" s="87"/>
      <c r="CD47" s="87">
        <f t="shared" si="22"/>
        <v>0</v>
      </c>
      <c r="CE47" s="87"/>
      <c r="CF47" s="87">
        <f t="shared" si="23"/>
        <v>0</v>
      </c>
      <c r="CG47" s="87"/>
      <c r="CH47" s="87"/>
      <c r="CI47" s="87"/>
      <c r="CJ47" s="87"/>
      <c r="CK47" s="87"/>
      <c r="CL47" s="87">
        <f t="shared" si="24"/>
        <v>0</v>
      </c>
      <c r="CM47" s="87"/>
      <c r="CN47" s="87">
        <f t="shared" si="25"/>
        <v>0</v>
      </c>
      <c r="CO47" s="87"/>
      <c r="CP47" s="87">
        <f t="shared" si="26"/>
        <v>0</v>
      </c>
      <c r="CQ47" s="87"/>
      <c r="CR47" s="87">
        <f t="shared" si="27"/>
        <v>0</v>
      </c>
      <c r="CS47" s="87"/>
      <c r="CT47" s="87"/>
      <c r="CU47" s="87"/>
      <c r="CV47" s="87"/>
      <c r="CW47" s="87">
        <f>SUM((BN47*BM47/100),(F47*E47/100),(R47*Q47/100))/CX47*100</f>
        <v>22.190582178158373</v>
      </c>
      <c r="CX47" s="87">
        <f t="shared" si="33"/>
        <v>13894.73946749199</v>
      </c>
      <c r="CY47" s="87"/>
      <c r="CZ47" s="87">
        <f t="shared" si="33"/>
        <v>8090.6587401177685</v>
      </c>
      <c r="DA47" s="87"/>
      <c r="DB47" s="87">
        <f t="shared" si="33"/>
        <v>8269.093464115616</v>
      </c>
      <c r="DC47" s="87"/>
      <c r="DD47" s="87">
        <f t="shared" si="33"/>
        <v>10190.4961867772</v>
      </c>
      <c r="DE47" s="87"/>
      <c r="DF47" s="87"/>
      <c r="DG47" s="87"/>
      <c r="DH47" s="87"/>
      <c r="DI47" s="87">
        <f aca="true" t="shared" si="34" ref="DI47:DI54">SUM((DD47*DC47/100),(DB47*DA47/100),(CZ47*CY47/100),(CX47*CW47/100))/DJ47*100/4</f>
        <v>7.623499828364078</v>
      </c>
      <c r="DJ47" s="87">
        <f t="shared" si="28"/>
        <v>10111.246964625643</v>
      </c>
    </row>
    <row r="48" spans="2:114" ht="12.75">
      <c r="B48" s="61" t="s">
        <v>85</v>
      </c>
      <c r="D48" s="61" t="s">
        <v>55</v>
      </c>
      <c r="E48" s="58"/>
      <c r="F48" s="65">
        <f t="shared" si="0"/>
        <v>0.1735496459488748</v>
      </c>
      <c r="G48" s="58">
        <v>100</v>
      </c>
      <c r="H48" s="65">
        <f t="shared" si="1"/>
        <v>0.0848371539750965</v>
      </c>
      <c r="I48" s="58">
        <v>100</v>
      </c>
      <c r="J48" s="65">
        <f t="shared" si="2"/>
        <v>0.32668788083418476</v>
      </c>
      <c r="K48" s="58"/>
      <c r="L48" s="65">
        <f t="shared" si="3"/>
        <v>0.08250171069821316</v>
      </c>
      <c r="M48" s="58"/>
      <c r="N48" s="58"/>
      <c r="O48" s="58"/>
      <c r="P48" s="58"/>
      <c r="Q48" s="58"/>
      <c r="R48" s="87">
        <f t="shared" si="4"/>
        <v>250.52004087295367</v>
      </c>
      <c r="S48" s="87"/>
      <c r="T48" s="87">
        <f t="shared" si="5"/>
        <v>28.496194040563665</v>
      </c>
      <c r="U48" s="87"/>
      <c r="V48" s="87">
        <f t="shared" si="6"/>
        <v>186.03389868593936</v>
      </c>
      <c r="W48" s="87"/>
      <c r="X48" s="87">
        <f t="shared" si="7"/>
        <v>86.63255216642834</v>
      </c>
      <c r="Y48" s="87"/>
      <c r="Z48" s="87"/>
      <c r="AA48" s="87"/>
      <c r="AB48" s="87"/>
      <c r="AC48" s="87"/>
      <c r="AD48" s="87">
        <f t="shared" si="8"/>
        <v>995.468748408048</v>
      </c>
      <c r="AE48" s="87"/>
      <c r="AF48" s="87">
        <f t="shared" si="9"/>
        <v>1045.314932907439</v>
      </c>
      <c r="AG48" s="87"/>
      <c r="AH48" s="87">
        <f t="shared" si="10"/>
        <v>1104.4277789564765</v>
      </c>
      <c r="AI48" s="87"/>
      <c r="AJ48" s="87">
        <f t="shared" si="11"/>
        <v>1256.712104821619</v>
      </c>
      <c r="AK48" s="87"/>
      <c r="AL48" s="87"/>
      <c r="AM48" s="87"/>
      <c r="AN48" s="87"/>
      <c r="AO48" s="87"/>
      <c r="AP48" s="87">
        <f t="shared" si="12"/>
        <v>3207.099788503286</v>
      </c>
      <c r="AQ48" s="87"/>
      <c r="AR48" s="87">
        <f t="shared" si="13"/>
        <v>3741.9244699730066</v>
      </c>
      <c r="AS48" s="87"/>
      <c r="AT48" s="87">
        <f t="shared" si="14"/>
        <v>3652.0363951207883</v>
      </c>
      <c r="AU48" s="87"/>
      <c r="AV48" s="87">
        <f t="shared" si="15"/>
        <v>3712.5769814195883</v>
      </c>
      <c r="AW48" s="87"/>
      <c r="AX48" s="87"/>
      <c r="AY48" s="87"/>
      <c r="AZ48" s="87"/>
      <c r="BA48" s="87"/>
      <c r="BB48" s="87">
        <f t="shared" si="16"/>
        <v>0</v>
      </c>
      <c r="BC48" s="87"/>
      <c r="BD48" s="87">
        <f t="shared" si="17"/>
        <v>0</v>
      </c>
      <c r="BE48" s="87"/>
      <c r="BF48" s="87">
        <f t="shared" si="18"/>
        <v>0</v>
      </c>
      <c r="BG48" s="87"/>
      <c r="BH48" s="87">
        <f t="shared" si="19"/>
        <v>0</v>
      </c>
      <c r="BI48" s="87"/>
      <c r="BJ48" s="87"/>
      <c r="BK48" s="87"/>
      <c r="BL48" s="87"/>
      <c r="BM48" s="87"/>
      <c r="BN48" s="87">
        <f t="shared" si="29"/>
        <v>4252.414721410725</v>
      </c>
      <c r="BO48" s="87"/>
      <c r="BP48" s="87">
        <f t="shared" si="30"/>
        <v>4846.352248929483</v>
      </c>
      <c r="BQ48" s="87"/>
      <c r="BR48" s="87">
        <f t="shared" si="31"/>
        <v>4908.748499942407</v>
      </c>
      <c r="BS48" s="87"/>
      <c r="BT48" s="87">
        <f t="shared" si="32"/>
        <v>3712.5769814195883</v>
      </c>
      <c r="BU48" s="87"/>
      <c r="BV48" s="87"/>
      <c r="BW48" s="87"/>
      <c r="BX48" s="87"/>
      <c r="BY48" s="87"/>
      <c r="BZ48" s="87">
        <f t="shared" si="20"/>
        <v>0</v>
      </c>
      <c r="CA48" s="87"/>
      <c r="CB48" s="87">
        <f t="shared" si="21"/>
        <v>0</v>
      </c>
      <c r="CC48" s="87"/>
      <c r="CD48" s="87">
        <f t="shared" si="22"/>
        <v>0</v>
      </c>
      <c r="CE48" s="87"/>
      <c r="CF48" s="87">
        <f t="shared" si="23"/>
        <v>0</v>
      </c>
      <c r="CG48" s="87"/>
      <c r="CH48" s="87"/>
      <c r="CI48" s="87"/>
      <c r="CJ48" s="87"/>
      <c r="CK48" s="87"/>
      <c r="CL48" s="87">
        <f t="shared" si="24"/>
        <v>0</v>
      </c>
      <c r="CM48" s="87"/>
      <c r="CN48" s="87">
        <f t="shared" si="25"/>
        <v>0</v>
      </c>
      <c r="CO48" s="87"/>
      <c r="CP48" s="87">
        <f t="shared" si="26"/>
        <v>0</v>
      </c>
      <c r="CQ48" s="87"/>
      <c r="CR48" s="87">
        <f t="shared" si="27"/>
        <v>0</v>
      </c>
      <c r="CS48" s="87"/>
      <c r="CT48" s="87"/>
      <c r="CU48" s="87"/>
      <c r="CV48" s="87"/>
      <c r="CW48" s="87"/>
      <c r="CX48" s="87">
        <f t="shared" si="33"/>
        <v>4503.108311929627</v>
      </c>
      <c r="CY48" s="87"/>
      <c r="CZ48" s="87">
        <f t="shared" si="33"/>
        <v>4874.933280124022</v>
      </c>
      <c r="DA48" s="87"/>
      <c r="DB48" s="87">
        <f t="shared" si="33"/>
        <v>5095.109086509181</v>
      </c>
      <c r="DC48" s="87"/>
      <c r="DD48" s="87">
        <f t="shared" si="33"/>
        <v>3799.292035296715</v>
      </c>
      <c r="DE48" s="87"/>
      <c r="DF48" s="87"/>
      <c r="DG48" s="87"/>
      <c r="DH48" s="87"/>
      <c r="DI48" s="87"/>
      <c r="DJ48" s="87">
        <f t="shared" si="28"/>
        <v>4568.110678464886</v>
      </c>
    </row>
    <row r="49" spans="2:114" ht="12.75">
      <c r="B49" s="61" t="s">
        <v>90</v>
      </c>
      <c r="D49" s="61" t="s">
        <v>55</v>
      </c>
      <c r="E49" s="58">
        <v>100</v>
      </c>
      <c r="F49" s="65">
        <f t="shared" si="0"/>
        <v>0.2882163763079527</v>
      </c>
      <c r="G49" s="58">
        <v>100</v>
      </c>
      <c r="H49" s="65">
        <f t="shared" si="1"/>
        <v>0.16755337910081558</v>
      </c>
      <c r="I49" s="58"/>
      <c r="J49" s="65">
        <f t="shared" si="2"/>
        <v>2.0254648611719452</v>
      </c>
      <c r="K49" s="58">
        <v>100</v>
      </c>
      <c r="L49" s="65">
        <f t="shared" si="3"/>
        <v>0.11703731052537215</v>
      </c>
      <c r="M49" s="58"/>
      <c r="N49" s="58"/>
      <c r="O49" s="58"/>
      <c r="P49" s="58"/>
      <c r="Q49" s="58"/>
      <c r="R49" s="87">
        <f t="shared" si="4"/>
        <v>106.95278668037639</v>
      </c>
      <c r="S49" s="87">
        <v>100</v>
      </c>
      <c r="T49" s="87">
        <f t="shared" si="5"/>
        <v>40.99452476010913</v>
      </c>
      <c r="U49" s="87"/>
      <c r="V49" s="87">
        <f t="shared" si="6"/>
        <v>103.19067817735701</v>
      </c>
      <c r="W49" s="87"/>
      <c r="X49" s="87">
        <f t="shared" si="7"/>
        <v>61.24025239350969</v>
      </c>
      <c r="Y49" s="87"/>
      <c r="Z49" s="87"/>
      <c r="AA49" s="87"/>
      <c r="AB49" s="87"/>
      <c r="AC49" s="87"/>
      <c r="AD49" s="87">
        <f t="shared" si="8"/>
        <v>2878.4072772364784</v>
      </c>
      <c r="AE49" s="87"/>
      <c r="AF49" s="87">
        <f t="shared" si="9"/>
        <v>2636.0115699404987</v>
      </c>
      <c r="AG49" s="87"/>
      <c r="AH49" s="87">
        <f t="shared" si="10"/>
        <v>2436.23774769811</v>
      </c>
      <c r="AI49" s="87"/>
      <c r="AJ49" s="87">
        <f t="shared" si="11"/>
        <v>2810.8140970437744</v>
      </c>
      <c r="AK49" s="87"/>
      <c r="AL49" s="87"/>
      <c r="AM49" s="87"/>
      <c r="AN49" s="87"/>
      <c r="AO49" s="87"/>
      <c r="AP49" s="87">
        <f t="shared" si="12"/>
        <v>115.74672003895463</v>
      </c>
      <c r="AQ49" s="87"/>
      <c r="AR49" s="87">
        <f t="shared" si="13"/>
        <v>55.5481365313132</v>
      </c>
      <c r="AS49" s="87"/>
      <c r="AT49" s="87">
        <f t="shared" si="14"/>
        <v>61.253977656409624</v>
      </c>
      <c r="AU49" s="87"/>
      <c r="AV49" s="87">
        <f t="shared" si="15"/>
        <v>73.86781074142343</v>
      </c>
      <c r="AW49" s="87"/>
      <c r="AX49" s="87"/>
      <c r="AY49" s="87"/>
      <c r="AZ49" s="87"/>
      <c r="BA49" s="87"/>
      <c r="BB49" s="87">
        <f t="shared" si="16"/>
        <v>0</v>
      </c>
      <c r="BC49" s="87"/>
      <c r="BD49" s="87">
        <f t="shared" si="17"/>
        <v>0</v>
      </c>
      <c r="BE49" s="87"/>
      <c r="BF49" s="87">
        <f t="shared" si="18"/>
        <v>0</v>
      </c>
      <c r="BG49" s="87"/>
      <c r="BH49" s="87">
        <f t="shared" si="19"/>
        <v>0</v>
      </c>
      <c r="BI49" s="87"/>
      <c r="BJ49" s="87"/>
      <c r="BK49" s="87"/>
      <c r="BL49" s="87"/>
      <c r="BM49" s="87"/>
      <c r="BN49" s="87">
        <f t="shared" si="29"/>
        <v>2751.7582899794534</v>
      </c>
      <c r="BO49" s="87"/>
      <c r="BP49" s="87">
        <f t="shared" si="30"/>
        <v>2491.785884229423</v>
      </c>
      <c r="BQ49" s="87"/>
      <c r="BR49" s="87">
        <f t="shared" si="31"/>
        <v>2872.068074700184</v>
      </c>
      <c r="BS49" s="87"/>
      <c r="BT49" s="87">
        <f t="shared" si="32"/>
        <v>73.86781074142343</v>
      </c>
      <c r="BU49" s="87"/>
      <c r="BV49" s="87"/>
      <c r="BW49" s="87"/>
      <c r="BX49" s="87"/>
      <c r="BY49" s="87"/>
      <c r="BZ49" s="87">
        <f t="shared" si="20"/>
        <v>0</v>
      </c>
      <c r="CA49" s="87"/>
      <c r="CB49" s="87">
        <f t="shared" si="21"/>
        <v>0</v>
      </c>
      <c r="CC49" s="87"/>
      <c r="CD49" s="87">
        <f t="shared" si="22"/>
        <v>0</v>
      </c>
      <c r="CE49" s="87"/>
      <c r="CF49" s="87">
        <f t="shared" si="23"/>
        <v>0</v>
      </c>
      <c r="CG49" s="87"/>
      <c r="CH49" s="87"/>
      <c r="CI49" s="87"/>
      <c r="CJ49" s="87"/>
      <c r="CK49" s="87"/>
      <c r="CL49" s="87">
        <f t="shared" si="24"/>
        <v>0</v>
      </c>
      <c r="CM49" s="87"/>
      <c r="CN49" s="87">
        <f t="shared" si="25"/>
        <v>0</v>
      </c>
      <c r="CO49" s="87"/>
      <c r="CP49" s="87">
        <f t="shared" si="26"/>
        <v>0</v>
      </c>
      <c r="CQ49" s="87"/>
      <c r="CR49" s="87">
        <f t="shared" si="27"/>
        <v>0</v>
      </c>
      <c r="CS49" s="87"/>
      <c r="CT49" s="87"/>
      <c r="CU49" s="87"/>
      <c r="CV49" s="87"/>
      <c r="CW49" s="87"/>
      <c r="CX49" s="87">
        <f t="shared" si="33"/>
        <v>2858.9992930361377</v>
      </c>
      <c r="CY49" s="87">
        <f>SUM((BP49*BO49/100),(H49*G49/100),(T49*S49/100))/CZ49*100</f>
        <v>1.6250660791593243</v>
      </c>
      <c r="CZ49" s="87">
        <f t="shared" si="33"/>
        <v>2532.947962368633</v>
      </c>
      <c r="DA49" s="87"/>
      <c r="DB49" s="87">
        <f t="shared" si="33"/>
        <v>2977.284217738713</v>
      </c>
      <c r="DC49" s="87"/>
      <c r="DD49" s="87">
        <f t="shared" si="33"/>
        <v>135.22510044545848</v>
      </c>
      <c r="DE49" s="87"/>
      <c r="DF49" s="87"/>
      <c r="DG49" s="87"/>
      <c r="DH49" s="87"/>
      <c r="DI49" s="87">
        <f t="shared" si="34"/>
        <v>0.4840059771372229</v>
      </c>
      <c r="DJ49" s="87">
        <f t="shared" si="28"/>
        <v>2126.1141433972357</v>
      </c>
    </row>
    <row r="50" spans="2:114" ht="12.75">
      <c r="B50" s="61" t="s">
        <v>92</v>
      </c>
      <c r="D50" s="61" t="s">
        <v>55</v>
      </c>
      <c r="E50" s="58"/>
      <c r="F50" s="65">
        <f t="shared" si="0"/>
        <v>9.297302461546865</v>
      </c>
      <c r="G50" s="58"/>
      <c r="H50" s="65">
        <f t="shared" si="1"/>
        <v>8.483715397509648</v>
      </c>
      <c r="I50" s="58"/>
      <c r="J50" s="65">
        <f t="shared" si="2"/>
        <v>16.334394041709235</v>
      </c>
      <c r="K50" s="58"/>
      <c r="L50" s="65">
        <f t="shared" si="3"/>
        <v>5.7559333045265</v>
      </c>
      <c r="M50" s="58"/>
      <c r="N50" s="58"/>
      <c r="O50" s="58"/>
      <c r="P50" s="58"/>
      <c r="Q50" s="58"/>
      <c r="R50" s="87">
        <f t="shared" si="4"/>
        <v>2890.615856226389</v>
      </c>
      <c r="S50" s="87"/>
      <c r="T50" s="87">
        <f t="shared" si="5"/>
        <v>1999.7329151272747</v>
      </c>
      <c r="U50" s="87"/>
      <c r="V50" s="87">
        <f t="shared" si="6"/>
        <v>968.9265556559342</v>
      </c>
      <c r="W50" s="87"/>
      <c r="X50" s="87">
        <f t="shared" si="7"/>
        <v>995.7764616830847</v>
      </c>
      <c r="Y50" s="87"/>
      <c r="Z50" s="87"/>
      <c r="AA50" s="87"/>
      <c r="AB50" s="87"/>
      <c r="AC50" s="87"/>
      <c r="AD50" s="87">
        <f t="shared" si="8"/>
        <v>63390.698601455595</v>
      </c>
      <c r="AE50" s="87"/>
      <c r="AF50" s="87">
        <f t="shared" si="9"/>
        <v>62112.91630319566</v>
      </c>
      <c r="AG50" s="87"/>
      <c r="AH50" s="87">
        <f t="shared" si="10"/>
        <v>54757.34366254801</v>
      </c>
      <c r="AI50" s="87"/>
      <c r="AJ50" s="87">
        <f t="shared" si="11"/>
        <v>59957.63858881771</v>
      </c>
      <c r="AK50" s="87"/>
      <c r="AL50" s="87"/>
      <c r="AM50" s="87"/>
      <c r="AN50" s="87"/>
      <c r="AO50" s="87"/>
      <c r="AP50" s="87">
        <f t="shared" si="12"/>
        <v>198624.18895122843</v>
      </c>
      <c r="AQ50" s="87"/>
      <c r="AR50" s="87">
        <f t="shared" si="13"/>
        <v>188358.68114708926</v>
      </c>
      <c r="AS50" s="87"/>
      <c r="AT50" s="87">
        <f t="shared" si="14"/>
        <v>211604.6500857787</v>
      </c>
      <c r="AU50" s="87"/>
      <c r="AV50" s="87">
        <f t="shared" si="15"/>
        <v>222083.0933329808</v>
      </c>
      <c r="AW50" s="87"/>
      <c r="AX50" s="87"/>
      <c r="AY50" s="87"/>
      <c r="AZ50" s="87"/>
      <c r="BA50" s="87"/>
      <c r="BB50" s="87">
        <f t="shared" si="16"/>
        <v>76707.84473729358</v>
      </c>
      <c r="BC50" s="87"/>
      <c r="BD50" s="87">
        <f t="shared" si="17"/>
        <v>138047.42093472465</v>
      </c>
      <c r="BE50" s="87"/>
      <c r="BF50" s="87">
        <f t="shared" si="18"/>
        <v>31509.45446630815</v>
      </c>
      <c r="BG50" s="87"/>
      <c r="BH50" s="87">
        <f t="shared" si="19"/>
        <v>48643.20049210999</v>
      </c>
      <c r="BI50" s="87"/>
      <c r="BJ50" s="87"/>
      <c r="BK50" s="87"/>
      <c r="BL50" s="87"/>
      <c r="BM50" s="87"/>
      <c r="BN50" s="87">
        <f t="shared" si="29"/>
        <v>337444.94999171764</v>
      </c>
      <c r="BO50" s="87"/>
      <c r="BP50" s="87">
        <f t="shared" si="30"/>
        <v>381163.4457443619</v>
      </c>
      <c r="BQ50" s="87"/>
      <c r="BR50" s="87">
        <f t="shared" si="31"/>
        <v>303071.7431409046</v>
      </c>
      <c r="BS50" s="87"/>
      <c r="BT50" s="87">
        <f t="shared" si="32"/>
        <v>270726.29382509075</v>
      </c>
      <c r="BU50" s="87"/>
      <c r="BV50" s="87"/>
      <c r="BW50" s="87"/>
      <c r="BX50" s="87"/>
      <c r="BY50" s="87"/>
      <c r="BZ50" s="87">
        <f t="shared" si="20"/>
        <v>0</v>
      </c>
      <c r="CA50" s="87"/>
      <c r="CB50" s="87">
        <f t="shared" si="21"/>
        <v>0</v>
      </c>
      <c r="CC50" s="87"/>
      <c r="CD50" s="87">
        <f t="shared" si="22"/>
        <v>0</v>
      </c>
      <c r="CE50" s="87"/>
      <c r="CF50" s="87">
        <f t="shared" si="23"/>
        <v>0</v>
      </c>
      <c r="CG50" s="87"/>
      <c r="CH50" s="87"/>
      <c r="CI50" s="87"/>
      <c r="CJ50" s="87"/>
      <c r="CK50" s="87"/>
      <c r="CL50" s="87">
        <f t="shared" si="24"/>
        <v>0</v>
      </c>
      <c r="CM50" s="87"/>
      <c r="CN50" s="87">
        <f t="shared" si="25"/>
        <v>0</v>
      </c>
      <c r="CO50" s="87"/>
      <c r="CP50" s="87">
        <f t="shared" si="26"/>
        <v>0</v>
      </c>
      <c r="CQ50" s="87"/>
      <c r="CR50" s="87">
        <f t="shared" si="27"/>
        <v>0</v>
      </c>
      <c r="CS50" s="87"/>
      <c r="CT50" s="87"/>
      <c r="CU50" s="87"/>
      <c r="CV50" s="87"/>
      <c r="CW50" s="87"/>
      <c r="CX50" s="87">
        <f t="shared" si="33"/>
        <v>340344.8631504056</v>
      </c>
      <c r="CY50" s="87"/>
      <c r="CZ50" s="87">
        <f t="shared" si="33"/>
        <v>383171.66237488674</v>
      </c>
      <c r="DA50" s="87"/>
      <c r="DB50" s="87">
        <f t="shared" si="33"/>
        <v>304057.0040906022</v>
      </c>
      <c r="DC50" s="87"/>
      <c r="DD50" s="87">
        <f t="shared" si="33"/>
        <v>271727.8262200784</v>
      </c>
      <c r="DE50" s="87"/>
      <c r="DF50" s="87"/>
      <c r="DG50" s="87"/>
      <c r="DH50" s="87"/>
      <c r="DI50" s="87"/>
      <c r="DJ50" s="87">
        <f t="shared" si="28"/>
        <v>324825.33895899326</v>
      </c>
    </row>
    <row r="51" spans="2:114" ht="12.75">
      <c r="B51" s="61" t="s">
        <v>88</v>
      </c>
      <c r="D51" s="61" t="s">
        <v>55</v>
      </c>
      <c r="E51" s="58"/>
      <c r="F51" s="65">
        <f t="shared" si="0"/>
        <v>4.493696189747651</v>
      </c>
      <c r="G51" s="58"/>
      <c r="H51" s="65">
        <f t="shared" si="1"/>
        <v>7.571715992277363</v>
      </c>
      <c r="I51" s="58"/>
      <c r="J51" s="65">
        <f t="shared" si="2"/>
        <v>80.61023459583505</v>
      </c>
      <c r="K51" s="58"/>
      <c r="L51" s="65">
        <f t="shared" si="3"/>
        <v>3.165763317489575</v>
      </c>
      <c r="M51" s="58"/>
      <c r="N51" s="58"/>
      <c r="O51" s="58"/>
      <c r="P51" s="58"/>
      <c r="Q51" s="58"/>
      <c r="R51" s="87">
        <f t="shared" si="4"/>
        <v>1951.1657029528121</v>
      </c>
      <c r="S51" s="87"/>
      <c r="T51" s="87">
        <f t="shared" si="5"/>
        <v>849.8864889290917</v>
      </c>
      <c r="U51" s="87"/>
      <c r="V51" s="87">
        <f t="shared" si="6"/>
        <v>6152.683628415181</v>
      </c>
      <c r="W51" s="87"/>
      <c r="X51" s="87">
        <f t="shared" si="7"/>
        <v>2598.9765649928504</v>
      </c>
      <c r="Y51" s="87"/>
      <c r="Z51" s="87"/>
      <c r="AA51" s="87"/>
      <c r="AB51" s="87"/>
      <c r="AC51" s="87"/>
      <c r="AD51" s="87">
        <f t="shared" si="8"/>
        <v>86399.17439013186</v>
      </c>
      <c r="AE51" s="87"/>
      <c r="AF51" s="87">
        <f t="shared" si="9"/>
        <v>105541.45940949507</v>
      </c>
      <c r="AG51" s="87"/>
      <c r="AH51" s="87">
        <f t="shared" si="10"/>
        <v>77495.5626410637</v>
      </c>
      <c r="AI51" s="87"/>
      <c r="AJ51" s="87">
        <f t="shared" si="11"/>
        <v>78664.42182852881</v>
      </c>
      <c r="AK51" s="87"/>
      <c r="AL51" s="87"/>
      <c r="AM51" s="87"/>
      <c r="AN51" s="87"/>
      <c r="AO51" s="87"/>
      <c r="AP51" s="87">
        <f t="shared" si="12"/>
        <v>319770.8573895664</v>
      </c>
      <c r="AQ51" s="87"/>
      <c r="AR51" s="87">
        <f t="shared" si="13"/>
        <v>378737.2945316816</v>
      </c>
      <c r="AS51" s="87"/>
      <c r="AT51" s="87">
        <f t="shared" si="14"/>
        <v>363347.4583709753</v>
      </c>
      <c r="AU51" s="87"/>
      <c r="AV51" s="87">
        <f t="shared" si="15"/>
        <v>378452.61477261747</v>
      </c>
      <c r="AW51" s="87"/>
      <c r="AX51" s="87"/>
      <c r="AY51" s="87"/>
      <c r="AZ51" s="87"/>
      <c r="BA51" s="87"/>
      <c r="BB51" s="87">
        <f t="shared" si="16"/>
        <v>0</v>
      </c>
      <c r="BC51" s="87"/>
      <c r="BD51" s="87">
        <f t="shared" si="17"/>
        <v>0</v>
      </c>
      <c r="BE51" s="87"/>
      <c r="BF51" s="87">
        <f t="shared" si="18"/>
        <v>0</v>
      </c>
      <c r="BG51" s="87"/>
      <c r="BH51" s="87">
        <f t="shared" si="19"/>
        <v>0</v>
      </c>
      <c r="BI51" s="87"/>
      <c r="BJ51" s="87"/>
      <c r="BK51" s="87"/>
      <c r="BL51" s="87"/>
      <c r="BM51" s="87"/>
      <c r="BN51" s="87">
        <f t="shared" si="29"/>
        <v>425312.31679906143</v>
      </c>
      <c r="BO51" s="87"/>
      <c r="BP51" s="87">
        <f t="shared" si="30"/>
        <v>456232.8571727453</v>
      </c>
      <c r="BQ51" s="87"/>
      <c r="BR51" s="87">
        <f t="shared" si="31"/>
        <v>442011.8801995041</v>
      </c>
      <c r="BS51" s="87"/>
      <c r="BT51" s="87">
        <f t="shared" si="32"/>
        <v>378452.61477261747</v>
      </c>
      <c r="BU51" s="87"/>
      <c r="BV51" s="87"/>
      <c r="BW51" s="87"/>
      <c r="BX51" s="87"/>
      <c r="BY51" s="87"/>
      <c r="BZ51" s="87">
        <f t="shared" si="20"/>
        <v>0</v>
      </c>
      <c r="CA51" s="87"/>
      <c r="CB51" s="87">
        <f t="shared" si="21"/>
        <v>0</v>
      </c>
      <c r="CC51" s="87"/>
      <c r="CD51" s="87">
        <f t="shared" si="22"/>
        <v>0</v>
      </c>
      <c r="CE51" s="87"/>
      <c r="CF51" s="87">
        <f t="shared" si="23"/>
        <v>0</v>
      </c>
      <c r="CG51" s="87"/>
      <c r="CH51" s="87"/>
      <c r="CI51" s="87"/>
      <c r="CJ51" s="87"/>
      <c r="CK51" s="87"/>
      <c r="CL51" s="87">
        <f t="shared" si="24"/>
        <v>0</v>
      </c>
      <c r="CM51" s="87"/>
      <c r="CN51" s="87">
        <f t="shared" si="25"/>
        <v>0</v>
      </c>
      <c r="CO51" s="87"/>
      <c r="CP51" s="87">
        <f t="shared" si="26"/>
        <v>0</v>
      </c>
      <c r="CQ51" s="87"/>
      <c r="CR51" s="87">
        <f t="shared" si="27"/>
        <v>0</v>
      </c>
      <c r="CS51" s="87"/>
      <c r="CT51" s="87"/>
      <c r="CU51" s="87"/>
      <c r="CV51" s="87"/>
      <c r="CW51" s="87"/>
      <c r="CX51" s="87">
        <f t="shared" si="33"/>
        <v>427267.97619820404</v>
      </c>
      <c r="CY51" s="87"/>
      <c r="CZ51" s="87">
        <f t="shared" si="33"/>
        <v>457090.3153776667</v>
      </c>
      <c r="DA51" s="87"/>
      <c r="DB51" s="87">
        <f t="shared" si="33"/>
        <v>448245.1740625151</v>
      </c>
      <c r="DC51" s="87"/>
      <c r="DD51" s="87">
        <f t="shared" si="33"/>
        <v>381054.7571009278</v>
      </c>
      <c r="DE51" s="87"/>
      <c r="DF51" s="87"/>
      <c r="DG51" s="87"/>
      <c r="DH51" s="87"/>
      <c r="DI51" s="87"/>
      <c r="DJ51" s="87">
        <f t="shared" si="28"/>
        <v>428414.55568482843</v>
      </c>
    </row>
    <row r="52" spans="2:119" ht="12.75">
      <c r="B52" s="61" t="s">
        <v>95</v>
      </c>
      <c r="D52" s="61" t="s">
        <v>55</v>
      </c>
      <c r="E52" s="58">
        <v>100</v>
      </c>
      <c r="F52" s="65">
        <f t="shared" si="0"/>
        <v>0.24482896482073405</v>
      </c>
      <c r="G52" s="58">
        <v>100</v>
      </c>
      <c r="H52" s="65">
        <f t="shared" si="1"/>
        <v>0.15270687715517373</v>
      </c>
      <c r="I52" s="58">
        <v>100</v>
      </c>
      <c r="J52" s="65">
        <f t="shared" si="2"/>
        <v>0.7758837169811885</v>
      </c>
      <c r="K52" s="58">
        <v>100</v>
      </c>
      <c r="L52" s="65">
        <f t="shared" si="3"/>
        <v>0.14581697704800467</v>
      </c>
      <c r="M52" s="58"/>
      <c r="N52" s="58"/>
      <c r="O52" s="58"/>
      <c r="P52" s="58"/>
      <c r="Q52" s="58">
        <v>100</v>
      </c>
      <c r="R52" s="87">
        <f t="shared" si="4"/>
        <v>44.804545771509034</v>
      </c>
      <c r="S52" s="87">
        <v>100</v>
      </c>
      <c r="T52" s="87">
        <f t="shared" si="5"/>
        <v>42.994257675236405</v>
      </c>
      <c r="U52" s="87">
        <v>100</v>
      </c>
      <c r="V52" s="87">
        <f t="shared" si="6"/>
        <v>39.241525504065336</v>
      </c>
      <c r="W52" s="87">
        <v>100</v>
      </c>
      <c r="X52" s="87">
        <f t="shared" si="7"/>
        <v>37.839505543957216</v>
      </c>
      <c r="Y52" s="87"/>
      <c r="Z52" s="87"/>
      <c r="AA52" s="87"/>
      <c r="AB52" s="87"/>
      <c r="AC52" s="87"/>
      <c r="AD52" s="87">
        <f t="shared" si="8"/>
        <v>3.362524390259449</v>
      </c>
      <c r="AE52" s="87"/>
      <c r="AF52" s="87">
        <f t="shared" si="9"/>
        <v>4.27215668231736</v>
      </c>
      <c r="AG52" s="87"/>
      <c r="AH52" s="87">
        <f t="shared" si="10"/>
        <v>3.5081823566852797</v>
      </c>
      <c r="AI52" s="87"/>
      <c r="AJ52" s="87">
        <f t="shared" si="11"/>
        <v>1.8735562906233754</v>
      </c>
      <c r="AK52" s="87"/>
      <c r="AL52" s="87"/>
      <c r="AM52" s="87"/>
      <c r="AN52" s="87"/>
      <c r="AO52" s="87"/>
      <c r="AP52" s="87">
        <f t="shared" si="12"/>
        <v>118.74016969513451</v>
      </c>
      <c r="AQ52" s="87"/>
      <c r="AR52" s="87">
        <f t="shared" si="13"/>
        <v>156.0397653470525</v>
      </c>
      <c r="AS52" s="87"/>
      <c r="AT52" s="87">
        <f t="shared" si="14"/>
        <v>122.9720005980951</v>
      </c>
      <c r="AU52" s="87"/>
      <c r="AV52" s="87">
        <f t="shared" si="15"/>
        <v>190.425460158085</v>
      </c>
      <c r="AW52" s="87"/>
      <c r="AX52" s="87"/>
      <c r="AY52" s="87"/>
      <c r="AZ52" s="87"/>
      <c r="BA52" s="87"/>
      <c r="BB52" s="87">
        <f t="shared" si="16"/>
        <v>0</v>
      </c>
      <c r="BC52" s="87"/>
      <c r="BD52" s="87">
        <f t="shared" si="17"/>
        <v>0</v>
      </c>
      <c r="BE52" s="87"/>
      <c r="BF52" s="87">
        <f t="shared" si="18"/>
        <v>0</v>
      </c>
      <c r="BG52" s="87"/>
      <c r="BH52" s="87">
        <f t="shared" si="19"/>
        <v>0</v>
      </c>
      <c r="BI52" s="87"/>
      <c r="BJ52" s="87"/>
      <c r="BK52" s="87"/>
      <c r="BL52" s="87"/>
      <c r="BM52" s="87"/>
      <c r="BN52" s="87">
        <f t="shared" si="29"/>
        <v>123.01232637745187</v>
      </c>
      <c r="BO52" s="87"/>
      <c r="BP52" s="87">
        <f t="shared" si="30"/>
        <v>159.54794770373778</v>
      </c>
      <c r="BQ52" s="87"/>
      <c r="BR52" s="87">
        <f t="shared" si="31"/>
        <v>124.84555688871846</v>
      </c>
      <c r="BS52" s="87"/>
      <c r="BT52" s="87">
        <f t="shared" si="32"/>
        <v>190.425460158085</v>
      </c>
      <c r="BU52" s="87"/>
      <c r="BV52" s="87"/>
      <c r="BW52" s="87"/>
      <c r="BX52" s="87"/>
      <c r="BY52" s="87"/>
      <c r="BZ52" s="87">
        <f t="shared" si="20"/>
        <v>0</v>
      </c>
      <c r="CA52" s="87"/>
      <c r="CB52" s="87">
        <f t="shared" si="21"/>
        <v>0</v>
      </c>
      <c r="CC52" s="87"/>
      <c r="CD52" s="87">
        <f t="shared" si="22"/>
        <v>0</v>
      </c>
      <c r="CE52" s="87"/>
      <c r="CF52" s="87">
        <f t="shared" si="23"/>
        <v>0</v>
      </c>
      <c r="CG52" s="87"/>
      <c r="CH52" s="87"/>
      <c r="CI52" s="87"/>
      <c r="CJ52" s="87"/>
      <c r="CK52" s="87"/>
      <c r="CL52" s="87">
        <f t="shared" si="24"/>
        <v>0</v>
      </c>
      <c r="CM52" s="87"/>
      <c r="CN52" s="87">
        <f t="shared" si="25"/>
        <v>0</v>
      </c>
      <c r="CO52" s="87"/>
      <c r="CP52" s="87">
        <f t="shared" si="26"/>
        <v>0</v>
      </c>
      <c r="CQ52" s="87"/>
      <c r="CR52" s="87">
        <f t="shared" si="27"/>
        <v>0</v>
      </c>
      <c r="CS52" s="87"/>
      <c r="CT52" s="87"/>
      <c r="CU52" s="87"/>
      <c r="CV52" s="87"/>
      <c r="CW52" s="87">
        <f>SUM((BN52*BM52/100),(F52*E52/100),(R52*Q52/100))/CX52*100</f>
        <v>26.805259281429215</v>
      </c>
      <c r="CX52" s="87">
        <f t="shared" si="33"/>
        <v>168.06170111378162</v>
      </c>
      <c r="CY52" s="87">
        <f>SUM((BP52*BO52/100),(H52*G52/100),(T52*S52/100))/CZ52*100</f>
        <v>21.286653953045555</v>
      </c>
      <c r="CZ52" s="87">
        <f t="shared" si="33"/>
        <v>202.69491225612936</v>
      </c>
      <c r="DA52" s="87">
        <f>SUM((BR52*BQ52/100),(J52*I52/100),(V52*U52/100))/DB52*100</f>
        <v>24.27313432805954</v>
      </c>
      <c r="DB52" s="87">
        <f t="shared" si="33"/>
        <v>164.86296610976498</v>
      </c>
      <c r="DC52" s="87">
        <f>SUM((BT52*BS52/100),(L52*K52/100),(X52*W52/100))/DD52*100</f>
        <v>16.6302667831463</v>
      </c>
      <c r="DD52" s="87">
        <f t="shared" si="33"/>
        <v>228.41078267909023</v>
      </c>
      <c r="DE52" s="87"/>
      <c r="DF52" s="87"/>
      <c r="DG52" s="87"/>
      <c r="DH52" s="87"/>
      <c r="DI52" s="87">
        <f t="shared" si="34"/>
        <v>21.75294062413672</v>
      </c>
      <c r="DJ52" s="87">
        <f t="shared" si="28"/>
        <v>191.00759053969153</v>
      </c>
      <c r="DL52" s="65">
        <f>AVERAGE(BZ52,CB52,CD52,CF52,CH52,CJ52)+AVERAGE(CL52,CN52,CP52,CR52,CT52,CV52)</f>
        <v>0</v>
      </c>
      <c r="DM52" s="65">
        <f>AVERAGE(AD52,AF52,AH52,AJ52,AL52,AN52)+AVERAGE(AP52,AR52,AT52,AV52,AX52,AZ52)+AVERAGE(BB52,BD52,BF52,BH52,BJ52,BL52)</f>
        <v>150.29845387956314</v>
      </c>
      <c r="DN52" s="65">
        <f>AVERAGE(F52,H52,J52,L52,N52,P52)+AVERAGE(R52,T52,V52,X52,Z52,AB52)</f>
        <v>41.54976775769327</v>
      </c>
      <c r="DO52" s="65">
        <f>SUM(DL52,DM52,DN52)</f>
        <v>191.84822163725642</v>
      </c>
    </row>
    <row r="53" spans="2:114" ht="12.75">
      <c r="B53" s="61" t="s">
        <v>91</v>
      </c>
      <c r="D53" s="61" t="s">
        <v>55</v>
      </c>
      <c r="E53" s="58">
        <v>100</v>
      </c>
      <c r="F53" s="65">
        <f t="shared" si="0"/>
        <v>0.2882163763079527</v>
      </c>
      <c r="G53" s="58"/>
      <c r="H53" s="65">
        <f t="shared" si="1"/>
        <v>0.1845208098958349</v>
      </c>
      <c r="I53" s="58"/>
      <c r="J53" s="65">
        <f t="shared" si="2"/>
        <v>0.9147260663357171</v>
      </c>
      <c r="K53" s="58"/>
      <c r="L53" s="65">
        <f t="shared" si="3"/>
        <v>0.19953902122358536</v>
      </c>
      <c r="M53" s="58"/>
      <c r="N53" s="58"/>
      <c r="O53" s="58"/>
      <c r="P53" s="58"/>
      <c r="Q53" s="58">
        <v>100</v>
      </c>
      <c r="R53" s="87">
        <f t="shared" si="4"/>
        <v>40.95039129654051</v>
      </c>
      <c r="S53" s="87"/>
      <c r="T53" s="87">
        <f t="shared" si="5"/>
        <v>33.99545955716368</v>
      </c>
      <c r="U53" s="87">
        <v>100</v>
      </c>
      <c r="V53" s="87">
        <f t="shared" si="6"/>
        <v>41.17937861537721</v>
      </c>
      <c r="W53" s="87"/>
      <c r="X53" s="87">
        <f t="shared" si="7"/>
        <v>476.47903691535595</v>
      </c>
      <c r="Y53" s="87"/>
      <c r="Z53" s="87"/>
      <c r="AA53" s="87"/>
      <c r="AB53" s="87"/>
      <c r="AC53" s="87"/>
      <c r="AD53" s="87">
        <f t="shared" si="8"/>
        <v>218.25840133138604</v>
      </c>
      <c r="AE53" s="87"/>
      <c r="AF53" s="87">
        <f t="shared" si="9"/>
        <v>86.86718587378633</v>
      </c>
      <c r="AG53" s="87"/>
      <c r="AH53" s="87">
        <f t="shared" si="10"/>
        <v>49.61572190169181</v>
      </c>
      <c r="AI53" s="87">
        <v>100</v>
      </c>
      <c r="AJ53" s="87">
        <f t="shared" si="11"/>
        <v>5.745572624578353</v>
      </c>
      <c r="AK53" s="87"/>
      <c r="AL53" s="87"/>
      <c r="AM53" s="87"/>
      <c r="AN53" s="87"/>
      <c r="AO53" s="87"/>
      <c r="AP53" s="87">
        <f t="shared" si="12"/>
        <v>95.59082568734358</v>
      </c>
      <c r="AQ53" s="87"/>
      <c r="AR53" s="87">
        <f t="shared" si="13"/>
        <v>33.3793802247255</v>
      </c>
      <c r="AS53" s="87"/>
      <c r="AT53" s="87">
        <f t="shared" si="14"/>
        <v>30.673393356732408</v>
      </c>
      <c r="AU53" s="87"/>
      <c r="AV53" s="87">
        <f t="shared" si="15"/>
        <v>31.70559928576675</v>
      </c>
      <c r="AW53" s="87"/>
      <c r="AX53" s="87"/>
      <c r="AY53" s="87"/>
      <c r="AZ53" s="87"/>
      <c r="BA53" s="87"/>
      <c r="BB53" s="87">
        <f t="shared" si="16"/>
        <v>0</v>
      </c>
      <c r="BC53" s="87"/>
      <c r="BD53" s="87">
        <f t="shared" si="17"/>
        <v>0</v>
      </c>
      <c r="BE53" s="87"/>
      <c r="BF53" s="87">
        <f t="shared" si="18"/>
        <v>0</v>
      </c>
      <c r="BG53" s="87"/>
      <c r="BH53" s="87">
        <f t="shared" si="19"/>
        <v>0</v>
      </c>
      <c r="BI53" s="87"/>
      <c r="BJ53" s="87"/>
      <c r="BK53" s="87"/>
      <c r="BL53" s="87"/>
      <c r="BM53" s="87"/>
      <c r="BN53" s="87">
        <f t="shared" si="29"/>
        <v>182.45801156112992</v>
      </c>
      <c r="BO53" s="87"/>
      <c r="BP53" s="87">
        <f t="shared" si="30"/>
        <v>82.99510212641732</v>
      </c>
      <c r="BQ53" s="87">
        <f>SUM((BF53*BE53/100),(AT53*AS53/100),(AJ53*AI53/100))/BR53*100</f>
        <v>15.77632002931337</v>
      </c>
      <c r="BR53" s="87">
        <f t="shared" si="31"/>
        <v>36.41896598131076</v>
      </c>
      <c r="BS53" s="87"/>
      <c r="BT53" s="87">
        <f t="shared" si="32"/>
        <v>31.70559928576675</v>
      </c>
      <c r="BU53" s="87"/>
      <c r="BV53" s="87"/>
      <c r="BW53" s="87"/>
      <c r="BX53" s="87"/>
      <c r="BY53" s="87"/>
      <c r="BZ53" s="87">
        <f t="shared" si="20"/>
        <v>0</v>
      </c>
      <c r="CA53" s="87"/>
      <c r="CB53" s="87">
        <f t="shared" si="21"/>
        <v>0</v>
      </c>
      <c r="CC53" s="87"/>
      <c r="CD53" s="87">
        <f t="shared" si="22"/>
        <v>0</v>
      </c>
      <c r="CE53" s="87"/>
      <c r="CF53" s="87">
        <f t="shared" si="23"/>
        <v>0</v>
      </c>
      <c r="CG53" s="87"/>
      <c r="CH53" s="87"/>
      <c r="CI53" s="87"/>
      <c r="CJ53" s="87"/>
      <c r="CK53" s="87"/>
      <c r="CL53" s="87">
        <f t="shared" si="24"/>
        <v>0</v>
      </c>
      <c r="CM53" s="87"/>
      <c r="CN53" s="87">
        <f t="shared" si="25"/>
        <v>0</v>
      </c>
      <c r="CO53" s="87"/>
      <c r="CP53" s="87">
        <f t="shared" si="26"/>
        <v>0</v>
      </c>
      <c r="CQ53" s="87"/>
      <c r="CR53" s="87">
        <f t="shared" si="27"/>
        <v>0</v>
      </c>
      <c r="CS53" s="87"/>
      <c r="CT53" s="87"/>
      <c r="CU53" s="87"/>
      <c r="CV53" s="87"/>
      <c r="CW53" s="87">
        <f>SUM((BN53*BM53/100),(F53*E53/100),(R53*Q53/100))/CX53*100</f>
        <v>18.435060759552382</v>
      </c>
      <c r="CX53" s="87">
        <f t="shared" si="33"/>
        <v>223.6966192339784</v>
      </c>
      <c r="CY53" s="87"/>
      <c r="CZ53" s="87">
        <f t="shared" si="33"/>
        <v>117.17508249347684</v>
      </c>
      <c r="DA53" s="87">
        <f>SUM((BR53*BQ53/100),(J53*I53/100),(V53*U53/100))/DB53*100</f>
        <v>59.76705641963282</v>
      </c>
      <c r="DB53" s="87">
        <f t="shared" si="33"/>
        <v>78.5130706630237</v>
      </c>
      <c r="DC53" s="87"/>
      <c r="DD53" s="87">
        <f t="shared" si="33"/>
        <v>508.3841752223463</v>
      </c>
      <c r="DE53" s="87"/>
      <c r="DF53" s="87"/>
      <c r="DG53" s="87"/>
      <c r="DH53" s="87"/>
      <c r="DI53" s="87">
        <f t="shared" si="34"/>
        <v>9.502749487321305</v>
      </c>
      <c r="DJ53" s="87">
        <f t="shared" si="28"/>
        <v>231.94223690320632</v>
      </c>
    </row>
    <row r="54" spans="2:114" ht="12.75">
      <c r="B54" s="61" t="s">
        <v>86</v>
      </c>
      <c r="D54" s="61" t="s">
        <v>55</v>
      </c>
      <c r="E54" s="58">
        <v>100</v>
      </c>
      <c r="F54" s="65">
        <f t="shared" si="0"/>
        <v>0.5764327526159054</v>
      </c>
      <c r="G54" s="58">
        <v>100</v>
      </c>
      <c r="H54" s="65">
        <f t="shared" si="1"/>
        <v>0.33510675820163116</v>
      </c>
      <c r="I54" s="58">
        <v>100</v>
      </c>
      <c r="J54" s="65">
        <f t="shared" si="2"/>
        <v>1.5190986458789593</v>
      </c>
      <c r="K54" s="58"/>
      <c r="L54" s="65">
        <f t="shared" si="3"/>
        <v>0.8192611736776051</v>
      </c>
      <c r="M54" s="58"/>
      <c r="N54" s="58"/>
      <c r="O54" s="58"/>
      <c r="P54" s="58"/>
      <c r="Q54" s="58">
        <v>100</v>
      </c>
      <c r="R54" s="87">
        <f t="shared" si="4"/>
        <v>82.38255190245208</v>
      </c>
      <c r="S54" s="87">
        <v>100</v>
      </c>
      <c r="T54" s="87">
        <f t="shared" si="5"/>
        <v>81.98904952021826</v>
      </c>
      <c r="U54" s="87">
        <v>100</v>
      </c>
      <c r="V54" s="87">
        <f t="shared" si="6"/>
        <v>82.84322050858238</v>
      </c>
      <c r="W54" s="87">
        <v>100</v>
      </c>
      <c r="X54" s="87">
        <f t="shared" si="7"/>
        <v>81.6536698580129</v>
      </c>
      <c r="Y54" s="87"/>
      <c r="Z54" s="87"/>
      <c r="AA54" s="87"/>
      <c r="AB54" s="87"/>
      <c r="AC54" s="87"/>
      <c r="AD54" s="87">
        <f t="shared" si="8"/>
        <v>11.432582926882125</v>
      </c>
      <c r="AE54" s="87">
        <v>100</v>
      </c>
      <c r="AF54" s="87">
        <f t="shared" si="9"/>
        <v>11.962038710488608</v>
      </c>
      <c r="AG54" s="87">
        <v>100</v>
      </c>
      <c r="AH54" s="87">
        <f t="shared" si="10"/>
        <v>10.357490767356538</v>
      </c>
      <c r="AI54" s="87">
        <v>100</v>
      </c>
      <c r="AJ54" s="87">
        <f t="shared" si="11"/>
        <v>11.491145249156705</v>
      </c>
      <c r="AK54" s="87"/>
      <c r="AL54" s="87"/>
      <c r="AM54" s="87"/>
      <c r="AN54" s="87"/>
      <c r="AO54" s="87">
        <v>100</v>
      </c>
      <c r="AP54" s="87">
        <f t="shared" si="12"/>
        <v>1.6563754764195233</v>
      </c>
      <c r="AQ54" s="87">
        <v>100</v>
      </c>
      <c r="AR54" s="87">
        <f t="shared" si="13"/>
        <v>1.5127070533430955</v>
      </c>
      <c r="AS54" s="87">
        <v>100</v>
      </c>
      <c r="AT54" s="87">
        <f t="shared" si="14"/>
        <v>1.6623401445379022</v>
      </c>
      <c r="AU54" s="87"/>
      <c r="AV54" s="87">
        <f t="shared" si="15"/>
        <v>3.430353978276484</v>
      </c>
      <c r="AW54" s="87"/>
      <c r="AX54" s="87"/>
      <c r="AY54" s="87"/>
      <c r="AZ54" s="87"/>
      <c r="BA54" s="87"/>
      <c r="BB54" s="87">
        <f t="shared" si="16"/>
        <v>0</v>
      </c>
      <c r="BC54" s="87"/>
      <c r="BD54" s="87">
        <f t="shared" si="17"/>
        <v>0</v>
      </c>
      <c r="BE54" s="87"/>
      <c r="BF54" s="87">
        <f t="shared" si="18"/>
        <v>0</v>
      </c>
      <c r="BG54" s="87"/>
      <c r="BH54" s="87">
        <f t="shared" si="19"/>
        <v>0</v>
      </c>
      <c r="BI54" s="87"/>
      <c r="BJ54" s="87"/>
      <c r="BK54" s="87"/>
      <c r="BL54" s="87"/>
      <c r="BM54" s="87">
        <f>SUM((BB54*BA54/100),(AP54*AO54/100),(AF54*AE54/100))/BN54*100</f>
        <v>99.99999999999999</v>
      </c>
      <c r="BN54" s="87">
        <f t="shared" si="29"/>
        <v>13.618414186908131</v>
      </c>
      <c r="BO54" s="87">
        <f>SUM((BD54*BC54/100),(AR54*AQ54/100),(AH54*AG54/100))/BP54*100</f>
        <v>100</v>
      </c>
      <c r="BP54" s="87">
        <f t="shared" si="30"/>
        <v>11.870197820699634</v>
      </c>
      <c r="BQ54" s="87">
        <f>SUM((BF54*BE54/100),(AT54*AS54/100),(AJ54*AI54/100))/BR54*100</f>
        <v>100</v>
      </c>
      <c r="BR54" s="87">
        <f t="shared" si="31"/>
        <v>13.153485393694607</v>
      </c>
      <c r="BS54" s="87"/>
      <c r="BT54" s="87">
        <f t="shared" si="32"/>
        <v>3.430353978276484</v>
      </c>
      <c r="BU54" s="87"/>
      <c r="BV54" s="87"/>
      <c r="BW54" s="87"/>
      <c r="BX54" s="87"/>
      <c r="BY54" s="87"/>
      <c r="BZ54" s="87">
        <f t="shared" si="20"/>
        <v>0</v>
      </c>
      <c r="CA54" s="87"/>
      <c r="CB54" s="87">
        <f t="shared" si="21"/>
        <v>0</v>
      </c>
      <c r="CC54" s="87"/>
      <c r="CD54" s="87">
        <f t="shared" si="22"/>
        <v>0</v>
      </c>
      <c r="CE54" s="87"/>
      <c r="CF54" s="87">
        <f t="shared" si="23"/>
        <v>0</v>
      </c>
      <c r="CG54" s="87"/>
      <c r="CH54" s="87"/>
      <c r="CI54" s="87"/>
      <c r="CJ54" s="87"/>
      <c r="CK54" s="87"/>
      <c r="CL54" s="87">
        <f t="shared" si="24"/>
        <v>0</v>
      </c>
      <c r="CM54" s="87"/>
      <c r="CN54" s="87">
        <f t="shared" si="25"/>
        <v>0</v>
      </c>
      <c r="CO54" s="87"/>
      <c r="CP54" s="87">
        <f t="shared" si="26"/>
        <v>0</v>
      </c>
      <c r="CQ54" s="87"/>
      <c r="CR54" s="87">
        <f t="shared" si="27"/>
        <v>0</v>
      </c>
      <c r="CS54" s="87"/>
      <c r="CT54" s="87"/>
      <c r="CU54" s="87"/>
      <c r="CV54" s="87"/>
      <c r="CW54" s="87">
        <f>SUM((BN54*BM54/100),(F54*E54/100),(R54*Q54/100))/CX54*100</f>
        <v>100.00000000000003</v>
      </c>
      <c r="CX54" s="87">
        <f t="shared" si="33"/>
        <v>96.5773988419761</v>
      </c>
      <c r="CY54" s="87">
        <f>SUM((BP54*BO54/100),(H54*G54/100),(T54*S54/100))/CZ54*100</f>
        <v>99.99999999999999</v>
      </c>
      <c r="CZ54" s="87">
        <f t="shared" si="33"/>
        <v>94.19435409911952</v>
      </c>
      <c r="DA54" s="87">
        <f>SUM((BR54*BQ54/100),(J54*I54/100),(V54*U54/100))/DB54*100</f>
        <v>100</v>
      </c>
      <c r="DB54" s="87">
        <f t="shared" si="33"/>
        <v>97.51580454815594</v>
      </c>
      <c r="DC54" s="87">
        <f>SUM((BT54*BS54/100),(L54*K54/100),(X54*W54/100))/DD54*100</f>
        <v>95.05302369814959</v>
      </c>
      <c r="DD54" s="87">
        <f t="shared" si="33"/>
        <v>85.903285009967</v>
      </c>
      <c r="DE54" s="87"/>
      <c r="DF54" s="87"/>
      <c r="DG54" s="87"/>
      <c r="DH54" s="87"/>
      <c r="DI54" s="87">
        <f t="shared" si="34"/>
        <v>98.8643187728564</v>
      </c>
      <c r="DJ54" s="87">
        <f t="shared" si="28"/>
        <v>93.54771062480464</v>
      </c>
    </row>
    <row r="55" spans="2:119" ht="12.75">
      <c r="B55" s="61" t="s">
        <v>61</v>
      </c>
      <c r="D55" s="61" t="s">
        <v>55</v>
      </c>
      <c r="E55" s="58"/>
      <c r="F55" s="65">
        <f>F51+F49</f>
        <v>4.781912566055604</v>
      </c>
      <c r="G55" s="58"/>
      <c r="H55" s="65">
        <f>H51+H49</f>
        <v>7.739269371378178</v>
      </c>
      <c r="I55" s="58"/>
      <c r="J55" s="65">
        <f>J51+J49</f>
        <v>82.635699457007</v>
      </c>
      <c r="K55" s="58"/>
      <c r="L55" s="65">
        <f>L51+L49</f>
        <v>3.2828006280149475</v>
      </c>
      <c r="M55" s="58"/>
      <c r="N55" s="58"/>
      <c r="O55" s="58"/>
      <c r="P55" s="58"/>
      <c r="Q55" s="58"/>
      <c r="R55" s="87">
        <f>R51+R49</f>
        <v>2058.1184896331883</v>
      </c>
      <c r="S55" s="87">
        <f>T49/T55*100</f>
        <v>4.601571268237935</v>
      </c>
      <c r="T55" s="87">
        <f>T51+T49</f>
        <v>890.8810136892008</v>
      </c>
      <c r="U55" s="87"/>
      <c r="V55" s="87">
        <f>V51+V49</f>
        <v>6255.874306592538</v>
      </c>
      <c r="W55" s="87"/>
      <c r="X55" s="87">
        <f>X51+X49</f>
        <v>2660.21681738636</v>
      </c>
      <c r="Y55" s="87"/>
      <c r="Z55" s="87"/>
      <c r="AA55" s="87"/>
      <c r="AB55" s="87"/>
      <c r="AC55" s="87"/>
      <c r="AD55" s="87">
        <f>AD51+AD49</f>
        <v>89277.58166736833</v>
      </c>
      <c r="AE55" s="87"/>
      <c r="AF55" s="87">
        <f>AF51+AF49</f>
        <v>108177.47097943557</v>
      </c>
      <c r="AG55" s="87"/>
      <c r="AH55" s="87">
        <f>AH51+AH49</f>
        <v>79931.80038876181</v>
      </c>
      <c r="AI55" s="87"/>
      <c r="AJ55" s="87">
        <f>AJ51+AJ49</f>
        <v>81475.23592557258</v>
      </c>
      <c r="AK55" s="87"/>
      <c r="AL55" s="87"/>
      <c r="AM55" s="87"/>
      <c r="AN55" s="87"/>
      <c r="AO55" s="87"/>
      <c r="AP55" s="87">
        <f>AP51+AP49</f>
        <v>319886.6041096053</v>
      </c>
      <c r="AQ55" s="87"/>
      <c r="AR55" s="87">
        <f>AR51+AR49</f>
        <v>378792.8426682129</v>
      </c>
      <c r="AS55" s="87"/>
      <c r="AT55" s="87">
        <f>AT51+AT49</f>
        <v>363408.7123486317</v>
      </c>
      <c r="AU55" s="87"/>
      <c r="AV55" s="87">
        <f>AV51+AV49</f>
        <v>378526.4825833589</v>
      </c>
      <c r="AW55" s="87"/>
      <c r="AX55" s="87"/>
      <c r="AY55" s="87"/>
      <c r="AZ55" s="87"/>
      <c r="BA55" s="87"/>
      <c r="BB55" s="87">
        <f>BB51+BB49</f>
        <v>0</v>
      </c>
      <c r="BC55" s="87"/>
      <c r="BD55" s="87">
        <f>BD51+BD49</f>
        <v>0</v>
      </c>
      <c r="BE55" s="87"/>
      <c r="BF55" s="87">
        <f>BF51+BF49</f>
        <v>0</v>
      </c>
      <c r="BG55" s="87"/>
      <c r="BH55" s="87">
        <f>BH51+BH49</f>
        <v>0</v>
      </c>
      <c r="BI55" s="87"/>
      <c r="BJ55" s="87"/>
      <c r="BK55" s="87"/>
      <c r="BL55" s="87"/>
      <c r="BM55" s="87"/>
      <c r="BN55" s="87">
        <f t="shared" si="29"/>
        <v>428064.0750890409</v>
      </c>
      <c r="BO55" s="87"/>
      <c r="BP55" s="87">
        <f>SUM(BD55,AR55,AF55)</f>
        <v>486970.31364764844</v>
      </c>
      <c r="BQ55" s="87"/>
      <c r="BR55" s="87">
        <f>SUM(BF55,AT55,AH55)</f>
        <v>443340.5127373935</v>
      </c>
      <c r="BS55" s="87"/>
      <c r="BT55" s="87">
        <f>SUM(BH55,AV55,AJ55)</f>
        <v>460001.71850893146</v>
      </c>
      <c r="BU55" s="87"/>
      <c r="BV55" s="87"/>
      <c r="BW55" s="87"/>
      <c r="BX55" s="87"/>
      <c r="BY55" s="87"/>
      <c r="BZ55" s="87">
        <f>BZ51+BZ49</f>
        <v>0</v>
      </c>
      <c r="CA55" s="87"/>
      <c r="CB55" s="87">
        <f>CB51+CB49</f>
        <v>0</v>
      </c>
      <c r="CC55" s="87"/>
      <c r="CD55" s="87">
        <f>CD51+CD49</f>
        <v>0</v>
      </c>
      <c r="CE55" s="87"/>
      <c r="CF55" s="87">
        <f>CF51+CF49</f>
        <v>0</v>
      </c>
      <c r="CG55" s="87"/>
      <c r="CH55" s="87"/>
      <c r="CI55" s="87"/>
      <c r="CJ55" s="87"/>
      <c r="CK55" s="87"/>
      <c r="CL55" s="87">
        <f>CL51+CL49</f>
        <v>0</v>
      </c>
      <c r="CM55" s="87"/>
      <c r="CN55" s="87">
        <f>CN51+CN49</f>
        <v>0</v>
      </c>
      <c r="CO55" s="87"/>
      <c r="CP55" s="87">
        <f>CP51+CP49</f>
        <v>0</v>
      </c>
      <c r="CQ55" s="87"/>
      <c r="CR55" s="87">
        <f>CR51+CR49</f>
        <v>0</v>
      </c>
      <c r="CS55" s="87"/>
      <c r="CT55" s="87"/>
      <c r="CU55" s="87"/>
      <c r="CV55" s="87"/>
      <c r="CW55" s="87"/>
      <c r="CX55" s="87">
        <f t="shared" si="33"/>
        <v>430126.97549124015</v>
      </c>
      <c r="CY55" s="87"/>
      <c r="CZ55" s="87">
        <f t="shared" si="33"/>
        <v>487868.933930709</v>
      </c>
      <c r="DA55" s="87"/>
      <c r="DB55" s="87">
        <f t="shared" si="33"/>
        <v>449679.0227434431</v>
      </c>
      <c r="DC55" s="87"/>
      <c r="DD55" s="87">
        <f t="shared" si="33"/>
        <v>462665.2181269458</v>
      </c>
      <c r="DE55" s="87"/>
      <c r="DF55" s="87"/>
      <c r="DG55" s="87"/>
      <c r="DH55" s="87"/>
      <c r="DI55" s="87"/>
      <c r="DJ55" s="87">
        <f t="shared" si="28"/>
        <v>457585.03757308447</v>
      </c>
      <c r="DL55" s="65">
        <f>AVERAGE(BZ55,CB55,CD55,CF55,CH55,CJ55)+AVERAGE(CL55,CN55,CP55,CR55,CT55,CV55)</f>
        <v>0</v>
      </c>
      <c r="DM55" s="65">
        <f>AVERAGE(AD55,AF55,AH55,AJ55,AL55,AN55)+AVERAGE(AP55,AR55,AT55,AV55,AX55,AZ55)+AVERAGE(BB55,BD55,BF55,BH55,BJ55,BL55)</f>
        <v>449869.1826677368</v>
      </c>
      <c r="DN55" s="65">
        <f>AVERAGE(F55,H55,J55,L55,N55,P55)+AVERAGE(R55,T55,V55,X55,Z55,AB55)</f>
        <v>2990.882577330936</v>
      </c>
      <c r="DO55" s="65">
        <f>SUM(DL55,DM55,DN55)</f>
        <v>452860.0652450677</v>
      </c>
    </row>
    <row r="56" spans="2:119" ht="12.75">
      <c r="B56" s="61" t="s">
        <v>62</v>
      </c>
      <c r="D56" s="61" t="s">
        <v>55</v>
      </c>
      <c r="E56" s="58"/>
      <c r="F56" s="65">
        <f>F50+F48+F46</f>
        <v>11.488366741651408</v>
      </c>
      <c r="G56" s="58"/>
      <c r="H56" s="65">
        <f>H50+H48+H46</f>
        <v>9.794449426424888</v>
      </c>
      <c r="I56" s="58"/>
      <c r="J56" s="65">
        <f>J50+J48+J46</f>
        <v>24.33824712214676</v>
      </c>
      <c r="K56" s="58"/>
      <c r="L56" s="65">
        <f>L50+L48+L46</f>
        <v>7.751323516762353</v>
      </c>
      <c r="M56" s="58"/>
      <c r="N56" s="58"/>
      <c r="O56" s="58"/>
      <c r="P56" s="58"/>
      <c r="Q56" s="58"/>
      <c r="R56" s="87">
        <f>R50+R48+R46</f>
        <v>3911.9667920930465</v>
      </c>
      <c r="S56" s="87"/>
      <c r="T56" s="87">
        <f>T50+T48+T46</f>
        <v>2278.6956567875295</v>
      </c>
      <c r="U56" s="87"/>
      <c r="V56" s="87">
        <f>V50+V48+V46</f>
        <v>2235.3135638982403</v>
      </c>
      <c r="W56" s="87"/>
      <c r="X56" s="87">
        <f>X50+X48+X46</f>
        <v>2640.7991763835407</v>
      </c>
      <c r="Y56" s="87"/>
      <c r="Z56" s="87"/>
      <c r="AA56" s="87"/>
      <c r="AB56" s="87"/>
      <c r="AC56" s="87"/>
      <c r="AD56" s="87">
        <f>AD50+AD48+AD46</f>
        <v>73589.55766533427</v>
      </c>
      <c r="AE56" s="87"/>
      <c r="AF56" s="87">
        <f>AF50+AF48+AF46</f>
        <v>74974.8348254915</v>
      </c>
      <c r="AG56" s="87"/>
      <c r="AH56" s="87">
        <f>AH50+AH48+AH46</f>
        <v>66906.04923106925</v>
      </c>
      <c r="AI56" s="87"/>
      <c r="AJ56" s="87">
        <f>AJ50+AJ48+AJ46</f>
        <v>71143.33564394755</v>
      </c>
      <c r="AK56" s="87"/>
      <c r="AL56" s="87"/>
      <c r="AM56" s="87"/>
      <c r="AN56" s="87"/>
      <c r="AO56" s="87"/>
      <c r="AP56" s="87">
        <f>AP50+AP48+AP46</f>
        <v>257709.0156550891</v>
      </c>
      <c r="AQ56" s="87"/>
      <c r="AR56" s="87">
        <f>AR50+AR48+AR46</f>
        <v>256233.45415776022</v>
      </c>
      <c r="AS56" s="87"/>
      <c r="AT56" s="87">
        <f>AT50+AT48+AT46</f>
        <v>281615.16227534326</v>
      </c>
      <c r="AU56" s="87"/>
      <c r="AV56" s="87">
        <f>AV50+AV48+AV46</f>
        <v>288631.2755554813</v>
      </c>
      <c r="AW56" s="87"/>
      <c r="AX56" s="87"/>
      <c r="AY56" s="87"/>
      <c r="AZ56" s="87"/>
      <c r="BA56" s="87"/>
      <c r="BB56" s="87">
        <f>BB50+BB48+BB46</f>
        <v>76707.84473729358</v>
      </c>
      <c r="BC56" s="87"/>
      <c r="BD56" s="87">
        <f>BD50+BD48+BD46</f>
        <v>138047.42093472465</v>
      </c>
      <c r="BE56" s="87"/>
      <c r="BF56" s="87">
        <f>BF50+BF48+BF46</f>
        <v>31509.45446630815</v>
      </c>
      <c r="BG56" s="87"/>
      <c r="BH56" s="87">
        <f>BH50+BH48+BH46</f>
        <v>48643.20049210999</v>
      </c>
      <c r="BI56" s="87"/>
      <c r="BJ56" s="87"/>
      <c r="BK56" s="87"/>
      <c r="BL56" s="87"/>
      <c r="BM56" s="87"/>
      <c r="BN56" s="87">
        <f t="shared" si="29"/>
        <v>409391.69521787425</v>
      </c>
      <c r="BO56" s="87"/>
      <c r="BP56" s="87">
        <f>SUM(BD56,AR56,AF56)</f>
        <v>469255.7099179764</v>
      </c>
      <c r="BQ56" s="87"/>
      <c r="BR56" s="87">
        <f>SUM(BF56,AT56,AH56)</f>
        <v>380030.6659727207</v>
      </c>
      <c r="BS56" s="87"/>
      <c r="BT56" s="87">
        <f>SUM(BH56,AV56,AJ56)</f>
        <v>408417.81169153884</v>
      </c>
      <c r="BU56" s="87"/>
      <c r="BV56" s="87"/>
      <c r="BW56" s="87"/>
      <c r="BX56" s="87"/>
      <c r="BY56" s="87"/>
      <c r="BZ56" s="87">
        <f>BZ50+BZ48+BZ46</f>
        <v>0</v>
      </c>
      <c r="CA56" s="87"/>
      <c r="CB56" s="87">
        <f>CB50+CB48+CB46</f>
        <v>0</v>
      </c>
      <c r="CC56" s="87"/>
      <c r="CD56" s="87">
        <f>CD50+CD48+CD46</f>
        <v>0</v>
      </c>
      <c r="CE56" s="87"/>
      <c r="CF56" s="87">
        <f>CF50+CF48+CF46</f>
        <v>0</v>
      </c>
      <c r="CG56" s="87"/>
      <c r="CH56" s="87"/>
      <c r="CI56" s="87"/>
      <c r="CJ56" s="87"/>
      <c r="CK56" s="87"/>
      <c r="CL56" s="87">
        <f>CL50+CL48+CL46</f>
        <v>0</v>
      </c>
      <c r="CM56" s="87"/>
      <c r="CN56" s="87">
        <f>CN50+CN48+CN46</f>
        <v>0</v>
      </c>
      <c r="CO56" s="87"/>
      <c r="CP56" s="87">
        <f>CP50+CP48+CP46</f>
        <v>0</v>
      </c>
      <c r="CQ56" s="87"/>
      <c r="CR56" s="87">
        <f>CR50+CR48+CR46</f>
        <v>0</v>
      </c>
      <c r="CS56" s="87"/>
      <c r="CT56" s="87"/>
      <c r="CU56" s="87"/>
      <c r="CV56" s="87"/>
      <c r="CW56" s="87"/>
      <c r="CX56" s="87">
        <f t="shared" si="33"/>
        <v>413315.15037670895</v>
      </c>
      <c r="CY56" s="87"/>
      <c r="CZ56" s="87">
        <f t="shared" si="33"/>
        <v>471544.20002419036</v>
      </c>
      <c r="DA56" s="87"/>
      <c r="DB56" s="87">
        <f t="shared" si="33"/>
        <v>382290.3177837411</v>
      </c>
      <c r="DC56" s="87"/>
      <c r="DD56" s="87">
        <f t="shared" si="33"/>
        <v>411066.36219143914</v>
      </c>
      <c r="DE56" s="87"/>
      <c r="DF56" s="87"/>
      <c r="DG56" s="87"/>
      <c r="DH56" s="87"/>
      <c r="DI56" s="87"/>
      <c r="DJ56" s="87">
        <f t="shared" si="28"/>
        <v>419554.0075940199</v>
      </c>
      <c r="DL56" s="65">
        <f>AVERAGE(BZ56,CB56,CD56,CF56,CH56,CJ56)+AVERAGE(CL56,CN56,CP56,CR56,CT56,CV56)</f>
        <v>0</v>
      </c>
      <c r="DM56" s="65">
        <f>AVERAGE(AD56,AF56,AH56,AJ56,AL56,AN56)+AVERAGE(AP56,AR56,AT56,AV56,AX56,AZ56)+AVERAGE(BB56,BD56,BF56,BH56,BJ56,BL56)</f>
        <v>416427.65140998823</v>
      </c>
      <c r="DN56" s="65">
        <f>AVERAGE(F56,H56,J56,L56,N56,P56)+AVERAGE(R56,T56,V56,X56,Z56,AB56)</f>
        <v>2780.036893992335</v>
      </c>
      <c r="DO56" s="65">
        <f>SUM(DL56,DM56,DN56)</f>
        <v>419207.68830398057</v>
      </c>
    </row>
    <row r="57" spans="5:100" ht="12.7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</row>
    <row r="58" spans="2:114" ht="12.75">
      <c r="B58" s="33" t="s">
        <v>180</v>
      </c>
      <c r="C58" s="33"/>
      <c r="D58" s="33"/>
      <c r="E58" s="58"/>
      <c r="F58" s="69" t="s">
        <v>106</v>
      </c>
      <c r="G58" s="69"/>
      <c r="H58" s="69" t="s">
        <v>107</v>
      </c>
      <c r="I58" s="69"/>
      <c r="J58" s="69" t="s">
        <v>108</v>
      </c>
      <c r="K58" s="69"/>
      <c r="L58" s="69" t="s">
        <v>190</v>
      </c>
      <c r="M58" s="69"/>
      <c r="N58" s="69" t="s">
        <v>203</v>
      </c>
      <c r="O58" s="69"/>
      <c r="P58" s="69" t="s">
        <v>204</v>
      </c>
      <c r="Q58" s="69"/>
      <c r="R58" s="69" t="s">
        <v>106</v>
      </c>
      <c r="S58" s="69"/>
      <c r="T58" s="69" t="s">
        <v>107</v>
      </c>
      <c r="U58" s="69"/>
      <c r="V58" s="69" t="s">
        <v>108</v>
      </c>
      <c r="W58" s="69"/>
      <c r="X58" s="69" t="s">
        <v>190</v>
      </c>
      <c r="Y58" s="69"/>
      <c r="Z58" s="69" t="s">
        <v>203</v>
      </c>
      <c r="AA58" s="69"/>
      <c r="AB58" s="69" t="s">
        <v>204</v>
      </c>
      <c r="AC58" s="69"/>
      <c r="AD58" s="69" t="s">
        <v>106</v>
      </c>
      <c r="AE58" s="69"/>
      <c r="AF58" s="69" t="s">
        <v>107</v>
      </c>
      <c r="AG58" s="69"/>
      <c r="AH58" s="69" t="s">
        <v>108</v>
      </c>
      <c r="AI58" s="69"/>
      <c r="AJ58" s="69" t="s">
        <v>190</v>
      </c>
      <c r="AK58" s="69"/>
      <c r="AL58" s="69" t="s">
        <v>203</v>
      </c>
      <c r="AM58" s="69"/>
      <c r="AN58" s="69" t="s">
        <v>204</v>
      </c>
      <c r="AO58" s="69"/>
      <c r="AP58" s="69" t="s">
        <v>106</v>
      </c>
      <c r="AQ58" s="69"/>
      <c r="AR58" s="69" t="s">
        <v>107</v>
      </c>
      <c r="AS58" s="69"/>
      <c r="AT58" s="69" t="s">
        <v>108</v>
      </c>
      <c r="AU58" s="69"/>
      <c r="AV58" s="69" t="s">
        <v>190</v>
      </c>
      <c r="AW58" s="69"/>
      <c r="AX58" s="69" t="s">
        <v>203</v>
      </c>
      <c r="AY58" s="69"/>
      <c r="AZ58" s="69" t="s">
        <v>204</v>
      </c>
      <c r="BA58" s="69"/>
      <c r="BB58" s="69" t="s">
        <v>106</v>
      </c>
      <c r="BC58" s="69"/>
      <c r="BD58" s="69" t="s">
        <v>107</v>
      </c>
      <c r="BE58" s="69"/>
      <c r="BF58" s="69" t="s">
        <v>108</v>
      </c>
      <c r="BG58" s="69"/>
      <c r="BH58" s="69" t="s">
        <v>190</v>
      </c>
      <c r="BI58" s="69"/>
      <c r="BJ58" s="69" t="s">
        <v>203</v>
      </c>
      <c r="BK58" s="69"/>
      <c r="BL58" s="69" t="s">
        <v>204</v>
      </c>
      <c r="BM58" s="69"/>
      <c r="BN58" s="69" t="s">
        <v>106</v>
      </c>
      <c r="BO58" s="69"/>
      <c r="BP58" s="69" t="s">
        <v>107</v>
      </c>
      <c r="BQ58" s="69"/>
      <c r="BR58" s="69" t="s">
        <v>108</v>
      </c>
      <c r="BS58" s="69"/>
      <c r="BT58" s="69" t="s">
        <v>190</v>
      </c>
      <c r="BU58" s="69"/>
      <c r="BV58" s="69" t="s">
        <v>203</v>
      </c>
      <c r="BW58" s="69"/>
      <c r="BX58" s="69" t="s">
        <v>204</v>
      </c>
      <c r="BY58" s="69"/>
      <c r="BZ58" s="69" t="s">
        <v>106</v>
      </c>
      <c r="CA58" s="69"/>
      <c r="CB58" s="69" t="s">
        <v>107</v>
      </c>
      <c r="CC58" s="69"/>
      <c r="CD58" s="69" t="s">
        <v>108</v>
      </c>
      <c r="CE58" s="69"/>
      <c r="CF58" s="69" t="s">
        <v>190</v>
      </c>
      <c r="CG58" s="69"/>
      <c r="CH58" s="69" t="s">
        <v>203</v>
      </c>
      <c r="CI58" s="69"/>
      <c r="CJ58" s="69" t="s">
        <v>204</v>
      </c>
      <c r="CK58" s="69"/>
      <c r="CL58" s="69" t="s">
        <v>106</v>
      </c>
      <c r="CM58" s="69"/>
      <c r="CN58" s="69" t="s">
        <v>107</v>
      </c>
      <c r="CO58" s="69"/>
      <c r="CP58" s="69" t="s">
        <v>108</v>
      </c>
      <c r="CQ58" s="69"/>
      <c r="CR58" s="69" t="s">
        <v>190</v>
      </c>
      <c r="CS58" s="69"/>
      <c r="CT58" s="69" t="s">
        <v>203</v>
      </c>
      <c r="CU58" s="69"/>
      <c r="CV58" s="69" t="s">
        <v>204</v>
      </c>
      <c r="CW58" s="69"/>
      <c r="CX58" s="69" t="s">
        <v>106</v>
      </c>
      <c r="CY58" s="69"/>
      <c r="CZ58" s="69" t="s">
        <v>107</v>
      </c>
      <c r="DA58" s="69"/>
      <c r="DB58" s="69" t="s">
        <v>108</v>
      </c>
      <c r="DC58" s="69"/>
      <c r="DD58" s="69" t="s">
        <v>190</v>
      </c>
      <c r="DE58" s="69"/>
      <c r="DF58" s="69" t="s">
        <v>203</v>
      </c>
      <c r="DG58" s="69"/>
      <c r="DH58" s="69" t="s">
        <v>204</v>
      </c>
      <c r="DI58" s="69"/>
      <c r="DJ58" s="69" t="s">
        <v>56</v>
      </c>
    </row>
    <row r="59" spans="2:114" ht="12.75">
      <c r="B59" s="33"/>
      <c r="C59" s="33"/>
      <c r="D59" s="33"/>
      <c r="E59" s="5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</row>
    <row r="60" spans="2:114" ht="12.75">
      <c r="B60" s="11" t="s">
        <v>310</v>
      </c>
      <c r="C60" s="33"/>
      <c r="D60" s="33"/>
      <c r="F60" s="69" t="s">
        <v>316</v>
      </c>
      <c r="G60" s="69"/>
      <c r="H60" s="69" t="s">
        <v>316</v>
      </c>
      <c r="I60" s="69"/>
      <c r="J60" s="69" t="s">
        <v>316</v>
      </c>
      <c r="K60" s="69"/>
      <c r="L60" s="69" t="s">
        <v>316</v>
      </c>
      <c r="M60" s="69"/>
      <c r="N60" s="69" t="s">
        <v>316</v>
      </c>
      <c r="O60" s="69"/>
      <c r="P60" s="69" t="s">
        <v>316</v>
      </c>
      <c r="Q60" s="69"/>
      <c r="R60" s="69" t="s">
        <v>317</v>
      </c>
      <c r="S60" s="69"/>
      <c r="T60" s="69" t="s">
        <v>317</v>
      </c>
      <c r="U60" s="69"/>
      <c r="V60" s="69" t="s">
        <v>317</v>
      </c>
      <c r="W60" s="69"/>
      <c r="X60" s="69" t="s">
        <v>317</v>
      </c>
      <c r="Y60" s="69"/>
      <c r="Z60" s="69" t="s">
        <v>317</v>
      </c>
      <c r="AA60" s="69"/>
      <c r="AB60" s="69" t="s">
        <v>317</v>
      </c>
      <c r="AC60" s="69"/>
      <c r="AD60" s="69" t="s">
        <v>318</v>
      </c>
      <c r="AE60" s="69"/>
      <c r="AF60" s="69" t="s">
        <v>318</v>
      </c>
      <c r="AG60" s="69"/>
      <c r="AH60" s="69" t="s">
        <v>318</v>
      </c>
      <c r="AI60" s="69"/>
      <c r="AJ60" s="69" t="s">
        <v>318</v>
      </c>
      <c r="AK60" s="69"/>
      <c r="AL60" s="69" t="s">
        <v>318</v>
      </c>
      <c r="AM60" s="69"/>
      <c r="AN60" s="69" t="s">
        <v>318</v>
      </c>
      <c r="AO60" s="69"/>
      <c r="AP60" s="69" t="s">
        <v>319</v>
      </c>
      <c r="AQ60" s="69"/>
      <c r="AR60" s="69" t="s">
        <v>319</v>
      </c>
      <c r="AS60" s="69"/>
      <c r="AT60" s="69" t="s">
        <v>319</v>
      </c>
      <c r="AU60" s="69"/>
      <c r="AV60" s="69" t="s">
        <v>319</v>
      </c>
      <c r="AW60" s="69"/>
      <c r="AX60" s="69" t="s">
        <v>319</v>
      </c>
      <c r="AY60" s="69"/>
      <c r="AZ60" s="69" t="s">
        <v>319</v>
      </c>
      <c r="BA60" s="69"/>
      <c r="BB60" s="69" t="s">
        <v>320</v>
      </c>
      <c r="BC60" s="69"/>
      <c r="BD60" s="69" t="s">
        <v>320</v>
      </c>
      <c r="BE60" s="69"/>
      <c r="BF60" s="69" t="s">
        <v>320</v>
      </c>
      <c r="BG60" s="69"/>
      <c r="BH60" s="69" t="s">
        <v>320</v>
      </c>
      <c r="BI60" s="69"/>
      <c r="BJ60" s="69" t="s">
        <v>320</v>
      </c>
      <c r="BK60" s="69"/>
      <c r="BL60" s="69" t="s">
        <v>320</v>
      </c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 t="s">
        <v>321</v>
      </c>
      <c r="CA60" s="69"/>
      <c r="CB60" s="69" t="s">
        <v>321</v>
      </c>
      <c r="CC60" s="69"/>
      <c r="CD60" s="69" t="s">
        <v>321</v>
      </c>
      <c r="CE60" s="69"/>
      <c r="CF60" s="69" t="s">
        <v>321</v>
      </c>
      <c r="CG60" s="69"/>
      <c r="CH60" s="69" t="s">
        <v>321</v>
      </c>
      <c r="CI60" s="69"/>
      <c r="CJ60" s="69" t="s">
        <v>321</v>
      </c>
      <c r="CK60" s="69"/>
      <c r="CL60" s="69" t="s">
        <v>322</v>
      </c>
      <c r="CM60" s="69"/>
      <c r="CN60" s="69" t="s">
        <v>322</v>
      </c>
      <c r="CO60" s="69"/>
      <c r="CP60" s="69" t="s">
        <v>322</v>
      </c>
      <c r="CQ60" s="69"/>
      <c r="CR60" s="69" t="s">
        <v>322</v>
      </c>
      <c r="CS60" s="69"/>
      <c r="CT60" s="69" t="s">
        <v>322</v>
      </c>
      <c r="CU60" s="69"/>
      <c r="CV60" s="69" t="s">
        <v>322</v>
      </c>
      <c r="CW60" s="69"/>
      <c r="CX60" s="69" t="s">
        <v>323</v>
      </c>
      <c r="CY60" s="69"/>
      <c r="CZ60" s="69" t="s">
        <v>323</v>
      </c>
      <c r="DA60" s="69"/>
      <c r="DB60" s="69" t="s">
        <v>323</v>
      </c>
      <c r="DC60" s="69"/>
      <c r="DD60" s="69" t="s">
        <v>323</v>
      </c>
      <c r="DE60" s="69"/>
      <c r="DF60" s="69" t="s">
        <v>323</v>
      </c>
      <c r="DG60" s="69"/>
      <c r="DH60" s="69" t="s">
        <v>323</v>
      </c>
      <c r="DI60" s="69"/>
      <c r="DJ60" s="69" t="s">
        <v>323</v>
      </c>
    </row>
    <row r="61" spans="2:114" ht="12.75">
      <c r="B61" s="11" t="s">
        <v>311</v>
      </c>
      <c r="F61" s="69" t="s">
        <v>105</v>
      </c>
      <c r="G61" s="69"/>
      <c r="H61" s="69" t="s">
        <v>105</v>
      </c>
      <c r="I61" s="69"/>
      <c r="J61" s="69" t="s">
        <v>105</v>
      </c>
      <c r="K61" s="69"/>
      <c r="L61" s="69" t="s">
        <v>105</v>
      </c>
      <c r="M61" s="69"/>
      <c r="N61" s="69" t="s">
        <v>105</v>
      </c>
      <c r="O61" s="69"/>
      <c r="P61" s="69" t="s">
        <v>105</v>
      </c>
      <c r="Q61" s="69"/>
      <c r="R61" s="69" t="s">
        <v>313</v>
      </c>
      <c r="S61" s="69"/>
      <c r="T61" s="69" t="s">
        <v>313</v>
      </c>
      <c r="U61" s="69"/>
      <c r="V61" s="69" t="s">
        <v>313</v>
      </c>
      <c r="W61" s="69"/>
      <c r="X61" s="69" t="s">
        <v>313</v>
      </c>
      <c r="Y61" s="69"/>
      <c r="Z61" s="69" t="s">
        <v>313</v>
      </c>
      <c r="AA61" s="69"/>
      <c r="AB61" s="69" t="s">
        <v>313</v>
      </c>
      <c r="AC61" s="69"/>
      <c r="AD61" s="69" t="s">
        <v>52</v>
      </c>
      <c r="AE61" s="69"/>
      <c r="AF61" s="69" t="s">
        <v>52</v>
      </c>
      <c r="AG61" s="69"/>
      <c r="AH61" s="69" t="s">
        <v>52</v>
      </c>
      <c r="AI61" s="69"/>
      <c r="AJ61" s="69" t="s">
        <v>52</v>
      </c>
      <c r="AK61" s="69"/>
      <c r="AL61" s="69" t="s">
        <v>52</v>
      </c>
      <c r="AM61" s="69"/>
      <c r="AN61" s="69" t="s">
        <v>52</v>
      </c>
      <c r="AO61" s="69"/>
      <c r="AP61" s="69" t="s">
        <v>52</v>
      </c>
      <c r="AQ61" s="69"/>
      <c r="AR61" s="69" t="s">
        <v>52</v>
      </c>
      <c r="AS61" s="69"/>
      <c r="AT61" s="69" t="s">
        <v>52</v>
      </c>
      <c r="AU61" s="69"/>
      <c r="AV61" s="69" t="s">
        <v>52</v>
      </c>
      <c r="AW61" s="69"/>
      <c r="AX61" s="69" t="s">
        <v>52</v>
      </c>
      <c r="AY61" s="69"/>
      <c r="AZ61" s="69" t="s">
        <v>52</v>
      </c>
      <c r="BA61" s="69"/>
      <c r="BB61" s="69" t="s">
        <v>52</v>
      </c>
      <c r="BC61" s="69"/>
      <c r="BD61" s="69" t="s">
        <v>52</v>
      </c>
      <c r="BE61" s="69"/>
      <c r="BF61" s="69" t="s">
        <v>52</v>
      </c>
      <c r="BG61" s="69"/>
      <c r="BH61" s="69" t="s">
        <v>52</v>
      </c>
      <c r="BI61" s="69"/>
      <c r="BJ61" s="69" t="s">
        <v>52</v>
      </c>
      <c r="BK61" s="69"/>
      <c r="BL61" s="69" t="s">
        <v>52</v>
      </c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 t="s">
        <v>314</v>
      </c>
      <c r="CA61" s="69"/>
      <c r="CB61" s="69" t="s">
        <v>314</v>
      </c>
      <c r="CC61" s="69"/>
      <c r="CD61" s="69" t="s">
        <v>314</v>
      </c>
      <c r="CE61" s="69"/>
      <c r="CF61" s="69" t="s">
        <v>314</v>
      </c>
      <c r="CG61" s="69"/>
      <c r="CH61" s="69" t="s">
        <v>314</v>
      </c>
      <c r="CI61" s="69"/>
      <c r="CJ61" s="69" t="s">
        <v>314</v>
      </c>
      <c r="CK61" s="69"/>
      <c r="CL61" s="69" t="s">
        <v>315</v>
      </c>
      <c r="CM61" s="69"/>
      <c r="CN61" s="69" t="s">
        <v>315</v>
      </c>
      <c r="CO61" s="69"/>
      <c r="CP61" s="69" t="s">
        <v>315</v>
      </c>
      <c r="CQ61" s="69"/>
      <c r="CR61" s="69" t="s">
        <v>315</v>
      </c>
      <c r="CS61" s="69"/>
      <c r="CT61" s="69" t="s">
        <v>315</v>
      </c>
      <c r="CU61" s="69"/>
      <c r="CV61" s="69" t="s">
        <v>315</v>
      </c>
      <c r="CW61" s="69"/>
      <c r="CX61" s="69" t="s">
        <v>30</v>
      </c>
      <c r="CY61" s="69"/>
      <c r="CZ61" s="69" t="s">
        <v>30</v>
      </c>
      <c r="DA61" s="69"/>
      <c r="DB61" s="69" t="s">
        <v>30</v>
      </c>
      <c r="DC61" s="69"/>
      <c r="DD61" s="69" t="s">
        <v>30</v>
      </c>
      <c r="DE61" s="69"/>
      <c r="DF61" s="69" t="s">
        <v>30</v>
      </c>
      <c r="DG61" s="69"/>
      <c r="DH61" s="69" t="s">
        <v>30</v>
      </c>
      <c r="DI61" s="69"/>
      <c r="DJ61" s="69" t="s">
        <v>30</v>
      </c>
    </row>
    <row r="62" spans="2:114" ht="12.75">
      <c r="B62" s="18" t="s">
        <v>93</v>
      </c>
      <c r="F62" s="69" t="s">
        <v>105</v>
      </c>
      <c r="G62" s="69"/>
      <c r="H62" s="69" t="s">
        <v>105</v>
      </c>
      <c r="I62" s="69"/>
      <c r="J62" s="69" t="s">
        <v>105</v>
      </c>
      <c r="K62" s="69"/>
      <c r="L62" s="69" t="s">
        <v>105</v>
      </c>
      <c r="M62" s="69"/>
      <c r="N62" s="69" t="s">
        <v>105</v>
      </c>
      <c r="O62" s="69"/>
      <c r="P62" s="69" t="s">
        <v>105</v>
      </c>
      <c r="Q62" s="69"/>
      <c r="R62" s="69" t="s">
        <v>313</v>
      </c>
      <c r="S62" s="69"/>
      <c r="T62" s="69" t="s">
        <v>313</v>
      </c>
      <c r="U62" s="69"/>
      <c r="V62" s="69" t="s">
        <v>313</v>
      </c>
      <c r="W62" s="69"/>
      <c r="X62" s="69" t="s">
        <v>313</v>
      </c>
      <c r="Y62" s="69"/>
      <c r="Z62" s="69" t="s">
        <v>313</v>
      </c>
      <c r="AA62" s="69"/>
      <c r="AB62" s="69" t="s">
        <v>313</v>
      </c>
      <c r="AC62" s="69"/>
      <c r="AD62" s="69" t="s">
        <v>333</v>
      </c>
      <c r="AE62" s="69"/>
      <c r="AF62" s="69" t="s">
        <v>333</v>
      </c>
      <c r="AG62" s="69"/>
      <c r="AH62" s="69" t="s">
        <v>333</v>
      </c>
      <c r="AI62" s="69"/>
      <c r="AJ62" s="69" t="s">
        <v>333</v>
      </c>
      <c r="AK62" s="69"/>
      <c r="AL62" s="69" t="s">
        <v>333</v>
      </c>
      <c r="AM62" s="69"/>
      <c r="AN62" s="69" t="s">
        <v>333</v>
      </c>
      <c r="AO62" s="69"/>
      <c r="AP62" s="69" t="s">
        <v>334</v>
      </c>
      <c r="AQ62" s="69"/>
      <c r="AR62" s="69" t="s">
        <v>334</v>
      </c>
      <c r="AS62" s="69"/>
      <c r="AT62" s="69" t="s">
        <v>334</v>
      </c>
      <c r="AU62" s="69"/>
      <c r="AV62" s="69" t="s">
        <v>334</v>
      </c>
      <c r="AW62" s="69"/>
      <c r="AX62" s="69" t="s">
        <v>334</v>
      </c>
      <c r="AY62" s="69"/>
      <c r="AZ62" s="69" t="s">
        <v>334</v>
      </c>
      <c r="BA62" s="69"/>
      <c r="BB62" s="69" t="s">
        <v>335</v>
      </c>
      <c r="BC62" s="69"/>
      <c r="BD62" s="69" t="s">
        <v>335</v>
      </c>
      <c r="BE62" s="69"/>
      <c r="BF62" s="69" t="s">
        <v>335</v>
      </c>
      <c r="BG62" s="69"/>
      <c r="BH62" s="69" t="s">
        <v>335</v>
      </c>
      <c r="BI62" s="69"/>
      <c r="BJ62" s="69" t="s">
        <v>335</v>
      </c>
      <c r="BK62" s="69"/>
      <c r="BL62" s="69" t="s">
        <v>335</v>
      </c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 t="s">
        <v>201</v>
      </c>
      <c r="CA62" s="69"/>
      <c r="CB62" s="69" t="s">
        <v>201</v>
      </c>
      <c r="CC62" s="69"/>
      <c r="CD62" s="69" t="s">
        <v>201</v>
      </c>
      <c r="CE62" s="69"/>
      <c r="CF62" s="69" t="s">
        <v>201</v>
      </c>
      <c r="CG62" s="69"/>
      <c r="CH62" s="69" t="s">
        <v>201</v>
      </c>
      <c r="CI62" s="69"/>
      <c r="CJ62" s="69" t="s">
        <v>201</v>
      </c>
      <c r="CK62" s="69"/>
      <c r="CL62" s="69" t="s">
        <v>202</v>
      </c>
      <c r="CM62" s="69"/>
      <c r="CN62" s="69" t="s">
        <v>202</v>
      </c>
      <c r="CO62" s="69"/>
      <c r="CP62" s="69" t="s">
        <v>202</v>
      </c>
      <c r="CQ62" s="69"/>
      <c r="CR62" s="69" t="s">
        <v>202</v>
      </c>
      <c r="CS62" s="69"/>
      <c r="CT62" s="69" t="s">
        <v>202</v>
      </c>
      <c r="CU62" s="69"/>
      <c r="CV62" s="69" t="s">
        <v>202</v>
      </c>
      <c r="CW62" s="69"/>
      <c r="CX62" s="69" t="s">
        <v>30</v>
      </c>
      <c r="CY62" s="69"/>
      <c r="CZ62" s="69" t="s">
        <v>30</v>
      </c>
      <c r="DA62" s="69"/>
      <c r="DB62" s="69" t="s">
        <v>30</v>
      </c>
      <c r="DC62" s="69"/>
      <c r="DD62" s="69" t="s">
        <v>30</v>
      </c>
      <c r="DE62" s="69"/>
      <c r="DF62" s="69" t="s">
        <v>30</v>
      </c>
      <c r="DG62" s="69"/>
      <c r="DH62" s="69" t="s">
        <v>30</v>
      </c>
      <c r="DI62" s="69"/>
      <c r="DJ62" s="69" t="s">
        <v>30</v>
      </c>
    </row>
    <row r="63" spans="1:100" ht="12.75">
      <c r="A63" s="61" t="s">
        <v>180</v>
      </c>
      <c r="B63" s="61" t="s">
        <v>96</v>
      </c>
      <c r="D63" s="61" t="s">
        <v>170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6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>
        <v>12594</v>
      </c>
      <c r="CA63" s="58"/>
      <c r="CB63" s="58">
        <v>12552</v>
      </c>
      <c r="CC63" s="58"/>
      <c r="CD63" s="58">
        <v>12600</v>
      </c>
      <c r="CE63" s="58"/>
      <c r="CF63" s="58">
        <v>12540</v>
      </c>
      <c r="CG63" s="58"/>
      <c r="CH63" s="58">
        <v>12600</v>
      </c>
      <c r="CI63" s="58"/>
      <c r="CJ63" s="58">
        <v>12594</v>
      </c>
      <c r="CK63" s="58"/>
      <c r="CL63" s="58">
        <v>1062</v>
      </c>
      <c r="CM63" s="58"/>
      <c r="CN63" s="58">
        <v>918</v>
      </c>
      <c r="CO63" s="58"/>
      <c r="CP63" s="58">
        <v>1470</v>
      </c>
      <c r="CQ63" s="58"/>
      <c r="CR63" s="58">
        <v>1464</v>
      </c>
      <c r="CS63" s="58"/>
      <c r="CT63" s="58">
        <v>1572</v>
      </c>
      <c r="CU63" s="58"/>
      <c r="CV63" s="58">
        <v>1482</v>
      </c>
    </row>
    <row r="64" spans="1:100" ht="12.75">
      <c r="A64" s="61" t="s">
        <v>180</v>
      </c>
      <c r="B64" s="61" t="s">
        <v>312</v>
      </c>
      <c r="D64" s="61" t="s">
        <v>207</v>
      </c>
      <c r="E64" s="58"/>
      <c r="F64" s="58"/>
      <c r="G64" s="58"/>
      <c r="H64" s="58"/>
      <c r="I64" s="58"/>
      <c r="J64" s="58"/>
      <c r="K64" s="58"/>
      <c r="L64" s="58">
        <v>17736</v>
      </c>
      <c r="M64" s="58"/>
      <c r="N64" s="58">
        <v>17916</v>
      </c>
      <c r="O64" s="58"/>
      <c r="P64" s="58">
        <v>17879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>
        <v>0</v>
      </c>
      <c r="CA64" s="58"/>
      <c r="CB64" s="58">
        <v>0</v>
      </c>
      <c r="CC64" s="58"/>
      <c r="CD64" s="58">
        <v>0</v>
      </c>
      <c r="CE64" s="58"/>
      <c r="CF64" s="58">
        <v>11732</v>
      </c>
      <c r="CG64" s="58"/>
      <c r="CH64" s="58">
        <v>11639</v>
      </c>
      <c r="CI64" s="58"/>
      <c r="CJ64" s="58">
        <v>11588</v>
      </c>
      <c r="CK64" s="58"/>
      <c r="CL64" s="58">
        <v>0</v>
      </c>
      <c r="CM64" s="58"/>
      <c r="CN64" s="58">
        <v>0</v>
      </c>
      <c r="CO64" s="58"/>
      <c r="CP64" s="58">
        <v>0</v>
      </c>
      <c r="CQ64" s="58"/>
      <c r="CR64" s="58">
        <v>7142</v>
      </c>
      <c r="CS64" s="58"/>
      <c r="CT64" s="58">
        <v>7645</v>
      </c>
      <c r="CU64" s="58"/>
      <c r="CV64" s="58">
        <v>7086</v>
      </c>
    </row>
    <row r="65" spans="1:100" ht="12.75">
      <c r="A65" s="61" t="s">
        <v>180</v>
      </c>
      <c r="B65" s="61" t="s">
        <v>21</v>
      </c>
      <c r="D65" s="61" t="s">
        <v>208</v>
      </c>
      <c r="E65" s="58"/>
      <c r="F65" s="58"/>
      <c r="G65" s="58"/>
      <c r="H65" s="58"/>
      <c r="I65" s="58"/>
      <c r="J65" s="58"/>
      <c r="K65" s="58"/>
      <c r="L65" s="58">
        <v>6400</v>
      </c>
      <c r="M65" s="58"/>
      <c r="N65" s="58">
        <v>5400</v>
      </c>
      <c r="O65" s="58"/>
      <c r="P65" s="58">
        <v>6000</v>
      </c>
      <c r="Q65" s="58"/>
      <c r="R65" s="58"/>
      <c r="S65" s="58"/>
      <c r="T65" s="58"/>
      <c r="U65" s="58"/>
      <c r="V65" s="58"/>
      <c r="W65" s="58"/>
      <c r="X65" s="58">
        <v>40</v>
      </c>
      <c r="Y65" s="58"/>
      <c r="Z65" s="58">
        <v>38</v>
      </c>
      <c r="AA65" s="58"/>
      <c r="AB65" s="58">
        <v>37</v>
      </c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>
        <v>25600</v>
      </c>
      <c r="CG65" s="58"/>
      <c r="CH65" s="58">
        <v>27800</v>
      </c>
      <c r="CI65" s="58"/>
      <c r="CJ65" s="58">
        <v>28400</v>
      </c>
      <c r="CK65" s="58"/>
      <c r="CL65" s="58"/>
      <c r="CM65" s="58"/>
      <c r="CN65" s="58"/>
      <c r="CO65" s="58"/>
      <c r="CP65" s="58"/>
      <c r="CQ65" s="58"/>
      <c r="CR65" s="58">
        <v>2600</v>
      </c>
      <c r="CS65" s="58"/>
      <c r="CT65" s="58">
        <v>1900</v>
      </c>
      <c r="CU65" s="58"/>
      <c r="CV65" s="58">
        <v>1800</v>
      </c>
    </row>
    <row r="66" spans="1:100" ht="12.75">
      <c r="A66" s="61" t="s">
        <v>180</v>
      </c>
      <c r="B66" s="61" t="s">
        <v>87</v>
      </c>
      <c r="D66" s="61" t="s">
        <v>208</v>
      </c>
      <c r="E66" s="58"/>
      <c r="F66" s="58"/>
      <c r="G66" s="58"/>
      <c r="H66" s="58"/>
      <c r="I66" s="58"/>
      <c r="J66" s="58"/>
      <c r="K66" s="58"/>
      <c r="L66" s="58">
        <v>2.54</v>
      </c>
      <c r="M66" s="58"/>
      <c r="N66" s="58">
        <v>151</v>
      </c>
      <c r="O66" s="58"/>
      <c r="P66" s="58">
        <v>2.66</v>
      </c>
      <c r="Q66" s="58"/>
      <c r="R66" s="58"/>
      <c r="S66" s="58"/>
      <c r="T66" s="58"/>
      <c r="U66" s="58"/>
      <c r="V66" s="58"/>
      <c r="W66" s="58"/>
      <c r="X66" s="58">
        <v>0.804</v>
      </c>
      <c r="Y66" s="58"/>
      <c r="Z66" s="58">
        <v>0.851</v>
      </c>
      <c r="AA66" s="58"/>
      <c r="AB66" s="58">
        <v>0.965</v>
      </c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>
        <v>163</v>
      </c>
      <c r="CG66" s="58"/>
      <c r="CH66" s="58">
        <v>2.09</v>
      </c>
      <c r="CI66" s="58"/>
      <c r="CJ66" s="58">
        <v>147</v>
      </c>
      <c r="CK66" s="58"/>
      <c r="CL66" s="58"/>
      <c r="CM66" s="58"/>
      <c r="CN66" s="58"/>
      <c r="CO66" s="58"/>
      <c r="CP66" s="58"/>
      <c r="CQ66" s="58"/>
      <c r="CR66" s="58">
        <v>1230</v>
      </c>
      <c r="CS66" s="58"/>
      <c r="CT66" s="58">
        <v>1020</v>
      </c>
      <c r="CU66" s="58"/>
      <c r="CV66" s="58">
        <v>756</v>
      </c>
    </row>
    <row r="67" spans="1:100" ht="12.75">
      <c r="A67" s="61" t="s">
        <v>180</v>
      </c>
      <c r="B67" s="61" t="s">
        <v>83</v>
      </c>
      <c r="D67" s="61" t="s">
        <v>208</v>
      </c>
      <c r="E67" s="58"/>
      <c r="F67" s="58"/>
      <c r="G67" s="58"/>
      <c r="H67" s="58"/>
      <c r="I67" s="58"/>
      <c r="J67" s="58"/>
      <c r="K67" s="58"/>
      <c r="L67" s="58">
        <v>1.11</v>
      </c>
      <c r="M67" s="58"/>
      <c r="N67" s="58">
        <v>1.57</v>
      </c>
      <c r="O67" s="58"/>
      <c r="P67" s="58">
        <v>1.52</v>
      </c>
      <c r="Q67" s="58"/>
      <c r="R67" s="58"/>
      <c r="S67" s="58"/>
      <c r="T67" s="58"/>
      <c r="U67" s="58"/>
      <c r="V67" s="58"/>
      <c r="W67" s="58"/>
      <c r="X67" s="58">
        <v>6.16</v>
      </c>
      <c r="Y67" s="58"/>
      <c r="Z67" s="58">
        <v>6.75</v>
      </c>
      <c r="AA67" s="58"/>
      <c r="AB67" s="58">
        <v>6.66</v>
      </c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>
        <v>1.72</v>
      </c>
      <c r="CG67" s="58"/>
      <c r="CH67" s="58">
        <v>1.21</v>
      </c>
      <c r="CI67" s="58"/>
      <c r="CJ67" s="58">
        <v>1.95</v>
      </c>
      <c r="CK67" s="58"/>
      <c r="CL67" s="58"/>
      <c r="CM67" s="58"/>
      <c r="CN67" s="58"/>
      <c r="CO67" s="58"/>
      <c r="CP67" s="58"/>
      <c r="CQ67" s="58"/>
      <c r="CR67" s="58">
        <v>409</v>
      </c>
      <c r="CS67" s="58"/>
      <c r="CT67" s="58">
        <v>336</v>
      </c>
      <c r="CU67" s="58"/>
      <c r="CV67" s="58">
        <v>210</v>
      </c>
    </row>
    <row r="68" spans="1:100" ht="12.75">
      <c r="A68" s="61" t="s">
        <v>180</v>
      </c>
      <c r="B68" s="61" t="s">
        <v>84</v>
      </c>
      <c r="D68" s="61" t="s">
        <v>208</v>
      </c>
      <c r="E68" s="58"/>
      <c r="F68" s="58"/>
      <c r="G68" s="58"/>
      <c r="H68" s="58"/>
      <c r="I68" s="58"/>
      <c r="J68" s="58"/>
      <c r="K68" s="58"/>
      <c r="L68" s="58">
        <v>142</v>
      </c>
      <c r="M68" s="58"/>
      <c r="N68" s="58">
        <v>3180</v>
      </c>
      <c r="O68" s="58"/>
      <c r="P68" s="58">
        <v>136</v>
      </c>
      <c r="Q68" s="58"/>
      <c r="R68" s="58"/>
      <c r="S68" s="58"/>
      <c r="T68" s="58"/>
      <c r="U68" s="58"/>
      <c r="V68" s="58"/>
      <c r="W68" s="58"/>
      <c r="X68" s="58">
        <v>35.8</v>
      </c>
      <c r="Y68" s="58"/>
      <c r="Z68" s="58">
        <v>41.7</v>
      </c>
      <c r="AA68" s="58"/>
      <c r="AB68" s="58">
        <v>44.4</v>
      </c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>
        <v>2000</v>
      </c>
      <c r="CG68" s="58"/>
      <c r="CH68" s="58">
        <v>62.3</v>
      </c>
      <c r="CI68" s="58"/>
      <c r="CJ68" s="58">
        <v>4270</v>
      </c>
      <c r="CK68" s="58"/>
      <c r="CL68" s="58"/>
      <c r="CM68" s="58"/>
      <c r="CN68" s="58"/>
      <c r="CO68" s="58"/>
      <c r="CP68" s="58"/>
      <c r="CQ68" s="58"/>
      <c r="CR68" s="58">
        <v>302</v>
      </c>
      <c r="CS68" s="58"/>
      <c r="CT68" s="58">
        <v>303</v>
      </c>
      <c r="CU68" s="58"/>
      <c r="CV68" s="58">
        <v>215</v>
      </c>
    </row>
    <row r="69" spans="1:100" ht="12.75">
      <c r="A69" s="61" t="s">
        <v>180</v>
      </c>
      <c r="B69" s="61" t="s">
        <v>85</v>
      </c>
      <c r="D69" s="61" t="s">
        <v>208</v>
      </c>
      <c r="E69" s="58"/>
      <c r="F69" s="58"/>
      <c r="G69" s="58"/>
      <c r="H69" s="58"/>
      <c r="I69" s="58"/>
      <c r="J69" s="58"/>
      <c r="K69" s="58" t="s">
        <v>13</v>
      </c>
      <c r="L69" s="58">
        <v>0.396</v>
      </c>
      <c r="M69" s="58" t="s">
        <v>13</v>
      </c>
      <c r="N69" s="58">
        <v>0.392</v>
      </c>
      <c r="O69" s="58" t="s">
        <v>13</v>
      </c>
      <c r="P69" s="58">
        <v>0.4</v>
      </c>
      <c r="Q69" s="58"/>
      <c r="R69" s="58"/>
      <c r="S69" s="58"/>
      <c r="T69" s="58"/>
      <c r="U69" s="58"/>
      <c r="V69" s="58"/>
      <c r="W69" s="58"/>
      <c r="X69" s="58">
        <v>0.682</v>
      </c>
      <c r="Y69" s="58"/>
      <c r="Z69" s="58">
        <v>0.773</v>
      </c>
      <c r="AA69" s="58"/>
      <c r="AB69" s="58">
        <v>0.797</v>
      </c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 t="s">
        <v>13</v>
      </c>
      <c r="CF69" s="58">
        <v>0.398</v>
      </c>
      <c r="CG69" s="58" t="s">
        <v>13</v>
      </c>
      <c r="CH69" s="58">
        <v>0.393</v>
      </c>
      <c r="CI69" s="58" t="s">
        <v>13</v>
      </c>
      <c r="CJ69" s="58">
        <v>0.396</v>
      </c>
      <c r="CK69" s="58"/>
      <c r="CL69" s="58"/>
      <c r="CM69" s="58"/>
      <c r="CN69" s="58"/>
      <c r="CO69" s="58"/>
      <c r="CP69" s="58"/>
      <c r="CQ69" s="58" t="s">
        <v>13</v>
      </c>
      <c r="CR69" s="58">
        <v>0.385</v>
      </c>
      <c r="CS69" s="58" t="s">
        <v>13</v>
      </c>
      <c r="CT69" s="58">
        <v>0.394</v>
      </c>
      <c r="CU69" s="58" t="s">
        <v>13</v>
      </c>
      <c r="CV69" s="58">
        <v>0.385</v>
      </c>
    </row>
    <row r="70" spans="1:100" ht="12.75">
      <c r="A70" s="61" t="s">
        <v>180</v>
      </c>
      <c r="B70" s="61" t="s">
        <v>90</v>
      </c>
      <c r="D70" s="61" t="s">
        <v>208</v>
      </c>
      <c r="E70" s="58"/>
      <c r="F70" s="58"/>
      <c r="G70" s="58"/>
      <c r="H70" s="58"/>
      <c r="I70" s="58"/>
      <c r="J70" s="58"/>
      <c r="K70" s="58" t="s">
        <v>13</v>
      </c>
      <c r="L70" s="58">
        <v>1.98</v>
      </c>
      <c r="M70" s="58"/>
      <c r="N70" s="58">
        <v>17.5</v>
      </c>
      <c r="O70" s="58" t="s">
        <v>13</v>
      </c>
      <c r="P70" s="58">
        <v>2</v>
      </c>
      <c r="Q70" s="58"/>
      <c r="R70" s="58"/>
      <c r="S70" s="58"/>
      <c r="T70" s="58"/>
      <c r="U70" s="58"/>
      <c r="V70" s="58"/>
      <c r="W70" s="58" t="s">
        <v>13</v>
      </c>
      <c r="X70" s="58">
        <v>0.85</v>
      </c>
      <c r="Y70" s="58" t="s">
        <v>13</v>
      </c>
      <c r="Z70" s="58">
        <v>1.4</v>
      </c>
      <c r="AA70" s="58" t="s">
        <v>13</v>
      </c>
      <c r="AB70" s="58">
        <v>1.68</v>
      </c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>
        <v>16.5</v>
      </c>
      <c r="CG70" s="58" t="s">
        <v>13</v>
      </c>
      <c r="CH70" s="58">
        <v>1.96</v>
      </c>
      <c r="CI70" s="58"/>
      <c r="CJ70" s="58">
        <v>28.3</v>
      </c>
      <c r="CK70" s="58"/>
      <c r="CL70" s="58"/>
      <c r="CM70" s="58"/>
      <c r="CN70" s="58"/>
      <c r="CO70" s="58"/>
      <c r="CP70" s="58"/>
      <c r="CQ70" s="58"/>
      <c r="CR70" s="58">
        <v>3.5</v>
      </c>
      <c r="CS70" s="58"/>
      <c r="CT70" s="58">
        <v>2.94</v>
      </c>
      <c r="CU70" s="58"/>
      <c r="CV70" s="58">
        <v>3.27</v>
      </c>
    </row>
    <row r="71" spans="1:100" ht="12.75">
      <c r="A71" s="61" t="s">
        <v>180</v>
      </c>
      <c r="B71" s="61" t="s">
        <v>92</v>
      </c>
      <c r="D71" s="61" t="s">
        <v>208</v>
      </c>
      <c r="E71" s="58"/>
      <c r="F71" s="58"/>
      <c r="G71" s="58"/>
      <c r="H71" s="58"/>
      <c r="I71" s="58"/>
      <c r="J71" s="58"/>
      <c r="K71" s="58"/>
      <c r="L71" s="58">
        <v>9.44</v>
      </c>
      <c r="M71" s="58"/>
      <c r="N71" s="58">
        <v>151</v>
      </c>
      <c r="O71" s="58"/>
      <c r="P71" s="58">
        <v>23.4</v>
      </c>
      <c r="Q71" s="58"/>
      <c r="R71" s="58"/>
      <c r="S71" s="58"/>
      <c r="T71" s="58"/>
      <c r="U71" s="58"/>
      <c r="V71" s="58"/>
      <c r="W71" s="58"/>
      <c r="X71" s="58">
        <v>19.8</v>
      </c>
      <c r="Y71" s="58"/>
      <c r="Z71" s="58">
        <v>21.9</v>
      </c>
      <c r="AA71" s="58"/>
      <c r="AB71" s="58">
        <v>24.5</v>
      </c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>
        <v>235</v>
      </c>
      <c r="CG71" s="58"/>
      <c r="CH71" s="58">
        <v>72.7</v>
      </c>
      <c r="CI71" s="58"/>
      <c r="CJ71" s="58">
        <v>257</v>
      </c>
      <c r="CK71" s="58"/>
      <c r="CL71" s="58"/>
      <c r="CM71" s="58"/>
      <c r="CN71" s="58"/>
      <c r="CO71" s="58"/>
      <c r="CP71" s="58"/>
      <c r="CQ71" s="58"/>
      <c r="CR71" s="58">
        <v>586</v>
      </c>
      <c r="CS71" s="58"/>
      <c r="CT71" s="58">
        <v>575</v>
      </c>
      <c r="CU71" s="58"/>
      <c r="CV71" s="58">
        <v>344</v>
      </c>
    </row>
    <row r="72" spans="1:100" ht="12.75">
      <c r="A72" s="61" t="s">
        <v>180</v>
      </c>
      <c r="B72" s="61" t="s">
        <v>209</v>
      </c>
      <c r="D72" s="61" t="s">
        <v>208</v>
      </c>
      <c r="E72" s="58"/>
      <c r="F72" s="58"/>
      <c r="G72" s="58"/>
      <c r="H72" s="58"/>
      <c r="I72" s="58"/>
      <c r="J72" s="58"/>
      <c r="K72" s="58"/>
      <c r="L72" s="58">
        <v>8.36</v>
      </c>
      <c r="M72" s="58"/>
      <c r="N72" s="58">
        <v>66.1</v>
      </c>
      <c r="O72" s="58"/>
      <c r="P72" s="58">
        <v>69.6</v>
      </c>
      <c r="Q72" s="58"/>
      <c r="R72" s="58"/>
      <c r="S72" s="58"/>
      <c r="T72" s="58"/>
      <c r="U72" s="58"/>
      <c r="V72" s="58"/>
      <c r="W72" s="58"/>
      <c r="X72" s="58">
        <v>5.34</v>
      </c>
      <c r="Y72" s="58"/>
      <c r="Z72" s="58">
        <v>6.05</v>
      </c>
      <c r="AA72" s="58"/>
      <c r="AB72" s="58">
        <v>7</v>
      </c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>
        <v>104</v>
      </c>
      <c r="CG72" s="58"/>
      <c r="CH72" s="58">
        <v>9.35</v>
      </c>
      <c r="CI72" s="58"/>
      <c r="CJ72" s="58">
        <v>79.7</v>
      </c>
      <c r="CK72" s="58"/>
      <c r="CL72" s="58"/>
      <c r="CM72" s="58"/>
      <c r="CN72" s="58"/>
      <c r="CO72" s="58"/>
      <c r="CP72" s="58"/>
      <c r="CQ72" s="58"/>
      <c r="CR72" s="58">
        <v>24.3</v>
      </c>
      <c r="CS72" s="58"/>
      <c r="CT72" s="58">
        <v>21.9</v>
      </c>
      <c r="CU72" s="58"/>
      <c r="CV72" s="58">
        <v>17.5</v>
      </c>
    </row>
    <row r="73" spans="1:100" ht="12.75">
      <c r="A73" s="61" t="s">
        <v>180</v>
      </c>
      <c r="B73" s="61" t="s">
        <v>210</v>
      </c>
      <c r="D73" s="61" t="s">
        <v>208</v>
      </c>
      <c r="E73" s="58"/>
      <c r="F73" s="58"/>
      <c r="G73" s="58"/>
      <c r="H73" s="58"/>
      <c r="I73" s="58"/>
      <c r="J73" s="58"/>
      <c r="K73" s="58"/>
      <c r="L73" s="58">
        <v>162</v>
      </c>
      <c r="M73" s="58"/>
      <c r="N73" s="58">
        <v>741</v>
      </c>
      <c r="O73" s="58"/>
      <c r="P73" s="58">
        <v>206</v>
      </c>
      <c r="Q73" s="58"/>
      <c r="R73" s="58"/>
      <c r="S73" s="58"/>
      <c r="T73" s="58"/>
      <c r="U73" s="58"/>
      <c r="V73" s="58"/>
      <c r="W73" s="58"/>
      <c r="X73" s="58">
        <v>9.03</v>
      </c>
      <c r="Y73" s="58"/>
      <c r="Z73" s="58">
        <v>10.2</v>
      </c>
      <c r="AA73" s="58"/>
      <c r="AB73" s="58">
        <v>11.1</v>
      </c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>
        <v>646</v>
      </c>
      <c r="CG73" s="58"/>
      <c r="CH73" s="58">
        <v>159</v>
      </c>
      <c r="CI73" s="58"/>
      <c r="CJ73" s="58">
        <v>1011</v>
      </c>
      <c r="CK73" s="58"/>
      <c r="CL73" s="58"/>
      <c r="CM73" s="58"/>
      <c r="CN73" s="58"/>
      <c r="CO73" s="58"/>
      <c r="CP73" s="58"/>
      <c r="CQ73" s="58"/>
      <c r="CR73" s="58">
        <v>947</v>
      </c>
      <c r="CS73" s="58"/>
      <c r="CT73" s="58">
        <v>442</v>
      </c>
      <c r="CU73" s="58"/>
      <c r="CV73" s="58">
        <v>318</v>
      </c>
    </row>
    <row r="74" spans="1:100" ht="12.75">
      <c r="A74" s="61" t="s">
        <v>180</v>
      </c>
      <c r="B74" s="61" t="s">
        <v>211</v>
      </c>
      <c r="D74" s="61" t="s">
        <v>208</v>
      </c>
      <c r="E74" s="58"/>
      <c r="F74" s="58"/>
      <c r="G74" s="58"/>
      <c r="H74" s="58"/>
      <c r="I74" s="58"/>
      <c r="J74" s="58"/>
      <c r="K74" s="58"/>
      <c r="L74" s="58">
        <v>1780</v>
      </c>
      <c r="M74" s="58"/>
      <c r="N74" s="58">
        <v>2360</v>
      </c>
      <c r="O74" s="58"/>
      <c r="P74" s="58">
        <v>1970</v>
      </c>
      <c r="Q74" s="58"/>
      <c r="R74" s="58"/>
      <c r="S74" s="58"/>
      <c r="T74" s="58"/>
      <c r="U74" s="58"/>
      <c r="V74" s="58"/>
      <c r="W74" s="58"/>
      <c r="X74" s="58">
        <v>4820</v>
      </c>
      <c r="Y74" s="58"/>
      <c r="Z74" s="58">
        <v>5580</v>
      </c>
      <c r="AA74" s="58"/>
      <c r="AB74" s="58">
        <v>7010</v>
      </c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>
        <v>1790</v>
      </c>
      <c r="CG74" s="58"/>
      <c r="CH74" s="58">
        <v>1610</v>
      </c>
      <c r="CI74" s="58"/>
      <c r="CJ74" s="58">
        <v>2350</v>
      </c>
      <c r="CK74" s="58"/>
      <c r="CL74" s="58"/>
      <c r="CM74" s="58"/>
      <c r="CN74" s="58"/>
      <c r="CO74" s="58"/>
      <c r="CP74" s="58"/>
      <c r="CQ74" s="58"/>
      <c r="CR74" s="58">
        <v>12700</v>
      </c>
      <c r="CS74" s="58"/>
      <c r="CT74" s="58">
        <v>11600</v>
      </c>
      <c r="CU74" s="58"/>
      <c r="CV74" s="58">
        <v>18200</v>
      </c>
    </row>
    <row r="75" spans="1:100" ht="12.75">
      <c r="A75" s="61" t="s">
        <v>180</v>
      </c>
      <c r="B75" s="61" t="s">
        <v>88</v>
      </c>
      <c r="D75" s="61" t="s">
        <v>208</v>
      </c>
      <c r="E75" s="58"/>
      <c r="F75" s="58"/>
      <c r="G75" s="58"/>
      <c r="H75" s="58"/>
      <c r="I75" s="58"/>
      <c r="J75" s="58"/>
      <c r="K75" s="58"/>
      <c r="L75" s="58">
        <v>31.8</v>
      </c>
      <c r="M75" s="58"/>
      <c r="N75" s="58">
        <v>947</v>
      </c>
      <c r="O75" s="58"/>
      <c r="P75" s="58">
        <v>63.8</v>
      </c>
      <c r="Q75" s="58"/>
      <c r="R75" s="58"/>
      <c r="S75" s="58"/>
      <c r="T75" s="58"/>
      <c r="U75" s="58"/>
      <c r="V75" s="58"/>
      <c r="W75" s="58"/>
      <c r="X75" s="58">
        <v>3.87</v>
      </c>
      <c r="Y75" s="58" t="s">
        <v>13</v>
      </c>
      <c r="Z75" s="58">
        <v>4.21</v>
      </c>
      <c r="AA75" s="58" t="s">
        <v>13</v>
      </c>
      <c r="AB75" s="58">
        <v>5.04</v>
      </c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>
        <v>840</v>
      </c>
      <c r="CG75" s="58"/>
      <c r="CH75" s="58">
        <v>26</v>
      </c>
      <c r="CI75" s="58"/>
      <c r="CJ75" s="58">
        <v>1400</v>
      </c>
      <c r="CK75" s="58"/>
      <c r="CL75" s="58"/>
      <c r="CM75" s="58"/>
      <c r="CN75" s="58"/>
      <c r="CO75" s="58"/>
      <c r="CP75" s="58"/>
      <c r="CQ75" s="58"/>
      <c r="CR75" s="58">
        <v>333</v>
      </c>
      <c r="CS75" s="58"/>
      <c r="CT75" s="58">
        <v>304</v>
      </c>
      <c r="CU75" s="58"/>
      <c r="CV75" s="58">
        <v>224</v>
      </c>
    </row>
    <row r="76" spans="1:100" ht="12.75">
      <c r="A76" s="61" t="s">
        <v>180</v>
      </c>
      <c r="B76" s="61" t="s">
        <v>212</v>
      </c>
      <c r="D76" s="61" t="s">
        <v>208</v>
      </c>
      <c r="E76" s="58"/>
      <c r="F76" s="58"/>
      <c r="G76" s="58"/>
      <c r="H76" s="58"/>
      <c r="I76" s="58"/>
      <c r="J76" s="58"/>
      <c r="K76" s="58"/>
      <c r="L76" s="58">
        <v>80</v>
      </c>
      <c r="M76" s="58"/>
      <c r="N76" s="58">
        <v>70.3</v>
      </c>
      <c r="O76" s="58"/>
      <c r="P76" s="58">
        <v>152</v>
      </c>
      <c r="Q76" s="58"/>
      <c r="R76" s="58"/>
      <c r="S76" s="58"/>
      <c r="T76" s="58"/>
      <c r="U76" s="58"/>
      <c r="V76" s="58"/>
      <c r="W76" s="58"/>
      <c r="X76" s="58">
        <v>71.1</v>
      </c>
      <c r="Y76" s="58"/>
      <c r="Z76" s="58">
        <v>79.7</v>
      </c>
      <c r="AA76" s="58"/>
      <c r="AB76" s="58">
        <v>101</v>
      </c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>
        <v>77.1</v>
      </c>
      <c r="CG76" s="58"/>
      <c r="CH76" s="58">
        <v>53.3</v>
      </c>
      <c r="CI76" s="58"/>
      <c r="CJ76" s="58">
        <v>133</v>
      </c>
      <c r="CK76" s="58"/>
      <c r="CL76" s="58"/>
      <c r="CM76" s="58"/>
      <c r="CN76" s="58"/>
      <c r="CO76" s="58"/>
      <c r="CP76" s="58"/>
      <c r="CQ76" s="58"/>
      <c r="CR76" s="58">
        <v>98.9</v>
      </c>
      <c r="CS76" s="58"/>
      <c r="CT76" s="58">
        <v>101</v>
      </c>
      <c r="CU76" s="58"/>
      <c r="CV76" s="58">
        <v>150</v>
      </c>
    </row>
    <row r="77" spans="1:100" ht="12.75">
      <c r="A77" s="61" t="s">
        <v>180</v>
      </c>
      <c r="B77" s="61" t="s">
        <v>95</v>
      </c>
      <c r="D77" s="61" t="s">
        <v>208</v>
      </c>
      <c r="E77" s="58"/>
      <c r="F77" s="58"/>
      <c r="G77" s="58"/>
      <c r="H77" s="58"/>
      <c r="I77" s="58"/>
      <c r="J77" s="58"/>
      <c r="K77" s="58" t="s">
        <v>13</v>
      </c>
      <c r="L77" s="58">
        <v>0.029</v>
      </c>
      <c r="M77" s="58"/>
      <c r="N77" s="58">
        <v>0.819</v>
      </c>
      <c r="O77" s="58" t="s">
        <v>13</v>
      </c>
      <c r="P77" s="58">
        <v>0.029</v>
      </c>
      <c r="Q77" s="58"/>
      <c r="R77" s="58"/>
      <c r="S77" s="58"/>
      <c r="T77" s="58"/>
      <c r="U77" s="58"/>
      <c r="V77" s="58"/>
      <c r="W77" s="58" t="s">
        <v>13</v>
      </c>
      <c r="X77" s="58">
        <v>0.031</v>
      </c>
      <c r="Y77" s="58" t="s">
        <v>13</v>
      </c>
      <c r="Z77" s="58">
        <v>0.03</v>
      </c>
      <c r="AA77" s="58" t="s">
        <v>13</v>
      </c>
      <c r="AB77" s="58">
        <v>0.026</v>
      </c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>
        <v>0.838</v>
      </c>
      <c r="CG77" s="58" t="s">
        <v>13</v>
      </c>
      <c r="CH77" s="58">
        <v>0.032</v>
      </c>
      <c r="CI77" s="58"/>
      <c r="CJ77" s="58">
        <v>0.835</v>
      </c>
      <c r="CK77" s="58"/>
      <c r="CL77" s="58"/>
      <c r="CM77" s="58"/>
      <c r="CN77" s="58"/>
      <c r="CO77" s="58"/>
      <c r="CP77" s="58"/>
      <c r="CQ77" s="58"/>
      <c r="CR77" s="58">
        <v>2.11</v>
      </c>
      <c r="CS77" s="58"/>
      <c r="CT77" s="58">
        <v>0.18</v>
      </c>
      <c r="CU77" s="58"/>
      <c r="CV77" s="58">
        <v>2.82</v>
      </c>
    </row>
    <row r="78" spans="1:100" ht="12.75">
      <c r="A78" s="61" t="s">
        <v>180</v>
      </c>
      <c r="B78" s="61" t="s">
        <v>89</v>
      </c>
      <c r="D78" s="61" t="s">
        <v>208</v>
      </c>
      <c r="E78" s="58"/>
      <c r="F78" s="58"/>
      <c r="G78" s="58"/>
      <c r="H78" s="58"/>
      <c r="I78" s="58"/>
      <c r="J78" s="58"/>
      <c r="K78" s="58"/>
      <c r="L78" s="58">
        <v>40.4</v>
      </c>
      <c r="M78" s="58"/>
      <c r="N78" s="58">
        <v>31.8</v>
      </c>
      <c r="O78" s="58"/>
      <c r="P78" s="58">
        <v>115</v>
      </c>
      <c r="Q78" s="58"/>
      <c r="R78" s="58"/>
      <c r="S78" s="58"/>
      <c r="T78" s="58"/>
      <c r="U78" s="58"/>
      <c r="V78" s="58"/>
      <c r="W78" s="58"/>
      <c r="X78" s="58">
        <v>20.9</v>
      </c>
      <c r="Y78" s="58"/>
      <c r="Z78" s="58">
        <v>23.4</v>
      </c>
      <c r="AA78" s="58"/>
      <c r="AB78" s="58">
        <v>28.1</v>
      </c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>
        <v>68.1</v>
      </c>
      <c r="CG78" s="58"/>
      <c r="CH78" s="58">
        <v>38.6</v>
      </c>
      <c r="CI78" s="58"/>
      <c r="CJ78" s="58">
        <v>69.8</v>
      </c>
      <c r="CK78" s="58"/>
      <c r="CL78" s="58"/>
      <c r="CM78" s="58"/>
      <c r="CN78" s="58"/>
      <c r="CO78" s="58"/>
      <c r="CP78" s="58"/>
      <c r="CQ78" s="58"/>
      <c r="CR78" s="58">
        <v>88.4</v>
      </c>
      <c r="CS78" s="58"/>
      <c r="CT78" s="58">
        <v>78.98</v>
      </c>
      <c r="CU78" s="58"/>
      <c r="CV78" s="58">
        <v>58.2</v>
      </c>
    </row>
    <row r="79" spans="1:100" ht="12.75">
      <c r="A79" s="61" t="s">
        <v>180</v>
      </c>
      <c r="B79" s="61" t="s">
        <v>114</v>
      </c>
      <c r="D79" s="61" t="s">
        <v>208</v>
      </c>
      <c r="E79" s="58"/>
      <c r="F79" s="58"/>
      <c r="G79" s="58"/>
      <c r="H79" s="58"/>
      <c r="I79" s="58"/>
      <c r="J79" s="58"/>
      <c r="K79" s="58" t="s">
        <v>13</v>
      </c>
      <c r="L79" s="58">
        <v>0.715</v>
      </c>
      <c r="M79" s="58"/>
      <c r="N79" s="58">
        <v>1.76</v>
      </c>
      <c r="O79" s="58" t="s">
        <v>13</v>
      </c>
      <c r="P79" s="58">
        <v>0.714</v>
      </c>
      <c r="Q79" s="58"/>
      <c r="R79" s="58"/>
      <c r="S79" s="58"/>
      <c r="T79" s="58"/>
      <c r="U79" s="58"/>
      <c r="V79" s="58"/>
      <c r="W79" s="58"/>
      <c r="X79" s="58">
        <v>2.25</v>
      </c>
      <c r="Y79" s="58"/>
      <c r="Z79" s="58">
        <v>3.08</v>
      </c>
      <c r="AA79" s="58"/>
      <c r="AB79" s="58">
        <v>3.19</v>
      </c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>
        <v>0.976</v>
      </c>
      <c r="CG79" s="58" t="s">
        <v>13</v>
      </c>
      <c r="CH79" s="58">
        <v>0.79</v>
      </c>
      <c r="CI79" s="58"/>
      <c r="CJ79" s="58">
        <v>1.27</v>
      </c>
      <c r="CK79" s="58"/>
      <c r="CL79" s="58"/>
      <c r="CM79" s="58"/>
      <c r="CN79" s="58"/>
      <c r="CO79" s="58"/>
      <c r="CP79" s="58"/>
      <c r="CQ79" s="58" t="s">
        <v>13</v>
      </c>
      <c r="CR79" s="58">
        <v>0.963</v>
      </c>
      <c r="CS79" s="58" t="s">
        <v>13</v>
      </c>
      <c r="CT79" s="58">
        <v>0.984</v>
      </c>
      <c r="CU79" s="58" t="s">
        <v>13</v>
      </c>
      <c r="CV79" s="58">
        <v>0.963</v>
      </c>
    </row>
    <row r="80" spans="1:100" ht="12.75">
      <c r="A80" s="61" t="s">
        <v>180</v>
      </c>
      <c r="B80" s="61" t="s">
        <v>91</v>
      </c>
      <c r="D80" s="61" t="s">
        <v>208</v>
      </c>
      <c r="E80" s="58"/>
      <c r="F80" s="58"/>
      <c r="G80" s="58"/>
      <c r="H80" s="58"/>
      <c r="I80" s="58"/>
      <c r="J80" s="58"/>
      <c r="K80" s="58" t="s">
        <v>13</v>
      </c>
      <c r="L80" s="58">
        <v>2.15</v>
      </c>
      <c r="M80" s="58"/>
      <c r="N80" s="58">
        <v>2.66</v>
      </c>
      <c r="O80" s="58"/>
      <c r="P80" s="58">
        <v>2.77</v>
      </c>
      <c r="Q80" s="58"/>
      <c r="R80" s="58"/>
      <c r="S80" s="58"/>
      <c r="T80" s="58"/>
      <c r="U80" s="58"/>
      <c r="V80" s="58"/>
      <c r="W80" s="58" t="s">
        <v>13</v>
      </c>
      <c r="X80" s="58">
        <v>1.28</v>
      </c>
      <c r="Y80" s="58" t="s">
        <v>13</v>
      </c>
      <c r="Z80" s="58">
        <v>2.1</v>
      </c>
      <c r="AA80" s="58" t="s">
        <v>13</v>
      </c>
      <c r="AB80" s="58">
        <v>2.52</v>
      </c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>
        <v>3.7</v>
      </c>
      <c r="CG80" s="58"/>
      <c r="CH80" s="58">
        <v>2.39</v>
      </c>
      <c r="CI80" s="58"/>
      <c r="CJ80" s="58">
        <v>4.13</v>
      </c>
      <c r="CK80" s="58"/>
      <c r="CL80" s="58"/>
      <c r="CM80" s="58"/>
      <c r="CN80" s="58"/>
      <c r="CO80" s="58"/>
      <c r="CP80" s="58"/>
      <c r="CQ80" s="58"/>
      <c r="CR80" s="58">
        <v>8.63</v>
      </c>
      <c r="CS80" s="58"/>
      <c r="CT80" s="58">
        <v>7.83</v>
      </c>
      <c r="CU80" s="58"/>
      <c r="CV80" s="58">
        <v>6.13</v>
      </c>
    </row>
    <row r="81" spans="1:100" ht="12.75">
      <c r="A81" s="61" t="s">
        <v>180</v>
      </c>
      <c r="B81" s="61" t="s">
        <v>86</v>
      </c>
      <c r="D81" s="61" t="s">
        <v>208</v>
      </c>
      <c r="E81" s="58"/>
      <c r="F81" s="58"/>
      <c r="G81" s="58"/>
      <c r="H81" s="58"/>
      <c r="I81" s="58"/>
      <c r="J81" s="58"/>
      <c r="K81" s="58" t="s">
        <v>13</v>
      </c>
      <c r="L81" s="58">
        <v>0.715</v>
      </c>
      <c r="M81" s="58" t="s">
        <v>13</v>
      </c>
      <c r="N81" s="58">
        <v>0.516</v>
      </c>
      <c r="O81" s="58" t="s">
        <v>13</v>
      </c>
      <c r="P81" s="58">
        <v>0.714</v>
      </c>
      <c r="Q81" s="58"/>
      <c r="R81" s="58"/>
      <c r="S81" s="58"/>
      <c r="T81" s="58"/>
      <c r="U81" s="58"/>
      <c r="V81" s="58"/>
      <c r="W81" s="58" t="s">
        <v>13</v>
      </c>
      <c r="X81" s="58">
        <v>0.425</v>
      </c>
      <c r="Y81" s="58" t="s">
        <v>13</v>
      </c>
      <c r="Z81" s="58">
        <v>0.721</v>
      </c>
      <c r="AA81" s="58" t="s">
        <v>13</v>
      </c>
      <c r="AB81" s="58">
        <v>0.84</v>
      </c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 t="s">
        <v>13</v>
      </c>
      <c r="CF81" s="58">
        <v>0.607</v>
      </c>
      <c r="CG81" s="58" t="s">
        <v>13</v>
      </c>
      <c r="CH81" s="58">
        <v>0.79</v>
      </c>
      <c r="CI81" s="58" t="s">
        <v>13</v>
      </c>
      <c r="CJ81" s="58">
        <v>0.662</v>
      </c>
      <c r="CK81" s="58"/>
      <c r="CL81" s="58"/>
      <c r="CM81" s="58"/>
      <c r="CN81" s="58"/>
      <c r="CO81" s="58"/>
      <c r="CP81" s="58"/>
      <c r="CQ81" s="58" t="s">
        <v>13</v>
      </c>
      <c r="CR81" s="58">
        <v>0.963</v>
      </c>
      <c r="CS81" s="58" t="s">
        <v>13</v>
      </c>
      <c r="CT81" s="58">
        <v>0.984</v>
      </c>
      <c r="CU81" s="58" t="s">
        <v>13</v>
      </c>
      <c r="CV81" s="58">
        <v>0.963</v>
      </c>
    </row>
    <row r="82" spans="1:100" ht="12.75">
      <c r="A82" s="61" t="s">
        <v>180</v>
      </c>
      <c r="B82" s="61" t="s">
        <v>213</v>
      </c>
      <c r="D82" s="61" t="s">
        <v>208</v>
      </c>
      <c r="E82" s="58"/>
      <c r="F82" s="58"/>
      <c r="G82" s="58"/>
      <c r="H82" s="58"/>
      <c r="I82" s="58"/>
      <c r="J82" s="58"/>
      <c r="K82" s="58" t="s">
        <v>13</v>
      </c>
      <c r="L82" s="58">
        <v>1.43</v>
      </c>
      <c r="M82" s="58"/>
      <c r="N82" s="58">
        <v>30.7</v>
      </c>
      <c r="O82" s="58"/>
      <c r="P82" s="58">
        <v>62.7</v>
      </c>
      <c r="Q82" s="58"/>
      <c r="R82" s="58"/>
      <c r="S82" s="58"/>
      <c r="T82" s="58"/>
      <c r="U82" s="58"/>
      <c r="V82" s="58"/>
      <c r="W82" s="58"/>
      <c r="X82" s="58">
        <v>17.3</v>
      </c>
      <c r="Y82" s="58"/>
      <c r="Z82" s="58">
        <v>20.2</v>
      </c>
      <c r="AA82" s="58"/>
      <c r="AB82" s="58">
        <v>21.8</v>
      </c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>
        <v>59.9</v>
      </c>
      <c r="CG82" s="58"/>
      <c r="CH82" s="58">
        <v>2.35</v>
      </c>
      <c r="CI82" s="58"/>
      <c r="CJ82" s="58">
        <v>43</v>
      </c>
      <c r="CK82" s="58"/>
      <c r="CL82" s="58"/>
      <c r="CM82" s="58"/>
      <c r="CN82" s="58"/>
      <c r="CO82" s="58"/>
      <c r="CP82" s="58"/>
      <c r="CQ82" s="58"/>
      <c r="CR82" s="58">
        <v>113</v>
      </c>
      <c r="CS82" s="58"/>
      <c r="CT82" s="58">
        <v>96.1</v>
      </c>
      <c r="CU82" s="58"/>
      <c r="CV82" s="58">
        <v>63.7</v>
      </c>
    </row>
    <row r="83" spans="5:100" ht="12.75"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</row>
    <row r="84" spans="2:100" ht="12.75">
      <c r="B84" s="33" t="s">
        <v>185</v>
      </c>
      <c r="C84" s="33"/>
      <c r="D84" s="33"/>
      <c r="E84" s="58"/>
      <c r="F84" s="58" t="s">
        <v>106</v>
      </c>
      <c r="G84" s="58"/>
      <c r="H84" s="58" t="s">
        <v>107</v>
      </c>
      <c r="I84" s="58"/>
      <c r="J84" s="58" t="s">
        <v>108</v>
      </c>
      <c r="K84" s="58"/>
      <c r="L84" s="58" t="s">
        <v>190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</row>
    <row r="85" spans="2:100" ht="12.75">
      <c r="B85" s="33"/>
      <c r="C85" s="33"/>
      <c r="D85" s="33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</row>
    <row r="86" spans="2:100" ht="12.75">
      <c r="B86" s="11" t="s">
        <v>310</v>
      </c>
      <c r="C86" s="33"/>
      <c r="D86" s="33"/>
      <c r="E86" s="58"/>
      <c r="F86" s="69" t="s">
        <v>316</v>
      </c>
      <c r="G86" s="69"/>
      <c r="H86" s="69" t="s">
        <v>316</v>
      </c>
      <c r="I86" s="69"/>
      <c r="J86" s="69" t="s">
        <v>316</v>
      </c>
      <c r="K86" s="69"/>
      <c r="L86" s="69" t="s">
        <v>316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</row>
    <row r="87" spans="2:100" ht="12.75">
      <c r="B87" s="11" t="s">
        <v>311</v>
      </c>
      <c r="C87" s="33"/>
      <c r="D87" s="33"/>
      <c r="E87" s="58"/>
      <c r="F87" s="61" t="s">
        <v>105</v>
      </c>
      <c r="H87" s="61" t="s">
        <v>105</v>
      </c>
      <c r="J87" s="61" t="s">
        <v>105</v>
      </c>
      <c r="L87" s="61" t="s">
        <v>105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</row>
    <row r="88" spans="2:100" ht="12.75">
      <c r="B88" s="18" t="s">
        <v>93</v>
      </c>
      <c r="E88" s="58"/>
      <c r="F88" s="61" t="s">
        <v>105</v>
      </c>
      <c r="H88" s="61" t="s">
        <v>105</v>
      </c>
      <c r="J88" s="61" t="s">
        <v>105</v>
      </c>
      <c r="L88" s="61" t="s">
        <v>105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</row>
    <row r="89" spans="1:100" ht="12.75">
      <c r="A89" s="61" t="s">
        <v>185</v>
      </c>
      <c r="B89" s="61" t="s">
        <v>96</v>
      </c>
      <c r="D89" s="61" t="s">
        <v>170</v>
      </c>
      <c r="E89" s="58"/>
      <c r="F89" s="58">
        <v>9600</v>
      </c>
      <c r="G89" s="58"/>
      <c r="H89" s="58">
        <v>10400</v>
      </c>
      <c r="I89" s="58"/>
      <c r="J89" s="58">
        <v>9200</v>
      </c>
      <c r="K89" s="58"/>
      <c r="L89" s="58">
        <v>9200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</row>
    <row r="90" spans="2:100" ht="12.75">
      <c r="B90" s="61" t="s">
        <v>96</v>
      </c>
      <c r="D90" s="61" t="s">
        <v>214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>
        <v>30</v>
      </c>
      <c r="CA90" s="58"/>
      <c r="CB90" s="58">
        <v>30</v>
      </c>
      <c r="CC90" s="58"/>
      <c r="CD90" s="58">
        <v>29.9</v>
      </c>
      <c r="CE90" s="58"/>
      <c r="CF90" s="58">
        <v>30</v>
      </c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</row>
    <row r="91" spans="1:100" ht="12.75">
      <c r="A91" s="61" t="s">
        <v>185</v>
      </c>
      <c r="B91" s="61" t="s">
        <v>206</v>
      </c>
      <c r="D91" s="61" t="s">
        <v>207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>
        <v>0</v>
      </c>
      <c r="CA91" s="58"/>
      <c r="CB91" s="58">
        <v>0</v>
      </c>
      <c r="CC91" s="58"/>
      <c r="CD91" s="58">
        <v>0</v>
      </c>
      <c r="CE91" s="58"/>
      <c r="CF91" s="58">
        <v>0</v>
      </c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</row>
    <row r="92" spans="1:100" ht="12.75">
      <c r="A92" s="61" t="s">
        <v>185</v>
      </c>
      <c r="B92" s="61" t="s">
        <v>21</v>
      </c>
      <c r="D92" s="61" t="s">
        <v>208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>
        <v>46700</v>
      </c>
      <c r="CA92" s="58"/>
      <c r="CB92" s="58">
        <v>54000</v>
      </c>
      <c r="CC92" s="58"/>
      <c r="CD92" s="58">
        <v>51700</v>
      </c>
      <c r="CE92" s="58"/>
      <c r="CF92" s="58">
        <v>52000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</row>
    <row r="93" spans="5:100" ht="12.75"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</row>
    <row r="94" spans="2:100" ht="12.75">
      <c r="B94" s="33" t="s">
        <v>187</v>
      </c>
      <c r="C94" s="33"/>
      <c r="D94" s="33"/>
      <c r="E94" s="58"/>
      <c r="F94" s="58" t="s">
        <v>106</v>
      </c>
      <c r="G94" s="58"/>
      <c r="H94" s="58" t="s">
        <v>107</v>
      </c>
      <c r="I94" s="58"/>
      <c r="J94" s="58" t="s">
        <v>108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2:100" ht="12.75">
      <c r="B95" s="33"/>
      <c r="C95" s="33"/>
      <c r="D95" s="33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</row>
    <row r="96" spans="2:100" ht="12.75">
      <c r="B96" s="11" t="s">
        <v>310</v>
      </c>
      <c r="C96" s="33"/>
      <c r="D96" s="33"/>
      <c r="E96" s="58"/>
      <c r="F96" s="69" t="s">
        <v>316</v>
      </c>
      <c r="G96" s="69"/>
      <c r="H96" s="69" t="s">
        <v>316</v>
      </c>
      <c r="I96" s="69"/>
      <c r="J96" s="69" t="s">
        <v>316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</row>
    <row r="97" spans="2:100" ht="12.75">
      <c r="B97" s="11" t="s">
        <v>311</v>
      </c>
      <c r="C97" s="33"/>
      <c r="D97" s="33"/>
      <c r="E97" s="58"/>
      <c r="F97" s="61" t="s">
        <v>105</v>
      </c>
      <c r="H97" s="61" t="s">
        <v>105</v>
      </c>
      <c r="J97" s="61" t="s">
        <v>105</v>
      </c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</row>
    <row r="98" spans="2:100" ht="12.75">
      <c r="B98" s="18" t="s">
        <v>93</v>
      </c>
      <c r="E98" s="58"/>
      <c r="F98" s="61" t="s">
        <v>105</v>
      </c>
      <c r="H98" s="61" t="s">
        <v>105</v>
      </c>
      <c r="J98" s="61" t="s">
        <v>105</v>
      </c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</row>
    <row r="99" spans="1:100" ht="12.75">
      <c r="A99" s="61" t="s">
        <v>187</v>
      </c>
      <c r="B99" s="61" t="s">
        <v>205</v>
      </c>
      <c r="D99" s="61" t="s">
        <v>170</v>
      </c>
      <c r="E99" s="58"/>
      <c r="F99" s="58">
        <v>20800</v>
      </c>
      <c r="G99" s="58"/>
      <c r="H99" s="58">
        <v>20800</v>
      </c>
      <c r="I99" s="58"/>
      <c r="J99" s="58">
        <v>21000</v>
      </c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</row>
    <row r="100" spans="1:100" ht="12.75">
      <c r="A100" s="61" t="s">
        <v>187</v>
      </c>
      <c r="B100" s="61" t="s">
        <v>206</v>
      </c>
      <c r="D100" s="61" t="s">
        <v>207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</row>
    <row r="101" spans="5:100" ht="12.75"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</row>
    <row r="102" spans="2:114" ht="12.75">
      <c r="B102" s="33" t="s">
        <v>189</v>
      </c>
      <c r="C102" s="33"/>
      <c r="D102" s="33"/>
      <c r="E102" s="58"/>
      <c r="F102" s="69" t="s">
        <v>106</v>
      </c>
      <c r="G102" s="69"/>
      <c r="H102" s="69" t="s">
        <v>107</v>
      </c>
      <c r="I102" s="69"/>
      <c r="J102" s="69" t="s">
        <v>108</v>
      </c>
      <c r="K102" s="69"/>
      <c r="L102" s="69" t="s">
        <v>190</v>
      </c>
      <c r="M102" s="69"/>
      <c r="N102" s="69" t="s">
        <v>203</v>
      </c>
      <c r="O102" s="69"/>
      <c r="P102" s="69" t="s">
        <v>204</v>
      </c>
      <c r="Q102" s="69"/>
      <c r="R102" s="69" t="s">
        <v>106</v>
      </c>
      <c r="S102" s="69"/>
      <c r="T102" s="69" t="s">
        <v>107</v>
      </c>
      <c r="U102" s="69"/>
      <c r="V102" s="69" t="s">
        <v>108</v>
      </c>
      <c r="W102" s="69"/>
      <c r="X102" s="69" t="s">
        <v>190</v>
      </c>
      <c r="Y102" s="69"/>
      <c r="Z102" s="69" t="s">
        <v>203</v>
      </c>
      <c r="AA102" s="69"/>
      <c r="AB102" s="69" t="s">
        <v>204</v>
      </c>
      <c r="AC102" s="69"/>
      <c r="AD102" s="69" t="s">
        <v>106</v>
      </c>
      <c r="AE102" s="69"/>
      <c r="AF102" s="69" t="s">
        <v>107</v>
      </c>
      <c r="AG102" s="69"/>
      <c r="AH102" s="69" t="s">
        <v>108</v>
      </c>
      <c r="AI102" s="69"/>
      <c r="AJ102" s="69" t="s">
        <v>190</v>
      </c>
      <c r="AK102" s="69"/>
      <c r="AL102" s="69" t="s">
        <v>203</v>
      </c>
      <c r="AM102" s="69"/>
      <c r="AN102" s="69" t="s">
        <v>204</v>
      </c>
      <c r="AO102" s="69"/>
      <c r="AP102" s="69" t="s">
        <v>106</v>
      </c>
      <c r="AQ102" s="69"/>
      <c r="AR102" s="69" t="s">
        <v>107</v>
      </c>
      <c r="AS102" s="69"/>
      <c r="AT102" s="69" t="s">
        <v>108</v>
      </c>
      <c r="AU102" s="69"/>
      <c r="AV102" s="69" t="s">
        <v>190</v>
      </c>
      <c r="AW102" s="69"/>
      <c r="AX102" s="69" t="s">
        <v>203</v>
      </c>
      <c r="AY102" s="69"/>
      <c r="AZ102" s="69" t="s">
        <v>204</v>
      </c>
      <c r="BA102" s="69"/>
      <c r="BB102" s="69" t="s">
        <v>106</v>
      </c>
      <c r="BC102" s="69"/>
      <c r="BD102" s="69" t="s">
        <v>107</v>
      </c>
      <c r="BE102" s="69"/>
      <c r="BF102" s="69" t="s">
        <v>108</v>
      </c>
      <c r="BG102" s="69"/>
      <c r="BH102" s="69" t="s">
        <v>190</v>
      </c>
      <c r="BI102" s="69"/>
      <c r="BJ102" s="69" t="s">
        <v>203</v>
      </c>
      <c r="BK102" s="69"/>
      <c r="BL102" s="69" t="s">
        <v>204</v>
      </c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 t="s">
        <v>106</v>
      </c>
      <c r="CA102" s="69"/>
      <c r="CB102" s="69" t="s">
        <v>107</v>
      </c>
      <c r="CC102" s="69"/>
      <c r="CD102" s="69" t="s">
        <v>108</v>
      </c>
      <c r="CE102" s="69"/>
      <c r="CF102" s="69" t="s">
        <v>190</v>
      </c>
      <c r="CG102" s="69"/>
      <c r="CH102" s="69" t="s">
        <v>203</v>
      </c>
      <c r="CI102" s="69"/>
      <c r="CJ102" s="69" t="s">
        <v>204</v>
      </c>
      <c r="CK102" s="69"/>
      <c r="CL102" s="69" t="s">
        <v>106</v>
      </c>
      <c r="CM102" s="69"/>
      <c r="CN102" s="69" t="s">
        <v>107</v>
      </c>
      <c r="CO102" s="69"/>
      <c r="CP102" s="69" t="s">
        <v>108</v>
      </c>
      <c r="CQ102" s="69"/>
      <c r="CR102" s="69" t="s">
        <v>190</v>
      </c>
      <c r="CS102" s="69"/>
      <c r="CT102" s="69" t="s">
        <v>203</v>
      </c>
      <c r="CU102" s="69"/>
      <c r="CV102" s="69" t="s">
        <v>204</v>
      </c>
      <c r="CW102" s="69"/>
      <c r="CX102" s="69" t="s">
        <v>106</v>
      </c>
      <c r="CY102" s="69"/>
      <c r="CZ102" s="69" t="s">
        <v>107</v>
      </c>
      <c r="DA102" s="69"/>
      <c r="DB102" s="69" t="s">
        <v>108</v>
      </c>
      <c r="DC102" s="69"/>
      <c r="DD102" s="69" t="s">
        <v>190</v>
      </c>
      <c r="DE102" s="69"/>
      <c r="DF102" s="69" t="s">
        <v>203</v>
      </c>
      <c r="DG102" s="69"/>
      <c r="DH102" s="69" t="s">
        <v>204</v>
      </c>
      <c r="DI102" s="69"/>
      <c r="DJ102" s="69" t="s">
        <v>56</v>
      </c>
    </row>
    <row r="103" spans="2:114" ht="12.75">
      <c r="B103" s="33"/>
      <c r="C103" s="33"/>
      <c r="D103" s="33"/>
      <c r="E103" s="58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</row>
    <row r="104" spans="2:114" ht="12.75">
      <c r="B104" s="11" t="s">
        <v>310</v>
      </c>
      <c r="C104" s="33"/>
      <c r="D104" s="33"/>
      <c r="F104" s="69" t="s">
        <v>316</v>
      </c>
      <c r="G104" s="69"/>
      <c r="H104" s="69" t="s">
        <v>316</v>
      </c>
      <c r="I104" s="69"/>
      <c r="J104" s="69" t="s">
        <v>316</v>
      </c>
      <c r="K104" s="69"/>
      <c r="L104" s="69" t="s">
        <v>316</v>
      </c>
      <c r="M104" s="69"/>
      <c r="N104" s="69" t="s">
        <v>316</v>
      </c>
      <c r="O104" s="69"/>
      <c r="P104" s="69" t="s">
        <v>316</v>
      </c>
      <c r="Q104" s="69"/>
      <c r="R104" s="69" t="s">
        <v>317</v>
      </c>
      <c r="S104" s="69"/>
      <c r="T104" s="69" t="s">
        <v>317</v>
      </c>
      <c r="U104" s="69"/>
      <c r="V104" s="69" t="s">
        <v>317</v>
      </c>
      <c r="W104" s="69"/>
      <c r="X104" s="69" t="s">
        <v>317</v>
      </c>
      <c r="Y104" s="69"/>
      <c r="Z104" s="69" t="s">
        <v>317</v>
      </c>
      <c r="AA104" s="69"/>
      <c r="AB104" s="69" t="s">
        <v>317</v>
      </c>
      <c r="AC104" s="69"/>
      <c r="AD104" s="69" t="s">
        <v>318</v>
      </c>
      <c r="AE104" s="69"/>
      <c r="AF104" s="69" t="s">
        <v>318</v>
      </c>
      <c r="AG104" s="69"/>
      <c r="AH104" s="69" t="s">
        <v>318</v>
      </c>
      <c r="AI104" s="69"/>
      <c r="AJ104" s="69" t="s">
        <v>318</v>
      </c>
      <c r="AK104" s="69"/>
      <c r="AL104" s="69" t="s">
        <v>318</v>
      </c>
      <c r="AM104" s="69"/>
      <c r="AN104" s="69" t="s">
        <v>318</v>
      </c>
      <c r="AO104" s="69"/>
      <c r="AP104" s="69" t="s">
        <v>319</v>
      </c>
      <c r="AQ104" s="69"/>
      <c r="AR104" s="69" t="s">
        <v>319</v>
      </c>
      <c r="AS104" s="69"/>
      <c r="AT104" s="69" t="s">
        <v>319</v>
      </c>
      <c r="AU104" s="69"/>
      <c r="AV104" s="69" t="s">
        <v>319</v>
      </c>
      <c r="AW104" s="69"/>
      <c r="AX104" s="69" t="s">
        <v>319</v>
      </c>
      <c r="AY104" s="69"/>
      <c r="AZ104" s="69" t="s">
        <v>319</v>
      </c>
      <c r="BA104" s="69"/>
      <c r="BB104" s="69" t="s">
        <v>320</v>
      </c>
      <c r="BC104" s="69"/>
      <c r="BD104" s="69" t="s">
        <v>320</v>
      </c>
      <c r="BE104" s="69"/>
      <c r="BF104" s="69" t="s">
        <v>320</v>
      </c>
      <c r="BG104" s="69"/>
      <c r="BH104" s="69" t="s">
        <v>320</v>
      </c>
      <c r="BI104" s="69"/>
      <c r="BJ104" s="69" t="s">
        <v>320</v>
      </c>
      <c r="BK104" s="69"/>
      <c r="BL104" s="69" t="s">
        <v>320</v>
      </c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 t="s">
        <v>321</v>
      </c>
      <c r="CA104" s="69"/>
      <c r="CB104" s="69" t="s">
        <v>321</v>
      </c>
      <c r="CC104" s="69"/>
      <c r="CD104" s="69" t="s">
        <v>321</v>
      </c>
      <c r="CE104" s="69"/>
      <c r="CF104" s="69" t="s">
        <v>321</v>
      </c>
      <c r="CG104" s="69"/>
      <c r="CH104" s="69" t="s">
        <v>321</v>
      </c>
      <c r="CI104" s="69"/>
      <c r="CJ104" s="69" t="s">
        <v>321</v>
      </c>
      <c r="CK104" s="69"/>
      <c r="CL104" s="69" t="s">
        <v>322</v>
      </c>
      <c r="CM104" s="69"/>
      <c r="CN104" s="69" t="s">
        <v>322</v>
      </c>
      <c r="CO104" s="69"/>
      <c r="CP104" s="69" t="s">
        <v>322</v>
      </c>
      <c r="CQ104" s="69"/>
      <c r="CR104" s="69" t="s">
        <v>322</v>
      </c>
      <c r="CS104" s="69"/>
      <c r="CT104" s="69" t="s">
        <v>322</v>
      </c>
      <c r="CU104" s="69"/>
      <c r="CV104" s="69" t="s">
        <v>322</v>
      </c>
      <c r="CW104" s="69"/>
      <c r="CX104" s="69" t="s">
        <v>323</v>
      </c>
      <c r="CY104" s="69"/>
      <c r="CZ104" s="69" t="s">
        <v>323</v>
      </c>
      <c r="DA104" s="69"/>
      <c r="DB104" s="69" t="s">
        <v>323</v>
      </c>
      <c r="DC104" s="69"/>
      <c r="DD104" s="69" t="s">
        <v>323</v>
      </c>
      <c r="DE104" s="69"/>
      <c r="DF104" s="69" t="s">
        <v>323</v>
      </c>
      <c r="DG104" s="69"/>
      <c r="DH104" s="69" t="s">
        <v>323</v>
      </c>
      <c r="DI104" s="69"/>
      <c r="DJ104" s="69" t="s">
        <v>323</v>
      </c>
    </row>
    <row r="105" spans="2:114" ht="12.75">
      <c r="B105" s="11" t="s">
        <v>311</v>
      </c>
      <c r="F105" s="61" t="s">
        <v>105</v>
      </c>
      <c r="H105" s="61" t="s">
        <v>105</v>
      </c>
      <c r="J105" s="61" t="s">
        <v>105</v>
      </c>
      <c r="L105" s="61" t="s">
        <v>105</v>
      </c>
      <c r="N105" s="61" t="s">
        <v>105</v>
      </c>
      <c r="P105" s="61" t="s">
        <v>105</v>
      </c>
      <c r="R105" s="61" t="s">
        <v>313</v>
      </c>
      <c r="T105" s="61" t="s">
        <v>313</v>
      </c>
      <c r="V105" s="61" t="s">
        <v>313</v>
      </c>
      <c r="X105" s="61" t="s">
        <v>313</v>
      </c>
      <c r="Z105" s="61" t="s">
        <v>313</v>
      </c>
      <c r="AB105" s="61" t="s">
        <v>313</v>
      </c>
      <c r="AD105" s="61" t="s">
        <v>52</v>
      </c>
      <c r="AF105" s="61" t="s">
        <v>52</v>
      </c>
      <c r="AH105" s="61" t="s">
        <v>52</v>
      </c>
      <c r="AJ105" s="61" t="s">
        <v>52</v>
      </c>
      <c r="AL105" s="61" t="s">
        <v>52</v>
      </c>
      <c r="AN105" s="61" t="s">
        <v>52</v>
      </c>
      <c r="AP105" s="61" t="s">
        <v>52</v>
      </c>
      <c r="AR105" s="61" t="s">
        <v>52</v>
      </c>
      <c r="AT105" s="61" t="s">
        <v>52</v>
      </c>
      <c r="AV105" s="61" t="s">
        <v>52</v>
      </c>
      <c r="AX105" s="61" t="s">
        <v>52</v>
      </c>
      <c r="AZ105" s="61" t="s">
        <v>52</v>
      </c>
      <c r="BB105" s="61" t="s">
        <v>52</v>
      </c>
      <c r="BD105" s="61" t="s">
        <v>52</v>
      </c>
      <c r="BF105" s="61" t="s">
        <v>52</v>
      </c>
      <c r="BH105" s="61" t="s">
        <v>52</v>
      </c>
      <c r="BJ105" s="61" t="s">
        <v>52</v>
      </c>
      <c r="BL105" s="61" t="s">
        <v>52</v>
      </c>
      <c r="BZ105" s="61" t="s">
        <v>314</v>
      </c>
      <c r="CB105" s="61" t="s">
        <v>314</v>
      </c>
      <c r="CD105" s="61" t="s">
        <v>314</v>
      </c>
      <c r="CF105" s="61" t="s">
        <v>314</v>
      </c>
      <c r="CH105" s="61" t="s">
        <v>314</v>
      </c>
      <c r="CJ105" s="61" t="s">
        <v>314</v>
      </c>
      <c r="CL105" s="61" t="s">
        <v>315</v>
      </c>
      <c r="CN105" s="61" t="s">
        <v>315</v>
      </c>
      <c r="CP105" s="61" t="s">
        <v>315</v>
      </c>
      <c r="CR105" s="61" t="s">
        <v>315</v>
      </c>
      <c r="CT105" s="61" t="s">
        <v>315</v>
      </c>
      <c r="CV105" s="61" t="s">
        <v>315</v>
      </c>
      <c r="CX105" s="61" t="s">
        <v>30</v>
      </c>
      <c r="CZ105" s="61" t="s">
        <v>30</v>
      </c>
      <c r="DB105" s="61" t="s">
        <v>30</v>
      </c>
      <c r="DD105" s="61" t="s">
        <v>30</v>
      </c>
      <c r="DF105" s="61" t="s">
        <v>30</v>
      </c>
      <c r="DH105" s="61" t="s">
        <v>30</v>
      </c>
      <c r="DJ105" s="61" t="s">
        <v>30</v>
      </c>
    </row>
    <row r="106" spans="2:114" ht="12.75">
      <c r="B106" s="11" t="s">
        <v>325</v>
      </c>
      <c r="BZ106" s="69" t="s">
        <v>63</v>
      </c>
      <c r="CB106" s="69" t="s">
        <v>63</v>
      </c>
      <c r="CD106" s="69" t="s">
        <v>63</v>
      </c>
      <c r="CF106" s="69" t="s">
        <v>63</v>
      </c>
      <c r="CH106" s="69" t="s">
        <v>63</v>
      </c>
      <c r="CJ106" s="69" t="s">
        <v>63</v>
      </c>
      <c r="CX106" s="61" t="s">
        <v>30</v>
      </c>
      <c r="CZ106" s="61" t="s">
        <v>30</v>
      </c>
      <c r="DB106" s="61" t="s">
        <v>30</v>
      </c>
      <c r="DD106" s="61" t="s">
        <v>30</v>
      </c>
      <c r="DF106" s="61" t="s">
        <v>30</v>
      </c>
      <c r="DH106" s="61" t="s">
        <v>30</v>
      </c>
      <c r="DJ106" s="61" t="s">
        <v>30</v>
      </c>
    </row>
    <row r="107" spans="2:114" ht="12.75">
      <c r="B107" s="18" t="s">
        <v>93</v>
      </c>
      <c r="F107" s="61" t="s">
        <v>105</v>
      </c>
      <c r="H107" s="61" t="s">
        <v>105</v>
      </c>
      <c r="J107" s="61" t="s">
        <v>105</v>
      </c>
      <c r="L107" s="61" t="s">
        <v>105</v>
      </c>
      <c r="N107" s="61" t="s">
        <v>105</v>
      </c>
      <c r="P107" s="61" t="s">
        <v>105</v>
      </c>
      <c r="R107" s="61" t="s">
        <v>198</v>
      </c>
      <c r="T107" s="61" t="s">
        <v>198</v>
      </c>
      <c r="V107" s="61" t="s">
        <v>198</v>
      </c>
      <c r="X107" s="61" t="s">
        <v>198</v>
      </c>
      <c r="Z107" s="61" t="s">
        <v>198</v>
      </c>
      <c r="AB107" s="61" t="s">
        <v>198</v>
      </c>
      <c r="AD107" s="61" t="s">
        <v>199</v>
      </c>
      <c r="AF107" s="61" t="s">
        <v>199</v>
      </c>
      <c r="AH107" s="61" t="s">
        <v>199</v>
      </c>
      <c r="AJ107" s="61" t="s">
        <v>199</v>
      </c>
      <c r="AL107" s="61" t="s">
        <v>199</v>
      </c>
      <c r="AN107" s="61" t="s">
        <v>199</v>
      </c>
      <c r="AP107" s="61" t="s">
        <v>200</v>
      </c>
      <c r="AR107" s="61" t="s">
        <v>200</v>
      </c>
      <c r="AT107" s="61" t="s">
        <v>200</v>
      </c>
      <c r="AV107" s="61" t="s">
        <v>200</v>
      </c>
      <c r="AX107" s="61" t="s">
        <v>200</v>
      </c>
      <c r="AZ107" s="61" t="s">
        <v>200</v>
      </c>
      <c r="BB107" s="61" t="s">
        <v>199</v>
      </c>
      <c r="BD107" s="61" t="s">
        <v>199</v>
      </c>
      <c r="BF107" s="61" t="s">
        <v>199</v>
      </c>
      <c r="BH107" s="61" t="s">
        <v>199</v>
      </c>
      <c r="BJ107" s="61" t="s">
        <v>199</v>
      </c>
      <c r="BL107" s="61" t="s">
        <v>199</v>
      </c>
      <c r="BZ107" s="61" t="s">
        <v>201</v>
      </c>
      <c r="CB107" s="61" t="s">
        <v>201</v>
      </c>
      <c r="CD107" s="61" t="s">
        <v>201</v>
      </c>
      <c r="CF107" s="61" t="s">
        <v>201</v>
      </c>
      <c r="CH107" s="61" t="s">
        <v>201</v>
      </c>
      <c r="CJ107" s="61" t="s">
        <v>201</v>
      </c>
      <c r="CL107" s="61" t="s">
        <v>202</v>
      </c>
      <c r="CN107" s="61" t="s">
        <v>202</v>
      </c>
      <c r="CP107" s="61" t="s">
        <v>202</v>
      </c>
      <c r="CR107" s="61" t="s">
        <v>202</v>
      </c>
      <c r="CT107" s="61" t="s">
        <v>202</v>
      </c>
      <c r="CV107" s="61" t="s">
        <v>202</v>
      </c>
      <c r="CX107" s="61" t="s">
        <v>30</v>
      </c>
      <c r="CZ107" s="61" t="s">
        <v>30</v>
      </c>
      <c r="DB107" s="61" t="s">
        <v>30</v>
      </c>
      <c r="DD107" s="61" t="s">
        <v>30</v>
      </c>
      <c r="DF107" s="61" t="s">
        <v>30</v>
      </c>
      <c r="DH107" s="61" t="s">
        <v>30</v>
      </c>
      <c r="DJ107" s="61" t="s">
        <v>30</v>
      </c>
    </row>
    <row r="108" spans="1:100" ht="12.75">
      <c r="A108" s="61" t="s">
        <v>189</v>
      </c>
      <c r="B108" s="61" t="s">
        <v>205</v>
      </c>
      <c r="D108" s="61" t="s">
        <v>170</v>
      </c>
      <c r="E108" s="58"/>
      <c r="F108" s="58">
        <v>10000</v>
      </c>
      <c r="G108" s="58"/>
      <c r="H108" s="58">
        <v>11000</v>
      </c>
      <c r="I108" s="58"/>
      <c r="J108" s="58">
        <v>10200</v>
      </c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</row>
    <row r="109" spans="2:100" ht="12.75">
      <c r="B109" s="61" t="s">
        <v>205</v>
      </c>
      <c r="D109" s="61" t="s">
        <v>214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>
        <v>0.5001</v>
      </c>
      <c r="CA109" s="58"/>
      <c r="CB109" s="58">
        <v>30.1</v>
      </c>
      <c r="CC109" s="58"/>
      <c r="CD109" s="58">
        <v>30</v>
      </c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</row>
    <row r="110" spans="1:100" ht="12.75">
      <c r="A110" s="61" t="s">
        <v>189</v>
      </c>
      <c r="B110" s="61" t="s">
        <v>206</v>
      </c>
      <c r="D110" s="61" t="s">
        <v>207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</row>
    <row r="111" spans="1:100" ht="12.75">
      <c r="A111" s="61" t="s">
        <v>189</v>
      </c>
      <c r="B111" s="61" t="s">
        <v>21</v>
      </c>
      <c r="D111" s="61" t="s">
        <v>208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>
        <v>27200</v>
      </c>
      <c r="CA111" s="58"/>
      <c r="CB111" s="58">
        <v>28200</v>
      </c>
      <c r="CC111" s="58"/>
      <c r="CD111" s="58">
        <v>46900</v>
      </c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</row>
    <row r="112" spans="1:100" ht="12.75">
      <c r="A112" s="61" t="s">
        <v>189</v>
      </c>
      <c r="B112" s="61" t="s">
        <v>83</v>
      </c>
      <c r="D112" s="61" t="s">
        <v>208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>
        <v>3.59</v>
      </c>
      <c r="CA112" s="58"/>
      <c r="CB112" s="58">
        <v>2.81</v>
      </c>
      <c r="CC112" s="58">
        <v>1</v>
      </c>
      <c r="CD112" s="58">
        <v>0.42</v>
      </c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</row>
    <row r="113" spans="1:100" ht="12.75">
      <c r="A113" s="61" t="s">
        <v>189</v>
      </c>
      <c r="B113" s="61" t="s">
        <v>90</v>
      </c>
      <c r="D113" s="61" t="s">
        <v>208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>
        <v>26.4</v>
      </c>
      <c r="CA113" s="58"/>
      <c r="CB113" s="58">
        <v>30.8</v>
      </c>
      <c r="CC113" s="58">
        <v>1</v>
      </c>
      <c r="CD113" s="58">
        <v>0.169</v>
      </c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</row>
    <row r="114" spans="1:100" ht="12.75">
      <c r="A114" s="61" t="s">
        <v>189</v>
      </c>
      <c r="B114" s="61" t="s">
        <v>92</v>
      </c>
      <c r="D114" s="61" t="s">
        <v>208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>
        <v>213</v>
      </c>
      <c r="CA114" s="58"/>
      <c r="CB114" s="58">
        <v>199</v>
      </c>
      <c r="CC114" s="58"/>
      <c r="CD114" s="58">
        <v>62.1</v>
      </c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</row>
    <row r="115" spans="1:100" ht="12.75">
      <c r="A115" s="61" t="s">
        <v>189</v>
      </c>
      <c r="B115" s="61" t="s">
        <v>88</v>
      </c>
      <c r="D115" s="61" t="s">
        <v>208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>
        <v>676</v>
      </c>
      <c r="CA115" s="58"/>
      <c r="CB115" s="58">
        <v>842</v>
      </c>
      <c r="CC115" s="58">
        <v>1</v>
      </c>
      <c r="CD115" s="58">
        <v>1.92</v>
      </c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</row>
    <row r="116" spans="1:100" ht="12.75">
      <c r="A116" s="61" t="s">
        <v>189</v>
      </c>
      <c r="B116" s="61" t="s">
        <v>89</v>
      </c>
      <c r="D116" s="61" t="s">
        <v>208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>
        <v>86.2</v>
      </c>
      <c r="CA116" s="58"/>
      <c r="CB116" s="58">
        <v>146</v>
      </c>
      <c r="CC116" s="58"/>
      <c r="CD116" s="58">
        <v>108</v>
      </c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</row>
    <row r="118" spans="2:82" ht="12.75">
      <c r="B118" s="18" t="s">
        <v>57</v>
      </c>
      <c r="C118" s="18"/>
      <c r="D118" s="18" t="s">
        <v>16</v>
      </c>
      <c r="BZ118" s="61">
        <f>'emiss 2'!$G$127</f>
        <v>139000</v>
      </c>
      <c r="CB118" s="61">
        <f>'emiss 2'!$I$127</f>
        <v>152000</v>
      </c>
      <c r="CD118" s="61">
        <f>'emiss 2'!$K$127</f>
        <v>148000</v>
      </c>
    </row>
    <row r="119" spans="2:82" ht="12.75">
      <c r="B119" s="18" t="s">
        <v>49</v>
      </c>
      <c r="C119" s="18"/>
      <c r="D119" s="18" t="s">
        <v>14</v>
      </c>
      <c r="BZ119" s="61">
        <f>'emiss 2'!$G$128</f>
        <v>12</v>
      </c>
      <c r="CB119" s="61">
        <f>'emiss 2'!$I$128</f>
        <v>11.8</v>
      </c>
      <c r="CD119" s="61">
        <f>'emiss 2'!$K$128</f>
        <v>11.8</v>
      </c>
    </row>
    <row r="121" spans="2:119" ht="12.75">
      <c r="B121" s="61" t="s">
        <v>21</v>
      </c>
      <c r="D121" s="61" t="s">
        <v>55</v>
      </c>
      <c r="BZ121" s="65">
        <f>BZ$109*8*454*BZ111/0.0283*14/(21-BZ$119)/BZ$118</f>
        <v>19536.910586301277</v>
      </c>
      <c r="CB121" s="65">
        <f>CB$109*8*454*CB111/0.0283*14/(21-CB$119)/CB$118</f>
        <v>1090615.407007302</v>
      </c>
      <c r="CD121" s="65">
        <f aca="true" t="shared" si="35" ref="CD121:CD126">CD$109*8*454*CD111/0.0283*14/(21-CD$119)/CD$118</f>
        <v>1856658.348316053</v>
      </c>
      <c r="CX121" s="65">
        <f aca="true" t="shared" si="36" ref="CX121:CX128">CL121+BZ121+BB121+AP121+AD121+R121+F121</f>
        <v>19536.910586301277</v>
      </c>
      <c r="CZ121" s="65">
        <f aca="true" t="shared" si="37" ref="CZ121:CZ128">CN121+CB121+BD121+AR121+AF121+T121+H121</f>
        <v>1090615.407007302</v>
      </c>
      <c r="DB121" s="65">
        <f aca="true" t="shared" si="38" ref="DB121:DB128">CP121+CD121+BF121+AT121+AH121+V121+J121</f>
        <v>1856658.348316053</v>
      </c>
      <c r="DD121" s="65"/>
      <c r="DF121" s="65"/>
      <c r="DJ121" s="65">
        <f aca="true" t="shared" si="39" ref="DJ121:DJ128">AVERAGE(CX121,CZ121,DB121,DD121)</f>
        <v>988936.8886365521</v>
      </c>
      <c r="DL121" s="65">
        <f>AVERAGE(BZ121,CB121,CD121,CF121,CH121,CJ121)</f>
        <v>988936.8886365521</v>
      </c>
      <c r="DM121" s="65"/>
      <c r="DN121" s="65"/>
      <c r="DO121" s="65">
        <f>SUM(DL121,DM121,DN121)</f>
        <v>988936.8886365521</v>
      </c>
    </row>
    <row r="122" spans="2:114" ht="12.75">
      <c r="B122" s="61" t="s">
        <v>83</v>
      </c>
      <c r="D122" s="61" t="s">
        <v>55</v>
      </c>
      <c r="BZ122" s="65">
        <f aca="true" t="shared" si="40" ref="BZ122:CB126">BZ$109*8*454*BZ112/0.0283*14/(21-BZ$119)/BZ$118</f>
        <v>2.578584889883147</v>
      </c>
      <c r="CB122" s="65">
        <f t="shared" si="40"/>
        <v>108.67479764859995</v>
      </c>
      <c r="CC122" s="58">
        <v>100</v>
      </c>
      <c r="CD122" s="65">
        <f t="shared" si="35"/>
        <v>16.626791178949727</v>
      </c>
      <c r="CX122" s="65">
        <f t="shared" si="36"/>
        <v>2.578584889883147</v>
      </c>
      <c r="CZ122" s="65">
        <f t="shared" si="37"/>
        <v>108.67479764859995</v>
      </c>
      <c r="DA122" s="58">
        <v>100</v>
      </c>
      <c r="DB122" s="65">
        <f t="shared" si="38"/>
        <v>16.626791178949727</v>
      </c>
      <c r="DD122" s="65"/>
      <c r="DF122" s="65"/>
      <c r="DJ122" s="65">
        <f t="shared" si="39"/>
        <v>42.626724572477606</v>
      </c>
    </row>
    <row r="123" spans="2:114" ht="12.75">
      <c r="B123" s="61" t="s">
        <v>90</v>
      </c>
      <c r="D123" s="61" t="s">
        <v>55</v>
      </c>
      <c r="BZ123" s="65">
        <f t="shared" si="40"/>
        <v>18.962295569057122</v>
      </c>
      <c r="CB123" s="65">
        <f t="shared" si="40"/>
        <v>1191.1686005611666</v>
      </c>
      <c r="CC123" s="58">
        <v>100</v>
      </c>
      <c r="CD123" s="65">
        <f t="shared" si="35"/>
        <v>6.690304069625012</v>
      </c>
      <c r="CX123" s="65">
        <f t="shared" si="36"/>
        <v>18.962295569057122</v>
      </c>
      <c r="CZ123" s="65">
        <f t="shared" si="37"/>
        <v>1191.1686005611666</v>
      </c>
      <c r="DA123" s="58">
        <v>100</v>
      </c>
      <c r="DB123" s="65">
        <f t="shared" si="38"/>
        <v>6.690304069625012</v>
      </c>
      <c r="DD123" s="65"/>
      <c r="DF123" s="65"/>
      <c r="DJ123" s="65">
        <f t="shared" si="39"/>
        <v>405.6070667332829</v>
      </c>
    </row>
    <row r="124" spans="2:114" ht="12.75">
      <c r="B124" s="61" t="s">
        <v>92</v>
      </c>
      <c r="D124" s="61" t="s">
        <v>55</v>
      </c>
      <c r="BZ124" s="65">
        <f t="shared" si="40"/>
        <v>152.99124834125632</v>
      </c>
      <c r="CB124" s="65">
        <f t="shared" si="40"/>
        <v>7696.186737391952</v>
      </c>
      <c r="CC124" s="58"/>
      <c r="CD124" s="65">
        <f t="shared" si="35"/>
        <v>2458.389838601853</v>
      </c>
      <c r="CX124" s="65">
        <f t="shared" si="36"/>
        <v>152.99124834125632</v>
      </c>
      <c r="CZ124" s="65">
        <f t="shared" si="37"/>
        <v>7696.186737391952</v>
      </c>
      <c r="DA124" s="58"/>
      <c r="DB124" s="65">
        <f t="shared" si="38"/>
        <v>2458.389838601853</v>
      </c>
      <c r="DD124" s="65"/>
      <c r="DF124" s="65"/>
      <c r="DJ124" s="65">
        <f t="shared" si="39"/>
        <v>3435.8559414450206</v>
      </c>
    </row>
    <row r="125" spans="2:114" ht="12.75">
      <c r="B125" s="61" t="s">
        <v>88</v>
      </c>
      <c r="D125" s="61" t="s">
        <v>55</v>
      </c>
      <c r="BZ125" s="65">
        <f t="shared" si="40"/>
        <v>485.54968957131115</v>
      </c>
      <c r="CB125" s="65">
        <f t="shared" si="40"/>
        <v>32563.76498936696</v>
      </c>
      <c r="CC125" s="58">
        <v>100</v>
      </c>
      <c r="CD125" s="65">
        <f t="shared" si="35"/>
        <v>76.00818824662734</v>
      </c>
      <c r="CX125" s="65">
        <f t="shared" si="36"/>
        <v>485.54968957131115</v>
      </c>
      <c r="CZ125" s="65">
        <f t="shared" si="37"/>
        <v>32563.76498936696</v>
      </c>
      <c r="DA125" s="58">
        <v>100</v>
      </c>
      <c r="DB125" s="65">
        <f t="shared" si="38"/>
        <v>76.00818824662734</v>
      </c>
      <c r="DD125" s="65"/>
      <c r="DF125" s="65"/>
      <c r="DJ125" s="65">
        <f t="shared" si="39"/>
        <v>11041.77428906163</v>
      </c>
    </row>
    <row r="126" spans="2:114" ht="12.75">
      <c r="B126" s="61" t="s">
        <v>89</v>
      </c>
      <c r="D126" s="61" t="s">
        <v>55</v>
      </c>
      <c r="BZ126" s="65">
        <f t="shared" si="40"/>
        <v>61.91476810805773</v>
      </c>
      <c r="CB126" s="65">
        <f t="shared" si="40"/>
        <v>5646.448561101634</v>
      </c>
      <c r="CD126" s="65">
        <f t="shared" si="35"/>
        <v>4275.460588872788</v>
      </c>
      <c r="CX126" s="65">
        <f t="shared" si="36"/>
        <v>61.91476810805773</v>
      </c>
      <c r="CZ126" s="65">
        <f t="shared" si="37"/>
        <v>5646.448561101634</v>
      </c>
      <c r="DB126" s="65">
        <f t="shared" si="38"/>
        <v>4275.460588872788</v>
      </c>
      <c r="DD126" s="65"/>
      <c r="DF126" s="65"/>
      <c r="DJ126" s="65">
        <f t="shared" si="39"/>
        <v>3327.9413060274933</v>
      </c>
    </row>
    <row r="127" spans="2:119" ht="12.75">
      <c r="B127" s="61" t="s">
        <v>61</v>
      </c>
      <c r="D127" s="61" t="s">
        <v>55</v>
      </c>
      <c r="BZ127" s="65">
        <f>BZ123+BZ125</f>
        <v>504.51198514036827</v>
      </c>
      <c r="CB127" s="65">
        <f>CB123+CB125</f>
        <v>33754.93358992813</v>
      </c>
      <c r="CC127" s="61">
        <v>100</v>
      </c>
      <c r="CD127" s="65">
        <f>CD123+CD125</f>
        <v>82.69849231625236</v>
      </c>
      <c r="CX127" s="65">
        <f t="shared" si="36"/>
        <v>504.51198514036827</v>
      </c>
      <c r="CZ127" s="65">
        <f t="shared" si="37"/>
        <v>33754.93358992813</v>
      </c>
      <c r="DA127" s="61">
        <v>100</v>
      </c>
      <c r="DB127" s="65">
        <f t="shared" si="38"/>
        <v>82.69849231625236</v>
      </c>
      <c r="DD127" s="65"/>
      <c r="DF127" s="65"/>
      <c r="DJ127" s="65">
        <f t="shared" si="39"/>
        <v>11447.381355794916</v>
      </c>
      <c r="DL127" s="65">
        <f>AVERAGE(BZ127,CB127,CD127,CF127,CH127,CJ127)</f>
        <v>11447.381355794916</v>
      </c>
      <c r="DM127" s="65"/>
      <c r="DN127" s="65"/>
      <c r="DO127" s="65">
        <f>SUM(DL127,DM127,DN127)</f>
        <v>11447.381355794916</v>
      </c>
    </row>
    <row r="128" spans="2:119" ht="12.75">
      <c r="B128" s="61" t="s">
        <v>62</v>
      </c>
      <c r="D128" s="61" t="s">
        <v>55</v>
      </c>
      <c r="BZ128" s="65">
        <f>BZ122+BZ124</f>
        <v>155.56983323113948</v>
      </c>
      <c r="CB128" s="65">
        <f>CB122+CB124</f>
        <v>7804.861535040553</v>
      </c>
      <c r="CC128" s="61">
        <f>CD122/CD128*100</f>
        <v>0.6717850287907867</v>
      </c>
      <c r="CD128" s="65">
        <f>CD122+CD124</f>
        <v>2475.0166297808028</v>
      </c>
      <c r="CX128" s="65">
        <f t="shared" si="36"/>
        <v>155.56983323113948</v>
      </c>
      <c r="CZ128" s="65">
        <f t="shared" si="37"/>
        <v>7804.861535040553</v>
      </c>
      <c r="DA128" s="61">
        <f>DB122/DB128*100</f>
        <v>0.6717850287907867</v>
      </c>
      <c r="DB128" s="65">
        <f t="shared" si="38"/>
        <v>2475.0166297808028</v>
      </c>
      <c r="DD128" s="65"/>
      <c r="DF128" s="65"/>
      <c r="DJ128" s="65">
        <f t="shared" si="39"/>
        <v>3478.4826660174986</v>
      </c>
      <c r="DK128" s="61" t="s">
        <v>215</v>
      </c>
      <c r="DL128" s="65">
        <f>AVERAGE(BZ128,CB128,CD128,CF128,CH128,CJ128)</f>
        <v>3478.4826660174986</v>
      </c>
      <c r="DM128" s="65"/>
      <c r="DN128" s="65"/>
      <c r="DO128" s="65">
        <f>SUM(DL128,DM128,DN128)</f>
        <v>3478.4826660174986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B1">
      <selection activeCell="C2" sqref="C2"/>
    </sheetView>
  </sheetViews>
  <sheetFormatPr defaultColWidth="9.140625" defaultRowHeight="12.75"/>
  <cols>
    <col min="1" max="1" width="7.421875" style="18" hidden="1" customWidth="1"/>
    <col min="2" max="2" width="20.140625" style="18" customWidth="1"/>
    <col min="3" max="3" width="7.421875" style="18" customWidth="1"/>
    <col min="4" max="4" width="11.140625" style="18" customWidth="1"/>
    <col min="5" max="16384" width="9.140625" style="18" customWidth="1"/>
  </cols>
  <sheetData>
    <row r="1" ht="12.75">
      <c r="B1" s="4" t="s">
        <v>53</v>
      </c>
    </row>
    <row r="2" spans="5:7" ht="12.75">
      <c r="E2" s="22" t="s">
        <v>26</v>
      </c>
      <c r="F2" s="22" t="s">
        <v>27</v>
      </c>
      <c r="G2" s="22" t="s">
        <v>28</v>
      </c>
    </row>
    <row r="3" spans="1:4" ht="12.75">
      <c r="A3" s="18" t="s">
        <v>94</v>
      </c>
      <c r="B3" s="4" t="str">
        <f>'feed 1'!B3</f>
        <v>300C10</v>
      </c>
      <c r="D3" s="18" t="s">
        <v>135</v>
      </c>
    </row>
    <row r="5" spans="2:8" s="6" customFormat="1" ht="12.75">
      <c r="B5" s="11" t="s">
        <v>131</v>
      </c>
      <c r="C5" s="11" t="s">
        <v>133</v>
      </c>
      <c r="D5" s="11"/>
      <c r="E5">
        <v>32.3</v>
      </c>
      <c r="F5">
        <v>36.3</v>
      </c>
      <c r="G5">
        <v>38.3</v>
      </c>
      <c r="H5" s="45"/>
    </row>
    <row r="6" spans="2:9" s="6" customFormat="1" ht="12.75">
      <c r="B6" s="11" t="s">
        <v>132</v>
      </c>
      <c r="C6" s="11" t="s">
        <v>109</v>
      </c>
      <c r="D6" s="11"/>
      <c r="E6">
        <v>464</v>
      </c>
      <c r="F6">
        <v>465</v>
      </c>
      <c r="G6">
        <v>469</v>
      </c>
      <c r="H6" s="6">
        <f>AVERAGE(E6:G6)</f>
        <v>466</v>
      </c>
      <c r="I6" s="11" t="s">
        <v>168</v>
      </c>
    </row>
    <row r="7" spans="2:7" ht="12.75">
      <c r="B7" s="18" t="s">
        <v>169</v>
      </c>
      <c r="C7" s="18" t="s">
        <v>109</v>
      </c>
      <c r="E7">
        <v>1744</v>
      </c>
      <c r="F7">
        <v>1765</v>
      </c>
      <c r="G7">
        <v>1756</v>
      </c>
    </row>
    <row r="8" spans="2:7" ht="12.75">
      <c r="B8" s="4"/>
      <c r="E8"/>
      <c r="F8"/>
      <c r="G8"/>
    </row>
    <row r="9" spans="1:7" ht="12.75">
      <c r="A9" s="18" t="s">
        <v>94</v>
      </c>
      <c r="B9" s="4" t="str">
        <f>'feed 1'!B20</f>
        <v>300C11</v>
      </c>
      <c r="D9" s="18" t="s">
        <v>134</v>
      </c>
      <c r="E9"/>
      <c r="F9"/>
      <c r="G9"/>
    </row>
    <row r="10" spans="2:9" s="6" customFormat="1" ht="12.75">
      <c r="B10" s="11"/>
      <c r="C10" s="11"/>
      <c r="D10" s="11"/>
      <c r="E10"/>
      <c r="F10"/>
      <c r="G10"/>
      <c r="I10" s="45"/>
    </row>
    <row r="11" spans="2:9" ht="12.75">
      <c r="B11" s="11" t="s">
        <v>131</v>
      </c>
      <c r="C11" s="11" t="s">
        <v>133</v>
      </c>
      <c r="D11" s="11"/>
      <c r="E11">
        <v>35.6</v>
      </c>
      <c r="F11">
        <v>32.8</v>
      </c>
      <c r="G11">
        <v>34.2</v>
      </c>
      <c r="I11" s="45"/>
    </row>
    <row r="12" spans="2:9" s="6" customFormat="1" ht="12.75">
      <c r="B12" s="11" t="s">
        <v>132</v>
      </c>
      <c r="C12" s="11" t="s">
        <v>109</v>
      </c>
      <c r="D12" s="11"/>
      <c r="E12">
        <v>582</v>
      </c>
      <c r="F12">
        <v>558</v>
      </c>
      <c r="G12">
        <v>549</v>
      </c>
      <c r="H12" s="6">
        <f>AVERAGE(E12:G12)</f>
        <v>563</v>
      </c>
      <c r="I12" s="11" t="s">
        <v>168</v>
      </c>
    </row>
    <row r="13" spans="2:7" ht="12.75">
      <c r="B13" s="18" t="s">
        <v>169</v>
      </c>
      <c r="C13" s="18" t="s">
        <v>109</v>
      </c>
      <c r="E13">
        <v>1936</v>
      </c>
      <c r="F13">
        <v>1909</v>
      </c>
      <c r="G13">
        <v>1891</v>
      </c>
    </row>
    <row r="14" spans="5:7" ht="12.75">
      <c r="E14"/>
      <c r="F14"/>
      <c r="G14"/>
    </row>
    <row r="15" spans="1:7" ht="12.75">
      <c r="A15" s="18" t="s">
        <v>94</v>
      </c>
      <c r="B15" s="4" t="s">
        <v>130</v>
      </c>
      <c r="D15" s="18" t="s">
        <v>158</v>
      </c>
      <c r="E15"/>
      <c r="F15"/>
      <c r="G15"/>
    </row>
    <row r="16" spans="5:7" ht="12.75">
      <c r="E16"/>
      <c r="F16"/>
      <c r="G16"/>
    </row>
    <row r="17" spans="2:7" ht="12.75">
      <c r="B17" s="11" t="s">
        <v>131</v>
      </c>
      <c r="C17" s="11" t="s">
        <v>133</v>
      </c>
      <c r="D17" s="11"/>
      <c r="E17">
        <v>46.5</v>
      </c>
      <c r="F17">
        <v>45.7</v>
      </c>
      <c r="G17">
        <v>51.4</v>
      </c>
    </row>
    <row r="18" spans="2:9" ht="12.75">
      <c r="B18" s="11" t="s">
        <v>132</v>
      </c>
      <c r="C18" s="11" t="s">
        <v>109</v>
      </c>
      <c r="D18" s="11"/>
      <c r="E18">
        <v>485</v>
      </c>
      <c r="F18">
        <v>499</v>
      </c>
      <c r="G18">
        <v>522</v>
      </c>
      <c r="H18" s="18">
        <f>AVERAGE(E18:G18)</f>
        <v>502</v>
      </c>
      <c r="I18" s="11" t="s">
        <v>168</v>
      </c>
    </row>
    <row r="19" spans="2:7" ht="12.75">
      <c r="B19" s="18" t="s">
        <v>169</v>
      </c>
      <c r="C19" s="18" t="s">
        <v>109</v>
      </c>
      <c r="E19">
        <v>1746</v>
      </c>
      <c r="F19">
        <v>1799</v>
      </c>
      <c r="G19">
        <v>1875</v>
      </c>
    </row>
    <row r="21" spans="1:7" ht="12.75">
      <c r="A21" s="18" t="s">
        <v>94</v>
      </c>
      <c r="B21" s="4" t="s">
        <v>153</v>
      </c>
      <c r="D21" s="18" t="s">
        <v>159</v>
      </c>
      <c r="E21"/>
      <c r="F21"/>
      <c r="G21"/>
    </row>
    <row r="22" spans="5:7" ht="12.75">
      <c r="E22"/>
      <c r="F22"/>
      <c r="G22"/>
    </row>
    <row r="23" spans="2:7" ht="12.75">
      <c r="B23" s="11" t="s">
        <v>131</v>
      </c>
      <c r="C23" s="11" t="s">
        <v>133</v>
      </c>
      <c r="D23" s="11"/>
      <c r="E23">
        <v>41.3</v>
      </c>
      <c r="F23">
        <v>38.3</v>
      </c>
      <c r="G23">
        <v>39.5</v>
      </c>
    </row>
    <row r="24" spans="2:9" ht="12.75">
      <c r="B24" s="11" t="s">
        <v>132</v>
      </c>
      <c r="C24" s="11" t="s">
        <v>109</v>
      </c>
      <c r="D24" s="11"/>
      <c r="E24">
        <v>489</v>
      </c>
      <c r="F24">
        <v>474</v>
      </c>
      <c r="G24">
        <v>495</v>
      </c>
      <c r="H24" s="18">
        <f>AVERAGE(E24:G24)</f>
        <v>486</v>
      </c>
      <c r="I24" s="11" t="s">
        <v>168</v>
      </c>
    </row>
    <row r="25" spans="2:7" ht="12.75">
      <c r="B25" s="18" t="s">
        <v>169</v>
      </c>
      <c r="C25" s="18" t="s">
        <v>109</v>
      </c>
      <c r="E25">
        <v>1895</v>
      </c>
      <c r="F25">
        <v>1817</v>
      </c>
      <c r="G25">
        <v>1802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C1">
      <selection activeCell="C2" sqref="C2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3" width="34.140625" style="0" customWidth="1"/>
    <col min="4" max="4" width="6.00390625" style="0" customWidth="1"/>
  </cols>
  <sheetData>
    <row r="1" ht="12.75">
      <c r="C1" s="4" t="s">
        <v>282</v>
      </c>
    </row>
    <row r="2" spans="5:8" ht="12.75">
      <c r="E2" s="5" t="s">
        <v>26</v>
      </c>
      <c r="F2" s="5" t="s">
        <v>27</v>
      </c>
      <c r="G2" s="5" t="s">
        <v>28</v>
      </c>
      <c r="H2" s="5" t="s">
        <v>336</v>
      </c>
    </row>
    <row r="3" ht="12.75">
      <c r="C3" s="33" t="s">
        <v>174</v>
      </c>
    </row>
    <row r="5" spans="1:31" s="61" customFormat="1" ht="12.75">
      <c r="A5" s="61" t="s">
        <v>174</v>
      </c>
      <c r="B5" s="61" t="s">
        <v>279</v>
      </c>
      <c r="C5" s="61" t="s">
        <v>283</v>
      </c>
      <c r="D5" s="61" t="s">
        <v>109</v>
      </c>
      <c r="E5" s="58">
        <v>496</v>
      </c>
      <c r="F5" s="58">
        <v>504</v>
      </c>
      <c r="G5" s="58">
        <v>492</v>
      </c>
      <c r="H5" s="58">
        <v>517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22" s="61" customFormat="1" ht="12.75">
      <c r="A6" s="61" t="s">
        <v>174</v>
      </c>
      <c r="B6" s="61" t="s">
        <v>280</v>
      </c>
      <c r="C6" s="61" t="s">
        <v>281</v>
      </c>
      <c r="D6" s="61" t="s">
        <v>109</v>
      </c>
      <c r="E6" s="58">
        <v>496</v>
      </c>
      <c r="F6" s="58">
        <v>504</v>
      </c>
      <c r="G6" s="58">
        <v>492</v>
      </c>
      <c r="H6" s="58">
        <v>517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3" s="61" customFormat="1" ht="12.75">
      <c r="A7" s="61" t="s">
        <v>174</v>
      </c>
      <c r="B7" s="61" t="s">
        <v>280</v>
      </c>
      <c r="C7" s="61" t="s">
        <v>131</v>
      </c>
      <c r="D7" s="61" t="s">
        <v>133</v>
      </c>
      <c r="E7" s="58">
        <v>31.6</v>
      </c>
      <c r="F7" s="58">
        <v>31.7</v>
      </c>
      <c r="G7" s="58">
        <v>39.8</v>
      </c>
      <c r="H7" s="58">
        <v>42.4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5:23" s="61" customFormat="1" ht="12.75"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3:23" s="61" customFormat="1" ht="12.75">
      <c r="C9" s="33" t="s">
        <v>179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5:23" s="61" customFormat="1" ht="12.75"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31" s="61" customFormat="1" ht="12.75">
      <c r="A11" s="61" t="s">
        <v>179</v>
      </c>
      <c r="B11" s="61" t="s">
        <v>279</v>
      </c>
      <c r="C11" s="61" t="s">
        <v>283</v>
      </c>
      <c r="D11" s="61" t="s">
        <v>109</v>
      </c>
      <c r="E11" s="58">
        <v>606</v>
      </c>
      <c r="F11" s="58">
        <v>605</v>
      </c>
      <c r="G11" s="58">
        <v>607</v>
      </c>
      <c r="H11" s="58">
        <v>614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22" s="61" customFormat="1" ht="12.75">
      <c r="A12" s="61" t="s">
        <v>179</v>
      </c>
      <c r="B12" s="61" t="s">
        <v>280</v>
      </c>
      <c r="C12" s="61" t="s">
        <v>281</v>
      </c>
      <c r="D12" s="61" t="s">
        <v>109</v>
      </c>
      <c r="E12" s="58">
        <v>606</v>
      </c>
      <c r="F12" s="58">
        <v>605</v>
      </c>
      <c r="G12" s="58">
        <v>607</v>
      </c>
      <c r="H12" s="58">
        <v>614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3" s="61" customFormat="1" ht="12.75">
      <c r="A13" s="61" t="s">
        <v>179</v>
      </c>
      <c r="B13" s="61" t="s">
        <v>280</v>
      </c>
      <c r="C13" s="61" t="s">
        <v>131</v>
      </c>
      <c r="D13" s="61" t="s">
        <v>133</v>
      </c>
      <c r="E13" s="58">
        <v>44.7</v>
      </c>
      <c r="F13" s="58">
        <v>34.2</v>
      </c>
      <c r="G13" s="58">
        <v>40.5</v>
      </c>
      <c r="H13" s="58">
        <v>39.7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5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2004-02-24T23:09:28Z</cp:lastPrinted>
  <dcterms:created xsi:type="dcterms:W3CDTF">2000-01-10T00:44:42Z</dcterms:created>
  <dcterms:modified xsi:type="dcterms:W3CDTF">2004-02-24T23:39:14Z</dcterms:modified>
  <cp:category/>
  <cp:version/>
  <cp:contentType/>
  <cp:contentStatus/>
</cp:coreProperties>
</file>